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mc:AlternateContent xmlns:mc="http://schemas.openxmlformats.org/markup-compatibility/2006">
    <mc:Choice Requires="x15">
      <x15ac:absPath xmlns:x15ac="http://schemas.microsoft.com/office/spreadsheetml/2010/11/ac" url="N:\FMS\Illustrative Financials\2025 Illustrated Financial Statements\Carolina County\Final Documents for website\"/>
    </mc:Choice>
  </mc:AlternateContent>
  <xr:revisionPtr revIDLastSave="0" documentId="13_ncr:1_{293F880A-6F84-458B-B2CD-45A6B62D2B9E}" xr6:coauthVersionLast="47" xr6:coauthVersionMax="47" xr10:uidLastSave="{00000000-0000-0000-0000-000000000000}"/>
  <workbookProtection workbookAlgorithmName="SHA-512" workbookHashValue="l78CKTnxk4ouVoiPlirq47I5a26uREjSLa2P2RiMr44CKulAiNRLlpVA8gB7S5auWsta1QZWHBjJ8glibg9Y1w==" workbookSaltValue="ollvch6uZfUkW/3KPQaOTw==" workbookSpinCount="100000" lockStructure="1"/>
  <bookViews>
    <workbookView xWindow="22932" yWindow="-204" windowWidth="23256" windowHeight="12456" tabRatio="1000" xr2:uid="{C9B37A78-4277-4837-84DD-B70C069FFD78}"/>
  </bookViews>
  <sheets>
    <sheet name="General Instructions" sheetId="1" r:id="rId1"/>
    <sheet name="Conversion Worksheet" sheetId="2" r:id="rId2"/>
    <sheet name="A. Revenue by function" sheetId="3" r:id="rId3"/>
    <sheet name="B.  Property Taxes" sheetId="4" r:id="rId4"/>
    <sheet name="C. Other Revenues" sheetId="5" r:id="rId5"/>
    <sheet name="D. Depreciation" sheetId="6" r:id="rId6"/>
    <sheet name="E. Capital Outlay" sheetId="7" r:id="rId7"/>
    <sheet name="F.  Other Cap Asset Entries" sheetId="8" r:id="rId8"/>
    <sheet name="G. Debt Service" sheetId="9" r:id="rId9"/>
    <sheet name="H. Debt Issues" sheetId="10" r:id="rId10"/>
    <sheet name="I.  Other Asset Entries" sheetId="11" r:id="rId11"/>
    <sheet name="J. Other Liability &amp; Expenses" sheetId="12" r:id="rId12"/>
    <sheet name="K.1  Int. Service Fd Allocation" sheetId="13" r:id="rId13"/>
    <sheet name="K.2  Int. Service Fd Alloca" sheetId="14" r:id="rId14"/>
    <sheet name="K.3 Int. Service Fd Alloca" sheetId="15" r:id="rId15"/>
    <sheet name="L. Eliminations-Consolidations" sheetId="16" r:id="rId16"/>
    <sheet name="M. Net Position Calculation" sheetId="17" r:id="rId17"/>
    <sheet name="N.1 GASB 68 LGERS" sheetId="18" r:id="rId18"/>
    <sheet name="2019 LGERS summary" sheetId="19" state="hidden" r:id="rId19"/>
    <sheet name="2018 summary" sheetId="20" state="hidden" r:id="rId20"/>
    <sheet name="N.1a LGERS Data PY" sheetId="21" state="hidden" r:id="rId21"/>
    <sheet name="N.1b LGERS Data PY" sheetId="22" state="hidden" r:id="rId22"/>
    <sheet name="N.2 GASB 68 ROD" sheetId="23" r:id="rId23"/>
    <sheet name="N.2b ROD Data PY" sheetId="24" state="hidden" r:id="rId24"/>
    <sheet name="2019 Summary ROD" sheetId="25" state="hidden" r:id="rId25"/>
    <sheet name="N.2a ROD 2018 PY" sheetId="26" state="hidden" r:id="rId26"/>
    <sheet name="2018 Contributions ROD" sheetId="27" state="hidden" r:id="rId27"/>
    <sheet name="N.3 GASB 68 FRSWPF" sheetId="28" r:id="rId28"/>
    <sheet name="O. GASB 73 LEO Entries" sheetId="29" r:id="rId29"/>
    <sheet name="Sheet1" sheetId="30" state="hidden" r:id="rId30"/>
    <sheet name="P.1 GASB 75 OPEB  - plan 1" sheetId="31" r:id="rId31"/>
    <sheet name="P.2 GASB 75 OPEB - plan 2" sheetId="32" r:id="rId32"/>
    <sheet name="P.3 GASB 75 OPEB - plan 3" sheetId="33" r:id="rId33"/>
    <sheet name="Q. GASB 87 Lease Entries" sheetId="34" r:id="rId34"/>
    <sheet name="R. GASB 96 Subscription Entries" sheetId="38" r:id="rId35"/>
    <sheet name="2018 OPEB " sheetId="35"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xlnm._FilterDatabase" localSheetId="21" hidden="1">'N.1b LGERS Data PY'!$A$2:$U$897</definedName>
    <definedName name="_xlnm._FilterDatabase" localSheetId="23" hidden="1">'N.2b ROD Data PY'!$B$2:$U$102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20">#REF!</definedName>
    <definedName name="AgencyCode" localSheetId="21">#REF!</definedName>
    <definedName name="AgencyCode" localSheetId="25">#REF!</definedName>
    <definedName name="AgencyCode" localSheetId="23">#REF!</definedName>
    <definedName name="AgencyCode" localSheetId="28">#REF!</definedName>
    <definedName name="AgencyCode" localSheetId="30">#REF!</definedName>
    <definedName name="AgencyCode">#REF!</definedName>
    <definedName name="AgencyCode1" localSheetId="30">#REF!</definedName>
    <definedName name="AgencyCode1">#REF!</definedName>
    <definedName name="AnalystGASB">[1]DeveloperInfo!$D$20</definedName>
    <definedName name="Annuity" localSheetId="19">#REF!</definedName>
    <definedName name="Annuity" localSheetId="20">#REF!</definedName>
    <definedName name="Annuity" localSheetId="21">'[2]Assets Input'!$L$37:$L$56</definedName>
    <definedName name="Annuity" localSheetId="25">'[3]Assets Input'!$E$36:$E$59</definedName>
    <definedName name="Annuity" localSheetId="23">'[4]Assets Input'!$E$36:$E$59</definedName>
    <definedName name="Annuity" localSheetId="28">#REF!</definedName>
    <definedName name="Annuity" localSheetId="30">#REF!</definedName>
    <definedName name="Annuity" localSheetId="33">#REF!</definedName>
    <definedName name="Annuity">#REF!</definedName>
    <definedName name="Annuity1" localSheetId="30">#REF!</definedName>
    <definedName name="Annuity1">#REF!</definedName>
    <definedName name="AnnuityLY" localSheetId="19">#REF!</definedName>
    <definedName name="AnnuityLY" localSheetId="20">#REF!</definedName>
    <definedName name="AnnuityLY" localSheetId="25">'[5]Assets Input'!#REF!</definedName>
    <definedName name="AnnuityLY" localSheetId="23">'[5]Assets Input'!#REF!</definedName>
    <definedName name="AnnuityLY" localSheetId="28">#REF!</definedName>
    <definedName name="AnnuityLY" localSheetId="30">#REF!</definedName>
    <definedName name="AnnuityLY" localSheetId="33">#REF!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20">#REF!</definedName>
    <definedName name="EmployerRates" localSheetId="21">#REF!</definedName>
    <definedName name="EmployerRates" localSheetId="25">#REF!</definedName>
    <definedName name="EmployerRates" localSheetId="23">#REF!</definedName>
    <definedName name="EmployerRates" localSheetId="28">#REF!</definedName>
    <definedName name="EmployerRates" localSheetId="30">#REF!</definedName>
    <definedName name="EmployerRates">#REF!</definedName>
    <definedName name="EmployerRates1" localSheetId="30">#REF!</definedName>
    <definedName name="EmployerRates1">#REF!</definedName>
    <definedName name="EmployerRatesLEO" localSheetId="19">#REF!</definedName>
    <definedName name="EmployerRatesLEO" localSheetId="20">#REF!</definedName>
    <definedName name="EmployerRatesLEO" localSheetId="21">#REF!</definedName>
    <definedName name="EmployerRatesLEO" localSheetId="25">#REF!</definedName>
    <definedName name="EmployerRatesLEO" localSheetId="23">#REF!</definedName>
    <definedName name="EmployerRatesLEO" localSheetId="28">#REF!</definedName>
    <definedName name="EmployerRatesLEO" localSheetId="30">#REF!</definedName>
    <definedName name="EmployerRatesLEO">#REF!</definedName>
    <definedName name="EmployerRatesLEO1" localSheetId="30">#REF!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20">#REF!</definedName>
    <definedName name="Pension" localSheetId="21">'[2]Assets Input'!$L$60:$L$95</definedName>
    <definedName name="Pension" localSheetId="25">'[3]Assets Input'!$E$61:$E$89</definedName>
    <definedName name="Pension" localSheetId="23">'[4]Assets Input'!$E$61:$E$89</definedName>
    <definedName name="Pension" localSheetId="28">#REF!</definedName>
    <definedName name="Pension" localSheetId="30">#REF!</definedName>
    <definedName name="Pension" localSheetId="33">#REF!</definedName>
    <definedName name="Pension">#REF!</definedName>
    <definedName name="Pension1" localSheetId="30">#REF!</definedName>
    <definedName name="Pension1">#REF!</definedName>
    <definedName name="PensionLY" localSheetId="19">#REF!</definedName>
    <definedName name="PensionLY" localSheetId="20">#REF!</definedName>
    <definedName name="PensionLY" localSheetId="25">'[5]Assets Input'!#REF!</definedName>
    <definedName name="PensionLY" localSheetId="23">'[5]Assets Input'!#REF!</definedName>
    <definedName name="PensionLY" localSheetId="28">#REF!</definedName>
    <definedName name="PensionLY" localSheetId="30">#REF!</definedName>
    <definedName name="PensionLY" localSheetId="33">#REF!</definedName>
    <definedName name="PensionLY">#REF!</definedName>
    <definedName name="PlanNameLongGASB">[1]DeveloperInfo!$D$7</definedName>
    <definedName name="PlanNameShortGASB">[1]DeveloperInfo!$D$8</definedName>
    <definedName name="_xlnm.Print_Area" localSheetId="2">'A. Revenue by function'!$A$1:$P$150</definedName>
    <definedName name="_xlnm.Print_Area" localSheetId="3">'B.  Property Taxes'!$A$1:$P$63</definedName>
    <definedName name="_xlnm.Print_Area" localSheetId="4">'C. Other Revenues'!$B$1:$P$251</definedName>
    <definedName name="_xlnm.Print_Area" localSheetId="1">'Conversion Worksheet'!$A$1:$BG$445</definedName>
    <definedName name="_xlnm.Print_Area" localSheetId="5">'D. Depreciation'!$A$1:$P$73</definedName>
    <definedName name="_xlnm.Print_Area" localSheetId="6">'E. Capital Outlay'!$A$1:$Q$75</definedName>
    <definedName name="_xlnm.Print_Area" localSheetId="7">'F.  Other Cap Asset Entries'!$A$1:$U$297</definedName>
    <definedName name="_xlnm.Print_Area" localSheetId="8">'G. Debt Service'!$A$1:$P$60</definedName>
    <definedName name="_xlnm.Print_Area" localSheetId="0">'General Instructions'!$A$1:$L$129</definedName>
    <definedName name="_xlnm.Print_Area" localSheetId="9">'H. Debt Issues'!$A$1:$Q$100</definedName>
    <definedName name="_xlnm.Print_Area" localSheetId="10">'I.  Other Asset Entries'!$A$1:$Q$125</definedName>
    <definedName name="_xlnm.Print_Area" localSheetId="11">'J. Other Liability &amp; Expenses'!$A$1:$P$223</definedName>
    <definedName name="_xlnm.Print_Area" localSheetId="12">'K.1  Int. Service Fd Allocation'!$A$1:$I$233</definedName>
    <definedName name="_xlnm.Print_Area" localSheetId="13">'K.2  Int. Service Fd Alloca'!$A$1:$I$228</definedName>
    <definedName name="_xlnm.Print_Area" localSheetId="14">'K.3 Int. Service Fd Alloca'!$A$1:$I$228</definedName>
    <definedName name="_xlnm.Print_Area" localSheetId="15">'L. Eliminations-Consolidations'!$A$1:$P$308</definedName>
    <definedName name="_xlnm.Print_Area" localSheetId="16">'M. Net Position Calculation'!$A$1:$I$118</definedName>
    <definedName name="_xlnm.Print_Area" localSheetId="21">'N.1b LGERS Data PY'!$B$5:$S$905</definedName>
    <definedName name="_xlnm.Print_Area" localSheetId="23">'N.2b ROD Data PY'!$B$1:$U$105</definedName>
    <definedName name="_xlnm.Print_Area" localSheetId="29">Sheet1!$A$1:$N$24</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Entries'!$1:$3</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20">'N.1a LGERS Data PY'!$4:$5</definedName>
    <definedName name="_xlnm.Print_Titles" localSheetId="21">'N.1b LGERS Data PY'!$5:$6</definedName>
    <definedName name="_xlnm.Print_Titles" localSheetId="23">'N.2b ROD Data PY'!$1:$2</definedName>
    <definedName name="ProjDisc?">[1]DeveloperInfo!$D$65</definedName>
    <definedName name="ProValResults" localSheetId="19">#REF!</definedName>
    <definedName name="ProValResults" localSheetId="20">#REF!</definedName>
    <definedName name="ProValResults" localSheetId="21">#REF!</definedName>
    <definedName name="ProValResults" localSheetId="25">[6]ProVal!$B$6:$S$462</definedName>
    <definedName name="ProValResults" localSheetId="23">[7]ProVal!$B$6:$S$462</definedName>
    <definedName name="ProValResults" localSheetId="28">#REF!</definedName>
    <definedName name="ProValResults" localSheetId="30">#REF!</definedName>
    <definedName name="ProValResults" localSheetId="33">#REF!</definedName>
    <definedName name="ProValResults">#REF!</definedName>
    <definedName name="ProValResults1" localSheetId="30">#REF!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20">#REF!</definedName>
    <definedName name="TableData" localSheetId="21">#REF!</definedName>
    <definedName name="TableData" localSheetId="25">#REF!</definedName>
    <definedName name="TableData" localSheetId="23">#REF!</definedName>
    <definedName name="TableData" localSheetId="28">#REF!</definedName>
    <definedName name="TableData" localSheetId="30">#REF!</definedName>
    <definedName name="TableData">#REF!</definedName>
    <definedName name="TableData1" localSheetId="30">#REF!</definedName>
    <definedName name="TableData1">#REF!</definedName>
    <definedName name="Type" localSheetId="19">#REF!</definedName>
    <definedName name="Type" localSheetId="20">#REF!</definedName>
    <definedName name="Type" localSheetId="25">#REF!</definedName>
    <definedName name="Type" localSheetId="28">#REF!</definedName>
    <definedName name="Type" localSheetId="30">#REF!</definedName>
    <definedName name="Type">#REF!</definedName>
    <definedName name="TypeAnnuity" localSheetId="19">#REF!</definedName>
    <definedName name="TypeAnnuity" localSheetId="20">#REF!</definedName>
    <definedName name="TypeAnnuity" localSheetId="21">'[2]Assets Input'!$K$37:$K$56</definedName>
    <definedName name="TypeAnnuity" localSheetId="25">'[3]Assets Input'!$D$36:$D$59</definedName>
    <definedName name="TypeAnnuity" localSheetId="23">'[4]Assets Input'!$D$36:$D$59</definedName>
    <definedName name="TypeAnnuity" localSheetId="28">#REF!</definedName>
    <definedName name="TypeAnnuity" localSheetId="30">#REF!</definedName>
    <definedName name="TypeAnnuity" localSheetId="33">#REF!</definedName>
    <definedName name="TypeAnnuity">#REF!</definedName>
    <definedName name="TypeAnnuity1" localSheetId="30">#REF!</definedName>
    <definedName name="TypeAnnuity1">#REF!</definedName>
    <definedName name="TypePension" localSheetId="19">#REF!</definedName>
    <definedName name="TypePension" localSheetId="20">#REF!</definedName>
    <definedName name="TypePension" localSheetId="21">'[2]Assets Input'!$K$60:$K$95</definedName>
    <definedName name="TypePension" localSheetId="25">'[3]Assets Input'!$D$61:$D$89</definedName>
    <definedName name="TypePension" localSheetId="23">'[4]Assets Input'!$D$61:$D$89</definedName>
    <definedName name="TypePension" localSheetId="28">#REF!</definedName>
    <definedName name="TypePension" localSheetId="30">#REF!</definedName>
    <definedName name="TypePension" localSheetId="33">#REF!</definedName>
    <definedName name="TypePension">#REF!</definedName>
    <definedName name="TypePension1" localSheetId="30">#REF!</definedName>
    <definedName name="TypePension1">#REF!</definedName>
    <definedName name="UnfundedData" localSheetId="19">#REF!</definedName>
    <definedName name="UnfundedData" localSheetId="20">#REF!</definedName>
    <definedName name="UnfundedData" localSheetId="21">#REF!</definedName>
    <definedName name="UnfundedData" localSheetId="25">#REF!</definedName>
    <definedName name="UnfundedData" localSheetId="23">#REF!</definedName>
    <definedName name="UnfundedData" localSheetId="28">#REF!</definedName>
    <definedName name="UnfundedData" localSheetId="30">#REF!</definedName>
    <definedName name="UnfundedData">#REF!</definedName>
    <definedName name="UnfundedData1" localSheetId="30">#REF!</definedName>
    <definedName name="UnfundedData1">#REF!</definedName>
    <definedName name="UnfundedLY" localSheetId="19">#REF!</definedName>
    <definedName name="UnfundedLY" localSheetId="20">#REF!</definedName>
    <definedName name="UnfundedLY" localSheetId="21">#REF!</definedName>
    <definedName name="UnfundedLY" localSheetId="25">#REF!</definedName>
    <definedName name="UnfundedLY" localSheetId="23">#REF!</definedName>
    <definedName name="UnfundedLY" localSheetId="28">#REF!</definedName>
    <definedName name="UnfundedLY" localSheetId="30">#REF!</definedName>
    <definedName name="UnfundedLY">#REF!</definedName>
    <definedName name="UnfundedLY1" localSheetId="30">#REF!</definedName>
    <definedName name="UnfundedLY1">#REF!</definedName>
    <definedName name="UnfundedLYLEO1" localSheetId="30">#REF!</definedName>
    <definedName name="UnfundedLYLEO1">#REF!</definedName>
    <definedName name="UnfunedLYLEO" localSheetId="19">#REF!</definedName>
    <definedName name="UnfunedLYLEO" localSheetId="20">#REF!</definedName>
    <definedName name="UnfunedLYLEO" localSheetId="21">#REF!</definedName>
    <definedName name="UnfunedLYLEO" localSheetId="25">#REF!</definedName>
    <definedName name="UnfunedLYLEO" localSheetId="23">#REF!</definedName>
    <definedName name="UnfunedLYLEO" localSheetId="28">#REF!</definedName>
    <definedName name="UnfunedLYLEO" localSheetId="30">#REF!</definedName>
    <definedName name="UnfunedLYLEO">#REF!</definedName>
    <definedName name="VersionGASB">[1]DeveloperInfo!$D$4</definedName>
    <definedName name="Z_C1197650_3ED8_49E4_8E4C_0D1D4B503FC0_.wvu.Cols" localSheetId="35" hidden="1">'2018 OPEB '!$I:$I</definedName>
    <definedName name="Z_C1197650_3ED8_49E4_8E4C_0D1D4B503FC0_.wvu.FilterData" localSheetId="21" hidden="1">'N.1b LGERS Data PY'!$A$2:$U$897</definedName>
    <definedName name="Z_C1197650_3ED8_49E4_8E4C_0D1D4B503FC0_.wvu.FilterData" localSheetId="23" hidden="1">'N.2b ROD Data PY'!$B$2:$U$102</definedName>
    <definedName name="Z_C1197650_3ED8_49E4_8E4C_0D1D4B503FC0_.wvu.PrintArea" localSheetId="2" hidden="1">'A. Revenue by function'!$A$1:$P$150</definedName>
    <definedName name="Z_C1197650_3ED8_49E4_8E4C_0D1D4B503FC0_.wvu.PrintArea" localSheetId="3" hidden="1">'B.  Property Taxes'!$A$1:$P$63</definedName>
    <definedName name="Z_C1197650_3ED8_49E4_8E4C_0D1D4B503FC0_.wvu.PrintArea" localSheetId="4" hidden="1">'C. Other Revenues'!$B$1:$P$251</definedName>
    <definedName name="Z_C1197650_3ED8_49E4_8E4C_0D1D4B503FC0_.wvu.PrintArea" localSheetId="1" hidden="1">'Conversion Worksheet'!$A$1:$BG$445</definedName>
    <definedName name="Z_C1197650_3ED8_49E4_8E4C_0D1D4B503FC0_.wvu.PrintArea" localSheetId="5" hidden="1">'D. Depreciation'!$A$1:$P$73</definedName>
    <definedName name="Z_C1197650_3ED8_49E4_8E4C_0D1D4B503FC0_.wvu.PrintArea" localSheetId="6" hidden="1">'E. Capital Outlay'!$A$1:$Q$75</definedName>
    <definedName name="Z_C1197650_3ED8_49E4_8E4C_0D1D4B503FC0_.wvu.PrintArea" localSheetId="7" hidden="1">'F.  Other Cap Asset Entries'!$A$1:$U$297</definedName>
    <definedName name="Z_C1197650_3ED8_49E4_8E4C_0D1D4B503FC0_.wvu.PrintArea" localSheetId="8" hidden="1">'G. Debt Service'!$A$1:$P$60</definedName>
    <definedName name="Z_C1197650_3ED8_49E4_8E4C_0D1D4B503FC0_.wvu.PrintArea" localSheetId="0" hidden="1">'General Instructions'!$A$1:$L$129</definedName>
    <definedName name="Z_C1197650_3ED8_49E4_8E4C_0D1D4B503FC0_.wvu.PrintArea" localSheetId="9" hidden="1">'H. Debt Issues'!$A$1:$Q$100</definedName>
    <definedName name="Z_C1197650_3ED8_49E4_8E4C_0D1D4B503FC0_.wvu.PrintArea" localSheetId="10" hidden="1">'I.  Other Asset Entries'!$A$1:$Q$125</definedName>
    <definedName name="Z_C1197650_3ED8_49E4_8E4C_0D1D4B503FC0_.wvu.PrintArea" localSheetId="11" hidden="1">'J. Other Liability &amp; Expenses'!$A$1:$P$223</definedName>
    <definedName name="Z_C1197650_3ED8_49E4_8E4C_0D1D4B503FC0_.wvu.PrintArea" localSheetId="12" hidden="1">'K.1  Int. Service Fd Allocation'!$A$1:$I$233</definedName>
    <definedName name="Z_C1197650_3ED8_49E4_8E4C_0D1D4B503FC0_.wvu.PrintArea" localSheetId="13" hidden="1">'K.2  Int. Service Fd Alloca'!$A$1:$I$228</definedName>
    <definedName name="Z_C1197650_3ED8_49E4_8E4C_0D1D4B503FC0_.wvu.PrintArea" localSheetId="14" hidden="1">'K.3 Int. Service Fd Alloca'!$A$1:$I$228</definedName>
    <definedName name="Z_C1197650_3ED8_49E4_8E4C_0D1D4B503FC0_.wvu.PrintArea" localSheetId="15" hidden="1">'L. Eliminations-Consolidations'!$A$1:$P$308</definedName>
    <definedName name="Z_C1197650_3ED8_49E4_8E4C_0D1D4B503FC0_.wvu.PrintArea" localSheetId="16" hidden="1">'M. Net Position Calculation'!$A$1:$I$118</definedName>
    <definedName name="Z_C1197650_3ED8_49E4_8E4C_0D1D4B503FC0_.wvu.PrintArea" localSheetId="21" hidden="1">'N.1b LGERS Data PY'!$B$5:$S$905</definedName>
    <definedName name="Z_C1197650_3ED8_49E4_8E4C_0D1D4B503FC0_.wvu.PrintArea" localSheetId="23" hidden="1">'N.2b ROD Data PY'!$B$1:$U$105</definedName>
    <definedName name="Z_C1197650_3ED8_49E4_8E4C_0D1D4B503FC0_.wvu.PrintArea" localSheetId="29" hidden="1">Sheet1!$A$1:$N$24</definedName>
    <definedName name="Z_C1197650_3ED8_49E4_8E4C_0D1D4B503FC0_.wvu.PrintTitles" localSheetId="2" hidden="1">'A. Revenue by function'!$1:$3</definedName>
    <definedName name="Z_C1197650_3ED8_49E4_8E4C_0D1D4B503FC0_.wvu.PrintTitles" localSheetId="4" hidden="1">'C. Other Revenues'!$1:$3</definedName>
    <definedName name="Z_C1197650_3ED8_49E4_8E4C_0D1D4B503FC0_.wvu.PrintTitles" localSheetId="1" hidden="1">'Conversion Worksheet'!$1:$5</definedName>
    <definedName name="Z_C1197650_3ED8_49E4_8E4C_0D1D4B503FC0_.wvu.PrintTitles" localSheetId="6" hidden="1">'E. Capital Outlay'!$1:$3</definedName>
    <definedName name="Z_C1197650_3ED8_49E4_8E4C_0D1D4B503FC0_.wvu.PrintTitles" localSheetId="7" hidden="1">'F.  Other Cap Asset Entries'!$1:$3</definedName>
    <definedName name="Z_C1197650_3ED8_49E4_8E4C_0D1D4B503FC0_.wvu.PrintTitles" localSheetId="8" hidden="1">'G. Debt Service'!$1:$3</definedName>
    <definedName name="Z_C1197650_3ED8_49E4_8E4C_0D1D4B503FC0_.wvu.PrintTitles" localSheetId="9" hidden="1">'H. Debt Issues'!$1:$3</definedName>
    <definedName name="Z_C1197650_3ED8_49E4_8E4C_0D1D4B503FC0_.wvu.PrintTitles" localSheetId="10" hidden="1">'I.  Other Asset Entries'!$1:$3</definedName>
    <definedName name="Z_C1197650_3ED8_49E4_8E4C_0D1D4B503FC0_.wvu.PrintTitles" localSheetId="11" hidden="1">'J. Other Liability &amp; Expenses'!$1:$3</definedName>
    <definedName name="Z_C1197650_3ED8_49E4_8E4C_0D1D4B503FC0_.wvu.PrintTitles" localSheetId="16" hidden="1">'M. Net Position Calculation'!$1:$2</definedName>
    <definedName name="Z_C1197650_3ED8_49E4_8E4C_0D1D4B503FC0_.wvu.PrintTitles" localSheetId="20" hidden="1">'N.1a LGERS Data PY'!$4:$5</definedName>
    <definedName name="Z_C1197650_3ED8_49E4_8E4C_0D1D4B503FC0_.wvu.PrintTitles" localSheetId="21" hidden="1">'N.1b LGERS Data PY'!$5:$6</definedName>
    <definedName name="Z_C1197650_3ED8_49E4_8E4C_0D1D4B503FC0_.wvu.PrintTitles" localSheetId="23" hidden="1">'N.2b ROD Data PY'!$1:$2</definedName>
    <definedName name="Z_C1197650_3ED8_49E4_8E4C_0D1D4B503FC0_.wvu.Rows" localSheetId="35" hidden="1">'2018 OPEB '!$2:$4</definedName>
    <definedName name="Z_C1197650_3ED8_49E4_8E4C_0D1D4B503FC0_.wvu.Rows" localSheetId="1" hidden="1">'Conversion Worksheet'!$150:$150</definedName>
    <definedName name="Z_C1197650_3ED8_49E4_8E4C_0D1D4B503FC0_.wvu.Rows" localSheetId="11" hidden="1">'J. Other Liability &amp; Expenses'!$84:$92,'J. Other Liability &amp; Expenses'!$104:$119,'J. Other Liability &amp; Expenses'!$248:$248</definedName>
    <definedName name="Z_C1197650_3ED8_49E4_8E4C_0D1D4B503FC0_.wvu.Rows" localSheetId="12" hidden="1">'K.1  Int. Service Fd Allocation'!$25:$25,'K.1  Int. Service Fd Allocation'!$27:$27</definedName>
    <definedName name="Z_C1197650_3ED8_49E4_8E4C_0D1D4B503FC0_.wvu.Rows" localSheetId="13" hidden="1">'K.2  Int. Service Fd Alloca'!$21:$21,'K.2  Int. Service Fd Alloca'!$23:$23</definedName>
    <definedName name="Z_C1197650_3ED8_49E4_8E4C_0D1D4B503FC0_.wvu.Rows" localSheetId="14" hidden="1">'K.3 Int. Service Fd Alloca'!$21:$21,'K.3 Int. Service Fd Alloca'!$23:$23</definedName>
    <definedName name="Z_C1197650_3ED8_49E4_8E4C_0D1D4B503FC0_.wvu.Rows" localSheetId="15" hidden="1">'L. Eliminations-Consolidations'!$74:$74</definedName>
    <definedName name="Z_C1197650_3ED8_49E4_8E4C_0D1D4B503FC0_.wvu.Rows" localSheetId="16" hidden="1">'M. Net Position Calculation'!$39:$51,'M. Net Position Calculation'!$96:$112</definedName>
    <definedName name="Z_C1197650_3ED8_49E4_8E4C_0D1D4B503FC0_.wvu.Rows" localSheetId="17" hidden="1">'N.1 GASB 68 LGERS'!$21:$21,'N.1 GASB 68 LGERS'!$45:$67</definedName>
    <definedName name="Z_C1197650_3ED8_49E4_8E4C_0D1D4B503FC0_.wvu.Rows" localSheetId="22" hidden="1">'N.2 GASB 68 ROD'!$34:$56,'N.2 GASB 68 ROD'!$63:$63</definedName>
    <definedName name="Z_C1197650_3ED8_49E4_8E4C_0D1D4B503FC0_.wvu.Rows" localSheetId="28" hidden="1">'O. GASB 73 LEO Entries'!$5:$9,'O. GASB 73 LEO Entries'!$40:$62</definedName>
    <definedName name="Z_C1197650_3ED8_49E4_8E4C_0D1D4B503FC0_.wvu.Rows" localSheetId="30" hidden="1">'P.1 GASB 75 OPEB  - plan 1'!$50:$96</definedName>
    <definedName name="Z_C1197650_3ED8_49E4_8E4C_0D1D4B503FC0_.wvu.Rows" localSheetId="31" hidden="1">'P.2 GASB 75 OPEB - plan 2'!$50:$96</definedName>
    <definedName name="Z_C1197650_3ED8_49E4_8E4C_0D1D4B503FC0_.wvu.Rows" localSheetId="32" hidden="1">'P.3 GASB 75 OPEB - plan 3'!$50:$96</definedName>
    <definedName name="Z_D2B860EA_92EC_4999_9A59_C624E1F8C7FB_.wvu.Cols" localSheetId="35" hidden="1">'2018 OPEB '!$I:$I</definedName>
    <definedName name="Z_D2B860EA_92EC_4999_9A59_C624E1F8C7FB_.wvu.FilterData" localSheetId="21" hidden="1">'N.1b LGERS Data PY'!$A$2:$U$897</definedName>
    <definedName name="Z_D2B860EA_92EC_4999_9A59_C624E1F8C7FB_.wvu.FilterData" localSheetId="23" hidden="1">'N.2b ROD Data PY'!$B$2:$U$102</definedName>
    <definedName name="Z_D2B860EA_92EC_4999_9A59_C624E1F8C7FB_.wvu.PrintArea" localSheetId="2" hidden="1">'A. Revenue by function'!$A$1:$P$150</definedName>
    <definedName name="Z_D2B860EA_92EC_4999_9A59_C624E1F8C7FB_.wvu.PrintArea" localSheetId="3" hidden="1">'B.  Property Taxes'!$A$1:$P$63</definedName>
    <definedName name="Z_D2B860EA_92EC_4999_9A59_C624E1F8C7FB_.wvu.PrintArea" localSheetId="4" hidden="1">'C. Other Revenues'!$B$1:$P$251</definedName>
    <definedName name="Z_D2B860EA_92EC_4999_9A59_C624E1F8C7FB_.wvu.PrintArea" localSheetId="1" hidden="1">'Conversion Worksheet'!$A$1:$BG$445</definedName>
    <definedName name="Z_D2B860EA_92EC_4999_9A59_C624E1F8C7FB_.wvu.PrintArea" localSheetId="5" hidden="1">'D. Depreciation'!$A$1:$P$73</definedName>
    <definedName name="Z_D2B860EA_92EC_4999_9A59_C624E1F8C7FB_.wvu.PrintArea" localSheetId="6" hidden="1">'E. Capital Outlay'!$A$1:$Q$75</definedName>
    <definedName name="Z_D2B860EA_92EC_4999_9A59_C624E1F8C7FB_.wvu.PrintArea" localSheetId="7" hidden="1">'F.  Other Cap Asset Entries'!$A$1:$U$297</definedName>
    <definedName name="Z_D2B860EA_92EC_4999_9A59_C624E1F8C7FB_.wvu.PrintArea" localSheetId="8" hidden="1">'G. Debt Service'!$A$1:$P$60</definedName>
    <definedName name="Z_D2B860EA_92EC_4999_9A59_C624E1F8C7FB_.wvu.PrintArea" localSheetId="0" hidden="1">'General Instructions'!$A$1:$L$129</definedName>
    <definedName name="Z_D2B860EA_92EC_4999_9A59_C624E1F8C7FB_.wvu.PrintArea" localSheetId="9" hidden="1">'H. Debt Issues'!$A$1:$Q$100</definedName>
    <definedName name="Z_D2B860EA_92EC_4999_9A59_C624E1F8C7FB_.wvu.PrintArea" localSheetId="10" hidden="1">'I.  Other Asset Entries'!$A$1:$Q$125</definedName>
    <definedName name="Z_D2B860EA_92EC_4999_9A59_C624E1F8C7FB_.wvu.PrintArea" localSheetId="11" hidden="1">'J. Other Liability &amp; Expenses'!$A$1:$P$223</definedName>
    <definedName name="Z_D2B860EA_92EC_4999_9A59_C624E1F8C7FB_.wvu.PrintArea" localSheetId="12" hidden="1">'K.1  Int. Service Fd Allocation'!$A$1:$I$233</definedName>
    <definedName name="Z_D2B860EA_92EC_4999_9A59_C624E1F8C7FB_.wvu.PrintArea" localSheetId="13" hidden="1">'K.2  Int. Service Fd Alloca'!$A$1:$I$228</definedName>
    <definedName name="Z_D2B860EA_92EC_4999_9A59_C624E1F8C7FB_.wvu.PrintArea" localSheetId="14" hidden="1">'K.3 Int. Service Fd Alloca'!$A$1:$I$228</definedName>
    <definedName name="Z_D2B860EA_92EC_4999_9A59_C624E1F8C7FB_.wvu.PrintArea" localSheetId="15" hidden="1">'L. Eliminations-Consolidations'!$A$1:$P$308</definedName>
    <definedName name="Z_D2B860EA_92EC_4999_9A59_C624E1F8C7FB_.wvu.PrintArea" localSheetId="16" hidden="1">'M. Net Position Calculation'!$A$1:$I$118</definedName>
    <definedName name="Z_D2B860EA_92EC_4999_9A59_C624E1F8C7FB_.wvu.PrintArea" localSheetId="21" hidden="1">'N.1b LGERS Data PY'!$B$5:$S$905</definedName>
    <definedName name="Z_D2B860EA_92EC_4999_9A59_C624E1F8C7FB_.wvu.PrintArea" localSheetId="23" hidden="1">'N.2b ROD Data PY'!$B$1:$U$105</definedName>
    <definedName name="Z_D2B860EA_92EC_4999_9A59_C624E1F8C7FB_.wvu.PrintArea" localSheetId="29" hidden="1">Sheet1!$A$1:$N$24</definedName>
    <definedName name="Z_D2B860EA_92EC_4999_9A59_C624E1F8C7FB_.wvu.PrintTitles" localSheetId="2" hidden="1">'A. Revenue by function'!$1:$3</definedName>
    <definedName name="Z_D2B860EA_92EC_4999_9A59_C624E1F8C7FB_.wvu.PrintTitles" localSheetId="4" hidden="1">'C. Other Revenues'!$1:$3</definedName>
    <definedName name="Z_D2B860EA_92EC_4999_9A59_C624E1F8C7FB_.wvu.PrintTitles" localSheetId="1" hidden="1">'Conversion Worksheet'!$1:$5</definedName>
    <definedName name="Z_D2B860EA_92EC_4999_9A59_C624E1F8C7FB_.wvu.PrintTitles" localSheetId="6" hidden="1">'E. Capital Outlay'!$1:$3</definedName>
    <definedName name="Z_D2B860EA_92EC_4999_9A59_C624E1F8C7FB_.wvu.PrintTitles" localSheetId="7" hidden="1">'F.  Other Cap Asset Entries'!$1:$3</definedName>
    <definedName name="Z_D2B860EA_92EC_4999_9A59_C624E1F8C7FB_.wvu.PrintTitles" localSheetId="8" hidden="1">'G. Debt Service'!$1:$3</definedName>
    <definedName name="Z_D2B860EA_92EC_4999_9A59_C624E1F8C7FB_.wvu.PrintTitles" localSheetId="9" hidden="1">'H. Debt Issues'!$1:$3</definedName>
    <definedName name="Z_D2B860EA_92EC_4999_9A59_C624E1F8C7FB_.wvu.PrintTitles" localSheetId="10" hidden="1">'I.  Other Asset Entries'!$1:$3</definedName>
    <definedName name="Z_D2B860EA_92EC_4999_9A59_C624E1F8C7FB_.wvu.PrintTitles" localSheetId="11" hidden="1">'J. Other Liability &amp; Expenses'!$1:$3</definedName>
    <definedName name="Z_D2B860EA_92EC_4999_9A59_C624E1F8C7FB_.wvu.PrintTitles" localSheetId="16" hidden="1">'M. Net Position Calculation'!$1:$2</definedName>
    <definedName name="Z_D2B860EA_92EC_4999_9A59_C624E1F8C7FB_.wvu.PrintTitles" localSheetId="20" hidden="1">'N.1a LGERS Data PY'!$4:$5</definedName>
    <definedName name="Z_D2B860EA_92EC_4999_9A59_C624E1F8C7FB_.wvu.PrintTitles" localSheetId="21" hidden="1">'N.1b LGERS Data PY'!$5:$6</definedName>
    <definedName name="Z_D2B860EA_92EC_4999_9A59_C624E1F8C7FB_.wvu.PrintTitles" localSheetId="23" hidden="1">'N.2b ROD Data PY'!$1:$2</definedName>
    <definedName name="Z_D2B860EA_92EC_4999_9A59_C624E1F8C7FB_.wvu.Rows" localSheetId="35" hidden="1">'2018 OPEB '!$2:$4</definedName>
    <definedName name="Z_D2B860EA_92EC_4999_9A59_C624E1F8C7FB_.wvu.Rows" localSheetId="1" hidden="1">'Conversion Worksheet'!$150:$150</definedName>
    <definedName name="Z_D2B860EA_92EC_4999_9A59_C624E1F8C7FB_.wvu.Rows" localSheetId="11" hidden="1">'J. Other Liability &amp; Expenses'!$84:$92,'J. Other Liability &amp; Expenses'!$104:$119,'J. Other Liability &amp; Expenses'!$248:$248</definedName>
    <definedName name="Z_D2B860EA_92EC_4999_9A59_C624E1F8C7FB_.wvu.Rows" localSheetId="12" hidden="1">'K.1  Int. Service Fd Allocation'!$25:$25,'K.1  Int. Service Fd Allocation'!$27:$27</definedName>
    <definedName name="Z_D2B860EA_92EC_4999_9A59_C624E1F8C7FB_.wvu.Rows" localSheetId="13" hidden="1">'K.2  Int. Service Fd Alloca'!$21:$21,'K.2  Int. Service Fd Alloca'!$23:$23</definedName>
    <definedName name="Z_D2B860EA_92EC_4999_9A59_C624E1F8C7FB_.wvu.Rows" localSheetId="14" hidden="1">'K.3 Int. Service Fd Alloca'!$21:$21,'K.3 Int. Service Fd Alloca'!$23:$23</definedName>
    <definedName name="Z_D2B860EA_92EC_4999_9A59_C624E1F8C7FB_.wvu.Rows" localSheetId="15" hidden="1">'L. Eliminations-Consolidations'!$74:$74</definedName>
    <definedName name="Z_D2B860EA_92EC_4999_9A59_C624E1F8C7FB_.wvu.Rows" localSheetId="16" hidden="1">'M. Net Position Calculation'!$39:$51,'M. Net Position Calculation'!$96:$112</definedName>
    <definedName name="Z_D2B860EA_92EC_4999_9A59_C624E1F8C7FB_.wvu.Rows" localSheetId="17" hidden="1">'N.1 GASB 68 LGERS'!$21:$21,'N.1 GASB 68 LGERS'!$45:$67</definedName>
    <definedName name="Z_D2B860EA_92EC_4999_9A59_C624E1F8C7FB_.wvu.Rows" localSheetId="22" hidden="1">'N.2 GASB 68 ROD'!$34:$56,'N.2 GASB 68 ROD'!$63:$63</definedName>
    <definedName name="Z_D2B860EA_92EC_4999_9A59_C624E1F8C7FB_.wvu.Rows" localSheetId="28" hidden="1">'O. GASB 73 LEO Entries'!$5:$9,'O. GASB 73 LEO Entries'!$40:$62</definedName>
    <definedName name="Z_D2B860EA_92EC_4999_9A59_C624E1F8C7FB_.wvu.Rows" localSheetId="30" hidden="1">'P.1 GASB 75 OPEB  - plan 1'!$50:$96</definedName>
    <definedName name="Z_D2B860EA_92EC_4999_9A59_C624E1F8C7FB_.wvu.Rows" localSheetId="31" hidden="1">'P.2 GASB 75 OPEB - plan 2'!$50:$96</definedName>
    <definedName name="Z_D2B860EA_92EC_4999_9A59_C624E1F8C7FB_.wvu.Rows" localSheetId="32" hidden="1">'P.3 GASB 75 OPEB - plan 3'!$50:$96</definedName>
  </definedNames>
  <calcPr calcId="191029" fullPrecision="0"/>
  <customWorkbookViews>
    <customWorkbookView name="Jake Lorentz - Personal View" guid="{D2B860EA-92EC-4999-9A59-C624E1F8C7FB}" mergeInterval="0" personalView="1" xWindow="61" yWindow="3" windowWidth="1854" windowHeight="924" tabRatio="794" activeSheetId="2"/>
    <customWorkbookView name="Eric Faust - Personal View" guid="{C1197650-3ED8-49E4-8E4C-0D1D4B503FC0}" mergeInterval="0" personalView="1" xWindow="827" yWindow="5" windowWidth="1521" windowHeight="1002" tabRatio="79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0" i="12" l="1"/>
  <c r="J66" i="4"/>
  <c r="J65" i="4"/>
  <c r="J64" i="4"/>
  <c r="AB360" i="8"/>
  <c r="AC351" i="8"/>
  <c r="BJ141" i="2"/>
  <c r="BI157" i="2"/>
  <c r="E139" i="31"/>
  <c r="E138" i="31"/>
  <c r="E137" i="31"/>
  <c r="N20" i="18"/>
  <c r="N19" i="18"/>
  <c r="N18" i="18"/>
  <c r="J139" i="18"/>
  <c r="J138" i="18"/>
  <c r="J137" i="18"/>
  <c r="BI17" i="2"/>
  <c r="BI16" i="2"/>
  <c r="BI15" i="2"/>
  <c r="BI141" i="2"/>
  <c r="BI127" i="2"/>
  <c r="BI109" i="2"/>
  <c r="BI81" i="2"/>
  <c r="BI49" i="2"/>
  <c r="BI13" i="2"/>
  <c r="BI43" i="2"/>
  <c r="BI38" i="2"/>
  <c r="BI11" i="2"/>
  <c r="Q50" i="16"/>
  <c r="N49" i="16"/>
  <c r="H47" i="3"/>
  <c r="L29" i="9" l="1"/>
  <c r="AX204" i="2" l="1"/>
  <c r="AY204" i="2"/>
  <c r="L297" i="16"/>
  <c r="D281" i="2" l="1"/>
  <c r="E183" i="2"/>
  <c r="D8" i="2"/>
  <c r="E390" i="2"/>
  <c r="D28" i="17" l="1"/>
  <c r="AQ160" i="2"/>
  <c r="AA259" i="5"/>
  <c r="AB275" i="5"/>
  <c r="M174" i="5"/>
  <c r="K209" i="5"/>
  <c r="AF260" i="5"/>
  <c r="AE260" i="5"/>
  <c r="W260" i="5"/>
  <c r="AP159" i="2"/>
  <c r="AS223" i="2"/>
  <c r="AP223" i="2"/>
  <c r="AN223" i="2"/>
  <c r="L106" i="3"/>
  <c r="AI223" i="2"/>
  <c r="AK223" i="2" s="1"/>
  <c r="AH223" i="2"/>
  <c r="AJ223" i="2" s="1"/>
  <c r="BB204" i="2"/>
  <c r="D33" i="17"/>
  <c r="C32" i="17"/>
  <c r="L172" i="16" l="1"/>
  <c r="BH96" i="2" l="1"/>
  <c r="H53" i="3" l="1"/>
  <c r="H52" i="3"/>
  <c r="H79" i="3"/>
  <c r="H62" i="3"/>
  <c r="J57" i="4"/>
  <c r="AQ158" i="2" s="1"/>
  <c r="E158" i="2"/>
  <c r="D11" i="2" l="1"/>
  <c r="BB203" i="2" l="1"/>
  <c r="AX203" i="2"/>
  <c r="AX131" i="2"/>
  <c r="AU143" i="2" l="1"/>
  <c r="L296" i="16"/>
  <c r="AY203" i="2" s="1"/>
  <c r="BC203" i="2" s="1"/>
  <c r="BG203" i="2" s="1"/>
  <c r="C82" i="17" l="1"/>
  <c r="C85" i="17" l="1"/>
  <c r="G82" i="17"/>
  <c r="AP143" i="2"/>
  <c r="AQ292" i="2"/>
  <c r="AT292" i="2"/>
  <c r="AT39" i="2"/>
  <c r="G41" i="7" l="1"/>
  <c r="AT61" i="2"/>
  <c r="AS61" i="2"/>
  <c r="L68" i="6"/>
  <c r="AP61" i="2"/>
  <c r="AQ61" i="2"/>
  <c r="AT60" i="2"/>
  <c r="AB306" i="8"/>
  <c r="M223" i="8" s="1"/>
  <c r="AC306" i="8"/>
  <c r="O236" i="8"/>
  <c r="AB319" i="8"/>
  <c r="AC319" i="8"/>
  <c r="G45" i="6"/>
  <c r="G43" i="6"/>
  <c r="T318" i="8"/>
  <c r="T319" i="8"/>
  <c r="S306" i="8"/>
  <c r="S305" i="8"/>
  <c r="AS60" i="2"/>
  <c r="AP60" i="2"/>
  <c r="AQ70" i="2"/>
  <c r="AQ60" i="2"/>
  <c r="L60" i="7"/>
  <c r="L61" i="7"/>
  <c r="AM59" i="2"/>
  <c r="AL56" i="2"/>
  <c r="AI61" i="2"/>
  <c r="AK61" i="2" s="1"/>
  <c r="AH61" i="2"/>
  <c r="AJ61" i="2" s="1"/>
  <c r="AI60" i="2"/>
  <c r="AK60" i="2" s="1"/>
  <c r="AH60" i="2"/>
  <c r="AJ60" i="2" s="1"/>
  <c r="N115" i="16"/>
  <c r="L238" i="16" s="1"/>
  <c r="AY131" i="2" s="1"/>
  <c r="BB61" i="2" l="1"/>
  <c r="J229" i="16"/>
  <c r="AV143" i="2" s="1"/>
  <c r="BB60" i="2"/>
  <c r="BC61" i="2"/>
  <c r="BF61" i="2" l="1"/>
  <c r="BG61" i="2"/>
  <c r="AS143" i="2"/>
  <c r="AT143" i="2"/>
  <c r="AP393" i="2"/>
  <c r="N98" i="10"/>
  <c r="N99" i="10"/>
  <c r="L99" i="10"/>
  <c r="K127" i="10"/>
  <c r="S127" i="10" s="1"/>
  <c r="R127" i="10"/>
  <c r="J108" i="10"/>
  <c r="R108" i="10" s="1"/>
  <c r="L79" i="10" s="1"/>
  <c r="AQ393" i="2" s="1"/>
  <c r="L38" i="9"/>
  <c r="N51" i="9"/>
  <c r="L51" i="9"/>
  <c r="AQ143" i="2" s="1"/>
  <c r="AT41" i="2" l="1"/>
  <c r="AQ40" i="2"/>
  <c r="M76" i="38"/>
  <c r="M75" i="38"/>
  <c r="M74" i="38"/>
  <c r="M73" i="38"/>
  <c r="M72" i="38"/>
  <c r="M71" i="38"/>
  <c r="M70" i="38"/>
  <c r="M69" i="38"/>
  <c r="M68" i="38"/>
  <c r="M80" i="38" s="1"/>
  <c r="H61" i="38"/>
  <c r="O77" i="38" s="1"/>
  <c r="O80" i="38" s="1"/>
  <c r="O40" i="38"/>
  <c r="O39" i="38"/>
  <c r="O38" i="38"/>
  <c r="O37" i="38"/>
  <c r="O36" i="38"/>
  <c r="O35" i="38"/>
  <c r="O34" i="38"/>
  <c r="O33" i="38"/>
  <c r="O32" i="38"/>
  <c r="O41" i="38" s="1"/>
  <c r="H24" i="38"/>
  <c r="M31" i="38" s="1"/>
  <c r="M41" i="38" s="1"/>
  <c r="D380" i="2" l="1"/>
  <c r="D381" i="2"/>
  <c r="AI393" i="2" l="1"/>
  <c r="AK393" i="2" s="1"/>
  <c r="BC393" i="2" s="1"/>
  <c r="AH393" i="2"/>
  <c r="AJ393" i="2" s="1"/>
  <c r="BB393" i="2" s="1"/>
  <c r="AT291" i="2"/>
  <c r="BC291" i="2" s="1"/>
  <c r="AQ291" i="2"/>
  <c r="BB291" i="2" s="1"/>
  <c r="AI143" i="2"/>
  <c r="AK143" i="2" s="1"/>
  <c r="BC143" i="2" s="1"/>
  <c r="AH143" i="2"/>
  <c r="AJ143" i="2" s="1"/>
  <c r="BB143" i="2" s="1"/>
  <c r="AI41" i="2"/>
  <c r="AK41" i="2" s="1"/>
  <c r="BC41" i="2" s="1"/>
  <c r="BG41" i="2" s="1"/>
  <c r="AH41" i="2"/>
  <c r="AJ41" i="2" s="1"/>
  <c r="AI40" i="2"/>
  <c r="AK40" i="2" s="1"/>
  <c r="BC40" i="2" s="1"/>
  <c r="AH40" i="2"/>
  <c r="AJ40" i="2" s="1"/>
  <c r="BB40" i="2" s="1"/>
  <c r="BG40" i="2" s="1"/>
  <c r="AI39" i="2"/>
  <c r="AK39" i="2" s="1"/>
  <c r="BC39" i="2" s="1"/>
  <c r="AH39" i="2"/>
  <c r="AJ39" i="2" s="1"/>
  <c r="BB39" i="2" s="1"/>
  <c r="AI38" i="2"/>
  <c r="AK38" i="2" s="1"/>
  <c r="BC38" i="2" s="1"/>
  <c r="AH38" i="2"/>
  <c r="AJ38" i="2" s="1"/>
  <c r="AH131" i="2"/>
  <c r="AJ131" i="2" s="1"/>
  <c r="BB131" i="2" s="1"/>
  <c r="AI131" i="2"/>
  <c r="AK131" i="2" s="1"/>
  <c r="BC131" i="2" s="1"/>
  <c r="BG39" i="2" l="1"/>
  <c r="BF40" i="2"/>
  <c r="BE393" i="2"/>
  <c r="BG143" i="2"/>
  <c r="BG131" i="2"/>
  <c r="BF143" i="2"/>
  <c r="AI158" i="2" l="1"/>
  <c r="E216" i="2"/>
  <c r="AK158" i="2" l="1"/>
  <c r="BC374" i="2"/>
  <c r="BB374" i="2"/>
  <c r="AM183" i="2"/>
  <c r="E109" i="2"/>
  <c r="AT364" i="2"/>
  <c r="BC364" i="2" s="1"/>
  <c r="AQ364" i="2"/>
  <c r="BB364" i="2" s="1"/>
  <c r="AQ354" i="2"/>
  <c r="BB354" i="2" s="1"/>
  <c r="AT354" i="2"/>
  <c r="BC354" i="2" s="1"/>
  <c r="AT344" i="2"/>
  <c r="BC344" i="2" s="1"/>
  <c r="AQ344" i="2"/>
  <c r="BB344" i="2" s="1"/>
  <c r="AT334" i="2"/>
  <c r="BC334" i="2" s="1"/>
  <c r="AQ334" i="2"/>
  <c r="BB334" i="2" s="1"/>
  <c r="AQ324" i="2"/>
  <c r="BB324" i="2" s="1"/>
  <c r="AT324" i="2"/>
  <c r="BC324" i="2" s="1"/>
  <c r="AT314" i="2"/>
  <c r="BC314" i="2" s="1"/>
  <c r="AQ314" i="2"/>
  <c r="BB314" i="2" s="1"/>
  <c r="AQ304" i="2"/>
  <c r="BB304" i="2" s="1"/>
  <c r="AT304" i="2"/>
  <c r="BC304" i="2" s="1"/>
  <c r="BC292" i="2"/>
  <c r="BB292" i="2"/>
  <c r="AQ38" i="2"/>
  <c r="BB38" i="2" s="1"/>
  <c r="BF38" i="2" s="1"/>
  <c r="G22" i="7"/>
  <c r="G23" i="6"/>
  <c r="G24" i="6"/>
  <c r="M76" i="34"/>
  <c r="M75" i="34"/>
  <c r="M74" i="34"/>
  <c r="M73" i="34"/>
  <c r="M72" i="34"/>
  <c r="M71" i="34"/>
  <c r="M70" i="34"/>
  <c r="M69" i="34"/>
  <c r="M68" i="34"/>
  <c r="H61" i="34"/>
  <c r="O77" i="34" s="1"/>
  <c r="O80" i="34" s="1"/>
  <c r="O40" i="34"/>
  <c r="O39" i="34"/>
  <c r="O38" i="34"/>
  <c r="O37" i="34"/>
  <c r="O36" i="34"/>
  <c r="O35" i="34"/>
  <c r="O33" i="34"/>
  <c r="O32" i="34"/>
  <c r="O41" i="34" s="1"/>
  <c r="H24" i="34"/>
  <c r="M31" i="34" s="1"/>
  <c r="M41" i="34" s="1"/>
  <c r="BF39" i="2" l="1"/>
  <c r="BG38" i="2"/>
  <c r="M80" i="34"/>
  <c r="AI161" i="2" l="1"/>
  <c r="AK161" i="2" s="1"/>
  <c r="BC161" i="2" s="1"/>
  <c r="AH161" i="2"/>
  <c r="AJ161" i="2" s="1"/>
  <c r="BB161" i="2" s="1"/>
  <c r="AI20" i="2"/>
  <c r="AK20" i="2" s="1"/>
  <c r="BC20" i="2" s="1"/>
  <c r="AH20" i="2"/>
  <c r="AJ20" i="2" s="1"/>
  <c r="BB20" i="2" s="1"/>
  <c r="E30" i="17"/>
  <c r="C30" i="17"/>
  <c r="AI411" i="2"/>
  <c r="AH411" i="2"/>
  <c r="AI410" i="2"/>
  <c r="AH410" i="2"/>
  <c r="AI408" i="2"/>
  <c r="AH408" i="2"/>
  <c r="AI407" i="2"/>
  <c r="AH407" i="2"/>
  <c r="AI391" i="2"/>
  <c r="AH391" i="2"/>
  <c r="AH390" i="2"/>
  <c r="AI412" i="2"/>
  <c r="AH412" i="2"/>
  <c r="AI406" i="2"/>
  <c r="AH406" i="2"/>
  <c r="AI402" i="2"/>
  <c r="AH402" i="2"/>
  <c r="AI401" i="2"/>
  <c r="AH401" i="2"/>
  <c r="AI400" i="2"/>
  <c r="AH400" i="2"/>
  <c r="AI399" i="2"/>
  <c r="AH399" i="2"/>
  <c r="AI398" i="2"/>
  <c r="AH398" i="2"/>
  <c r="AI397" i="2"/>
  <c r="AH397" i="2"/>
  <c r="AI396" i="2"/>
  <c r="AH396" i="2"/>
  <c r="AI395" i="2"/>
  <c r="AH395" i="2"/>
  <c r="AI394" i="2"/>
  <c r="AH394" i="2"/>
  <c r="AI392" i="2"/>
  <c r="AH392" i="2"/>
  <c r="AI386" i="2"/>
  <c r="AH386" i="2"/>
  <c r="AI384" i="2"/>
  <c r="AH384" i="2"/>
  <c r="AI383" i="2"/>
  <c r="AH383" i="2"/>
  <c r="AI382" i="2"/>
  <c r="AH382" i="2"/>
  <c r="AI381" i="2"/>
  <c r="AH381" i="2"/>
  <c r="AI380" i="2"/>
  <c r="AH380" i="2"/>
  <c r="AI280" i="2"/>
  <c r="AH280" i="2"/>
  <c r="AI279" i="2"/>
  <c r="AH279" i="2"/>
  <c r="AI278" i="2"/>
  <c r="AH278" i="2"/>
  <c r="AI277" i="2"/>
  <c r="AH277" i="2"/>
  <c r="AI276" i="2"/>
  <c r="AH276" i="2"/>
  <c r="AI275" i="2"/>
  <c r="AH275" i="2"/>
  <c r="AI274" i="2"/>
  <c r="AH274" i="2"/>
  <c r="AI273" i="2"/>
  <c r="AH273" i="2"/>
  <c r="AI272" i="2"/>
  <c r="AH272" i="2"/>
  <c r="AI271" i="2"/>
  <c r="AH271" i="2"/>
  <c r="AI270" i="2"/>
  <c r="AH270" i="2"/>
  <c r="AI269" i="2"/>
  <c r="AH269" i="2"/>
  <c r="AI268" i="2"/>
  <c r="AH268" i="2"/>
  <c r="AI267" i="2"/>
  <c r="AH267" i="2"/>
  <c r="AI266" i="2"/>
  <c r="AH266" i="2"/>
  <c r="AI265" i="2"/>
  <c r="AH265" i="2"/>
  <c r="AI264" i="2"/>
  <c r="AH264" i="2"/>
  <c r="AI263" i="2"/>
  <c r="AH263" i="2"/>
  <c r="AI262" i="2"/>
  <c r="AH262" i="2"/>
  <c r="AI261" i="2"/>
  <c r="AH261" i="2"/>
  <c r="AI260" i="2"/>
  <c r="AH260" i="2"/>
  <c r="AI259" i="2"/>
  <c r="AH259" i="2"/>
  <c r="AI258" i="2"/>
  <c r="AH258" i="2"/>
  <c r="AI257" i="2"/>
  <c r="AH257" i="2"/>
  <c r="AI256" i="2"/>
  <c r="AH256" i="2"/>
  <c r="AI255" i="2"/>
  <c r="AH255" i="2"/>
  <c r="AI254" i="2"/>
  <c r="AH254" i="2"/>
  <c r="AI253" i="2"/>
  <c r="AH253" i="2"/>
  <c r="AI252" i="2"/>
  <c r="AH252" i="2"/>
  <c r="AI251" i="2"/>
  <c r="AH251" i="2"/>
  <c r="AI250" i="2"/>
  <c r="AH250" i="2"/>
  <c r="AI249" i="2"/>
  <c r="AH249" i="2"/>
  <c r="AI248" i="2"/>
  <c r="AH248" i="2"/>
  <c r="AI247" i="2"/>
  <c r="AH247" i="2"/>
  <c r="AI246" i="2"/>
  <c r="AH246" i="2"/>
  <c r="AI245" i="2"/>
  <c r="AH245" i="2"/>
  <c r="AI244" i="2"/>
  <c r="AH244" i="2"/>
  <c r="AI243" i="2"/>
  <c r="AH243" i="2"/>
  <c r="AI242" i="2"/>
  <c r="AH242" i="2"/>
  <c r="AI240" i="2"/>
  <c r="AH240" i="2"/>
  <c r="AI239" i="2"/>
  <c r="AH239" i="2"/>
  <c r="AI238" i="2"/>
  <c r="AH238" i="2"/>
  <c r="AI237" i="2"/>
  <c r="AH237" i="2"/>
  <c r="AI236" i="2"/>
  <c r="AH236" i="2"/>
  <c r="AI235" i="2"/>
  <c r="AH235" i="2"/>
  <c r="AI234" i="2"/>
  <c r="AH234" i="2"/>
  <c r="AI233" i="2"/>
  <c r="AH233" i="2"/>
  <c r="AI232" i="2"/>
  <c r="AH232" i="2"/>
  <c r="AI231" i="2"/>
  <c r="AH231" i="2"/>
  <c r="AI230" i="2"/>
  <c r="AH230" i="2"/>
  <c r="AI376" i="2"/>
  <c r="AH376" i="2"/>
  <c r="AI369" i="2"/>
  <c r="AH369" i="2"/>
  <c r="AI368" i="2"/>
  <c r="AH368" i="2"/>
  <c r="AI367" i="2"/>
  <c r="AH367" i="2"/>
  <c r="AI366" i="2"/>
  <c r="AH366" i="2"/>
  <c r="AI359" i="2"/>
  <c r="AH359" i="2"/>
  <c r="AI358" i="2"/>
  <c r="AH358" i="2"/>
  <c r="AI357" i="2"/>
  <c r="AH357" i="2"/>
  <c r="AI356" i="2"/>
  <c r="AH356" i="2"/>
  <c r="AI349" i="2"/>
  <c r="AH349" i="2"/>
  <c r="AI348" i="2"/>
  <c r="AH348" i="2"/>
  <c r="AI347" i="2"/>
  <c r="AH347" i="2"/>
  <c r="AI346" i="2"/>
  <c r="AH346" i="2"/>
  <c r="AI339" i="2"/>
  <c r="AH339" i="2"/>
  <c r="AI338" i="2"/>
  <c r="AH338" i="2"/>
  <c r="AI337" i="2"/>
  <c r="AH337" i="2"/>
  <c r="AI336" i="2"/>
  <c r="AH336" i="2"/>
  <c r="AI329" i="2"/>
  <c r="AH329" i="2"/>
  <c r="AI328" i="2"/>
  <c r="AH328" i="2"/>
  <c r="AI327" i="2"/>
  <c r="AH327" i="2"/>
  <c r="AI326" i="2"/>
  <c r="AH326" i="2"/>
  <c r="AI319" i="2"/>
  <c r="AH319" i="2"/>
  <c r="AI318" i="2"/>
  <c r="AH318" i="2"/>
  <c r="AI317" i="2"/>
  <c r="AH317" i="2"/>
  <c r="AI316" i="2"/>
  <c r="AH316" i="2"/>
  <c r="AI309" i="2"/>
  <c r="AH309" i="2"/>
  <c r="AI308" i="2"/>
  <c r="AH308" i="2"/>
  <c r="AI307" i="2"/>
  <c r="AH307" i="2"/>
  <c r="AI306" i="2"/>
  <c r="AH306" i="2"/>
  <c r="AI297" i="2"/>
  <c r="AH297" i="2"/>
  <c r="AI296" i="2"/>
  <c r="AH296" i="2"/>
  <c r="AI295" i="2"/>
  <c r="AH295" i="2"/>
  <c r="AI294" i="2"/>
  <c r="AH294" i="2"/>
  <c r="AI285" i="2"/>
  <c r="AH285" i="2"/>
  <c r="AI284" i="2"/>
  <c r="AH284" i="2"/>
  <c r="AI283" i="2"/>
  <c r="AH283" i="2"/>
  <c r="AI282" i="2"/>
  <c r="AH282" i="2"/>
  <c r="AI281" i="2"/>
  <c r="AH281" i="2"/>
  <c r="AI229" i="2"/>
  <c r="AH229" i="2"/>
  <c r="AI228" i="2"/>
  <c r="AH228" i="2"/>
  <c r="AI227" i="2"/>
  <c r="AH227" i="2"/>
  <c r="AI226" i="2"/>
  <c r="AH226" i="2"/>
  <c r="AI225" i="2"/>
  <c r="AH225" i="2"/>
  <c r="AH224" i="2"/>
  <c r="AI222" i="2"/>
  <c r="AH222" i="2"/>
  <c r="AI221" i="2"/>
  <c r="AH221" i="2"/>
  <c r="AI220" i="2"/>
  <c r="AK220" i="2" s="1"/>
  <c r="AH220" i="2"/>
  <c r="AJ220" i="2" s="1"/>
  <c r="AI219" i="2"/>
  <c r="AH219" i="2"/>
  <c r="AI218" i="2"/>
  <c r="AH218" i="2"/>
  <c r="AI217" i="2"/>
  <c r="AH217" i="2"/>
  <c r="AI216" i="2"/>
  <c r="AH216" i="2"/>
  <c r="AI214" i="2"/>
  <c r="AH214" i="2"/>
  <c r="AI213" i="2"/>
  <c r="AH213" i="2"/>
  <c r="AI212" i="2"/>
  <c r="AH212" i="2"/>
  <c r="AI211" i="2"/>
  <c r="AH211" i="2"/>
  <c r="AI210" i="2"/>
  <c r="AH210" i="2"/>
  <c r="AI209" i="2"/>
  <c r="AH209" i="2"/>
  <c r="AI208" i="2"/>
  <c r="AH208" i="2"/>
  <c r="AI207" i="2"/>
  <c r="AH207" i="2"/>
  <c r="AI206" i="2"/>
  <c r="AH206" i="2"/>
  <c r="AI205" i="2"/>
  <c r="AH205" i="2"/>
  <c r="AI202" i="2"/>
  <c r="AH202" i="2"/>
  <c r="AI201" i="2"/>
  <c r="AH201" i="2"/>
  <c r="AI200" i="2"/>
  <c r="AH200" i="2"/>
  <c r="AI199" i="2"/>
  <c r="AH199" i="2"/>
  <c r="AI198" i="2"/>
  <c r="AH198" i="2"/>
  <c r="AI197" i="2"/>
  <c r="AH197" i="2"/>
  <c r="AI196" i="2"/>
  <c r="AH196" i="2"/>
  <c r="AI195" i="2"/>
  <c r="AH195" i="2"/>
  <c r="AI178" i="2"/>
  <c r="AH178" i="2"/>
  <c r="AI177" i="2"/>
  <c r="AH177" i="2"/>
  <c r="AI166" i="2"/>
  <c r="AH166" i="2"/>
  <c r="AI165" i="2"/>
  <c r="AH165" i="2"/>
  <c r="AI164" i="2"/>
  <c r="AH164" i="2"/>
  <c r="AI160" i="2"/>
  <c r="AH160" i="2"/>
  <c r="AH158" i="2"/>
  <c r="AI152" i="2"/>
  <c r="AH152" i="2"/>
  <c r="AI149" i="2"/>
  <c r="AH149" i="2"/>
  <c r="AI148" i="2"/>
  <c r="AH148" i="2"/>
  <c r="AI147" i="2"/>
  <c r="AH147" i="2"/>
  <c r="AI146" i="2"/>
  <c r="AH146" i="2"/>
  <c r="AI145" i="2"/>
  <c r="AH145" i="2"/>
  <c r="AI144" i="2"/>
  <c r="AH144" i="2"/>
  <c r="AI142" i="2"/>
  <c r="AH142" i="2"/>
  <c r="AI141" i="2"/>
  <c r="AH141" i="2"/>
  <c r="AI140" i="2"/>
  <c r="AH140" i="2"/>
  <c r="AI139" i="2"/>
  <c r="AH139" i="2"/>
  <c r="AI138" i="2"/>
  <c r="AH138" i="2"/>
  <c r="AI135" i="2"/>
  <c r="AH135" i="2"/>
  <c r="AI134" i="2"/>
  <c r="AH134" i="2"/>
  <c r="AI133" i="2"/>
  <c r="AH133" i="2"/>
  <c r="AI132" i="2"/>
  <c r="AH132" i="2"/>
  <c r="AI130" i="2"/>
  <c r="AH130" i="2"/>
  <c r="AI129" i="2"/>
  <c r="AH129" i="2"/>
  <c r="AI128" i="2"/>
  <c r="AH128" i="2"/>
  <c r="AI127" i="2"/>
  <c r="AH127" i="2"/>
  <c r="AI126" i="2"/>
  <c r="AH126" i="2"/>
  <c r="AI125" i="2"/>
  <c r="AH125" i="2"/>
  <c r="AI122" i="2"/>
  <c r="AH122" i="2"/>
  <c r="AI121" i="2"/>
  <c r="AH121" i="2"/>
  <c r="AI120" i="2"/>
  <c r="AH120" i="2"/>
  <c r="AI119" i="2"/>
  <c r="AH119" i="2"/>
  <c r="AI194" i="2"/>
  <c r="AH194" i="2"/>
  <c r="AI193" i="2"/>
  <c r="AH193" i="2"/>
  <c r="AI192" i="2"/>
  <c r="AH192" i="2"/>
  <c r="AI191" i="2"/>
  <c r="AH191" i="2"/>
  <c r="AI185" i="2"/>
  <c r="AH185" i="2"/>
  <c r="AI184" i="2"/>
  <c r="AH184" i="2"/>
  <c r="AI183" i="2"/>
  <c r="AH183" i="2"/>
  <c r="AI173" i="2"/>
  <c r="AH173" i="2"/>
  <c r="AI172" i="2"/>
  <c r="AH172" i="2"/>
  <c r="AI171" i="2"/>
  <c r="AH171" i="2"/>
  <c r="AI163" i="2"/>
  <c r="AH163" i="2"/>
  <c r="AI162" i="2"/>
  <c r="AH162" i="2"/>
  <c r="AI157" i="2"/>
  <c r="AH157" i="2"/>
  <c r="AI137" i="2"/>
  <c r="AH137" i="2"/>
  <c r="AI136" i="2"/>
  <c r="AH136" i="2"/>
  <c r="AI124" i="2"/>
  <c r="AH124" i="2"/>
  <c r="AI123" i="2"/>
  <c r="AH123" i="2"/>
  <c r="AI118" i="2"/>
  <c r="AH118" i="2"/>
  <c r="AI117" i="2"/>
  <c r="AH117" i="2"/>
  <c r="AI116" i="2"/>
  <c r="AH116" i="2"/>
  <c r="AI114" i="2"/>
  <c r="AH114" i="2"/>
  <c r="AI113" i="2"/>
  <c r="AH113" i="2"/>
  <c r="AI112" i="2"/>
  <c r="AH112" i="2"/>
  <c r="AI106" i="2"/>
  <c r="AH106" i="2"/>
  <c r="AI105" i="2"/>
  <c r="AH105" i="2"/>
  <c r="AI104" i="2"/>
  <c r="AH104" i="2"/>
  <c r="AI103" i="2"/>
  <c r="AH103" i="2"/>
  <c r="AI102" i="2"/>
  <c r="AH102" i="2"/>
  <c r="AI111" i="2"/>
  <c r="AH111" i="2"/>
  <c r="AI110" i="2"/>
  <c r="AH110" i="2"/>
  <c r="AI109" i="2"/>
  <c r="AH109" i="2"/>
  <c r="AI108" i="2"/>
  <c r="AH108" i="2"/>
  <c r="AI98" i="2"/>
  <c r="AH98" i="2"/>
  <c r="AI97" i="2"/>
  <c r="AH97" i="2"/>
  <c r="AI96" i="2"/>
  <c r="AH96" i="2"/>
  <c r="AI89" i="2"/>
  <c r="AH89" i="2"/>
  <c r="AI88" i="2"/>
  <c r="AH88" i="2"/>
  <c r="AI81" i="2"/>
  <c r="AH81" i="2"/>
  <c r="AI78" i="2"/>
  <c r="AH78" i="2"/>
  <c r="AI77" i="2"/>
  <c r="AH77" i="2"/>
  <c r="AI87" i="2"/>
  <c r="AH87" i="2"/>
  <c r="AI86" i="2"/>
  <c r="AH86" i="2"/>
  <c r="AI85" i="2"/>
  <c r="AH85" i="2"/>
  <c r="AI83" i="2"/>
  <c r="AH83" i="2"/>
  <c r="AI82" i="2"/>
  <c r="AH82" i="2"/>
  <c r="AI73" i="2"/>
  <c r="AH73" i="2"/>
  <c r="AI69" i="2"/>
  <c r="AH69" i="2"/>
  <c r="AI65" i="2"/>
  <c r="AH65" i="2"/>
  <c r="AI59" i="2"/>
  <c r="AH59" i="2"/>
  <c r="AI55" i="2"/>
  <c r="AH55" i="2"/>
  <c r="AI51" i="2"/>
  <c r="AH51" i="2"/>
  <c r="AI47" i="2"/>
  <c r="AH47" i="2"/>
  <c r="AI46" i="2"/>
  <c r="AH46" i="2"/>
  <c r="AI42" i="2"/>
  <c r="AH42" i="2"/>
  <c r="AI37" i="2"/>
  <c r="AH37" i="2"/>
  <c r="AI76" i="2"/>
  <c r="AH76" i="2"/>
  <c r="AI75" i="2"/>
  <c r="AH75" i="2"/>
  <c r="AI74" i="2"/>
  <c r="AH74" i="2"/>
  <c r="AI72" i="2"/>
  <c r="AH72" i="2"/>
  <c r="AI71" i="2"/>
  <c r="AH71" i="2"/>
  <c r="AI70" i="2"/>
  <c r="AH70" i="2"/>
  <c r="AI68" i="2"/>
  <c r="AH68" i="2"/>
  <c r="AI67" i="2"/>
  <c r="AH67" i="2"/>
  <c r="AI66" i="2"/>
  <c r="AH66" i="2"/>
  <c r="AI64" i="2"/>
  <c r="AH64" i="2"/>
  <c r="AI63" i="2"/>
  <c r="AH63" i="2"/>
  <c r="AI62" i="2"/>
  <c r="AH62" i="2"/>
  <c r="AI58" i="2"/>
  <c r="AH58" i="2"/>
  <c r="AI57" i="2"/>
  <c r="AH57" i="2"/>
  <c r="AI56" i="2"/>
  <c r="AH56" i="2"/>
  <c r="AI54" i="2"/>
  <c r="AH54" i="2"/>
  <c r="AI53" i="2"/>
  <c r="AH53" i="2"/>
  <c r="AI52" i="2"/>
  <c r="AH52" i="2"/>
  <c r="AI50" i="2"/>
  <c r="AH50" i="2"/>
  <c r="AI49" i="2"/>
  <c r="AH49" i="2"/>
  <c r="AI48" i="2"/>
  <c r="AH48" i="2"/>
  <c r="AI45" i="2"/>
  <c r="AH45" i="2"/>
  <c r="AI44" i="2"/>
  <c r="AH44" i="2"/>
  <c r="AI43" i="2"/>
  <c r="AH43" i="2"/>
  <c r="AI36" i="2"/>
  <c r="AH36" i="2"/>
  <c r="AI35" i="2"/>
  <c r="AH35" i="2"/>
  <c r="AI33" i="2"/>
  <c r="AH33" i="2"/>
  <c r="AI32" i="2"/>
  <c r="AH32" i="2"/>
  <c r="AI31" i="2"/>
  <c r="AH31" i="2"/>
  <c r="AI30" i="2"/>
  <c r="AH30" i="2"/>
  <c r="AI29" i="2"/>
  <c r="AH29" i="2"/>
  <c r="AI28" i="2"/>
  <c r="AH28" i="2"/>
  <c r="AI27" i="2"/>
  <c r="AH27" i="2"/>
  <c r="AI26" i="2"/>
  <c r="AH26" i="2"/>
  <c r="AI25" i="2"/>
  <c r="AH25" i="2"/>
  <c r="AI24" i="2"/>
  <c r="AH24" i="2"/>
  <c r="AI23" i="2"/>
  <c r="AH23" i="2"/>
  <c r="AI22" i="2"/>
  <c r="AH22" i="2"/>
  <c r="AI21" i="2"/>
  <c r="AH21" i="2"/>
  <c r="AI19" i="2"/>
  <c r="AH19" i="2"/>
  <c r="AI18" i="2"/>
  <c r="AH18" i="2"/>
  <c r="AI17" i="2"/>
  <c r="AK17" i="2" s="1"/>
  <c r="AH17" i="2"/>
  <c r="AI16" i="2"/>
  <c r="AH16" i="2"/>
  <c r="AI15" i="2"/>
  <c r="AH15" i="2"/>
  <c r="AI14" i="2"/>
  <c r="AH14" i="2"/>
  <c r="AI13" i="2"/>
  <c r="AH13" i="2"/>
  <c r="AI11" i="2"/>
  <c r="AH11" i="2"/>
  <c r="AI10" i="2"/>
  <c r="AH10" i="2"/>
  <c r="AI9" i="2"/>
  <c r="AH9" i="2"/>
  <c r="AI8" i="2"/>
  <c r="AH8" i="2"/>
  <c r="W415" i="2"/>
  <c r="V415" i="2"/>
  <c r="U415" i="2"/>
  <c r="T415" i="2"/>
  <c r="S415" i="2"/>
  <c r="R415" i="2"/>
  <c r="BG161" i="2" l="1"/>
  <c r="BG20" i="2"/>
  <c r="BF20" i="2"/>
  <c r="AL294" i="2"/>
  <c r="AL285" i="2"/>
  <c r="AL183" i="2" l="1"/>
  <c r="D18" i="29"/>
  <c r="R50" i="16" l="1"/>
  <c r="V41" i="18"/>
  <c r="U41" i="18"/>
  <c r="T41" i="18"/>
  <c r="R41" i="18"/>
  <c r="Q41" i="18"/>
  <c r="P41" i="18"/>
  <c r="O41" i="18"/>
  <c r="M41" i="18"/>
  <c r="L41" i="18"/>
  <c r="K41" i="18"/>
  <c r="J41" i="18"/>
  <c r="H41" i="18"/>
  <c r="G41" i="18"/>
  <c r="F41" i="18"/>
  <c r="B37" i="18"/>
  <c r="A37" i="18"/>
  <c r="U37" i="18" s="1"/>
  <c r="B35" i="18"/>
  <c r="A35" i="18"/>
  <c r="O35" i="18" s="1"/>
  <c r="V32" i="18"/>
  <c r="U32" i="18"/>
  <c r="T32" i="18"/>
  <c r="R32" i="18"/>
  <c r="Q32" i="18"/>
  <c r="P32" i="18"/>
  <c r="O32" i="18"/>
  <c r="M32" i="18"/>
  <c r="L32" i="18"/>
  <c r="K32" i="18"/>
  <c r="J32" i="18"/>
  <c r="H32" i="18"/>
  <c r="G32" i="18"/>
  <c r="F32" i="18"/>
  <c r="B28" i="18"/>
  <c r="A28" i="18"/>
  <c r="Q28" i="18" s="1"/>
  <c r="B26" i="18"/>
  <c r="A26" i="18"/>
  <c r="U26" i="18" s="1"/>
  <c r="S909" i="19"/>
  <c r="P909" i="19"/>
  <c r="O909" i="19"/>
  <c r="F909" i="19"/>
  <c r="E909" i="19"/>
  <c r="U904" i="19"/>
  <c r="U897" i="19"/>
  <c r="U893" i="19"/>
  <c r="U890" i="19"/>
  <c r="U884" i="19"/>
  <c r="U881" i="19"/>
  <c r="U880" i="19"/>
  <c r="U871" i="19"/>
  <c r="U863" i="19"/>
  <c r="U858" i="19"/>
  <c r="U853" i="19"/>
  <c r="U852" i="19"/>
  <c r="U845" i="19"/>
  <c r="U840" i="19"/>
  <c r="U838" i="19"/>
  <c r="U837" i="19"/>
  <c r="U834" i="19"/>
  <c r="U827" i="19"/>
  <c r="U826" i="19"/>
  <c r="U824" i="19"/>
  <c r="U823" i="19"/>
  <c r="U820" i="19"/>
  <c r="U819" i="19"/>
  <c r="U815" i="19"/>
  <c r="U812" i="19"/>
  <c r="U808" i="19"/>
  <c r="U805" i="19"/>
  <c r="U799" i="19"/>
  <c r="U796" i="19"/>
  <c r="U795" i="19"/>
  <c r="U792" i="19"/>
  <c r="T792" i="19"/>
  <c r="Q792" i="19"/>
  <c r="L792" i="19"/>
  <c r="U788" i="19"/>
  <c r="U786" i="19"/>
  <c r="U783" i="19"/>
  <c r="U782" i="19"/>
  <c r="U779" i="19"/>
  <c r="T779" i="19"/>
  <c r="S779" i="19"/>
  <c r="Q779" i="19"/>
  <c r="N779" i="19"/>
  <c r="N909" i="19" s="1"/>
  <c r="K779" i="19"/>
  <c r="K909" i="19" s="1"/>
  <c r="I779" i="19"/>
  <c r="I909" i="19" s="1"/>
  <c r="G779" i="19"/>
  <c r="G909" i="19" s="1"/>
  <c r="C779" i="19"/>
  <c r="U777" i="19"/>
  <c r="U775" i="19"/>
  <c r="U772" i="19"/>
  <c r="U770" i="19"/>
  <c r="U768" i="19"/>
  <c r="U765" i="19"/>
  <c r="U759" i="19"/>
  <c r="U756" i="19"/>
  <c r="U753" i="19"/>
  <c r="U752" i="19"/>
  <c r="U746" i="19"/>
  <c r="U739" i="19"/>
  <c r="U736" i="19"/>
  <c r="U733" i="19"/>
  <c r="U729" i="19"/>
  <c r="U728" i="19"/>
  <c r="U722" i="19"/>
  <c r="U721" i="19"/>
  <c r="U718" i="19"/>
  <c r="U717" i="19"/>
  <c r="U716" i="19"/>
  <c r="U715" i="19"/>
  <c r="U707" i="19"/>
  <c r="U705" i="19"/>
  <c r="U696" i="19"/>
  <c r="U687" i="19"/>
  <c r="U683" i="19"/>
  <c r="U679" i="19"/>
  <c r="U660" i="19"/>
  <c r="U659" i="19"/>
  <c r="U656" i="19"/>
  <c r="U650" i="19"/>
  <c r="U636" i="19"/>
  <c r="U635" i="19"/>
  <c r="U631" i="19"/>
  <c r="U615" i="19"/>
  <c r="U612" i="19"/>
  <c r="U611" i="19"/>
  <c r="U609" i="19"/>
  <c r="U607" i="19"/>
  <c r="U606" i="19"/>
  <c r="U603" i="19"/>
  <c r="U601" i="19"/>
  <c r="U596" i="19"/>
  <c r="U593" i="19"/>
  <c r="U592" i="19"/>
  <c r="U580" i="19"/>
  <c r="U566" i="19"/>
  <c r="U564" i="19"/>
  <c r="U562" i="19"/>
  <c r="U543" i="19"/>
  <c r="U535" i="19"/>
  <c r="U529" i="19"/>
  <c r="U528" i="19"/>
  <c r="U524" i="19"/>
  <c r="U521" i="19"/>
  <c r="U519" i="19"/>
  <c r="U514" i="19"/>
  <c r="U511" i="19"/>
  <c r="U507" i="19"/>
  <c r="U500" i="19"/>
  <c r="U372" i="19"/>
  <c r="U365" i="19"/>
  <c r="U361" i="19"/>
  <c r="U356" i="19"/>
  <c r="U352" i="19"/>
  <c r="U349" i="19"/>
  <c r="U348" i="19"/>
  <c r="U345" i="19"/>
  <c r="U344" i="19"/>
  <c r="U339" i="19"/>
  <c r="U338" i="19"/>
  <c r="U329" i="19"/>
  <c r="U328" i="19"/>
  <c r="U326" i="19"/>
  <c r="U321" i="19"/>
  <c r="U320" i="19"/>
  <c r="U315" i="19"/>
  <c r="U314" i="19"/>
  <c r="U308" i="19"/>
  <c r="U303" i="19"/>
  <c r="U302" i="19"/>
  <c r="U297" i="19"/>
  <c r="U296" i="19"/>
  <c r="U283" i="19"/>
  <c r="U279" i="19"/>
  <c r="U278" i="19"/>
  <c r="U275" i="19"/>
  <c r="U270" i="19"/>
  <c r="U269" i="19"/>
  <c r="U268" i="19"/>
  <c r="U266" i="19"/>
  <c r="U264" i="19"/>
  <c r="U256" i="19"/>
  <c r="U253" i="19"/>
  <c r="U251" i="19"/>
  <c r="U246" i="19"/>
  <c r="T246" i="19"/>
  <c r="Q246" i="19"/>
  <c r="Q909" i="19" s="1"/>
  <c r="L246" i="19"/>
  <c r="L909" i="19" s="1"/>
  <c r="U245" i="19"/>
  <c r="U243" i="19"/>
  <c r="U237" i="19"/>
  <c r="U234" i="19"/>
  <c r="U227" i="19"/>
  <c r="U225" i="19"/>
  <c r="U224" i="19"/>
  <c r="U212" i="19"/>
  <c r="U210" i="19"/>
  <c r="U209" i="19"/>
  <c r="U207" i="19"/>
  <c r="U206" i="19"/>
  <c r="U196" i="19"/>
  <c r="U192" i="19"/>
  <c r="U190" i="19"/>
  <c r="U185" i="19"/>
  <c r="U180" i="19"/>
  <c r="U174" i="19"/>
  <c r="U171" i="19"/>
  <c r="U170" i="19"/>
  <c r="U165" i="19"/>
  <c r="U160" i="19"/>
  <c r="U155" i="19"/>
  <c r="U151" i="19"/>
  <c r="U149" i="19"/>
  <c r="U144" i="19"/>
  <c r="U142" i="19"/>
  <c r="U133" i="19"/>
  <c r="U130" i="19"/>
  <c r="U128" i="19"/>
  <c r="U127" i="19"/>
  <c r="U126" i="19"/>
  <c r="U121" i="19"/>
  <c r="U113" i="19"/>
  <c r="U111" i="19"/>
  <c r="U109" i="19"/>
  <c r="U104" i="19"/>
  <c r="U102" i="19"/>
  <c r="U99" i="19"/>
  <c r="U97" i="19"/>
  <c r="U93" i="19"/>
  <c r="U91" i="19"/>
  <c r="U80" i="19"/>
  <c r="U77" i="19"/>
  <c r="U72" i="19"/>
  <c r="U69" i="19"/>
  <c r="U62" i="19"/>
  <c r="U58" i="19"/>
  <c r="U56" i="19"/>
  <c r="U54" i="19"/>
  <c r="U50" i="19"/>
  <c r="U49" i="19"/>
  <c r="U46" i="19"/>
  <c r="U43" i="19"/>
  <c r="U42" i="19"/>
  <c r="U38" i="19"/>
  <c r="U21" i="19"/>
  <c r="U18" i="19"/>
  <c r="U14" i="19"/>
  <c r="U11" i="19"/>
  <c r="T909" i="19" l="1"/>
  <c r="U909" i="19"/>
  <c r="J28" i="18"/>
  <c r="T28" i="18"/>
  <c r="G35" i="18"/>
  <c r="Q35" i="18"/>
  <c r="D37" i="18"/>
  <c r="M37" i="18"/>
  <c r="C26" i="18"/>
  <c r="H28" i="18"/>
  <c r="P35" i="18"/>
  <c r="L37" i="18"/>
  <c r="D26" i="18"/>
  <c r="M26" i="18"/>
  <c r="O26" i="18"/>
  <c r="K28" i="18"/>
  <c r="U28" i="18"/>
  <c r="U30" i="18" s="1"/>
  <c r="H35" i="18"/>
  <c r="R35" i="18"/>
  <c r="O37" i="18"/>
  <c r="O39" i="18" s="1"/>
  <c r="J35" i="18"/>
  <c r="T35" i="18"/>
  <c r="F37" i="18"/>
  <c r="P37" i="18"/>
  <c r="V26" i="18"/>
  <c r="R28" i="18"/>
  <c r="F35" i="18"/>
  <c r="P26" i="18"/>
  <c r="G26" i="18"/>
  <c r="Q26" i="18"/>
  <c r="Q30" i="18" s="1"/>
  <c r="D28" i="18"/>
  <c r="M28" i="18"/>
  <c r="K35" i="18"/>
  <c r="U35" i="18"/>
  <c r="U39" i="18" s="1"/>
  <c r="G37" i="18"/>
  <c r="Q37" i="18"/>
  <c r="L26" i="18"/>
  <c r="L30" i="18" s="1"/>
  <c r="C37" i="18"/>
  <c r="V37" i="18"/>
  <c r="F26" i="18"/>
  <c r="C28" i="18"/>
  <c r="L28" i="18"/>
  <c r="V28" i="18"/>
  <c r="H26" i="18"/>
  <c r="R26" i="18"/>
  <c r="R30" i="18" s="1"/>
  <c r="O28" i="18"/>
  <c r="C35" i="18"/>
  <c r="L35" i="18"/>
  <c r="L39" i="18" s="1"/>
  <c r="V35" i="18"/>
  <c r="H37" i="18"/>
  <c r="R37" i="18"/>
  <c r="J37" i="18"/>
  <c r="T37" i="18"/>
  <c r="J26" i="18"/>
  <c r="J30" i="18" s="1"/>
  <c r="T26" i="18"/>
  <c r="T30" i="18" s="1"/>
  <c r="F28" i="18"/>
  <c r="P28" i="18"/>
  <c r="D35" i="18"/>
  <c r="M35" i="18"/>
  <c r="K26" i="18"/>
  <c r="G28" i="18"/>
  <c r="K37" i="18"/>
  <c r="J39" i="18" l="1"/>
  <c r="H30" i="18"/>
  <c r="F30" i="18"/>
  <c r="O30" i="18"/>
  <c r="T39" i="18"/>
  <c r="E35" i="18"/>
  <c r="C39" i="18"/>
  <c r="M30" i="18"/>
  <c r="Q39" i="18"/>
  <c r="G30" i="18"/>
  <c r="D30" i="18"/>
  <c r="G39" i="18"/>
  <c r="K30" i="18"/>
  <c r="P30" i="18"/>
  <c r="M39" i="18"/>
  <c r="F39" i="18"/>
  <c r="R39" i="18"/>
  <c r="P39" i="18"/>
  <c r="D39" i="18"/>
  <c r="H39" i="18"/>
  <c r="E37" i="18"/>
  <c r="V39" i="18"/>
  <c r="E28" i="18"/>
  <c r="K39" i="18"/>
  <c r="V30" i="18"/>
  <c r="C30" i="18"/>
  <c r="E26" i="18"/>
  <c r="E30" i="18" l="1"/>
  <c r="E39" i="18"/>
  <c r="E53" i="23" l="1"/>
  <c r="B104" i="27"/>
  <c r="F25" i="23" s="1"/>
  <c r="U108" i="25"/>
  <c r="T108" i="25"/>
  <c r="R108" i="25"/>
  <c r="V25" i="23" s="1"/>
  <c r="Q108" i="25"/>
  <c r="U25" i="23" s="1"/>
  <c r="P108" i="25"/>
  <c r="T25" i="23" s="1"/>
  <c r="N108" i="25"/>
  <c r="R25" i="23" s="1"/>
  <c r="M108" i="25"/>
  <c r="Q25" i="23" s="1"/>
  <c r="L108" i="25"/>
  <c r="P25" i="23" s="1"/>
  <c r="K108" i="25"/>
  <c r="O25" i="23" s="1"/>
  <c r="I108" i="25"/>
  <c r="M25" i="23" s="1"/>
  <c r="H108" i="25"/>
  <c r="L25" i="23" s="1"/>
  <c r="G108" i="25"/>
  <c r="K25" i="23" s="1"/>
  <c r="F108" i="25"/>
  <c r="J25" i="23" s="1"/>
  <c r="D108" i="25"/>
  <c r="H25" i="23" s="1"/>
  <c r="C108" i="25"/>
  <c r="B108" i="25"/>
  <c r="C117" i="23" l="1"/>
  <c r="C81" i="18" l="1"/>
  <c r="C82" i="18"/>
  <c r="C83" i="18"/>
  <c r="C84" i="18"/>
  <c r="C85" i="18"/>
  <c r="C86" i="18"/>
  <c r="C87" i="18"/>
  <c r="C88" i="18"/>
  <c r="C80" i="18"/>
  <c r="C75" i="18"/>
  <c r="C149" i="32" l="1"/>
  <c r="C149" i="31"/>
  <c r="D149" i="33"/>
  <c r="C149" i="33"/>
  <c r="D149" i="32" l="1"/>
  <c r="D149" i="31"/>
  <c r="D150" i="33" l="1"/>
  <c r="C150" i="33"/>
  <c r="D150" i="32"/>
  <c r="C150" i="32"/>
  <c r="C150" i="31" l="1"/>
  <c r="E150" i="33" l="1"/>
  <c r="E150" i="32"/>
  <c r="E149" i="32"/>
  <c r="D150" i="31"/>
  <c r="G150" i="33" l="1"/>
  <c r="C104" i="33" s="1"/>
  <c r="H150" i="33"/>
  <c r="D104" i="33" s="1"/>
  <c r="H149" i="32"/>
  <c r="G149" i="32"/>
  <c r="H150" i="32"/>
  <c r="D104" i="32" s="1"/>
  <c r="AT154" i="2" s="1"/>
  <c r="G150" i="32"/>
  <c r="C104" i="32" s="1"/>
  <c r="E149" i="31"/>
  <c r="G149" i="31" s="1"/>
  <c r="C103" i="31" s="1"/>
  <c r="AQ188" i="2" s="1"/>
  <c r="H149" i="31" l="1"/>
  <c r="D103" i="31" s="1"/>
  <c r="AT188" i="2" s="1"/>
  <c r="E34" i="29" l="1"/>
  <c r="BC186" i="2" l="1"/>
  <c r="BB187" i="2"/>
  <c r="C151" i="32"/>
  <c r="C98" i="29" l="1"/>
  <c r="L54" i="29"/>
  <c r="L53" i="29"/>
  <c r="L52" i="29"/>
  <c r="L51" i="29"/>
  <c r="D98" i="29" l="1"/>
  <c r="E98" i="29" s="1"/>
  <c r="G98" i="29" s="1"/>
  <c r="C77" i="29" s="1"/>
  <c r="H98" i="29" l="1"/>
  <c r="D77" i="29" s="1"/>
  <c r="AL82" i="2" s="1"/>
  <c r="G194" i="15" l="1"/>
  <c r="G193" i="15"/>
  <c r="G192" i="15"/>
  <c r="E177" i="15"/>
  <c r="E176" i="15"/>
  <c r="E175" i="15"/>
  <c r="G194" i="14"/>
  <c r="G193" i="14"/>
  <c r="G192" i="14"/>
  <c r="E177" i="14"/>
  <c r="E176" i="14"/>
  <c r="E175" i="14"/>
  <c r="G184" i="13"/>
  <c r="G185" i="13"/>
  <c r="G186" i="13"/>
  <c r="G187" i="13"/>
  <c r="G188" i="13"/>
  <c r="G189" i="13"/>
  <c r="G190" i="13"/>
  <c r="G191" i="13"/>
  <c r="G192" i="13"/>
  <c r="G193" i="13"/>
  <c r="G194" i="13"/>
  <c r="G195" i="13"/>
  <c r="G196" i="13"/>
  <c r="G197" i="13"/>
  <c r="G198" i="13"/>
  <c r="G199" i="13"/>
  <c r="G200" i="13"/>
  <c r="G202" i="13"/>
  <c r="G203" i="13"/>
  <c r="G206" i="13"/>
  <c r="E180" i="13"/>
  <c r="E181" i="13"/>
  <c r="E182" i="13"/>
  <c r="E175" i="13"/>
  <c r="AY167" i="2" l="1"/>
  <c r="AY174" i="2"/>
  <c r="AV104" i="2"/>
  <c r="AV93" i="2"/>
  <c r="AY179" i="2"/>
  <c r="AV99" i="2"/>
  <c r="AM173" i="2"/>
  <c r="AH94" i="2" l="1"/>
  <c r="AJ94" i="2" s="1"/>
  <c r="AI94" i="2"/>
  <c r="AK94" i="2" s="1"/>
  <c r="AH95" i="2"/>
  <c r="AJ95" i="2" s="1"/>
  <c r="AI95" i="2"/>
  <c r="AK95" i="2" s="1"/>
  <c r="AI93" i="2"/>
  <c r="AK93" i="2" s="1"/>
  <c r="AH93" i="2"/>
  <c r="AJ93" i="2" s="1"/>
  <c r="AJ87" i="2"/>
  <c r="AK87" i="2"/>
  <c r="AK86" i="2"/>
  <c r="AJ86" i="2"/>
  <c r="AK85" i="2"/>
  <c r="AJ85" i="2"/>
  <c r="AJ105" i="2"/>
  <c r="AK105" i="2"/>
  <c r="AJ106" i="2"/>
  <c r="AK106" i="2"/>
  <c r="AK104" i="2"/>
  <c r="AJ104" i="2"/>
  <c r="AR415" i="2" l="1"/>
  <c r="AW415" i="2"/>
  <c r="AZ415" i="2"/>
  <c r="BA415" i="2"/>
  <c r="P415" i="2"/>
  <c r="Q415" i="2"/>
  <c r="X415" i="2"/>
  <c r="Y415" i="2"/>
  <c r="Z415" i="2"/>
  <c r="AB415" i="2"/>
  <c r="AC415" i="2"/>
  <c r="AD415" i="2"/>
  <c r="AE415" i="2"/>
  <c r="AF415" i="2"/>
  <c r="AG415" i="2"/>
  <c r="O415" i="2"/>
  <c r="L415" i="2"/>
  <c r="M415" i="2"/>
  <c r="N415" i="2"/>
  <c r="G415" i="2"/>
  <c r="H415" i="2"/>
  <c r="I415" i="2"/>
  <c r="J415" i="2"/>
  <c r="K415" i="2"/>
  <c r="F415" i="2"/>
  <c r="AM145" i="2"/>
  <c r="AA390" i="2" l="1"/>
  <c r="AI390" i="2" s="1"/>
  <c r="AA224" i="2"/>
  <c r="AA415" i="2" l="1"/>
  <c r="AI224" i="2"/>
  <c r="BC104" i="2"/>
  <c r="BC105" i="2"/>
  <c r="BC99" i="2"/>
  <c r="BC100" i="2"/>
  <c r="BC93" i="2"/>
  <c r="BC94" i="2"/>
  <c r="BC86" i="2"/>
  <c r="BB168" i="2"/>
  <c r="BB175" i="2"/>
  <c r="BB180" i="2"/>
  <c r="D185" i="33" l="1"/>
  <c r="D184" i="33"/>
  <c r="C180" i="33"/>
  <c r="E180" i="33" s="1"/>
  <c r="C179" i="33"/>
  <c r="E179" i="33" s="1"/>
  <c r="C178" i="33"/>
  <c r="E178" i="33" s="1"/>
  <c r="D177" i="33"/>
  <c r="C177" i="33"/>
  <c r="D176" i="33"/>
  <c r="C176" i="33"/>
  <c r="D175" i="33"/>
  <c r="C175" i="33"/>
  <c r="D174" i="33"/>
  <c r="C174" i="33"/>
  <c r="D173" i="33"/>
  <c r="C173" i="33"/>
  <c r="D172" i="33"/>
  <c r="C172" i="33"/>
  <c r="D171" i="33"/>
  <c r="C171" i="33"/>
  <c r="D170" i="33"/>
  <c r="C170" i="33"/>
  <c r="D169" i="33"/>
  <c r="C169" i="33"/>
  <c r="D168" i="33"/>
  <c r="C168" i="33"/>
  <c r="D167" i="33"/>
  <c r="C167" i="33"/>
  <c r="D166" i="33"/>
  <c r="C166" i="33"/>
  <c r="D165" i="33"/>
  <c r="C165" i="33"/>
  <c r="D164" i="33"/>
  <c r="C164" i="33"/>
  <c r="D163" i="33"/>
  <c r="C163" i="33"/>
  <c r="D162" i="33"/>
  <c r="C162" i="33"/>
  <c r="D161" i="33"/>
  <c r="C161" i="33"/>
  <c r="D160" i="33"/>
  <c r="C160" i="33"/>
  <c r="D159" i="33"/>
  <c r="C159" i="33"/>
  <c r="D158" i="33"/>
  <c r="C158" i="33"/>
  <c r="E158" i="33" s="1"/>
  <c r="G158" i="33" s="1"/>
  <c r="C112" i="33" s="1"/>
  <c r="D157" i="33"/>
  <c r="C157" i="33"/>
  <c r="D156" i="33"/>
  <c r="C156" i="33"/>
  <c r="D155" i="33"/>
  <c r="C155" i="33"/>
  <c r="D154" i="33"/>
  <c r="C154" i="33"/>
  <c r="D153" i="33"/>
  <c r="C153" i="33"/>
  <c r="D152" i="33"/>
  <c r="C152" i="33"/>
  <c r="D151" i="33"/>
  <c r="C151" i="33"/>
  <c r="D25" i="33"/>
  <c r="C184" i="33" s="1"/>
  <c r="D13" i="33"/>
  <c r="E13" i="33" s="1"/>
  <c r="D185" i="32"/>
  <c r="D184" i="32"/>
  <c r="C180" i="32"/>
  <c r="E180" i="32" s="1"/>
  <c r="C179" i="32"/>
  <c r="E179" i="32" s="1"/>
  <c r="C178" i="32"/>
  <c r="E178" i="32" s="1"/>
  <c r="D177" i="32"/>
  <c r="C177" i="32"/>
  <c r="D176" i="32"/>
  <c r="C176" i="32"/>
  <c r="D175" i="32"/>
  <c r="C175" i="32"/>
  <c r="D174" i="32"/>
  <c r="C174" i="32"/>
  <c r="D173" i="32"/>
  <c r="C173" i="32"/>
  <c r="D172" i="32"/>
  <c r="C172" i="32"/>
  <c r="D171" i="32"/>
  <c r="C171" i="32"/>
  <c r="D170" i="32"/>
  <c r="C170" i="32"/>
  <c r="D169" i="32"/>
  <c r="C169" i="32"/>
  <c r="D168" i="32"/>
  <c r="C168" i="32"/>
  <c r="D167" i="32"/>
  <c r="C167" i="32"/>
  <c r="D166" i="32"/>
  <c r="C166" i="32"/>
  <c r="D165" i="32"/>
  <c r="C165" i="32"/>
  <c r="D164" i="32"/>
  <c r="C164" i="32"/>
  <c r="D163" i="32"/>
  <c r="C163" i="32"/>
  <c r="D162" i="32"/>
  <c r="C162" i="32"/>
  <c r="D161" i="32"/>
  <c r="C161" i="32"/>
  <c r="D160" i="32"/>
  <c r="C160" i="32"/>
  <c r="D159" i="32"/>
  <c r="C159" i="32"/>
  <c r="D158" i="32"/>
  <c r="C158" i="32"/>
  <c r="D157" i="32"/>
  <c r="C157" i="32"/>
  <c r="D156" i="32"/>
  <c r="C156" i="32"/>
  <c r="D155" i="32"/>
  <c r="C155" i="32"/>
  <c r="D154" i="32"/>
  <c r="C154" i="32"/>
  <c r="D153" i="32"/>
  <c r="C153" i="32"/>
  <c r="D152" i="32"/>
  <c r="C152" i="32"/>
  <c r="D151" i="32"/>
  <c r="D25" i="32"/>
  <c r="C184" i="32" s="1"/>
  <c r="D13" i="32"/>
  <c r="E13" i="32" s="1"/>
  <c r="E157" i="33" l="1"/>
  <c r="E161" i="33"/>
  <c r="E165" i="33"/>
  <c r="H165" i="33" s="1"/>
  <c r="D119" i="33" s="1"/>
  <c r="E173" i="33"/>
  <c r="G173" i="33" s="1"/>
  <c r="C127" i="33" s="1"/>
  <c r="E177" i="33"/>
  <c r="G177" i="33" s="1"/>
  <c r="C131" i="33" s="1"/>
  <c r="E169" i="33"/>
  <c r="H169" i="33" s="1"/>
  <c r="D123" i="33" s="1"/>
  <c r="H180" i="32"/>
  <c r="D134" i="32" s="1"/>
  <c r="G180" i="32"/>
  <c r="C134" i="32" s="1"/>
  <c r="AQ105" i="2" s="1"/>
  <c r="BB105" i="2" s="1"/>
  <c r="H180" i="33"/>
  <c r="D134" i="33" s="1"/>
  <c r="BC106" i="2" s="1"/>
  <c r="G180" i="33"/>
  <c r="C134" i="33" s="1"/>
  <c r="AQ106" i="2" s="1"/>
  <c r="BB106" i="2" s="1"/>
  <c r="H161" i="33"/>
  <c r="D115" i="33" s="1"/>
  <c r="G161" i="33"/>
  <c r="C115" i="33" s="1"/>
  <c r="E166" i="33"/>
  <c r="E170" i="33"/>
  <c r="E174" i="33"/>
  <c r="E164" i="32"/>
  <c r="E168" i="32"/>
  <c r="E172" i="32"/>
  <c r="E176" i="32"/>
  <c r="E158" i="32"/>
  <c r="H158" i="32" s="1"/>
  <c r="D112" i="32" s="1"/>
  <c r="E159" i="32"/>
  <c r="H159" i="32" s="1"/>
  <c r="D113" i="32" s="1"/>
  <c r="E163" i="32"/>
  <c r="E167" i="32"/>
  <c r="E171" i="33"/>
  <c r="E175" i="33"/>
  <c r="E175" i="32"/>
  <c r="E162" i="33"/>
  <c r="E163" i="33"/>
  <c r="E167" i="33"/>
  <c r="E153" i="32"/>
  <c r="G153" i="32" s="1"/>
  <c r="C107" i="32" s="1"/>
  <c r="E157" i="32"/>
  <c r="H157" i="32" s="1"/>
  <c r="D111" i="32" s="1"/>
  <c r="E154" i="32"/>
  <c r="G154" i="32" s="1"/>
  <c r="C108" i="32" s="1"/>
  <c r="E156" i="32"/>
  <c r="G156" i="32" s="1"/>
  <c r="C110" i="32" s="1"/>
  <c r="E151" i="33"/>
  <c r="H151" i="33" s="1"/>
  <c r="E159" i="33"/>
  <c r="G159" i="33" s="1"/>
  <c r="C113" i="33" s="1"/>
  <c r="E153" i="33"/>
  <c r="G153" i="33" s="1"/>
  <c r="C107" i="33" s="1"/>
  <c r="D182" i="33"/>
  <c r="E182" i="33" s="1"/>
  <c r="H182" i="33" s="1"/>
  <c r="D136" i="33" s="1"/>
  <c r="E171" i="32"/>
  <c r="C103" i="32"/>
  <c r="D182" i="32"/>
  <c r="E182" i="32" s="1"/>
  <c r="H182" i="32" s="1"/>
  <c r="D136" i="32" s="1"/>
  <c r="AT175" i="2" s="1"/>
  <c r="BC175" i="2" s="1"/>
  <c r="E151" i="32"/>
  <c r="H151" i="32" s="1"/>
  <c r="D105" i="32" s="1"/>
  <c r="E160" i="32"/>
  <c r="H160" i="32" s="1"/>
  <c r="D114" i="32" s="1"/>
  <c r="E184" i="32"/>
  <c r="H184" i="32" s="1"/>
  <c r="D138" i="32" s="1"/>
  <c r="E161" i="32"/>
  <c r="E165" i="32"/>
  <c r="E169" i="32"/>
  <c r="E173" i="32"/>
  <c r="E177" i="32"/>
  <c r="E162" i="32"/>
  <c r="E166" i="32"/>
  <c r="E170" i="32"/>
  <c r="E174" i="32"/>
  <c r="E155" i="32"/>
  <c r="H155" i="32" s="1"/>
  <c r="D109" i="32" s="1"/>
  <c r="E152" i="32"/>
  <c r="H152" i="32" s="1"/>
  <c r="D106" i="32" s="1"/>
  <c r="E160" i="33"/>
  <c r="H160" i="33" s="1"/>
  <c r="D114" i="33" s="1"/>
  <c r="E164" i="33"/>
  <c r="E168" i="33"/>
  <c r="E172" i="33"/>
  <c r="E176" i="33"/>
  <c r="E184" i="33"/>
  <c r="H184" i="33" s="1"/>
  <c r="D138" i="33" s="1"/>
  <c r="G179" i="33"/>
  <c r="C133" i="33" s="1"/>
  <c r="H179" i="33"/>
  <c r="D133" i="33" s="1"/>
  <c r="BC101" i="2" s="1"/>
  <c r="E154" i="33"/>
  <c r="H154" i="33" s="1"/>
  <c r="D108" i="33" s="1"/>
  <c r="E155" i="33"/>
  <c r="G155" i="33" s="1"/>
  <c r="C109" i="33" s="1"/>
  <c r="E149" i="33"/>
  <c r="H149" i="33" s="1"/>
  <c r="E152" i="33"/>
  <c r="H152" i="33" s="1"/>
  <c r="D106" i="33" s="1"/>
  <c r="E156" i="33"/>
  <c r="G156" i="33" s="1"/>
  <c r="C110" i="33" s="1"/>
  <c r="G157" i="33"/>
  <c r="C111" i="33" s="1"/>
  <c r="H157" i="33"/>
  <c r="D111" i="33" s="1"/>
  <c r="H178" i="33"/>
  <c r="D132" i="33" s="1"/>
  <c r="BC95" i="2" s="1"/>
  <c r="G178" i="33"/>
  <c r="C132" i="33" s="1"/>
  <c r="D181" i="33"/>
  <c r="E181" i="33" s="1"/>
  <c r="G181" i="33" s="1"/>
  <c r="C185" i="33"/>
  <c r="E185" i="33" s="1"/>
  <c r="H158" i="33"/>
  <c r="D112" i="33" s="1"/>
  <c r="E25" i="33"/>
  <c r="D183" i="33"/>
  <c r="E183" i="33" s="1"/>
  <c r="H178" i="32"/>
  <c r="D132" i="32" s="1"/>
  <c r="G178" i="32"/>
  <c r="C132" i="32" s="1"/>
  <c r="AQ94" i="2" s="1"/>
  <c r="BB94" i="2" s="1"/>
  <c r="G179" i="32"/>
  <c r="C133" i="32" s="1"/>
  <c r="AQ100" i="2" s="1"/>
  <c r="BB100" i="2" s="1"/>
  <c r="H179" i="32"/>
  <c r="D133" i="32" s="1"/>
  <c r="E25" i="32"/>
  <c r="D181" i="32"/>
  <c r="E181" i="32" s="1"/>
  <c r="D183" i="32"/>
  <c r="E183" i="32" s="1"/>
  <c r="C185" i="32"/>
  <c r="E185" i="32" s="1"/>
  <c r="G165" i="33" l="1"/>
  <c r="C119" i="33" s="1"/>
  <c r="H177" i="33"/>
  <c r="D131" i="33" s="1"/>
  <c r="H173" i="33"/>
  <c r="D127" i="33" s="1"/>
  <c r="G169" i="33"/>
  <c r="C123" i="33" s="1"/>
  <c r="G159" i="32"/>
  <c r="C113" i="32" s="1"/>
  <c r="BB154" i="2"/>
  <c r="AQ189" i="2"/>
  <c r="H175" i="33"/>
  <c r="D129" i="33" s="1"/>
  <c r="G175" i="33"/>
  <c r="C129" i="33" s="1"/>
  <c r="H174" i="33"/>
  <c r="D128" i="33" s="1"/>
  <c r="G174" i="33"/>
  <c r="C128" i="33" s="1"/>
  <c r="H167" i="33"/>
  <c r="D121" i="33" s="1"/>
  <c r="G167" i="33"/>
  <c r="C121" i="33" s="1"/>
  <c r="H176" i="33"/>
  <c r="D130" i="33" s="1"/>
  <c r="G176" i="33"/>
  <c r="C130" i="33" s="1"/>
  <c r="H163" i="33"/>
  <c r="D117" i="33" s="1"/>
  <c r="G163" i="33"/>
  <c r="C117" i="33" s="1"/>
  <c r="H166" i="33"/>
  <c r="D120" i="33" s="1"/>
  <c r="G166" i="33"/>
  <c r="C120" i="33" s="1"/>
  <c r="H172" i="33"/>
  <c r="D126" i="33" s="1"/>
  <c r="G172" i="33"/>
  <c r="C126" i="33" s="1"/>
  <c r="H168" i="33"/>
  <c r="D122" i="33" s="1"/>
  <c r="G168" i="33"/>
  <c r="C122" i="33" s="1"/>
  <c r="AQ373" i="2" s="1"/>
  <c r="BB373" i="2" s="1"/>
  <c r="H164" i="33"/>
  <c r="D118" i="33" s="1"/>
  <c r="G164" i="33"/>
  <c r="C118" i="33" s="1"/>
  <c r="AQ333" i="2" s="1"/>
  <c r="BB333" i="2" s="1"/>
  <c r="H171" i="33"/>
  <c r="D125" i="33" s="1"/>
  <c r="G171" i="33"/>
  <c r="C125" i="33" s="1"/>
  <c r="H162" i="33"/>
  <c r="D116" i="33" s="1"/>
  <c r="G162" i="33"/>
  <c r="C116" i="33" s="1"/>
  <c r="H170" i="33"/>
  <c r="D124" i="33" s="1"/>
  <c r="AT303" i="2" s="1"/>
  <c r="BC303" i="2" s="1"/>
  <c r="G170" i="33"/>
  <c r="C124" i="33" s="1"/>
  <c r="H176" i="32"/>
  <c r="D130" i="32" s="1"/>
  <c r="G176" i="32"/>
  <c r="C130" i="32" s="1"/>
  <c r="H177" i="32"/>
  <c r="D131" i="32" s="1"/>
  <c r="G177" i="32"/>
  <c r="C131" i="32" s="1"/>
  <c r="H168" i="32"/>
  <c r="D122" i="32" s="1"/>
  <c r="G168" i="32"/>
  <c r="C122" i="32" s="1"/>
  <c r="H166" i="32"/>
  <c r="D120" i="32" s="1"/>
  <c r="G166" i="32"/>
  <c r="C120" i="32" s="1"/>
  <c r="H173" i="32"/>
  <c r="D127" i="32" s="1"/>
  <c r="G173" i="32"/>
  <c r="C127" i="32" s="1"/>
  <c r="H171" i="32"/>
  <c r="D125" i="32" s="1"/>
  <c r="G171" i="32"/>
  <c r="C125" i="32" s="1"/>
  <c r="H164" i="32"/>
  <c r="D118" i="32" s="1"/>
  <c r="G164" i="32"/>
  <c r="C118" i="32" s="1"/>
  <c r="H167" i="32"/>
  <c r="D121" i="32" s="1"/>
  <c r="G167" i="32"/>
  <c r="C121" i="32" s="1"/>
  <c r="H174" i="32"/>
  <c r="D128" i="32" s="1"/>
  <c r="G174" i="32"/>
  <c r="C128" i="32" s="1"/>
  <c r="H161" i="32"/>
  <c r="D115" i="32" s="1"/>
  <c r="G161" i="32"/>
  <c r="C115" i="32" s="1"/>
  <c r="H163" i="32"/>
  <c r="D117" i="32" s="1"/>
  <c r="G163" i="32"/>
  <c r="C117" i="32" s="1"/>
  <c r="H162" i="32"/>
  <c r="D116" i="32" s="1"/>
  <c r="G162" i="32"/>
  <c r="C116" i="32" s="1"/>
  <c r="H175" i="32"/>
  <c r="D129" i="32" s="1"/>
  <c r="G175" i="32"/>
  <c r="C129" i="32" s="1"/>
  <c r="H172" i="32"/>
  <c r="D126" i="32" s="1"/>
  <c r="G172" i="32"/>
  <c r="C126" i="32" s="1"/>
  <c r="H169" i="32"/>
  <c r="D123" i="32" s="1"/>
  <c r="AT289" i="2" s="1"/>
  <c r="BC289" i="2" s="1"/>
  <c r="G169" i="32"/>
  <c r="C123" i="32" s="1"/>
  <c r="H165" i="32"/>
  <c r="D119" i="32" s="1"/>
  <c r="G165" i="32"/>
  <c r="C119" i="32" s="1"/>
  <c r="H170" i="32"/>
  <c r="D124" i="32" s="1"/>
  <c r="G170" i="32"/>
  <c r="C124" i="32" s="1"/>
  <c r="D103" i="33"/>
  <c r="D105" i="33"/>
  <c r="AT290" i="2" s="1"/>
  <c r="BC290" i="2" s="1"/>
  <c r="G158" i="32"/>
  <c r="C112" i="32" s="1"/>
  <c r="H153" i="32"/>
  <c r="D107" i="32" s="1"/>
  <c r="H156" i="32"/>
  <c r="D110" i="32" s="1"/>
  <c r="G155" i="32"/>
  <c r="C109" i="32" s="1"/>
  <c r="G152" i="33"/>
  <c r="C106" i="33" s="1"/>
  <c r="H154" i="32"/>
  <c r="D108" i="32" s="1"/>
  <c r="G160" i="32"/>
  <c r="C114" i="32" s="1"/>
  <c r="AQ95" i="2"/>
  <c r="BB95" i="2" s="1"/>
  <c r="AT176" i="2"/>
  <c r="BC176" i="2" s="1"/>
  <c r="G160" i="33"/>
  <c r="C114" i="33" s="1"/>
  <c r="AQ101" i="2"/>
  <c r="BB101" i="2" s="1"/>
  <c r="G151" i="33"/>
  <c r="H153" i="33"/>
  <c r="D107" i="33" s="1"/>
  <c r="G157" i="32"/>
  <c r="C111" i="32" s="1"/>
  <c r="H156" i="33"/>
  <c r="D110" i="33" s="1"/>
  <c r="H159" i="33"/>
  <c r="D113" i="33" s="1"/>
  <c r="G149" i="33"/>
  <c r="G184" i="33"/>
  <c r="C138" i="33" s="1"/>
  <c r="G182" i="33"/>
  <c r="C136" i="33" s="1"/>
  <c r="BB176" i="2" s="1"/>
  <c r="G184" i="32"/>
  <c r="C138" i="32" s="1"/>
  <c r="G151" i="32"/>
  <c r="C105" i="32" s="1"/>
  <c r="G182" i="32"/>
  <c r="C136" i="32" s="1"/>
  <c r="D103" i="32"/>
  <c r="AT189" i="2" s="1"/>
  <c r="BC189" i="2" s="1"/>
  <c r="C186" i="32"/>
  <c r="G152" i="32"/>
  <c r="C106" i="32" s="1"/>
  <c r="D186" i="33"/>
  <c r="H155" i="33"/>
  <c r="D109" i="33" s="1"/>
  <c r="G154" i="33"/>
  <c r="C108" i="33" s="1"/>
  <c r="H185" i="33"/>
  <c r="D139" i="33" s="1"/>
  <c r="BC87" i="2" s="1"/>
  <c r="G185" i="33"/>
  <c r="C139" i="33" s="1"/>
  <c r="H181" i="33"/>
  <c r="D135" i="33" s="1"/>
  <c r="C135" i="33"/>
  <c r="BB169" i="2" s="1"/>
  <c r="C186" i="33"/>
  <c r="E186" i="33"/>
  <c r="H183" i="33"/>
  <c r="D137" i="33" s="1"/>
  <c r="G183" i="33"/>
  <c r="C137" i="33" s="1"/>
  <c r="BB181" i="2" s="1"/>
  <c r="H181" i="32"/>
  <c r="D135" i="32" s="1"/>
  <c r="AT168" i="2" s="1"/>
  <c r="BC168" i="2" s="1"/>
  <c r="G181" i="32"/>
  <c r="C135" i="32" s="1"/>
  <c r="E186" i="32"/>
  <c r="H185" i="32"/>
  <c r="D139" i="32" s="1"/>
  <c r="G185" i="32"/>
  <c r="C139" i="32" s="1"/>
  <c r="D186" i="32"/>
  <c r="H183" i="32"/>
  <c r="D137" i="32" s="1"/>
  <c r="AT180" i="2" s="1"/>
  <c r="BC180" i="2" s="1"/>
  <c r="G183" i="32"/>
  <c r="C137" i="32" s="1"/>
  <c r="AQ343" i="2" l="1"/>
  <c r="BB343" i="2" s="1"/>
  <c r="AT352" i="2"/>
  <c r="BC352" i="2" s="1"/>
  <c r="AT362" i="2"/>
  <c r="BC362" i="2" s="1"/>
  <c r="AT190" i="2"/>
  <c r="BC190" i="2" s="1"/>
  <c r="AT155" i="2"/>
  <c r="AT332" i="2"/>
  <c r="BC332" i="2" s="1"/>
  <c r="AT373" i="2"/>
  <c r="BC373" i="2" s="1"/>
  <c r="AT363" i="2"/>
  <c r="BC363" i="2" s="1"/>
  <c r="AQ313" i="2"/>
  <c r="BB313" i="2" s="1"/>
  <c r="AQ362" i="2"/>
  <c r="BB362" i="2" s="1"/>
  <c r="AQ322" i="2"/>
  <c r="BB322" i="2" s="1"/>
  <c r="AQ372" i="2"/>
  <c r="BB372" i="2" s="1"/>
  <c r="AQ353" i="2"/>
  <c r="BB353" i="2" s="1"/>
  <c r="AT323" i="2"/>
  <c r="BC323" i="2" s="1"/>
  <c r="AT353" i="2"/>
  <c r="BC353" i="2" s="1"/>
  <c r="AT372" i="2"/>
  <c r="BC372" i="2" s="1"/>
  <c r="AT342" i="2"/>
  <c r="BC342" i="2" s="1"/>
  <c r="AQ342" i="2"/>
  <c r="BB342" i="2" s="1"/>
  <c r="AQ312" i="2"/>
  <c r="BB312" i="2" s="1"/>
  <c r="AT322" i="2"/>
  <c r="BC322" i="2" s="1"/>
  <c r="AQ363" i="2"/>
  <c r="BB363" i="2" s="1"/>
  <c r="AQ303" i="2"/>
  <c r="BB303" i="2" s="1"/>
  <c r="AT302" i="2"/>
  <c r="BC302" i="2" s="1"/>
  <c r="AQ332" i="2"/>
  <c r="BB332" i="2" s="1"/>
  <c r="AT312" i="2"/>
  <c r="BC312" i="2" s="1"/>
  <c r="AQ352" i="2"/>
  <c r="BB352" i="2" s="1"/>
  <c r="AQ302" i="2"/>
  <c r="BB302" i="2" s="1"/>
  <c r="C103" i="33"/>
  <c r="AQ190" i="2" s="1"/>
  <c r="C105" i="33"/>
  <c r="AQ290" i="2" s="1"/>
  <c r="BB290" i="2" s="1"/>
  <c r="AT313" i="2"/>
  <c r="BC313" i="2" s="1"/>
  <c r="AQ289" i="2"/>
  <c r="BB289" i="2" s="1"/>
  <c r="AT169" i="2"/>
  <c r="BC169" i="2" s="1"/>
  <c r="AT181" i="2"/>
  <c r="BC181" i="2" s="1"/>
  <c r="AQ87" i="2"/>
  <c r="BB87" i="2" s="1"/>
  <c r="AQ323" i="2"/>
  <c r="BB323" i="2" s="1"/>
  <c r="AT333" i="2"/>
  <c r="BC333" i="2" s="1"/>
  <c r="AT343" i="2"/>
  <c r="BC343" i="2" s="1"/>
  <c r="AQ86" i="2"/>
  <c r="BB86" i="2" s="1"/>
  <c r="C188" i="32"/>
  <c r="C188" i="33"/>
  <c r="D141" i="33"/>
  <c r="H186" i="33"/>
  <c r="G186" i="33"/>
  <c r="G186" i="32"/>
  <c r="H186" i="32"/>
  <c r="C141" i="32"/>
  <c r="D141" i="32"/>
  <c r="BB155" i="2" l="1"/>
  <c r="C141" i="33"/>
  <c r="BC154" i="2"/>
  <c r="BG154" i="2" s="1"/>
  <c r="BB189" i="2"/>
  <c r="BB190" i="2" l="1"/>
  <c r="BC155" i="2"/>
  <c r="BG155" i="2" s="1"/>
  <c r="B60" i="35"/>
  <c r="B52" i="35"/>
  <c r="B50" i="35"/>
  <c r="B49" i="35"/>
  <c r="B43" i="35"/>
  <c r="B25" i="35"/>
  <c r="B23" i="35"/>
  <c r="B22" i="35"/>
  <c r="B16" i="35"/>
  <c r="B24" i="35" s="1"/>
  <c r="B26" i="35" s="1"/>
  <c r="C7" i="35"/>
  <c r="F42" i="35" s="1"/>
  <c r="F37" i="35" l="1"/>
  <c r="F39" i="35"/>
  <c r="B39" i="35"/>
  <c r="F40" i="35"/>
  <c r="B51" i="35"/>
  <c r="B53" i="35" s="1"/>
  <c r="F41" i="35"/>
  <c r="B3" i="35"/>
  <c r="B38" i="35"/>
  <c r="B15" i="35"/>
  <c r="B12" i="35"/>
  <c r="B27" i="35"/>
  <c r="F43" i="35"/>
  <c r="B13" i="35"/>
  <c r="I31" i="35"/>
  <c r="B11" i="35"/>
  <c r="B41" i="35"/>
  <c r="B14" i="35"/>
  <c r="B42" i="35"/>
  <c r="B18" i="35"/>
  <c r="E174" i="15"/>
  <c r="E174" i="14"/>
  <c r="E179" i="13"/>
  <c r="B44" i="35" l="1"/>
  <c r="AV85" i="2"/>
  <c r="B17" i="35"/>
  <c r="B19" i="35" s="1"/>
  <c r="B28" i="35"/>
  <c r="B30" i="35" l="1"/>
  <c r="B34" i="35" s="1"/>
  <c r="B45" i="35"/>
  <c r="B46" i="35" s="1"/>
  <c r="B32" i="35"/>
  <c r="B54" i="35"/>
  <c r="B55" i="35" s="1"/>
  <c r="B59" i="35" s="1"/>
  <c r="B61" i="35" l="1"/>
  <c r="B57" i="35"/>
  <c r="R233" i="12" l="1"/>
  <c r="N106" i="12"/>
  <c r="T252" i="12" l="1"/>
  <c r="R249" i="12"/>
  <c r="D415" i="2" l="1"/>
  <c r="BB174" i="2" l="1"/>
  <c r="BB167" i="2"/>
  <c r="BC85" i="2"/>
  <c r="D157" i="31" l="1"/>
  <c r="K57" i="29" l="1"/>
  <c r="D185" i="31" l="1"/>
  <c r="D184" i="31"/>
  <c r="C180" i="31"/>
  <c r="E180" i="31" s="1"/>
  <c r="C179" i="31"/>
  <c r="E179" i="31" s="1"/>
  <c r="C178" i="31"/>
  <c r="E178" i="31" s="1"/>
  <c r="D177" i="31"/>
  <c r="C177" i="31"/>
  <c r="D176" i="31"/>
  <c r="C176" i="31"/>
  <c r="D175" i="31"/>
  <c r="C175" i="31"/>
  <c r="D174" i="31"/>
  <c r="C174" i="31"/>
  <c r="D173" i="31"/>
  <c r="C173" i="31"/>
  <c r="D172" i="31"/>
  <c r="C172" i="31"/>
  <c r="D171" i="31"/>
  <c r="C171" i="31"/>
  <c r="D170" i="31"/>
  <c r="C170" i="31"/>
  <c r="D169" i="31"/>
  <c r="C169" i="31"/>
  <c r="D168" i="31"/>
  <c r="C168" i="31"/>
  <c r="D167" i="31"/>
  <c r="C167" i="31"/>
  <c r="D166" i="31"/>
  <c r="C166" i="31"/>
  <c r="D165" i="31"/>
  <c r="C165" i="31"/>
  <c r="D164" i="31"/>
  <c r="C164" i="31"/>
  <c r="D163" i="31"/>
  <c r="C163" i="31"/>
  <c r="D162" i="31"/>
  <c r="C162" i="31"/>
  <c r="D161" i="31"/>
  <c r="C161" i="31"/>
  <c r="D160" i="31"/>
  <c r="C160" i="31"/>
  <c r="D159" i="31"/>
  <c r="C159" i="31"/>
  <c r="D158" i="31"/>
  <c r="C158" i="31"/>
  <c r="C157" i="31"/>
  <c r="D156" i="31"/>
  <c r="C156" i="31"/>
  <c r="D155" i="31"/>
  <c r="C155" i="31"/>
  <c r="D154" i="31"/>
  <c r="C154" i="31"/>
  <c r="D153" i="31"/>
  <c r="C153" i="31"/>
  <c r="D152" i="31"/>
  <c r="C152" i="31"/>
  <c r="D151" i="31"/>
  <c r="C151" i="31"/>
  <c r="D25" i="31"/>
  <c r="D183" i="31" s="1"/>
  <c r="E183" i="31" s="1"/>
  <c r="H183" i="31" s="1"/>
  <c r="D137" i="31" s="1"/>
  <c r="D13" i="31"/>
  <c r="E13" i="31" s="1"/>
  <c r="C30" i="30"/>
  <c r="R21" i="30"/>
  <c r="N21" i="30"/>
  <c r="M21" i="30"/>
  <c r="O21" i="30" s="1"/>
  <c r="J18" i="30"/>
  <c r="I16" i="30"/>
  <c r="J15" i="30"/>
  <c r="I14" i="30"/>
  <c r="I5" i="30"/>
  <c r="J4" i="30"/>
  <c r="J21" i="30" s="1"/>
  <c r="Q3" i="30"/>
  <c r="Q21" i="30" s="1"/>
  <c r="I3" i="30"/>
  <c r="D99" i="29"/>
  <c r="K60" i="29"/>
  <c r="C99" i="29" s="1"/>
  <c r="L58" i="29"/>
  <c r="D100" i="29" s="1"/>
  <c r="E100" i="29" s="1"/>
  <c r="L50" i="29"/>
  <c r="D97" i="29" s="1"/>
  <c r="K49" i="29"/>
  <c r="C97" i="29" s="1"/>
  <c r="K48" i="29"/>
  <c r="C95" i="29" s="1"/>
  <c r="L47" i="29"/>
  <c r="D95" i="29" s="1"/>
  <c r="L46" i="29"/>
  <c r="K45" i="29"/>
  <c r="C96" i="29" s="1"/>
  <c r="K44" i="29"/>
  <c r="C94" i="29" s="1"/>
  <c r="L43" i="29"/>
  <c r="D94" i="29" s="1"/>
  <c r="K42" i="29"/>
  <c r="C93" i="29" s="1"/>
  <c r="L41" i="29"/>
  <c r="K40" i="29"/>
  <c r="C27" i="28"/>
  <c r="AQ299" i="2" s="1"/>
  <c r="BB299" i="2" s="1"/>
  <c r="U104" i="24"/>
  <c r="T104" i="24"/>
  <c r="S104" i="24"/>
  <c r="Q104" i="24"/>
  <c r="P104" i="24"/>
  <c r="O104" i="24"/>
  <c r="N104" i="24"/>
  <c r="L104" i="24"/>
  <c r="K104" i="24"/>
  <c r="J104" i="24"/>
  <c r="I104" i="24"/>
  <c r="G104" i="24"/>
  <c r="F104" i="24"/>
  <c r="E104" i="24"/>
  <c r="T107" i="26"/>
  <c r="V30" i="23" s="1"/>
  <c r="S107" i="26"/>
  <c r="U30" i="23" s="1"/>
  <c r="R107" i="26"/>
  <c r="T30" i="23" s="1"/>
  <c r="Q107" i="26"/>
  <c r="P107" i="26"/>
  <c r="R30" i="23" s="1"/>
  <c r="O107" i="26"/>
  <c r="Q30" i="23" s="1"/>
  <c r="N107" i="26"/>
  <c r="P30" i="23" s="1"/>
  <c r="M107" i="26"/>
  <c r="O30" i="23" s="1"/>
  <c r="L107" i="26"/>
  <c r="K107" i="26"/>
  <c r="M30" i="23" s="1"/>
  <c r="J107" i="26"/>
  <c r="L30" i="23" s="1"/>
  <c r="I107" i="26"/>
  <c r="K30" i="23" s="1"/>
  <c r="H107" i="26"/>
  <c r="J30" i="23" s="1"/>
  <c r="F107" i="26"/>
  <c r="E107" i="26"/>
  <c r="G30" i="23" s="1"/>
  <c r="D68" i="26"/>
  <c r="D107" i="26" s="1"/>
  <c r="F30" i="23" s="1"/>
  <c r="E108" i="23"/>
  <c r="H108" i="23" s="1"/>
  <c r="D77" i="23" s="1"/>
  <c r="E107" i="23"/>
  <c r="H107" i="23" s="1"/>
  <c r="D76" i="23" s="1"/>
  <c r="E106" i="23"/>
  <c r="H106" i="23" s="1"/>
  <c r="D75" i="23" s="1"/>
  <c r="E105" i="23"/>
  <c r="G105" i="23" s="1"/>
  <c r="C74" i="23" s="1"/>
  <c r="E104" i="23"/>
  <c r="H104" i="23" s="1"/>
  <c r="D73" i="23" s="1"/>
  <c r="E103" i="23"/>
  <c r="H103" i="23" s="1"/>
  <c r="D72" i="23" s="1"/>
  <c r="E102" i="23"/>
  <c r="H102" i="23" s="1"/>
  <c r="D71" i="23" s="1"/>
  <c r="E101" i="23"/>
  <c r="H101" i="23" s="1"/>
  <c r="D70" i="23" s="1"/>
  <c r="E99" i="23"/>
  <c r="G99" i="23" s="1"/>
  <c r="C68" i="23" s="1"/>
  <c r="E97" i="23"/>
  <c r="H97" i="23" s="1"/>
  <c r="D66" i="23" s="1"/>
  <c r="D117" i="23"/>
  <c r="B23" i="23"/>
  <c r="U907" i="22"/>
  <c r="T907" i="22"/>
  <c r="S907" i="22"/>
  <c r="Q907" i="22"/>
  <c r="P907" i="22"/>
  <c r="O907" i="22"/>
  <c r="N907" i="22"/>
  <c r="L907" i="22"/>
  <c r="K907" i="22"/>
  <c r="J907" i="22"/>
  <c r="I907" i="22"/>
  <c r="G907" i="22"/>
  <c r="F907" i="22"/>
  <c r="E907" i="22"/>
  <c r="D907" i="22"/>
  <c r="C907" i="22"/>
  <c r="P909" i="21"/>
  <c r="O909" i="21"/>
  <c r="G909" i="21"/>
  <c r="E909" i="21"/>
  <c r="U904" i="21"/>
  <c r="U897" i="21"/>
  <c r="U893" i="21"/>
  <c r="U890" i="21"/>
  <c r="U884" i="21"/>
  <c r="U881" i="21"/>
  <c r="U880" i="21"/>
  <c r="U871" i="21"/>
  <c r="U863" i="21"/>
  <c r="U858" i="21"/>
  <c r="U853" i="21"/>
  <c r="U852" i="21"/>
  <c r="U845" i="21"/>
  <c r="U840" i="21"/>
  <c r="U838" i="21"/>
  <c r="U837" i="21"/>
  <c r="U834" i="21"/>
  <c r="U827" i="21"/>
  <c r="U826" i="21"/>
  <c r="U824" i="21"/>
  <c r="U823" i="21"/>
  <c r="U820" i="21"/>
  <c r="U819" i="21"/>
  <c r="U815" i="21"/>
  <c r="U812" i="21"/>
  <c r="U808" i="21"/>
  <c r="U805" i="21"/>
  <c r="U799" i="21"/>
  <c r="U796" i="21"/>
  <c r="U795" i="21"/>
  <c r="U792" i="21"/>
  <c r="T792" i="21"/>
  <c r="Q792" i="21"/>
  <c r="L792" i="21"/>
  <c r="U788" i="21"/>
  <c r="U786" i="21"/>
  <c r="U783" i="21"/>
  <c r="U782" i="21"/>
  <c r="U779" i="21"/>
  <c r="T779" i="21"/>
  <c r="S779" i="21"/>
  <c r="S909" i="21" s="1"/>
  <c r="Q779" i="21"/>
  <c r="N779" i="21"/>
  <c r="N909" i="21" s="1"/>
  <c r="K779" i="21"/>
  <c r="K909" i="21" s="1"/>
  <c r="I779" i="21"/>
  <c r="I909" i="21" s="1"/>
  <c r="G779" i="21"/>
  <c r="C779" i="21"/>
  <c r="U777" i="21"/>
  <c r="U775" i="21"/>
  <c r="U772" i="21"/>
  <c r="U770" i="21"/>
  <c r="U768" i="21"/>
  <c r="U765" i="21"/>
  <c r="U759" i="21"/>
  <c r="U756" i="21"/>
  <c r="U753" i="21"/>
  <c r="U752" i="21"/>
  <c r="U746" i="21"/>
  <c r="U739" i="21"/>
  <c r="U736" i="21"/>
  <c r="U733" i="21"/>
  <c r="U729" i="21"/>
  <c r="U728" i="21"/>
  <c r="U722" i="21"/>
  <c r="U721" i="21"/>
  <c r="U718" i="21"/>
  <c r="U717" i="21"/>
  <c r="U716" i="21"/>
  <c r="U715" i="21"/>
  <c r="U707" i="21"/>
  <c r="U705" i="21"/>
  <c r="U696" i="21"/>
  <c r="U687" i="21"/>
  <c r="U683" i="21"/>
  <c r="U679" i="21"/>
  <c r="U660" i="21"/>
  <c r="U659" i="21"/>
  <c r="U656" i="21"/>
  <c r="U650" i="21"/>
  <c r="U636" i="21"/>
  <c r="U635" i="21"/>
  <c r="U631" i="21"/>
  <c r="U615" i="21"/>
  <c r="U612" i="21"/>
  <c r="U611" i="21"/>
  <c r="U609" i="21"/>
  <c r="U607" i="21"/>
  <c r="U606" i="21"/>
  <c r="U603" i="21"/>
  <c r="U601" i="21"/>
  <c r="U596" i="21"/>
  <c r="U593" i="21"/>
  <c r="U592" i="21"/>
  <c r="U580" i="21"/>
  <c r="U566" i="21"/>
  <c r="U564" i="21"/>
  <c r="U562" i="21"/>
  <c r="U543" i="21"/>
  <c r="U535" i="21"/>
  <c r="U529" i="21"/>
  <c r="U528" i="21"/>
  <c r="U524" i="21"/>
  <c r="U521" i="21"/>
  <c r="U519" i="21"/>
  <c r="U514" i="21"/>
  <c r="U511" i="21"/>
  <c r="U507" i="21"/>
  <c r="U500" i="21"/>
  <c r="U372" i="21"/>
  <c r="U365" i="21"/>
  <c r="U361" i="21"/>
  <c r="U356" i="21"/>
  <c r="U352" i="21"/>
  <c r="U349" i="21"/>
  <c r="U348" i="21"/>
  <c r="U345" i="21"/>
  <c r="U344" i="21"/>
  <c r="U339" i="21"/>
  <c r="U338" i="21"/>
  <c r="U329" i="21"/>
  <c r="U328" i="21"/>
  <c r="U326" i="21"/>
  <c r="U321" i="21"/>
  <c r="U320" i="21"/>
  <c r="U315" i="21"/>
  <c r="U314" i="21"/>
  <c r="U308" i="21"/>
  <c r="U303" i="21"/>
  <c r="U302" i="21"/>
  <c r="U297" i="21"/>
  <c r="U296" i="21"/>
  <c r="U283" i="21"/>
  <c r="U279" i="21"/>
  <c r="U278" i="21"/>
  <c r="U275" i="21"/>
  <c r="U270" i="21"/>
  <c r="U269" i="21"/>
  <c r="U268" i="21"/>
  <c r="U266" i="21"/>
  <c r="U264" i="21"/>
  <c r="U256" i="21"/>
  <c r="U253" i="21"/>
  <c r="U251" i="21"/>
  <c r="U246" i="21"/>
  <c r="T246" i="21"/>
  <c r="Q246" i="21"/>
  <c r="Q909" i="21" s="1"/>
  <c r="L246" i="21"/>
  <c r="L909" i="21" s="1"/>
  <c r="U245" i="21"/>
  <c r="U243" i="21"/>
  <c r="U237" i="21"/>
  <c r="U234" i="21"/>
  <c r="U227" i="21"/>
  <c r="U225" i="21"/>
  <c r="U224" i="21"/>
  <c r="U212" i="21"/>
  <c r="U210" i="21"/>
  <c r="U209" i="21"/>
  <c r="U207" i="21"/>
  <c r="U206" i="21"/>
  <c r="U196" i="21"/>
  <c r="U192" i="21"/>
  <c r="U190" i="21"/>
  <c r="U185" i="21"/>
  <c r="U180" i="21"/>
  <c r="U174" i="21"/>
  <c r="U171" i="21"/>
  <c r="U170" i="21"/>
  <c r="U165" i="21"/>
  <c r="U160" i="21"/>
  <c r="U155" i="21"/>
  <c r="U151" i="21"/>
  <c r="U149" i="21"/>
  <c r="U144" i="21"/>
  <c r="U142" i="21"/>
  <c r="U133" i="21"/>
  <c r="U130" i="21"/>
  <c r="U128" i="21"/>
  <c r="U127" i="21"/>
  <c r="U126" i="21"/>
  <c r="U121" i="21"/>
  <c r="U113" i="21"/>
  <c r="U111" i="21"/>
  <c r="U109" i="21"/>
  <c r="U104" i="21"/>
  <c r="U102" i="21"/>
  <c r="U99" i="21"/>
  <c r="U97" i="21"/>
  <c r="U93" i="21"/>
  <c r="U91" i="21"/>
  <c r="U80" i="21"/>
  <c r="U77" i="21"/>
  <c r="U72" i="21"/>
  <c r="U69" i="21"/>
  <c r="U62" i="21"/>
  <c r="U58" i="21"/>
  <c r="U56" i="21"/>
  <c r="U54" i="21"/>
  <c r="U50" i="21"/>
  <c r="U49" i="21"/>
  <c r="U46" i="21"/>
  <c r="U43" i="21"/>
  <c r="U42" i="21"/>
  <c r="U38" i="21"/>
  <c r="U21" i="21"/>
  <c r="U18" i="21"/>
  <c r="U14" i="21"/>
  <c r="U11" i="21"/>
  <c r="S908" i="20"/>
  <c r="O908" i="20"/>
  <c r="Q906" i="20"/>
  <c r="L906" i="20"/>
  <c r="Q905" i="20"/>
  <c r="L905" i="20"/>
  <c r="U904" i="20"/>
  <c r="Q904" i="20"/>
  <c r="L904" i="20"/>
  <c r="Q903" i="20"/>
  <c r="L903" i="20"/>
  <c r="Q902" i="20"/>
  <c r="L902" i="20"/>
  <c r="Q901" i="20"/>
  <c r="L901" i="20"/>
  <c r="Q900" i="20"/>
  <c r="L900" i="20"/>
  <c r="Q899" i="20"/>
  <c r="L899" i="20"/>
  <c r="Q898" i="20"/>
  <c r="L898" i="20"/>
  <c r="U897" i="20"/>
  <c r="Q897" i="20"/>
  <c r="L897" i="20"/>
  <c r="Q896" i="20"/>
  <c r="L896" i="20"/>
  <c r="Q895" i="20"/>
  <c r="L895" i="20"/>
  <c r="Q894" i="20"/>
  <c r="L894" i="20"/>
  <c r="U893" i="20"/>
  <c r="Q893" i="20"/>
  <c r="L893" i="20"/>
  <c r="Q892" i="20"/>
  <c r="L892" i="20"/>
  <c r="Q891" i="20"/>
  <c r="L891" i="20"/>
  <c r="U890" i="20"/>
  <c r="Q890" i="20"/>
  <c r="L890" i="20"/>
  <c r="Q889" i="20"/>
  <c r="L889" i="20"/>
  <c r="Q888" i="20"/>
  <c r="L888" i="20"/>
  <c r="Q887" i="20"/>
  <c r="L887" i="20"/>
  <c r="Q886" i="20"/>
  <c r="L886" i="20"/>
  <c r="Q885" i="20"/>
  <c r="L885" i="20"/>
  <c r="U884" i="20"/>
  <c r="Q884" i="20"/>
  <c r="L884" i="20"/>
  <c r="Q883" i="20"/>
  <c r="L883" i="20"/>
  <c r="Q882" i="20"/>
  <c r="L882" i="20"/>
  <c r="U881" i="20"/>
  <c r="Q881" i="20"/>
  <c r="L881" i="20"/>
  <c r="U880" i="20"/>
  <c r="Q880" i="20"/>
  <c r="L880" i="20"/>
  <c r="Q879" i="20"/>
  <c r="L879" i="20"/>
  <c r="Q878" i="20"/>
  <c r="L878" i="20"/>
  <c r="Q877" i="20"/>
  <c r="L877" i="20"/>
  <c r="Q876" i="20"/>
  <c r="L876" i="20"/>
  <c r="Q875" i="20"/>
  <c r="L875" i="20"/>
  <c r="Q874" i="20"/>
  <c r="L874" i="20"/>
  <c r="Q873" i="20"/>
  <c r="L873" i="20"/>
  <c r="Q872" i="20"/>
  <c r="L872" i="20"/>
  <c r="U871" i="20"/>
  <c r="Q871" i="20"/>
  <c r="L871" i="20"/>
  <c r="Q870" i="20"/>
  <c r="L870" i="20"/>
  <c r="Q869" i="20"/>
  <c r="L869" i="20"/>
  <c r="Q868" i="20"/>
  <c r="L868" i="20"/>
  <c r="Q867" i="20"/>
  <c r="L867" i="20"/>
  <c r="Q866" i="20"/>
  <c r="L866" i="20"/>
  <c r="Q865" i="20"/>
  <c r="L865" i="20"/>
  <c r="Q864" i="20"/>
  <c r="L864" i="20"/>
  <c r="U863" i="20"/>
  <c r="Q863" i="20"/>
  <c r="L863" i="20"/>
  <c r="Q862" i="20"/>
  <c r="L862" i="20"/>
  <c r="Q861" i="20"/>
  <c r="L861" i="20"/>
  <c r="Q860" i="20"/>
  <c r="L860" i="20"/>
  <c r="Q859" i="20"/>
  <c r="L859" i="20"/>
  <c r="U858" i="20"/>
  <c r="Q858" i="20"/>
  <c r="L858" i="20"/>
  <c r="Q857" i="20"/>
  <c r="L857" i="20"/>
  <c r="Q856" i="20"/>
  <c r="L856" i="20"/>
  <c r="Q855" i="20"/>
  <c r="L855" i="20"/>
  <c r="Q854" i="20"/>
  <c r="L854" i="20"/>
  <c r="U853" i="20"/>
  <c r="Q853" i="20"/>
  <c r="L853" i="20"/>
  <c r="U852" i="20"/>
  <c r="Q852" i="20"/>
  <c r="L852" i="20"/>
  <c r="Q851" i="20"/>
  <c r="L851" i="20"/>
  <c r="Q850" i="20"/>
  <c r="L850" i="20"/>
  <c r="Q849" i="20"/>
  <c r="L849" i="20"/>
  <c r="Q848" i="20"/>
  <c r="L848" i="20"/>
  <c r="Q847" i="20"/>
  <c r="L847" i="20"/>
  <c r="Q846" i="20"/>
  <c r="L846" i="20"/>
  <c r="U845" i="20"/>
  <c r="Q845" i="20"/>
  <c r="L845" i="20"/>
  <c r="Q844" i="20"/>
  <c r="L844" i="20"/>
  <c r="Q843" i="20"/>
  <c r="L843" i="20"/>
  <c r="Q842" i="20"/>
  <c r="L842" i="20"/>
  <c r="Q841" i="20"/>
  <c r="L841" i="20"/>
  <c r="U840" i="20"/>
  <c r="Q840" i="20"/>
  <c r="L840" i="20"/>
  <c r="Q839" i="20"/>
  <c r="L839" i="20"/>
  <c r="U838" i="20"/>
  <c r="Q838" i="20"/>
  <c r="L838" i="20"/>
  <c r="U837" i="20"/>
  <c r="Q837" i="20"/>
  <c r="L837" i="20"/>
  <c r="Q836" i="20"/>
  <c r="L836" i="20"/>
  <c r="Q835" i="20"/>
  <c r="L835" i="20"/>
  <c r="U834" i="20"/>
  <c r="Q834" i="20"/>
  <c r="L834" i="20"/>
  <c r="Q833" i="20"/>
  <c r="L833" i="20"/>
  <c r="Q832" i="20"/>
  <c r="L832" i="20"/>
  <c r="Q831" i="20"/>
  <c r="L831" i="20"/>
  <c r="Q830" i="20"/>
  <c r="L830" i="20"/>
  <c r="Q829" i="20"/>
  <c r="L829" i="20"/>
  <c r="Q828" i="20"/>
  <c r="L828" i="20"/>
  <c r="U827" i="20"/>
  <c r="Q827" i="20"/>
  <c r="L827" i="20"/>
  <c r="U826" i="20"/>
  <c r="Q826" i="20"/>
  <c r="L826" i="20"/>
  <c r="Q825" i="20"/>
  <c r="L825" i="20"/>
  <c r="U824" i="20"/>
  <c r="Q824" i="20"/>
  <c r="L824" i="20"/>
  <c r="U823" i="20"/>
  <c r="Q823" i="20"/>
  <c r="L823" i="20"/>
  <c r="Q822" i="20"/>
  <c r="L822" i="20"/>
  <c r="Q821" i="20"/>
  <c r="L821" i="20"/>
  <c r="U820" i="20"/>
  <c r="Q820" i="20"/>
  <c r="L820" i="20"/>
  <c r="U819" i="20"/>
  <c r="Q819" i="20"/>
  <c r="L819" i="20"/>
  <c r="Q818" i="20"/>
  <c r="L818" i="20"/>
  <c r="Q817" i="20"/>
  <c r="L817" i="20"/>
  <c r="Q816" i="20"/>
  <c r="L816" i="20"/>
  <c r="U815" i="20"/>
  <c r="Q815" i="20"/>
  <c r="L815" i="20"/>
  <c r="Q814" i="20"/>
  <c r="L814" i="20"/>
  <c r="Q813" i="20"/>
  <c r="L813" i="20"/>
  <c r="U812" i="20"/>
  <c r="Q812" i="20"/>
  <c r="L812" i="20"/>
  <c r="Q811" i="20"/>
  <c r="L811" i="20"/>
  <c r="Q810" i="20"/>
  <c r="L810" i="20"/>
  <c r="Q809" i="20"/>
  <c r="L809" i="20"/>
  <c r="U808" i="20"/>
  <c r="Q808" i="20"/>
  <c r="L808" i="20"/>
  <c r="Q807" i="20"/>
  <c r="L807" i="20"/>
  <c r="Q806" i="20"/>
  <c r="L806" i="20"/>
  <c r="U805" i="20"/>
  <c r="Q805" i="20"/>
  <c r="L805" i="20"/>
  <c r="Q804" i="20"/>
  <c r="L804" i="20"/>
  <c r="Q803" i="20"/>
  <c r="L803" i="20"/>
  <c r="Q802" i="20"/>
  <c r="L802" i="20"/>
  <c r="Q801" i="20"/>
  <c r="L801" i="20"/>
  <c r="Q800" i="20"/>
  <c r="L800" i="20"/>
  <c r="U799" i="20"/>
  <c r="Q799" i="20"/>
  <c r="L799" i="20"/>
  <c r="Q798" i="20"/>
  <c r="L798" i="20"/>
  <c r="Q797" i="20"/>
  <c r="L797" i="20"/>
  <c r="U796" i="20"/>
  <c r="Q796" i="20"/>
  <c r="L796" i="20"/>
  <c r="U795" i="20"/>
  <c r="Q795" i="20"/>
  <c r="L795" i="20"/>
  <c r="Q794" i="20"/>
  <c r="L794" i="20"/>
  <c r="Q793" i="20"/>
  <c r="L793" i="20"/>
  <c r="U792" i="20"/>
  <c r="T792" i="20"/>
  <c r="P792" i="20"/>
  <c r="Q792" i="20" s="1"/>
  <c r="K792" i="20"/>
  <c r="L792" i="20" s="1"/>
  <c r="Q791" i="20"/>
  <c r="L791" i="20"/>
  <c r="Q790" i="20"/>
  <c r="L790" i="20"/>
  <c r="Q789" i="20"/>
  <c r="L789" i="20"/>
  <c r="U788" i="20"/>
  <c r="Q788" i="20"/>
  <c r="L788" i="20"/>
  <c r="Q787" i="20"/>
  <c r="L787" i="20"/>
  <c r="U786" i="20"/>
  <c r="Q786" i="20"/>
  <c r="L786" i="20"/>
  <c r="Q785" i="20"/>
  <c r="L785" i="20"/>
  <c r="Q784" i="20"/>
  <c r="L784" i="20"/>
  <c r="U783" i="20"/>
  <c r="Q783" i="20"/>
  <c r="L783" i="20"/>
  <c r="U782" i="20"/>
  <c r="Q782" i="20"/>
  <c r="L782" i="20"/>
  <c r="Q781" i="20"/>
  <c r="L781" i="20"/>
  <c r="Q780" i="20"/>
  <c r="L780" i="20"/>
  <c r="U779" i="20"/>
  <c r="T779" i="20"/>
  <c r="S779" i="20"/>
  <c r="Q779" i="20"/>
  <c r="P779" i="20"/>
  <c r="N779" i="20"/>
  <c r="N908" i="20" s="1"/>
  <c r="J779" i="20"/>
  <c r="J908" i="20" s="1"/>
  <c r="H779" i="20"/>
  <c r="H908" i="20" s="1"/>
  <c r="F779" i="20"/>
  <c r="F908" i="20" s="1"/>
  <c r="C779" i="20"/>
  <c r="Q778" i="20"/>
  <c r="L778" i="20"/>
  <c r="U777" i="20"/>
  <c r="Q777" i="20"/>
  <c r="L777" i="20"/>
  <c r="Q776" i="20"/>
  <c r="L776" i="20"/>
  <c r="U775" i="20"/>
  <c r="Q775" i="20"/>
  <c r="L775" i="20"/>
  <c r="Q774" i="20"/>
  <c r="L774" i="20"/>
  <c r="Q773" i="20"/>
  <c r="L773" i="20"/>
  <c r="U772" i="20"/>
  <c r="Q772" i="20"/>
  <c r="L772" i="20"/>
  <c r="Q771" i="20"/>
  <c r="L771" i="20"/>
  <c r="U770" i="20"/>
  <c r="Q770" i="20"/>
  <c r="L770" i="20"/>
  <c r="Q769" i="20"/>
  <c r="L769" i="20"/>
  <c r="U768" i="20"/>
  <c r="Q768" i="20"/>
  <c r="L768" i="20"/>
  <c r="Q767" i="20"/>
  <c r="L767" i="20"/>
  <c r="Q766" i="20"/>
  <c r="L766" i="20"/>
  <c r="U765" i="20"/>
  <c r="Q765" i="20"/>
  <c r="L765" i="20"/>
  <c r="Q764" i="20"/>
  <c r="L764" i="20"/>
  <c r="Q763" i="20"/>
  <c r="L763" i="20"/>
  <c r="Q762" i="20"/>
  <c r="L762" i="20"/>
  <c r="Q761" i="20"/>
  <c r="L761" i="20"/>
  <c r="Q760" i="20"/>
  <c r="L760" i="20"/>
  <c r="U759" i="20"/>
  <c r="Q759" i="20"/>
  <c r="L759" i="20"/>
  <c r="Q758" i="20"/>
  <c r="L758" i="20"/>
  <c r="Q757" i="20"/>
  <c r="L757" i="20"/>
  <c r="U756" i="20"/>
  <c r="Q756" i="20"/>
  <c r="L756" i="20"/>
  <c r="Q755" i="20"/>
  <c r="L755" i="20"/>
  <c r="Q754" i="20"/>
  <c r="L754" i="20"/>
  <c r="U753" i="20"/>
  <c r="Q753" i="20"/>
  <c r="L753" i="20"/>
  <c r="U752" i="20"/>
  <c r="Q752" i="20"/>
  <c r="L752" i="20"/>
  <c r="Q751" i="20"/>
  <c r="L751" i="20"/>
  <c r="Q750" i="20"/>
  <c r="L750" i="20"/>
  <c r="Q749" i="20"/>
  <c r="L749" i="20"/>
  <c r="Q748" i="20"/>
  <c r="L748" i="20"/>
  <c r="Q747" i="20"/>
  <c r="L747" i="20"/>
  <c r="U746" i="20"/>
  <c r="Q746" i="20"/>
  <c r="L746" i="20"/>
  <c r="Q745" i="20"/>
  <c r="L745" i="20"/>
  <c r="Q744" i="20"/>
  <c r="L744" i="20"/>
  <c r="Q743" i="20"/>
  <c r="L743" i="20"/>
  <c r="Q742" i="20"/>
  <c r="L742" i="20"/>
  <c r="Q741" i="20"/>
  <c r="L741" i="20"/>
  <c r="Q740" i="20"/>
  <c r="L740" i="20"/>
  <c r="U739" i="20"/>
  <c r="Q739" i="20"/>
  <c r="L739" i="20"/>
  <c r="Q738" i="20"/>
  <c r="L738" i="20"/>
  <c r="Q737" i="20"/>
  <c r="L737" i="20"/>
  <c r="U736" i="20"/>
  <c r="Q736" i="20"/>
  <c r="L736" i="20"/>
  <c r="Q735" i="20"/>
  <c r="L735" i="20"/>
  <c r="Q734" i="20"/>
  <c r="L734" i="20"/>
  <c r="U733" i="20"/>
  <c r="Q733" i="20"/>
  <c r="L733" i="20"/>
  <c r="Q732" i="20"/>
  <c r="L732" i="20"/>
  <c r="Q731" i="20"/>
  <c r="L731" i="20"/>
  <c r="Q730" i="20"/>
  <c r="L730" i="20"/>
  <c r="U729" i="20"/>
  <c r="Q729" i="20"/>
  <c r="L729" i="20"/>
  <c r="U728" i="20"/>
  <c r="Q728" i="20"/>
  <c r="L728" i="20"/>
  <c r="Q727" i="20"/>
  <c r="L727" i="20"/>
  <c r="Q726" i="20"/>
  <c r="L726" i="20"/>
  <c r="Q725" i="20"/>
  <c r="L725" i="20"/>
  <c r="Q724" i="20"/>
  <c r="L724" i="20"/>
  <c r="Q723" i="20"/>
  <c r="L723" i="20"/>
  <c r="U722" i="20"/>
  <c r="Q722" i="20"/>
  <c r="L722" i="20"/>
  <c r="U721" i="20"/>
  <c r="Q721" i="20"/>
  <c r="L721" i="20"/>
  <c r="Q720" i="20"/>
  <c r="L720" i="20"/>
  <c r="Q719" i="20"/>
  <c r="L719" i="20"/>
  <c r="U718" i="20"/>
  <c r="Q718" i="20"/>
  <c r="L718" i="20"/>
  <c r="U717" i="20"/>
  <c r="Q717" i="20"/>
  <c r="L717" i="20"/>
  <c r="U716" i="20"/>
  <c r="Q716" i="20"/>
  <c r="L716" i="20"/>
  <c r="U715" i="20"/>
  <c r="Q715" i="20"/>
  <c r="L715" i="20"/>
  <c r="Q714" i="20"/>
  <c r="L714" i="20"/>
  <c r="Q713" i="20"/>
  <c r="L713" i="20"/>
  <c r="Q712" i="20"/>
  <c r="L712" i="20"/>
  <c r="Q711" i="20"/>
  <c r="L711" i="20"/>
  <c r="Q710" i="20"/>
  <c r="L710" i="20"/>
  <c r="Q709" i="20"/>
  <c r="L709" i="20"/>
  <c r="Q708" i="20"/>
  <c r="L708" i="20"/>
  <c r="U707" i="20"/>
  <c r="Q707" i="20"/>
  <c r="L707" i="20"/>
  <c r="Q706" i="20"/>
  <c r="L706" i="20"/>
  <c r="U705" i="20"/>
  <c r="Q705" i="20"/>
  <c r="L705" i="20"/>
  <c r="Q704" i="20"/>
  <c r="L704" i="20"/>
  <c r="Q703" i="20"/>
  <c r="L703" i="20"/>
  <c r="Q702" i="20"/>
  <c r="L702" i="20"/>
  <c r="Q701" i="20"/>
  <c r="L701" i="20"/>
  <c r="Q700" i="20"/>
  <c r="L700" i="20"/>
  <c r="Q699" i="20"/>
  <c r="L699" i="20"/>
  <c r="Q698" i="20"/>
  <c r="L698" i="20"/>
  <c r="Q697" i="20"/>
  <c r="L697" i="20"/>
  <c r="U696" i="20"/>
  <c r="Q696" i="20"/>
  <c r="L696" i="20"/>
  <c r="Q695" i="20"/>
  <c r="L695" i="20"/>
  <c r="Q694" i="20"/>
  <c r="L694" i="20"/>
  <c r="Q693" i="20"/>
  <c r="L693" i="20"/>
  <c r="Q692" i="20"/>
  <c r="L692" i="20"/>
  <c r="Q691" i="20"/>
  <c r="L691" i="20"/>
  <c r="Q690" i="20"/>
  <c r="L690" i="20"/>
  <c r="Q689" i="20"/>
  <c r="L689" i="20"/>
  <c r="Q688" i="20"/>
  <c r="L688" i="20"/>
  <c r="U687" i="20"/>
  <c r="Q687" i="20"/>
  <c r="L687" i="20"/>
  <c r="Q686" i="20"/>
  <c r="L686" i="20"/>
  <c r="Q685" i="20"/>
  <c r="L685" i="20"/>
  <c r="Q684" i="20"/>
  <c r="L684" i="20"/>
  <c r="U683" i="20"/>
  <c r="Q683" i="20"/>
  <c r="L683" i="20"/>
  <c r="Q682" i="20"/>
  <c r="L682" i="20"/>
  <c r="Q681" i="20"/>
  <c r="L681" i="20"/>
  <c r="Q680" i="20"/>
  <c r="L680" i="20"/>
  <c r="U679" i="20"/>
  <c r="Q679" i="20"/>
  <c r="L679" i="20"/>
  <c r="Q678" i="20"/>
  <c r="L678" i="20"/>
  <c r="Q677" i="20"/>
  <c r="L677" i="20"/>
  <c r="Q676" i="20"/>
  <c r="L676" i="20"/>
  <c r="Q675" i="20"/>
  <c r="L675" i="20"/>
  <c r="Q674" i="20"/>
  <c r="L674" i="20"/>
  <c r="Q673" i="20"/>
  <c r="L673" i="20"/>
  <c r="Q672" i="20"/>
  <c r="L672" i="20"/>
  <c r="Q671" i="20"/>
  <c r="L671" i="20"/>
  <c r="Q670" i="20"/>
  <c r="L670" i="20"/>
  <c r="Q669" i="20"/>
  <c r="L669" i="20"/>
  <c r="Q668" i="20"/>
  <c r="L668" i="20"/>
  <c r="Q667" i="20"/>
  <c r="L667" i="20"/>
  <c r="Q666" i="20"/>
  <c r="L666" i="20"/>
  <c r="Q665" i="20"/>
  <c r="L665" i="20"/>
  <c r="Q664" i="20"/>
  <c r="L664" i="20"/>
  <c r="Q663" i="20"/>
  <c r="L663" i="20"/>
  <c r="Q662" i="20"/>
  <c r="L662" i="20"/>
  <c r="Q661" i="20"/>
  <c r="L661" i="20"/>
  <c r="U660" i="20"/>
  <c r="Q660" i="20"/>
  <c r="L660" i="20"/>
  <c r="U659" i="20"/>
  <c r="Q659" i="20"/>
  <c r="L659" i="20"/>
  <c r="Q658" i="20"/>
  <c r="L658" i="20"/>
  <c r="Q657" i="20"/>
  <c r="L657" i="20"/>
  <c r="U656" i="20"/>
  <c r="Q656" i="20"/>
  <c r="L656" i="20"/>
  <c r="Q655" i="20"/>
  <c r="L655" i="20"/>
  <c r="Q654" i="20"/>
  <c r="L654" i="20"/>
  <c r="Q653" i="20"/>
  <c r="L653" i="20"/>
  <c r="Q652" i="20"/>
  <c r="L652" i="20"/>
  <c r="Q651" i="20"/>
  <c r="L651" i="20"/>
  <c r="U650" i="20"/>
  <c r="Q650" i="20"/>
  <c r="L650" i="20"/>
  <c r="Q649" i="20"/>
  <c r="L649" i="20"/>
  <c r="Q648" i="20"/>
  <c r="L648" i="20"/>
  <c r="Q647" i="20"/>
  <c r="L647" i="20"/>
  <c r="Q646" i="20"/>
  <c r="L646" i="20"/>
  <c r="Q645" i="20"/>
  <c r="L645" i="20"/>
  <c r="Q644" i="20"/>
  <c r="L644" i="20"/>
  <c r="Q643" i="20"/>
  <c r="L643" i="20"/>
  <c r="Q642" i="20"/>
  <c r="L642" i="20"/>
  <c r="Q641" i="20"/>
  <c r="L641" i="20"/>
  <c r="Q640" i="20"/>
  <c r="L640" i="20"/>
  <c r="Q639" i="20"/>
  <c r="L639" i="20"/>
  <c r="Q638" i="20"/>
  <c r="L638" i="20"/>
  <c r="Q637" i="20"/>
  <c r="L637" i="20"/>
  <c r="U636" i="20"/>
  <c r="Q636" i="20"/>
  <c r="L636" i="20"/>
  <c r="U635" i="20"/>
  <c r="Q635" i="20"/>
  <c r="L635" i="20"/>
  <c r="Q634" i="20"/>
  <c r="L634" i="20"/>
  <c r="Q633" i="20"/>
  <c r="L633" i="20"/>
  <c r="Q632" i="20"/>
  <c r="L632" i="20"/>
  <c r="U631" i="20"/>
  <c r="Q631" i="20"/>
  <c r="L631" i="20"/>
  <c r="Q630" i="20"/>
  <c r="L630" i="20"/>
  <c r="Q629" i="20"/>
  <c r="L629" i="20"/>
  <c r="Q628" i="20"/>
  <c r="L628" i="20"/>
  <c r="Q627" i="20"/>
  <c r="L627" i="20"/>
  <c r="Q626" i="20"/>
  <c r="L626" i="20"/>
  <c r="Q625" i="20"/>
  <c r="L625" i="20"/>
  <c r="Q624" i="20"/>
  <c r="L624" i="20"/>
  <c r="Q623" i="20"/>
  <c r="L623" i="20"/>
  <c r="Q622" i="20"/>
  <c r="L622" i="20"/>
  <c r="Q621" i="20"/>
  <c r="L621" i="20"/>
  <c r="Q620" i="20"/>
  <c r="L620" i="20"/>
  <c r="Q619" i="20"/>
  <c r="L619" i="20"/>
  <c r="Q618" i="20"/>
  <c r="L618" i="20"/>
  <c r="Q617" i="20"/>
  <c r="L617" i="20"/>
  <c r="Q616" i="20"/>
  <c r="L616" i="20"/>
  <c r="U615" i="20"/>
  <c r="Q615" i="20"/>
  <c r="L615" i="20"/>
  <c r="Q614" i="20"/>
  <c r="L614" i="20"/>
  <c r="Q613" i="20"/>
  <c r="L613" i="20"/>
  <c r="U612" i="20"/>
  <c r="Q612" i="20"/>
  <c r="L612" i="20"/>
  <c r="U611" i="20"/>
  <c r="Q611" i="20"/>
  <c r="L611" i="20"/>
  <c r="Q610" i="20"/>
  <c r="L610" i="20"/>
  <c r="U609" i="20"/>
  <c r="Q609" i="20"/>
  <c r="L609" i="20"/>
  <c r="Q608" i="20"/>
  <c r="L608" i="20"/>
  <c r="U607" i="20"/>
  <c r="Q607" i="20"/>
  <c r="L607" i="20"/>
  <c r="U606" i="20"/>
  <c r="Q606" i="20"/>
  <c r="L606" i="20"/>
  <c r="Q605" i="20"/>
  <c r="L605" i="20"/>
  <c r="Q604" i="20"/>
  <c r="L604" i="20"/>
  <c r="U603" i="20"/>
  <c r="Q603" i="20"/>
  <c r="L603" i="20"/>
  <c r="Q602" i="20"/>
  <c r="L602" i="20"/>
  <c r="U601" i="20"/>
  <c r="Q601" i="20"/>
  <c r="L601" i="20"/>
  <c r="Q600" i="20"/>
  <c r="L600" i="20"/>
  <c r="Q599" i="20"/>
  <c r="L599" i="20"/>
  <c r="Q598" i="20"/>
  <c r="L598" i="20"/>
  <c r="Q597" i="20"/>
  <c r="L597" i="20"/>
  <c r="U596" i="20"/>
  <c r="Q596" i="20"/>
  <c r="L596" i="20"/>
  <c r="Q595" i="20"/>
  <c r="L595" i="20"/>
  <c r="Q594" i="20"/>
  <c r="L594" i="20"/>
  <c r="U593" i="20"/>
  <c r="Q593" i="20"/>
  <c r="L593" i="20"/>
  <c r="U592" i="20"/>
  <c r="Q592" i="20"/>
  <c r="L592" i="20"/>
  <c r="Q591" i="20"/>
  <c r="L591" i="20"/>
  <c r="Q590" i="20"/>
  <c r="L590" i="20"/>
  <c r="Q589" i="20"/>
  <c r="L589" i="20"/>
  <c r="Q588" i="20"/>
  <c r="L588" i="20"/>
  <c r="Q587" i="20"/>
  <c r="L587" i="20"/>
  <c r="Q586" i="20"/>
  <c r="L586" i="20"/>
  <c r="Q585" i="20"/>
  <c r="L585" i="20"/>
  <c r="Q584" i="20"/>
  <c r="L584" i="20"/>
  <c r="Q583" i="20"/>
  <c r="L583" i="20"/>
  <c r="Q582" i="20"/>
  <c r="L582" i="20"/>
  <c r="Q581" i="20"/>
  <c r="L581" i="20"/>
  <c r="U580" i="20"/>
  <c r="Q580" i="20"/>
  <c r="L580" i="20"/>
  <c r="Q579" i="20"/>
  <c r="L579" i="20"/>
  <c r="Q578" i="20"/>
  <c r="L578" i="20"/>
  <c r="Q577" i="20"/>
  <c r="L577" i="20"/>
  <c r="Q576" i="20"/>
  <c r="L576" i="20"/>
  <c r="Q575" i="20"/>
  <c r="L575" i="20"/>
  <c r="Q574" i="20"/>
  <c r="L574" i="20"/>
  <c r="Q573" i="20"/>
  <c r="L573" i="20"/>
  <c r="Q572" i="20"/>
  <c r="L572" i="20"/>
  <c r="Q571" i="20"/>
  <c r="L571" i="20"/>
  <c r="Q570" i="20"/>
  <c r="L570" i="20"/>
  <c r="Q569" i="20"/>
  <c r="L569" i="20"/>
  <c r="Q568" i="20"/>
  <c r="L568" i="20"/>
  <c r="Q567" i="20"/>
  <c r="L567" i="20"/>
  <c r="U566" i="20"/>
  <c r="Q566" i="20"/>
  <c r="L566" i="20"/>
  <c r="Q565" i="20"/>
  <c r="L565" i="20"/>
  <c r="U564" i="20"/>
  <c r="Q564" i="20"/>
  <c r="L564" i="20"/>
  <c r="Q563" i="20"/>
  <c r="L563" i="20"/>
  <c r="U562" i="20"/>
  <c r="Q562" i="20"/>
  <c r="L562" i="20"/>
  <c r="Q561" i="20"/>
  <c r="L561" i="20"/>
  <c r="Q560" i="20"/>
  <c r="L560" i="20"/>
  <c r="Q559" i="20"/>
  <c r="L559" i="20"/>
  <c r="Q558" i="20"/>
  <c r="L558" i="20"/>
  <c r="Q557" i="20"/>
  <c r="L557" i="20"/>
  <c r="Q556" i="20"/>
  <c r="L556" i="20"/>
  <c r="Q555" i="20"/>
  <c r="L555" i="20"/>
  <c r="Q554" i="20"/>
  <c r="L554" i="20"/>
  <c r="Q553" i="20"/>
  <c r="L553" i="20"/>
  <c r="Q552" i="20"/>
  <c r="L552" i="20"/>
  <c r="Q551" i="20"/>
  <c r="L551" i="20"/>
  <c r="Q550" i="20"/>
  <c r="L550" i="20"/>
  <c r="Q549" i="20"/>
  <c r="L549" i="20"/>
  <c r="Q548" i="20"/>
  <c r="L548" i="20"/>
  <c r="Q547" i="20"/>
  <c r="L547" i="20"/>
  <c r="Q546" i="20"/>
  <c r="L546" i="20"/>
  <c r="Q545" i="20"/>
  <c r="L545" i="20"/>
  <c r="Q544" i="20"/>
  <c r="L544" i="20"/>
  <c r="U543" i="20"/>
  <c r="Q543" i="20"/>
  <c r="L543" i="20"/>
  <c r="Q542" i="20"/>
  <c r="L542" i="20"/>
  <c r="Q541" i="20"/>
  <c r="L541" i="20"/>
  <c r="Q540" i="20"/>
  <c r="L540" i="20"/>
  <c r="Q539" i="20"/>
  <c r="L539" i="20"/>
  <c r="Q538" i="20"/>
  <c r="L538" i="20"/>
  <c r="Q537" i="20"/>
  <c r="L537" i="20"/>
  <c r="Q536" i="20"/>
  <c r="L536" i="20"/>
  <c r="U535" i="20"/>
  <c r="Q535" i="20"/>
  <c r="L535" i="20"/>
  <c r="Q534" i="20"/>
  <c r="L534" i="20"/>
  <c r="Q533" i="20"/>
  <c r="L533" i="20"/>
  <c r="Q532" i="20"/>
  <c r="L532" i="20"/>
  <c r="Q531" i="20"/>
  <c r="L531" i="20"/>
  <c r="Q530" i="20"/>
  <c r="L530" i="20"/>
  <c r="U529" i="20"/>
  <c r="Q529" i="20"/>
  <c r="L529" i="20"/>
  <c r="U528" i="20"/>
  <c r="Q528" i="20"/>
  <c r="L528" i="20"/>
  <c r="Q527" i="20"/>
  <c r="L527" i="20"/>
  <c r="Q526" i="20"/>
  <c r="L526" i="20"/>
  <c r="Q525" i="20"/>
  <c r="L525" i="20"/>
  <c r="U524" i="20"/>
  <c r="Q524" i="20"/>
  <c r="L524" i="20"/>
  <c r="Q523" i="20"/>
  <c r="L523" i="20"/>
  <c r="Q522" i="20"/>
  <c r="L522" i="20"/>
  <c r="U521" i="20"/>
  <c r="Q521" i="20"/>
  <c r="L521" i="20"/>
  <c r="Q520" i="20"/>
  <c r="L520" i="20"/>
  <c r="U519" i="20"/>
  <c r="Q519" i="20"/>
  <c r="L519" i="20"/>
  <c r="Q518" i="20"/>
  <c r="L518" i="20"/>
  <c r="Q517" i="20"/>
  <c r="L517" i="20"/>
  <c r="Q516" i="20"/>
  <c r="L516" i="20"/>
  <c r="Q515" i="20"/>
  <c r="L515" i="20"/>
  <c r="U514" i="20"/>
  <c r="Q514" i="20"/>
  <c r="L514" i="20"/>
  <c r="Q513" i="20"/>
  <c r="L513" i="20"/>
  <c r="Q512" i="20"/>
  <c r="L512" i="20"/>
  <c r="U511" i="20"/>
  <c r="Q511" i="20"/>
  <c r="L511" i="20"/>
  <c r="Q510" i="20"/>
  <c r="L510" i="20"/>
  <c r="Q509" i="20"/>
  <c r="L509" i="20"/>
  <c r="Q508" i="20"/>
  <c r="L508" i="20"/>
  <c r="U507" i="20"/>
  <c r="Q507" i="20"/>
  <c r="L507" i="20"/>
  <c r="Q506" i="20"/>
  <c r="L506" i="20"/>
  <c r="Q505" i="20"/>
  <c r="L505" i="20"/>
  <c r="Q504" i="20"/>
  <c r="L504" i="20"/>
  <c r="Q503" i="20"/>
  <c r="L503" i="20"/>
  <c r="Q502" i="20"/>
  <c r="L502" i="20"/>
  <c r="Q501" i="20"/>
  <c r="L501" i="20"/>
  <c r="U500" i="20"/>
  <c r="Q500" i="20"/>
  <c r="L500" i="20"/>
  <c r="Q499" i="20"/>
  <c r="L499" i="20"/>
  <c r="Q498" i="20"/>
  <c r="L498" i="20"/>
  <c r="Q497" i="20"/>
  <c r="L497" i="20"/>
  <c r="Q496" i="20"/>
  <c r="L496" i="20"/>
  <c r="Q495" i="20"/>
  <c r="L495" i="20"/>
  <c r="Q494" i="20"/>
  <c r="L494" i="20"/>
  <c r="Q493" i="20"/>
  <c r="L493" i="20"/>
  <c r="Q492" i="20"/>
  <c r="L492" i="20"/>
  <c r="Q491" i="20"/>
  <c r="L491" i="20"/>
  <c r="Q490" i="20"/>
  <c r="L490" i="20"/>
  <c r="Q489" i="20"/>
  <c r="L489" i="20"/>
  <c r="Q488" i="20"/>
  <c r="L488" i="20"/>
  <c r="Q487" i="20"/>
  <c r="L487" i="20"/>
  <c r="Q486" i="20"/>
  <c r="L486" i="20"/>
  <c r="Q485" i="20"/>
  <c r="L485" i="20"/>
  <c r="Q484" i="20"/>
  <c r="L484" i="20"/>
  <c r="Q483" i="20"/>
  <c r="L483" i="20"/>
  <c r="Q482" i="20"/>
  <c r="L482" i="20"/>
  <c r="Q481" i="20"/>
  <c r="L481" i="20"/>
  <c r="Q480" i="20"/>
  <c r="L480" i="20"/>
  <c r="Q479" i="20"/>
  <c r="L479" i="20"/>
  <c r="Q478" i="20"/>
  <c r="L478" i="20"/>
  <c r="Q477" i="20"/>
  <c r="L477" i="20"/>
  <c r="Q476" i="20"/>
  <c r="L476" i="20"/>
  <c r="Q475" i="20"/>
  <c r="L475" i="20"/>
  <c r="Q474" i="20"/>
  <c r="L474" i="20"/>
  <c r="Q473" i="20"/>
  <c r="L473" i="20"/>
  <c r="Q472" i="20"/>
  <c r="L472" i="20"/>
  <c r="Q471" i="20"/>
  <c r="L471" i="20"/>
  <c r="Q470" i="20"/>
  <c r="L470" i="20"/>
  <c r="Q469" i="20"/>
  <c r="L469" i="20"/>
  <c r="Q468" i="20"/>
  <c r="L468" i="20"/>
  <c r="Q467" i="20"/>
  <c r="L467" i="20"/>
  <c r="Q466" i="20"/>
  <c r="L466" i="20"/>
  <c r="Q465" i="20"/>
  <c r="L465" i="20"/>
  <c r="Q464" i="20"/>
  <c r="L464" i="20"/>
  <c r="Q463" i="20"/>
  <c r="L463" i="20"/>
  <c r="Q462" i="20"/>
  <c r="L462" i="20"/>
  <c r="Q461" i="20"/>
  <c r="L461" i="20"/>
  <c r="Q460" i="20"/>
  <c r="L460" i="20"/>
  <c r="Q459" i="20"/>
  <c r="L459" i="20"/>
  <c r="Q458" i="20"/>
  <c r="L458" i="20"/>
  <c r="Q457" i="20"/>
  <c r="L457" i="20"/>
  <c r="Q456" i="20"/>
  <c r="L456" i="20"/>
  <c r="Q455" i="20"/>
  <c r="L455" i="20"/>
  <c r="Q454" i="20"/>
  <c r="L454" i="20"/>
  <c r="Q453" i="20"/>
  <c r="L453" i="20"/>
  <c r="Q452" i="20"/>
  <c r="L452" i="20"/>
  <c r="Q451" i="20"/>
  <c r="L451" i="20"/>
  <c r="Q450" i="20"/>
  <c r="L450" i="20"/>
  <c r="Q449" i="20"/>
  <c r="L449" i="20"/>
  <c r="Q448" i="20"/>
  <c r="L448" i="20"/>
  <c r="Q447" i="20"/>
  <c r="L447" i="20"/>
  <c r="Q446" i="20"/>
  <c r="L446" i="20"/>
  <c r="Q445" i="20"/>
  <c r="L445" i="20"/>
  <c r="Q444" i="20"/>
  <c r="L444" i="20"/>
  <c r="Q443" i="20"/>
  <c r="L443" i="20"/>
  <c r="Q442" i="20"/>
  <c r="L442" i="20"/>
  <c r="Q441" i="20"/>
  <c r="L441" i="20"/>
  <c r="Q440" i="20"/>
  <c r="L440" i="20"/>
  <c r="Q439" i="20"/>
  <c r="L439" i="20"/>
  <c r="Q438" i="20"/>
  <c r="L438" i="20"/>
  <c r="Q437" i="20"/>
  <c r="L437" i="20"/>
  <c r="Q436" i="20"/>
  <c r="L436" i="20"/>
  <c r="Q435" i="20"/>
  <c r="L435" i="20"/>
  <c r="Q434" i="20"/>
  <c r="L434" i="20"/>
  <c r="Q433" i="20"/>
  <c r="L433" i="20"/>
  <c r="Q432" i="20"/>
  <c r="L432" i="20"/>
  <c r="Q431" i="20"/>
  <c r="L431" i="20"/>
  <c r="Q430" i="20"/>
  <c r="L430" i="20"/>
  <c r="Q429" i="20"/>
  <c r="L429" i="20"/>
  <c r="Q428" i="20"/>
  <c r="L428" i="20"/>
  <c r="Q427" i="20"/>
  <c r="L427" i="20"/>
  <c r="Q426" i="20"/>
  <c r="L426" i="20"/>
  <c r="Q425" i="20"/>
  <c r="L425" i="20"/>
  <c r="Q424" i="20"/>
  <c r="L424" i="20"/>
  <c r="Q423" i="20"/>
  <c r="L423" i="20"/>
  <c r="Q422" i="20"/>
  <c r="L422" i="20"/>
  <c r="Q421" i="20"/>
  <c r="L421" i="20"/>
  <c r="Q420" i="20"/>
  <c r="L420" i="20"/>
  <c r="Q419" i="20"/>
  <c r="L419" i="20"/>
  <c r="Q418" i="20"/>
  <c r="L418" i="20"/>
  <c r="Q417" i="20"/>
  <c r="L417" i="20"/>
  <c r="Q416" i="20"/>
  <c r="L416" i="20"/>
  <c r="Q415" i="20"/>
  <c r="L415" i="20"/>
  <c r="Q414" i="20"/>
  <c r="L414" i="20"/>
  <c r="Q413" i="20"/>
  <c r="L413" i="20"/>
  <c r="Q412" i="20"/>
  <c r="L412" i="20"/>
  <c r="Q411" i="20"/>
  <c r="L411" i="20"/>
  <c r="Q410" i="20"/>
  <c r="L410" i="20"/>
  <c r="Q409" i="20"/>
  <c r="L409" i="20"/>
  <c r="Q408" i="20"/>
  <c r="L408" i="20"/>
  <c r="Q407" i="20"/>
  <c r="L407" i="20"/>
  <c r="Q406" i="20"/>
  <c r="L406" i="20"/>
  <c r="Q405" i="20"/>
  <c r="L405" i="20"/>
  <c r="Q404" i="20"/>
  <c r="L404" i="20"/>
  <c r="Q403" i="20"/>
  <c r="L403" i="20"/>
  <c r="Q402" i="20"/>
  <c r="L402" i="20"/>
  <c r="Q401" i="20"/>
  <c r="L401" i="20"/>
  <c r="Q400" i="20"/>
  <c r="L400" i="20"/>
  <c r="Q399" i="20"/>
  <c r="L399" i="20"/>
  <c r="Q398" i="20"/>
  <c r="L398" i="20"/>
  <c r="Q397" i="20"/>
  <c r="L397" i="20"/>
  <c r="Q396" i="20"/>
  <c r="L396" i="20"/>
  <c r="Q395" i="20"/>
  <c r="L395" i="20"/>
  <c r="Q394" i="20"/>
  <c r="L394" i="20"/>
  <c r="Q393" i="20"/>
  <c r="L393" i="20"/>
  <c r="Q392" i="20"/>
  <c r="L392" i="20"/>
  <c r="Q391" i="20"/>
  <c r="L391" i="20"/>
  <c r="Q390" i="20"/>
  <c r="L390" i="20"/>
  <c r="Q389" i="20"/>
  <c r="L389" i="20"/>
  <c r="Q388" i="20"/>
  <c r="L388" i="20"/>
  <c r="Q387" i="20"/>
  <c r="L387" i="20"/>
  <c r="Q386" i="20"/>
  <c r="L386" i="20"/>
  <c r="Q385" i="20"/>
  <c r="L385" i="20"/>
  <c r="Q384" i="20"/>
  <c r="L384" i="20"/>
  <c r="Q383" i="20"/>
  <c r="L383" i="20"/>
  <c r="Q382" i="20"/>
  <c r="L382" i="20"/>
  <c r="Q381" i="20"/>
  <c r="L381" i="20"/>
  <c r="Q380" i="20"/>
  <c r="L380" i="20"/>
  <c r="Q379" i="20"/>
  <c r="L379" i="20"/>
  <c r="Q378" i="20"/>
  <c r="L378" i="20"/>
  <c r="Q377" i="20"/>
  <c r="L377" i="20"/>
  <c r="Q376" i="20"/>
  <c r="L376" i="20"/>
  <c r="Q375" i="20"/>
  <c r="L375" i="20"/>
  <c r="Q374" i="20"/>
  <c r="L374" i="20"/>
  <c r="Q373" i="20"/>
  <c r="L373" i="20"/>
  <c r="U372" i="20"/>
  <c r="Q372" i="20"/>
  <c r="L372" i="20"/>
  <c r="Q371" i="20"/>
  <c r="L371" i="20"/>
  <c r="Q370" i="20"/>
  <c r="L370" i="20"/>
  <c r="Q369" i="20"/>
  <c r="L369" i="20"/>
  <c r="Q368" i="20"/>
  <c r="L368" i="20"/>
  <c r="Q367" i="20"/>
  <c r="L367" i="20"/>
  <c r="Q366" i="20"/>
  <c r="L366" i="20"/>
  <c r="U365" i="20"/>
  <c r="Q365" i="20"/>
  <c r="L365" i="20"/>
  <c r="Q364" i="20"/>
  <c r="L364" i="20"/>
  <c r="Q363" i="20"/>
  <c r="L363" i="20"/>
  <c r="Q362" i="20"/>
  <c r="L362" i="20"/>
  <c r="U361" i="20"/>
  <c r="Q361" i="20"/>
  <c r="L361" i="20"/>
  <c r="Q360" i="20"/>
  <c r="L360" i="20"/>
  <c r="Q359" i="20"/>
  <c r="L359" i="20"/>
  <c r="Q358" i="20"/>
  <c r="L358" i="20"/>
  <c r="Q357" i="20"/>
  <c r="L357" i="20"/>
  <c r="U356" i="20"/>
  <c r="Q356" i="20"/>
  <c r="L356" i="20"/>
  <c r="Q355" i="20"/>
  <c r="L355" i="20"/>
  <c r="Q354" i="20"/>
  <c r="L354" i="20"/>
  <c r="Q353" i="20"/>
  <c r="L353" i="20"/>
  <c r="U352" i="20"/>
  <c r="Q352" i="20"/>
  <c r="L352" i="20"/>
  <c r="Q351" i="20"/>
  <c r="L351" i="20"/>
  <c r="Q350" i="20"/>
  <c r="L350" i="20"/>
  <c r="U349" i="20"/>
  <c r="Q349" i="20"/>
  <c r="L349" i="20"/>
  <c r="U348" i="20"/>
  <c r="Q348" i="20"/>
  <c r="L348" i="20"/>
  <c r="Q347" i="20"/>
  <c r="L347" i="20"/>
  <c r="Q346" i="20"/>
  <c r="L346" i="20"/>
  <c r="U345" i="20"/>
  <c r="Q345" i="20"/>
  <c r="L345" i="20"/>
  <c r="U344" i="20"/>
  <c r="Q344" i="20"/>
  <c r="L344" i="20"/>
  <c r="Q343" i="20"/>
  <c r="L343" i="20"/>
  <c r="Q342" i="20"/>
  <c r="L342" i="20"/>
  <c r="Q341" i="20"/>
  <c r="L341" i="20"/>
  <c r="Q340" i="20"/>
  <c r="L340" i="20"/>
  <c r="U339" i="20"/>
  <c r="Q339" i="20"/>
  <c r="L339" i="20"/>
  <c r="U338" i="20"/>
  <c r="Q338" i="20"/>
  <c r="L338" i="20"/>
  <c r="Q337" i="20"/>
  <c r="L337" i="20"/>
  <c r="Q336" i="20"/>
  <c r="L336" i="20"/>
  <c r="Q335" i="20"/>
  <c r="L335" i="20"/>
  <c r="Q334" i="20"/>
  <c r="L334" i="20"/>
  <c r="Q333" i="20"/>
  <c r="L333" i="20"/>
  <c r="Q332" i="20"/>
  <c r="L332" i="20"/>
  <c r="Q331" i="20"/>
  <c r="L331" i="20"/>
  <c r="Q330" i="20"/>
  <c r="L330" i="20"/>
  <c r="U329" i="20"/>
  <c r="Q329" i="20"/>
  <c r="L329" i="20"/>
  <c r="U328" i="20"/>
  <c r="Q328" i="20"/>
  <c r="L328" i="20"/>
  <c r="Q327" i="20"/>
  <c r="L327" i="20"/>
  <c r="U326" i="20"/>
  <c r="Q326" i="20"/>
  <c r="L326" i="20"/>
  <c r="Q325" i="20"/>
  <c r="L325" i="20"/>
  <c r="Q324" i="20"/>
  <c r="L324" i="20"/>
  <c r="Q323" i="20"/>
  <c r="L323" i="20"/>
  <c r="Q322" i="20"/>
  <c r="L322" i="20"/>
  <c r="U321" i="20"/>
  <c r="Q321" i="20"/>
  <c r="L321" i="20"/>
  <c r="U320" i="20"/>
  <c r="Q320" i="20"/>
  <c r="L320" i="20"/>
  <c r="Q319" i="20"/>
  <c r="L319" i="20"/>
  <c r="Q318" i="20"/>
  <c r="L318" i="20"/>
  <c r="Q317" i="20"/>
  <c r="L317" i="20"/>
  <c r="Q316" i="20"/>
  <c r="L316" i="20"/>
  <c r="U315" i="20"/>
  <c r="Q315" i="20"/>
  <c r="L315" i="20"/>
  <c r="U314" i="20"/>
  <c r="Q314" i="20"/>
  <c r="L314" i="20"/>
  <c r="Q313" i="20"/>
  <c r="L313" i="20"/>
  <c r="Q312" i="20"/>
  <c r="L312" i="20"/>
  <c r="Q311" i="20"/>
  <c r="L311" i="20"/>
  <c r="Q310" i="20"/>
  <c r="L310" i="20"/>
  <c r="Q309" i="20"/>
  <c r="L309" i="20"/>
  <c r="U308" i="20"/>
  <c r="Q308" i="20"/>
  <c r="L308" i="20"/>
  <c r="Q307" i="20"/>
  <c r="L307" i="20"/>
  <c r="Q306" i="20"/>
  <c r="L306" i="20"/>
  <c r="Q305" i="20"/>
  <c r="L305" i="20"/>
  <c r="Q304" i="20"/>
  <c r="L304" i="20"/>
  <c r="U303" i="20"/>
  <c r="Q303" i="20"/>
  <c r="L303" i="20"/>
  <c r="U302" i="20"/>
  <c r="Q302" i="20"/>
  <c r="L302" i="20"/>
  <c r="Q301" i="20"/>
  <c r="L301" i="20"/>
  <c r="Q300" i="20"/>
  <c r="L300" i="20"/>
  <c r="Q299" i="20"/>
  <c r="L299" i="20"/>
  <c r="Q298" i="20"/>
  <c r="L298" i="20"/>
  <c r="U297" i="20"/>
  <c r="Q297" i="20"/>
  <c r="L297" i="20"/>
  <c r="U296" i="20"/>
  <c r="Q296" i="20"/>
  <c r="L296" i="20"/>
  <c r="Q295" i="20"/>
  <c r="L295" i="20"/>
  <c r="Q294" i="20"/>
  <c r="L294" i="20"/>
  <c r="Q293" i="20"/>
  <c r="L293" i="20"/>
  <c r="Q292" i="20"/>
  <c r="L292" i="20"/>
  <c r="Q291" i="20"/>
  <c r="L291" i="20"/>
  <c r="Q290" i="20"/>
  <c r="L290" i="20"/>
  <c r="Q289" i="20"/>
  <c r="L289" i="20"/>
  <c r="Q288" i="20"/>
  <c r="L288" i="20"/>
  <c r="Q287" i="20"/>
  <c r="L287" i="20"/>
  <c r="Q286" i="20"/>
  <c r="L286" i="20"/>
  <c r="Q285" i="20"/>
  <c r="L285" i="20"/>
  <c r="Q284" i="20"/>
  <c r="L284" i="20"/>
  <c r="U283" i="20"/>
  <c r="Q283" i="20"/>
  <c r="L283" i="20"/>
  <c r="Q282" i="20"/>
  <c r="L282" i="20"/>
  <c r="Q281" i="20"/>
  <c r="L281" i="20"/>
  <c r="Q280" i="20"/>
  <c r="L280" i="20"/>
  <c r="U279" i="20"/>
  <c r="Q279" i="20"/>
  <c r="L279" i="20"/>
  <c r="U278" i="20"/>
  <c r="Q278" i="20"/>
  <c r="L278" i="20"/>
  <c r="Q277" i="20"/>
  <c r="L277" i="20"/>
  <c r="Q276" i="20"/>
  <c r="L276" i="20"/>
  <c r="U275" i="20"/>
  <c r="Q275" i="20"/>
  <c r="L275" i="20"/>
  <c r="Q274" i="20"/>
  <c r="L274" i="20"/>
  <c r="Q273" i="20"/>
  <c r="L273" i="20"/>
  <c r="Q272" i="20"/>
  <c r="L272" i="20"/>
  <c r="Q271" i="20"/>
  <c r="L271" i="20"/>
  <c r="U270" i="20"/>
  <c r="Q270" i="20"/>
  <c r="L270" i="20"/>
  <c r="U269" i="20"/>
  <c r="Q269" i="20"/>
  <c r="L269" i="20"/>
  <c r="U268" i="20"/>
  <c r="Q268" i="20"/>
  <c r="L268" i="20"/>
  <c r="Q267" i="20"/>
  <c r="L267" i="20"/>
  <c r="U266" i="20"/>
  <c r="Q266" i="20"/>
  <c r="L266" i="20"/>
  <c r="Q265" i="20"/>
  <c r="L265" i="20"/>
  <c r="U264" i="20"/>
  <c r="Q264" i="20"/>
  <c r="L264" i="20"/>
  <c r="Q263" i="20"/>
  <c r="L263" i="20"/>
  <c r="Q262" i="20"/>
  <c r="L262" i="20"/>
  <c r="Q261" i="20"/>
  <c r="L261" i="20"/>
  <c r="Q260" i="20"/>
  <c r="L260" i="20"/>
  <c r="Q259" i="20"/>
  <c r="L259" i="20"/>
  <c r="Q258" i="20"/>
  <c r="L258" i="20"/>
  <c r="Q257" i="20"/>
  <c r="L257" i="20"/>
  <c r="U256" i="20"/>
  <c r="Q256" i="20"/>
  <c r="L256" i="20"/>
  <c r="Q255" i="20"/>
  <c r="L255" i="20"/>
  <c r="Q254" i="20"/>
  <c r="L254" i="20"/>
  <c r="U253" i="20"/>
  <c r="Q253" i="20"/>
  <c r="L253" i="20"/>
  <c r="Q252" i="20"/>
  <c r="L252" i="20"/>
  <c r="U251" i="20"/>
  <c r="Q251" i="20"/>
  <c r="L251" i="20"/>
  <c r="Q250" i="20"/>
  <c r="L250" i="20"/>
  <c r="Q249" i="20"/>
  <c r="L249" i="20"/>
  <c r="Q248" i="20"/>
  <c r="L248" i="20"/>
  <c r="Q247" i="20"/>
  <c r="L247" i="20"/>
  <c r="U246" i="20"/>
  <c r="T246" i="20"/>
  <c r="P246" i="20"/>
  <c r="Q246" i="20" s="1"/>
  <c r="K246" i="20"/>
  <c r="K908" i="20" s="1"/>
  <c r="U245" i="20"/>
  <c r="Q245" i="20"/>
  <c r="L245" i="20"/>
  <c r="Q244" i="20"/>
  <c r="L244" i="20"/>
  <c r="U243" i="20"/>
  <c r="Q243" i="20"/>
  <c r="L243" i="20"/>
  <c r="Q242" i="20"/>
  <c r="L242" i="20"/>
  <c r="Q241" i="20"/>
  <c r="L241" i="20"/>
  <c r="Q240" i="20"/>
  <c r="L240" i="20"/>
  <c r="Q239" i="20"/>
  <c r="L239" i="20"/>
  <c r="Q238" i="20"/>
  <c r="L238" i="20"/>
  <c r="U237" i="20"/>
  <c r="Q237" i="20"/>
  <c r="L237" i="20"/>
  <c r="Q236" i="20"/>
  <c r="L236" i="20"/>
  <c r="Q235" i="20"/>
  <c r="L235" i="20"/>
  <c r="U234" i="20"/>
  <c r="Q234" i="20"/>
  <c r="L234" i="20"/>
  <c r="Q233" i="20"/>
  <c r="L233" i="20"/>
  <c r="Q232" i="20"/>
  <c r="L232" i="20"/>
  <c r="Q231" i="20"/>
  <c r="L231" i="20"/>
  <c r="Q230" i="20"/>
  <c r="L230" i="20"/>
  <c r="Q229" i="20"/>
  <c r="L229" i="20"/>
  <c r="Q228" i="20"/>
  <c r="L228" i="20"/>
  <c r="U227" i="20"/>
  <c r="Q227" i="20"/>
  <c r="L227" i="20"/>
  <c r="Q226" i="20"/>
  <c r="L226" i="20"/>
  <c r="U225" i="20"/>
  <c r="Q225" i="20"/>
  <c r="L225" i="20"/>
  <c r="U224" i="20"/>
  <c r="Q224" i="20"/>
  <c r="L224" i="20"/>
  <c r="Q223" i="20"/>
  <c r="L223" i="20"/>
  <c r="Q222" i="20"/>
  <c r="L222" i="20"/>
  <c r="Q221" i="20"/>
  <c r="L221" i="20"/>
  <c r="Q220" i="20"/>
  <c r="L220" i="20"/>
  <c r="Q219" i="20"/>
  <c r="L219" i="20"/>
  <c r="Q218" i="20"/>
  <c r="L218" i="20"/>
  <c r="Q217" i="20"/>
  <c r="L217" i="20"/>
  <c r="Q216" i="20"/>
  <c r="L216" i="20"/>
  <c r="Q215" i="20"/>
  <c r="L215" i="20"/>
  <c r="Q214" i="20"/>
  <c r="L214" i="20"/>
  <c r="Q213" i="20"/>
  <c r="L213" i="20"/>
  <c r="U212" i="20"/>
  <c r="Q212" i="20"/>
  <c r="L212" i="20"/>
  <c r="Q211" i="20"/>
  <c r="L211" i="20"/>
  <c r="U210" i="20"/>
  <c r="Q210" i="20"/>
  <c r="L210" i="20"/>
  <c r="U209" i="20"/>
  <c r="Q209" i="20"/>
  <c r="L209" i="20"/>
  <c r="Q208" i="20"/>
  <c r="L208" i="20"/>
  <c r="U207" i="20"/>
  <c r="Q207" i="20"/>
  <c r="L207" i="20"/>
  <c r="U206" i="20"/>
  <c r="Q206" i="20"/>
  <c r="L206" i="20"/>
  <c r="Q205" i="20"/>
  <c r="L205" i="20"/>
  <c r="Q204" i="20"/>
  <c r="L204" i="20"/>
  <c r="Q203" i="20"/>
  <c r="L203" i="20"/>
  <c r="Q202" i="20"/>
  <c r="L202" i="20"/>
  <c r="Q201" i="20"/>
  <c r="L201" i="20"/>
  <c r="Q200" i="20"/>
  <c r="L200" i="20"/>
  <c r="Q199" i="20"/>
  <c r="L199" i="20"/>
  <c r="Q198" i="20"/>
  <c r="L198" i="20"/>
  <c r="Q197" i="20"/>
  <c r="L197" i="20"/>
  <c r="U196" i="20"/>
  <c r="Q196" i="20"/>
  <c r="L196" i="20"/>
  <c r="Q195" i="20"/>
  <c r="L195" i="20"/>
  <c r="Q194" i="20"/>
  <c r="L194" i="20"/>
  <c r="Q193" i="20"/>
  <c r="L193" i="20"/>
  <c r="U192" i="20"/>
  <c r="Q192" i="20"/>
  <c r="L192" i="20"/>
  <c r="Q191" i="20"/>
  <c r="L191" i="20"/>
  <c r="U190" i="20"/>
  <c r="Q190" i="20"/>
  <c r="L190" i="20"/>
  <c r="Q189" i="20"/>
  <c r="L189" i="20"/>
  <c r="Q188" i="20"/>
  <c r="L188" i="20"/>
  <c r="Q187" i="20"/>
  <c r="L187" i="20"/>
  <c r="Q186" i="20"/>
  <c r="L186" i="20"/>
  <c r="U185" i="20"/>
  <c r="Q185" i="20"/>
  <c r="L185" i="20"/>
  <c r="Q184" i="20"/>
  <c r="L184" i="20"/>
  <c r="Q183" i="20"/>
  <c r="L183" i="20"/>
  <c r="Q182" i="20"/>
  <c r="L182" i="20"/>
  <c r="Q181" i="20"/>
  <c r="L181" i="20"/>
  <c r="U180" i="20"/>
  <c r="Q180" i="20"/>
  <c r="L180" i="20"/>
  <c r="Q179" i="20"/>
  <c r="L179" i="20"/>
  <c r="Q178" i="20"/>
  <c r="L178" i="20"/>
  <c r="Q177" i="20"/>
  <c r="L177" i="20"/>
  <c r="Q176" i="20"/>
  <c r="L176" i="20"/>
  <c r="Q175" i="20"/>
  <c r="L175" i="20"/>
  <c r="U174" i="20"/>
  <c r="Q174" i="20"/>
  <c r="L174" i="20"/>
  <c r="Q173" i="20"/>
  <c r="L173" i="20"/>
  <c r="Q172" i="20"/>
  <c r="L172" i="20"/>
  <c r="U171" i="20"/>
  <c r="Q171" i="20"/>
  <c r="L171" i="20"/>
  <c r="U170" i="20"/>
  <c r="Q170" i="20"/>
  <c r="L170" i="20"/>
  <c r="Q169" i="20"/>
  <c r="L169" i="20"/>
  <c r="Q168" i="20"/>
  <c r="L168" i="20"/>
  <c r="Q167" i="20"/>
  <c r="L167" i="20"/>
  <c r="Q166" i="20"/>
  <c r="L166" i="20"/>
  <c r="U165" i="20"/>
  <c r="Q165" i="20"/>
  <c r="L165" i="20"/>
  <c r="Q164" i="20"/>
  <c r="L164" i="20"/>
  <c r="Q163" i="20"/>
  <c r="L163" i="20"/>
  <c r="Q162" i="20"/>
  <c r="L162" i="20"/>
  <c r="Q161" i="20"/>
  <c r="L161" i="20"/>
  <c r="U160" i="20"/>
  <c r="Q160" i="20"/>
  <c r="L160" i="20"/>
  <c r="Q159" i="20"/>
  <c r="L159" i="20"/>
  <c r="Q158" i="20"/>
  <c r="L158" i="20"/>
  <c r="Q157" i="20"/>
  <c r="L157" i="20"/>
  <c r="Q156" i="20"/>
  <c r="L156" i="20"/>
  <c r="U155" i="20"/>
  <c r="Q155" i="20"/>
  <c r="L155" i="20"/>
  <c r="Q154" i="20"/>
  <c r="L154" i="20"/>
  <c r="Q153" i="20"/>
  <c r="L153" i="20"/>
  <c r="Q152" i="20"/>
  <c r="L152" i="20"/>
  <c r="U151" i="20"/>
  <c r="Q151" i="20"/>
  <c r="L151" i="20"/>
  <c r="Q150" i="20"/>
  <c r="L150" i="20"/>
  <c r="U149" i="20"/>
  <c r="Q149" i="20"/>
  <c r="L149" i="20"/>
  <c r="Q148" i="20"/>
  <c r="L148" i="20"/>
  <c r="Q147" i="20"/>
  <c r="L147" i="20"/>
  <c r="Q146" i="20"/>
  <c r="L146" i="20"/>
  <c r="Q145" i="20"/>
  <c r="L145" i="20"/>
  <c r="U144" i="20"/>
  <c r="Q144" i="20"/>
  <c r="L144" i="20"/>
  <c r="Q143" i="20"/>
  <c r="L143" i="20"/>
  <c r="U142" i="20"/>
  <c r="Q142" i="20"/>
  <c r="L142" i="20"/>
  <c r="Q141" i="20"/>
  <c r="L141" i="20"/>
  <c r="Q140" i="20"/>
  <c r="L140" i="20"/>
  <c r="Q139" i="20"/>
  <c r="L139" i="20"/>
  <c r="Q138" i="20"/>
  <c r="L138" i="20"/>
  <c r="Q137" i="20"/>
  <c r="L137" i="20"/>
  <c r="Q136" i="20"/>
  <c r="L136" i="20"/>
  <c r="Q135" i="20"/>
  <c r="L135" i="20"/>
  <c r="Q134" i="20"/>
  <c r="L134" i="20"/>
  <c r="U133" i="20"/>
  <c r="Q133" i="20"/>
  <c r="L133" i="20"/>
  <c r="Q132" i="20"/>
  <c r="L132" i="20"/>
  <c r="Q131" i="20"/>
  <c r="L131" i="20"/>
  <c r="U130" i="20"/>
  <c r="Q130" i="20"/>
  <c r="L130" i="20"/>
  <c r="Q129" i="20"/>
  <c r="L129" i="20"/>
  <c r="U128" i="20"/>
  <c r="Q128" i="20"/>
  <c r="L128" i="20"/>
  <c r="U127" i="20"/>
  <c r="Q127" i="20"/>
  <c r="L127" i="20"/>
  <c r="U126" i="20"/>
  <c r="Q126" i="20"/>
  <c r="L126" i="20"/>
  <c r="Q125" i="20"/>
  <c r="L125" i="20"/>
  <c r="Q124" i="20"/>
  <c r="L124" i="20"/>
  <c r="Q123" i="20"/>
  <c r="L123" i="20"/>
  <c r="Q122" i="20"/>
  <c r="L122" i="20"/>
  <c r="U121" i="20"/>
  <c r="Q121" i="20"/>
  <c r="L121" i="20"/>
  <c r="Q120" i="20"/>
  <c r="L120" i="20"/>
  <c r="Q119" i="20"/>
  <c r="L119" i="20"/>
  <c r="Q118" i="20"/>
  <c r="L118" i="20"/>
  <c r="Q117" i="20"/>
  <c r="L117" i="20"/>
  <c r="Q116" i="20"/>
  <c r="L116" i="20"/>
  <c r="Q115" i="20"/>
  <c r="L115" i="20"/>
  <c r="Q114" i="20"/>
  <c r="L114" i="20"/>
  <c r="U113" i="20"/>
  <c r="Q113" i="20"/>
  <c r="L113" i="20"/>
  <c r="Q112" i="20"/>
  <c r="L112" i="20"/>
  <c r="U111" i="20"/>
  <c r="Q111" i="20"/>
  <c r="L111" i="20"/>
  <c r="Q110" i="20"/>
  <c r="L110" i="20"/>
  <c r="U109" i="20"/>
  <c r="Q109" i="20"/>
  <c r="L109" i="20"/>
  <c r="Q108" i="20"/>
  <c r="L108" i="20"/>
  <c r="Q107" i="20"/>
  <c r="L107" i="20"/>
  <c r="Q106" i="20"/>
  <c r="L106" i="20"/>
  <c r="Q105" i="20"/>
  <c r="L105" i="20"/>
  <c r="U104" i="20"/>
  <c r="Q104" i="20"/>
  <c r="L104" i="20"/>
  <c r="Q103" i="20"/>
  <c r="L103" i="20"/>
  <c r="U102" i="20"/>
  <c r="Q102" i="20"/>
  <c r="L102" i="20"/>
  <c r="Q101" i="20"/>
  <c r="L101" i="20"/>
  <c r="Q100" i="20"/>
  <c r="L100" i="20"/>
  <c r="U99" i="20"/>
  <c r="Q99" i="20"/>
  <c r="L99" i="20"/>
  <c r="Q98" i="20"/>
  <c r="L98" i="20"/>
  <c r="U97" i="20"/>
  <c r="Q97" i="20"/>
  <c r="L97" i="20"/>
  <c r="Q96" i="20"/>
  <c r="L96" i="20"/>
  <c r="Q95" i="20"/>
  <c r="L95" i="20"/>
  <c r="Q94" i="20"/>
  <c r="L94" i="20"/>
  <c r="U93" i="20"/>
  <c r="Q93" i="20"/>
  <c r="L93" i="20"/>
  <c r="Q92" i="20"/>
  <c r="L92" i="20"/>
  <c r="U91" i="20"/>
  <c r="Q91" i="20"/>
  <c r="L91" i="20"/>
  <c r="Q90" i="20"/>
  <c r="L90" i="20"/>
  <c r="Q89" i="20"/>
  <c r="L89" i="20"/>
  <c r="Q88" i="20"/>
  <c r="L88" i="20"/>
  <c r="Q87" i="20"/>
  <c r="L87" i="20"/>
  <c r="Q86" i="20"/>
  <c r="L86" i="20"/>
  <c r="Q85" i="20"/>
  <c r="L85" i="20"/>
  <c r="Q84" i="20"/>
  <c r="L84" i="20"/>
  <c r="Q83" i="20"/>
  <c r="L83" i="20"/>
  <c r="Q82" i="20"/>
  <c r="L82" i="20"/>
  <c r="Q81" i="20"/>
  <c r="L81" i="20"/>
  <c r="U80" i="20"/>
  <c r="Q80" i="20"/>
  <c r="L80" i="20"/>
  <c r="Q79" i="20"/>
  <c r="L79" i="20"/>
  <c r="Q78" i="20"/>
  <c r="L78" i="20"/>
  <c r="U77" i="20"/>
  <c r="Q77" i="20"/>
  <c r="L77" i="20"/>
  <c r="Q76" i="20"/>
  <c r="L76" i="20"/>
  <c r="Q75" i="20"/>
  <c r="L75" i="20"/>
  <c r="Q74" i="20"/>
  <c r="L74" i="20"/>
  <c r="Q73" i="20"/>
  <c r="L73" i="20"/>
  <c r="U72" i="20"/>
  <c r="Q72" i="20"/>
  <c r="L72" i="20"/>
  <c r="Q71" i="20"/>
  <c r="L71" i="20"/>
  <c r="Q70" i="20"/>
  <c r="L70" i="20"/>
  <c r="U69" i="20"/>
  <c r="Q69" i="20"/>
  <c r="L69" i="20"/>
  <c r="Q68" i="20"/>
  <c r="L68" i="20"/>
  <c r="Q67" i="20"/>
  <c r="L67" i="20"/>
  <c r="Q66" i="20"/>
  <c r="L66" i="20"/>
  <c r="Q65" i="20"/>
  <c r="L65" i="20"/>
  <c r="Q64" i="20"/>
  <c r="L64" i="20"/>
  <c r="Q63" i="20"/>
  <c r="L63" i="20"/>
  <c r="U62" i="20"/>
  <c r="Q62" i="20"/>
  <c r="L62" i="20"/>
  <c r="Q61" i="20"/>
  <c r="L61" i="20"/>
  <c r="Q60" i="20"/>
  <c r="L60" i="20"/>
  <c r="Q59" i="20"/>
  <c r="L59" i="20"/>
  <c r="U58" i="20"/>
  <c r="Q58" i="20"/>
  <c r="L58" i="20"/>
  <c r="Q57" i="20"/>
  <c r="L57" i="20"/>
  <c r="U56" i="20"/>
  <c r="Q56" i="20"/>
  <c r="L56" i="20"/>
  <c r="Q55" i="20"/>
  <c r="L55" i="20"/>
  <c r="U54" i="20"/>
  <c r="Q54" i="20"/>
  <c r="L54" i="20"/>
  <c r="Q53" i="20"/>
  <c r="L53" i="20"/>
  <c r="Q52" i="20"/>
  <c r="L52" i="20"/>
  <c r="Q51" i="20"/>
  <c r="L51" i="20"/>
  <c r="U50" i="20"/>
  <c r="Q50" i="20"/>
  <c r="L50" i="20"/>
  <c r="U49" i="20"/>
  <c r="Q49" i="20"/>
  <c r="L49" i="20"/>
  <c r="Q48" i="20"/>
  <c r="L48" i="20"/>
  <c r="Q47" i="20"/>
  <c r="L47" i="20"/>
  <c r="U46" i="20"/>
  <c r="Q46" i="20"/>
  <c r="L46" i="20"/>
  <c r="Q45" i="20"/>
  <c r="L45" i="20"/>
  <c r="Q44" i="20"/>
  <c r="L44" i="20"/>
  <c r="U43" i="20"/>
  <c r="Q43" i="20"/>
  <c r="L43" i="20"/>
  <c r="U42" i="20"/>
  <c r="Q42" i="20"/>
  <c r="L42" i="20"/>
  <c r="Q41" i="20"/>
  <c r="L41" i="20"/>
  <c r="Q40" i="20"/>
  <c r="L40" i="20"/>
  <c r="Q39" i="20"/>
  <c r="L39" i="20"/>
  <c r="U38" i="20"/>
  <c r="Q38" i="20"/>
  <c r="L38" i="20"/>
  <c r="Q37" i="20"/>
  <c r="L37" i="20"/>
  <c r="Q36" i="20"/>
  <c r="L36" i="20"/>
  <c r="Q35" i="20"/>
  <c r="L35" i="20"/>
  <c r="Q34" i="20"/>
  <c r="L34" i="20"/>
  <c r="Q33" i="20"/>
  <c r="L33" i="20"/>
  <c r="Q32" i="20"/>
  <c r="L32" i="20"/>
  <c r="Q31" i="20"/>
  <c r="L31" i="20"/>
  <c r="Q30" i="20"/>
  <c r="L30" i="20"/>
  <c r="Q29" i="20"/>
  <c r="L29" i="20"/>
  <c r="Q28" i="20"/>
  <c r="L28" i="20"/>
  <c r="Q27" i="20"/>
  <c r="L27" i="20"/>
  <c r="Q26" i="20"/>
  <c r="L26" i="20"/>
  <c r="Q25" i="20"/>
  <c r="L25" i="20"/>
  <c r="Q24" i="20"/>
  <c r="L24" i="20"/>
  <c r="Q23" i="20"/>
  <c r="L23" i="20"/>
  <c r="Q22" i="20"/>
  <c r="L22" i="20"/>
  <c r="U21" i="20"/>
  <c r="Q21" i="20"/>
  <c r="L21" i="20"/>
  <c r="Q20" i="20"/>
  <c r="L20" i="20"/>
  <c r="Q19" i="20"/>
  <c r="L19" i="20"/>
  <c r="U18" i="20"/>
  <c r="Q18" i="20"/>
  <c r="L18" i="20"/>
  <c r="Q17" i="20"/>
  <c r="L17" i="20"/>
  <c r="Q16" i="20"/>
  <c r="L16" i="20"/>
  <c r="Q15" i="20"/>
  <c r="L15" i="20"/>
  <c r="U14" i="20"/>
  <c r="Q14" i="20"/>
  <c r="L14" i="20"/>
  <c r="Q13" i="20"/>
  <c r="L13" i="20"/>
  <c r="Q12" i="20"/>
  <c r="L12" i="20"/>
  <c r="U11" i="20"/>
  <c r="Q11" i="20"/>
  <c r="L11" i="20"/>
  <c r="Q10" i="20"/>
  <c r="L10" i="20"/>
  <c r="Q9" i="20"/>
  <c r="L9" i="20"/>
  <c r="Q8" i="20"/>
  <c r="L8" i="20"/>
  <c r="Q7" i="20"/>
  <c r="L7" i="20"/>
  <c r="C145" i="18"/>
  <c r="G126" i="18"/>
  <c r="C95" i="18" s="1"/>
  <c r="AQ32" i="2" s="1"/>
  <c r="E126" i="18"/>
  <c r="H126" i="18" s="1"/>
  <c r="D95" i="18" s="1"/>
  <c r="AT32" i="2" s="1"/>
  <c r="E125" i="18"/>
  <c r="H125" i="18" s="1"/>
  <c r="D94" i="18" s="1"/>
  <c r="C76" i="18"/>
  <c r="C77" i="18" s="1"/>
  <c r="D77" i="18" s="1"/>
  <c r="E64" i="18"/>
  <c r="G111" i="17"/>
  <c r="G110" i="17"/>
  <c r="G108" i="17"/>
  <c r="G107" i="17"/>
  <c r="D106" i="17"/>
  <c r="F105" i="17"/>
  <c r="F112" i="17" s="1"/>
  <c r="E105" i="17"/>
  <c r="E112" i="17" s="1"/>
  <c r="C105" i="17"/>
  <c r="C112" i="17" s="1"/>
  <c r="G104" i="17"/>
  <c r="G102" i="17"/>
  <c r="G101" i="17"/>
  <c r="F51" i="17"/>
  <c r="E51" i="17"/>
  <c r="D51" i="17"/>
  <c r="C51" i="17"/>
  <c r="G49" i="17"/>
  <c r="G48" i="17"/>
  <c r="G47" i="17"/>
  <c r="G46" i="17"/>
  <c r="G45" i="17"/>
  <c r="G44" i="17"/>
  <c r="F37" i="17"/>
  <c r="E37" i="17"/>
  <c r="G35" i="17"/>
  <c r="G34" i="17"/>
  <c r="G33" i="17"/>
  <c r="G32" i="17"/>
  <c r="G31" i="17"/>
  <c r="G30" i="17"/>
  <c r="G29" i="17"/>
  <c r="G28" i="17"/>
  <c r="G27" i="17"/>
  <c r="G26" i="17"/>
  <c r="G25" i="17"/>
  <c r="D24" i="17"/>
  <c r="D37" i="17" s="1"/>
  <c r="G23" i="17"/>
  <c r="L305" i="16"/>
  <c r="AY212" i="2" s="1"/>
  <c r="L304" i="16"/>
  <c r="L303" i="16"/>
  <c r="L302" i="16"/>
  <c r="AY209" i="2" s="1"/>
  <c r="L301" i="16"/>
  <c r="AY208" i="2" s="1"/>
  <c r="L300" i="16"/>
  <c r="AY207" i="2" s="1"/>
  <c r="L299" i="16"/>
  <c r="AY206" i="2" s="1"/>
  <c r="L298" i="16"/>
  <c r="L295" i="16"/>
  <c r="AY202" i="2" s="1"/>
  <c r="L294" i="16"/>
  <c r="L293" i="16"/>
  <c r="L292" i="16"/>
  <c r="AY199" i="2" s="1"/>
  <c r="L291" i="16"/>
  <c r="AY198" i="2" s="1"/>
  <c r="L287" i="16"/>
  <c r="AY225" i="2" s="1"/>
  <c r="J286" i="16"/>
  <c r="AV406" i="2" s="1"/>
  <c r="J285" i="16"/>
  <c r="L283" i="16"/>
  <c r="AY184" i="2" s="1"/>
  <c r="J283" i="16"/>
  <c r="L282" i="16"/>
  <c r="J282" i="16"/>
  <c r="AV368" i="2" s="1"/>
  <c r="L281" i="16"/>
  <c r="AY358" i="2" s="1"/>
  <c r="J281" i="16"/>
  <c r="AV358" i="2" s="1"/>
  <c r="L280" i="16"/>
  <c r="AY348" i="2" s="1"/>
  <c r="J280" i="16"/>
  <c r="L279" i="16"/>
  <c r="AY338" i="2" s="1"/>
  <c r="J279" i="16"/>
  <c r="L278" i="16"/>
  <c r="J278" i="16"/>
  <c r="AV328" i="2" s="1"/>
  <c r="L277" i="16"/>
  <c r="AY318" i="2" s="1"/>
  <c r="J277" i="16"/>
  <c r="AV318" i="2" s="1"/>
  <c r="L276" i="16"/>
  <c r="AY308" i="2" s="1"/>
  <c r="J276" i="16"/>
  <c r="AV308" i="2" s="1"/>
  <c r="L275" i="16"/>
  <c r="J275" i="16"/>
  <c r="L274" i="16"/>
  <c r="J274" i="16"/>
  <c r="AV283" i="2" s="1"/>
  <c r="L273" i="16"/>
  <c r="AY29" i="2" s="1"/>
  <c r="J273" i="16"/>
  <c r="AV29" i="2" s="1"/>
  <c r="L271" i="16"/>
  <c r="AY277" i="2" s="1"/>
  <c r="L270" i="16"/>
  <c r="AY272" i="2" s="1"/>
  <c r="L269" i="16"/>
  <c r="AY267" i="2" s="1"/>
  <c r="L268" i="16"/>
  <c r="L267" i="16"/>
  <c r="L266" i="16"/>
  <c r="AY252" i="2" s="1"/>
  <c r="L265" i="16"/>
  <c r="AY247" i="2" s="1"/>
  <c r="L264" i="16"/>
  <c r="AY242" i="2" s="1"/>
  <c r="L263" i="16"/>
  <c r="AY236" i="2" s="1"/>
  <c r="L262" i="16"/>
  <c r="L261" i="16"/>
  <c r="AY271" i="2" s="1"/>
  <c r="L260" i="16"/>
  <c r="L259" i="16"/>
  <c r="L258" i="16"/>
  <c r="AY256" i="2" s="1"/>
  <c r="L257" i="16"/>
  <c r="AY251" i="2" s="1"/>
  <c r="L256" i="16"/>
  <c r="AY246" i="2" s="1"/>
  <c r="L255" i="16"/>
  <c r="AY240" i="2" s="1"/>
  <c r="L254" i="16"/>
  <c r="J251" i="16"/>
  <c r="J250" i="16"/>
  <c r="J249" i="16"/>
  <c r="J248" i="16"/>
  <c r="AV336" i="2" s="1"/>
  <c r="J247" i="16"/>
  <c r="AV326" i="2" s="1"/>
  <c r="J246" i="16"/>
  <c r="AV316" i="2" s="1"/>
  <c r="J245" i="16"/>
  <c r="AV306" i="2" s="1"/>
  <c r="J244" i="16"/>
  <c r="AV294" i="2" s="1"/>
  <c r="J243" i="16"/>
  <c r="L241" i="16"/>
  <c r="L240" i="16"/>
  <c r="L239" i="16"/>
  <c r="AY132" i="2" s="1"/>
  <c r="L237" i="16"/>
  <c r="AY130" i="2" s="1"/>
  <c r="L236" i="16"/>
  <c r="AY129" i="2" s="1"/>
  <c r="L235" i="16"/>
  <c r="AY128" i="2" s="1"/>
  <c r="L234" i="16"/>
  <c r="AY127" i="2" s="1"/>
  <c r="L233" i="16"/>
  <c r="J232" i="16"/>
  <c r="J231" i="16"/>
  <c r="J230" i="16"/>
  <c r="AV145" i="2" s="1"/>
  <c r="J228" i="16"/>
  <c r="AV142" i="2" s="1"/>
  <c r="J227" i="16"/>
  <c r="AV144" i="2" s="1"/>
  <c r="J226" i="16"/>
  <c r="AV136" i="2" s="1"/>
  <c r="J225" i="16"/>
  <c r="AV141" i="2" s="1"/>
  <c r="J224" i="16"/>
  <c r="L222" i="16"/>
  <c r="L221" i="16"/>
  <c r="J220" i="16"/>
  <c r="AV245" i="2" s="1"/>
  <c r="J219" i="16"/>
  <c r="AV234" i="2" s="1"/>
  <c r="L217" i="16"/>
  <c r="AY121" i="2" s="1"/>
  <c r="J216" i="16"/>
  <c r="AV114" i="2" s="1"/>
  <c r="L215" i="16"/>
  <c r="AY24" i="2" s="1"/>
  <c r="J214" i="16"/>
  <c r="L212" i="16"/>
  <c r="L211" i="16"/>
  <c r="J209" i="16"/>
  <c r="J208" i="16"/>
  <c r="AV124" i="2" s="1"/>
  <c r="L206" i="16"/>
  <c r="AY35" i="2" s="1"/>
  <c r="L205" i="16"/>
  <c r="AY22" i="2" s="1"/>
  <c r="J204" i="16"/>
  <c r="AV123" i="2" s="1"/>
  <c r="J203" i="16"/>
  <c r="L201" i="16"/>
  <c r="J200" i="16"/>
  <c r="AV390" i="2" s="1"/>
  <c r="N190" i="16"/>
  <c r="N157" i="16"/>
  <c r="L157" i="16"/>
  <c r="N139" i="16"/>
  <c r="L139" i="16"/>
  <c r="J139" i="16"/>
  <c r="L252" i="16" s="1"/>
  <c r="AY381" i="2" s="1"/>
  <c r="N101" i="16"/>
  <c r="G224" i="15"/>
  <c r="E202" i="15"/>
  <c r="G201" i="15"/>
  <c r="E200" i="15"/>
  <c r="E199" i="15"/>
  <c r="G198" i="15"/>
  <c r="G197" i="15"/>
  <c r="G195" i="15"/>
  <c r="G191" i="15"/>
  <c r="G190" i="15"/>
  <c r="G189" i="15"/>
  <c r="G188" i="15"/>
  <c r="G187" i="15"/>
  <c r="G186" i="15"/>
  <c r="G185" i="15"/>
  <c r="G184" i="15"/>
  <c r="G183" i="15"/>
  <c r="G182" i="15"/>
  <c r="G181" i="15"/>
  <c r="G180" i="15"/>
  <c r="G179" i="15"/>
  <c r="AY59" i="2" s="1"/>
  <c r="G178" i="15"/>
  <c r="E173" i="15"/>
  <c r="E172" i="15"/>
  <c r="E171" i="15"/>
  <c r="E170" i="15"/>
  <c r="E169" i="15"/>
  <c r="E168" i="15"/>
  <c r="E167" i="15"/>
  <c r="E166" i="15"/>
  <c r="E165" i="15"/>
  <c r="E164" i="15"/>
  <c r="E163" i="15"/>
  <c r="E162" i="15"/>
  <c r="E161" i="15"/>
  <c r="E160" i="15"/>
  <c r="E159" i="15"/>
  <c r="C150" i="15"/>
  <c r="C149" i="15"/>
  <c r="C141" i="15"/>
  <c r="C140" i="15"/>
  <c r="C139" i="15"/>
  <c r="E123" i="15"/>
  <c r="D121" i="15"/>
  <c r="D122" i="15" s="1"/>
  <c r="E57" i="15"/>
  <c r="E49" i="15"/>
  <c r="G224" i="14"/>
  <c r="E202" i="14"/>
  <c r="G201" i="14"/>
  <c r="E200" i="14"/>
  <c r="E199" i="14"/>
  <c r="G198" i="14"/>
  <c r="G197" i="14"/>
  <c r="G195" i="14"/>
  <c r="G191" i="14"/>
  <c r="G190" i="14"/>
  <c r="G189" i="14"/>
  <c r="G188" i="14"/>
  <c r="G187" i="14"/>
  <c r="G186" i="14"/>
  <c r="G185" i="14"/>
  <c r="G184" i="14"/>
  <c r="G183" i="14"/>
  <c r="G182" i="14"/>
  <c r="G181" i="14"/>
  <c r="G180" i="14"/>
  <c r="G179" i="14"/>
  <c r="G178" i="14"/>
  <c r="E173" i="14"/>
  <c r="E172" i="14"/>
  <c r="E171" i="14"/>
  <c r="E170" i="14"/>
  <c r="E169" i="14"/>
  <c r="E168" i="14"/>
  <c r="E167" i="14"/>
  <c r="E166" i="14"/>
  <c r="E165" i="14"/>
  <c r="E164" i="14"/>
  <c r="E163" i="14"/>
  <c r="E162" i="14"/>
  <c r="E161" i="14"/>
  <c r="E160" i="14"/>
  <c r="E159" i="14"/>
  <c r="C150" i="14"/>
  <c r="C149" i="14"/>
  <c r="C141" i="14"/>
  <c r="C140" i="14"/>
  <c r="C139" i="14"/>
  <c r="E123" i="14"/>
  <c r="D121" i="14"/>
  <c r="D122" i="14" s="1"/>
  <c r="E57" i="14"/>
  <c r="E49" i="14"/>
  <c r="G229" i="13"/>
  <c r="E207" i="13"/>
  <c r="E205" i="13"/>
  <c r="E204" i="13"/>
  <c r="G183" i="13"/>
  <c r="E178" i="13"/>
  <c r="E177" i="13"/>
  <c r="E176" i="13"/>
  <c r="E174" i="13"/>
  <c r="E173" i="13"/>
  <c r="E172" i="13"/>
  <c r="E171" i="13"/>
  <c r="E170" i="13"/>
  <c r="E169" i="13"/>
  <c r="E168" i="13"/>
  <c r="E167" i="13"/>
  <c r="E166" i="13"/>
  <c r="E165" i="13"/>
  <c r="E164" i="13"/>
  <c r="C155" i="13"/>
  <c r="C154" i="13"/>
  <c r="C146" i="13"/>
  <c r="C145" i="13"/>
  <c r="C144" i="13"/>
  <c r="E128" i="13"/>
  <c r="D126" i="13"/>
  <c r="D127" i="13" s="1"/>
  <c r="G127" i="13" s="1"/>
  <c r="G128" i="13" s="1"/>
  <c r="E61" i="13"/>
  <c r="E53" i="13"/>
  <c r="E63" i="13" s="1"/>
  <c r="M253" i="12"/>
  <c r="I253" i="12"/>
  <c r="AA252" i="12"/>
  <c r="V251" i="12"/>
  <c r="AA251" i="12" s="1"/>
  <c r="V250" i="12"/>
  <c r="AA250" i="12" s="1"/>
  <c r="AA248" i="12"/>
  <c r="AA247" i="12"/>
  <c r="AC247" i="12" s="1"/>
  <c r="N217" i="12" s="1"/>
  <c r="AT146" i="2" s="1"/>
  <c r="N244" i="12"/>
  <c r="U243" i="12"/>
  <c r="N243" i="12"/>
  <c r="L243" i="12"/>
  <c r="F243" i="12"/>
  <c r="U242" i="12"/>
  <c r="N242" i="12"/>
  <c r="L242" i="12"/>
  <c r="U241" i="12"/>
  <c r="R241" i="12"/>
  <c r="N241" i="12"/>
  <c r="L241" i="12"/>
  <c r="U240" i="12"/>
  <c r="R240" i="12"/>
  <c r="N240" i="12"/>
  <c r="L240" i="12"/>
  <c r="U239" i="12"/>
  <c r="N239" i="12"/>
  <c r="L239" i="12"/>
  <c r="U238" i="12"/>
  <c r="L238" i="12"/>
  <c r="U237" i="12"/>
  <c r="R237" i="12"/>
  <c r="L237" i="12"/>
  <c r="U236" i="12"/>
  <c r="L236" i="12"/>
  <c r="U235" i="12"/>
  <c r="L235" i="12"/>
  <c r="U234" i="12"/>
  <c r="L234" i="12"/>
  <c r="Z233" i="12"/>
  <c r="U233" i="12"/>
  <c r="L233" i="12"/>
  <c r="M223" i="12"/>
  <c r="F220" i="12"/>
  <c r="L197" i="12"/>
  <c r="Y246" i="12" s="1"/>
  <c r="AA246" i="12" s="1"/>
  <c r="N186" i="12"/>
  <c r="X241" i="12" s="1"/>
  <c r="N185" i="12"/>
  <c r="X240" i="12" s="1"/>
  <c r="N184" i="12"/>
  <c r="X239" i="12" s="1"/>
  <c r="N183" i="12"/>
  <c r="X238" i="12" s="1"/>
  <c r="N182" i="12"/>
  <c r="X237" i="12" s="1"/>
  <c r="N181" i="12"/>
  <c r="X236" i="12" s="1"/>
  <c r="N180" i="12"/>
  <c r="X235" i="12" s="1"/>
  <c r="N179" i="12"/>
  <c r="X234" i="12" s="1"/>
  <c r="N178" i="12"/>
  <c r="X233" i="12" s="1"/>
  <c r="L177" i="12"/>
  <c r="W245" i="12" s="1"/>
  <c r="W253" i="12" s="1"/>
  <c r="L173" i="12"/>
  <c r="N173" i="12" s="1"/>
  <c r="L161" i="12"/>
  <c r="N161" i="12" s="1"/>
  <c r="O150" i="12"/>
  <c r="O152" i="12" s="1"/>
  <c r="N150" i="12"/>
  <c r="N152" i="12" s="1"/>
  <c r="L150" i="12"/>
  <c r="L152" i="12" s="1"/>
  <c r="J150" i="12"/>
  <c r="J152" i="12" s="1"/>
  <c r="H150" i="12"/>
  <c r="H152" i="12" s="1"/>
  <c r="G150" i="12"/>
  <c r="G152" i="12" s="1"/>
  <c r="O132" i="12"/>
  <c r="N132" i="12"/>
  <c r="M94" i="12"/>
  <c r="N82" i="12"/>
  <c r="O78" i="12" s="1"/>
  <c r="J82" i="12"/>
  <c r="L78" i="12" s="1"/>
  <c r="G82" i="12"/>
  <c r="H78" i="12" s="1"/>
  <c r="N66" i="12"/>
  <c r="N50" i="12"/>
  <c r="L50" i="12"/>
  <c r="H50" i="12"/>
  <c r="J49" i="12"/>
  <c r="F241" i="12" s="1"/>
  <c r="J48" i="12"/>
  <c r="F240" i="12" s="1"/>
  <c r="J47" i="12"/>
  <c r="F239" i="12" s="1"/>
  <c r="J46" i="12"/>
  <c r="F238" i="12" s="1"/>
  <c r="J45" i="12"/>
  <c r="F237" i="12" s="1"/>
  <c r="J44" i="12"/>
  <c r="F236" i="12" s="1"/>
  <c r="J43" i="12"/>
  <c r="F235" i="12" s="1"/>
  <c r="J42" i="12"/>
  <c r="F234" i="12" s="1"/>
  <c r="J41" i="12"/>
  <c r="N36" i="12"/>
  <c r="J36" i="12"/>
  <c r="H36" i="12"/>
  <c r="L35" i="12"/>
  <c r="J241" i="12" s="1"/>
  <c r="L34" i="12"/>
  <c r="J240" i="12" s="1"/>
  <c r="L33" i="12"/>
  <c r="J239" i="12" s="1"/>
  <c r="L32" i="12"/>
  <c r="J238" i="12" s="1"/>
  <c r="L31" i="12"/>
  <c r="J237" i="12" s="1"/>
  <c r="L30" i="12"/>
  <c r="J236" i="12" s="1"/>
  <c r="L29" i="12"/>
  <c r="J235" i="12" s="1"/>
  <c r="L28" i="12"/>
  <c r="J234" i="12" s="1"/>
  <c r="L27" i="12"/>
  <c r="J233" i="12" s="1"/>
  <c r="R146" i="11"/>
  <c r="L123" i="11" s="1"/>
  <c r="O146" i="11"/>
  <c r="G146" i="11"/>
  <c r="R144" i="11"/>
  <c r="O144" i="11"/>
  <c r="L144" i="11"/>
  <c r="I144" i="11"/>
  <c r="R143" i="11"/>
  <c r="L120" i="11" s="1"/>
  <c r="O143" i="11"/>
  <c r="L143" i="11"/>
  <c r="I143" i="11"/>
  <c r="R142" i="11"/>
  <c r="L119" i="11" s="1"/>
  <c r="O142" i="11"/>
  <c r="L142" i="11"/>
  <c r="I142" i="11"/>
  <c r="R141" i="11"/>
  <c r="L118" i="11" s="1"/>
  <c r="O141" i="11"/>
  <c r="L141" i="11"/>
  <c r="I141" i="11"/>
  <c r="R140" i="11"/>
  <c r="L117" i="11" s="1"/>
  <c r="O140" i="11"/>
  <c r="L140" i="11"/>
  <c r="I140" i="11"/>
  <c r="R139" i="11"/>
  <c r="L116" i="11" s="1"/>
  <c r="O139" i="11"/>
  <c r="L139" i="11"/>
  <c r="I139" i="11"/>
  <c r="R138" i="11"/>
  <c r="L115" i="11" s="1"/>
  <c r="O138" i="11"/>
  <c r="L138" i="11"/>
  <c r="I138" i="11"/>
  <c r="R137" i="11"/>
  <c r="L114" i="11" s="1"/>
  <c r="O137" i="11"/>
  <c r="L137" i="11"/>
  <c r="I137" i="11"/>
  <c r="R136" i="11"/>
  <c r="L113" i="11" s="1"/>
  <c r="O136" i="11"/>
  <c r="L136" i="11"/>
  <c r="I136" i="11"/>
  <c r="S135" i="11"/>
  <c r="N112" i="11" s="1"/>
  <c r="N135" i="11"/>
  <c r="R135" i="11" s="1"/>
  <c r="L112" i="11" s="1"/>
  <c r="AQ37" i="2" s="1"/>
  <c r="S134" i="11"/>
  <c r="N111" i="11" s="1"/>
  <c r="S133" i="11"/>
  <c r="N110" i="11" s="1"/>
  <c r="S132" i="11"/>
  <c r="N109" i="11" s="1"/>
  <c r="F132" i="11"/>
  <c r="R132" i="11" s="1"/>
  <c r="L109" i="11" s="1"/>
  <c r="AQ228" i="2" s="1"/>
  <c r="S131" i="11"/>
  <c r="N108" i="11" s="1"/>
  <c r="F131" i="11"/>
  <c r="R131" i="11" s="1"/>
  <c r="L108" i="11" s="1"/>
  <c r="AQ78" i="2" s="1"/>
  <c r="L121" i="11"/>
  <c r="K101" i="11"/>
  <c r="N88" i="11"/>
  <c r="K77" i="11"/>
  <c r="K62" i="11"/>
  <c r="K134" i="11" s="1"/>
  <c r="K53" i="11"/>
  <c r="K39" i="11"/>
  <c r="H133" i="11" s="1"/>
  <c r="K28" i="11"/>
  <c r="F145" i="11" s="1"/>
  <c r="R145" i="11" s="1"/>
  <c r="L122" i="11" s="1"/>
  <c r="AQ229" i="2" s="1"/>
  <c r="P129" i="10"/>
  <c r="M129" i="10"/>
  <c r="R126" i="10"/>
  <c r="K126" i="10"/>
  <c r="S126" i="10" s="1"/>
  <c r="R125" i="10"/>
  <c r="K125" i="10"/>
  <c r="S125" i="10" s="1"/>
  <c r="R124" i="10"/>
  <c r="K124" i="10"/>
  <c r="S124" i="10" s="1"/>
  <c r="N95" i="10" s="1"/>
  <c r="AT140" i="2" s="1"/>
  <c r="N123" i="10"/>
  <c r="L123" i="10"/>
  <c r="R123" i="10" s="1"/>
  <c r="L94" i="10" s="1"/>
  <c r="K123" i="10"/>
  <c r="O122" i="10"/>
  <c r="N122" i="10"/>
  <c r="L122" i="10"/>
  <c r="K122" i="10"/>
  <c r="R121" i="10"/>
  <c r="N121" i="10"/>
  <c r="S121" i="10" s="1"/>
  <c r="R120" i="10"/>
  <c r="N120" i="10"/>
  <c r="K120" i="10"/>
  <c r="S119" i="10"/>
  <c r="O119" i="10"/>
  <c r="R119" i="10" s="1"/>
  <c r="R118" i="10"/>
  <c r="N118" i="10"/>
  <c r="S118" i="10" s="1"/>
  <c r="R117" i="10"/>
  <c r="K117" i="10"/>
  <c r="R116" i="10"/>
  <c r="N116" i="10"/>
  <c r="S116" i="10" s="1"/>
  <c r="S115" i="10"/>
  <c r="O115" i="10"/>
  <c r="L115" i="10"/>
  <c r="Q114" i="10"/>
  <c r="S114" i="10" s="1"/>
  <c r="N85" i="10" s="1"/>
  <c r="AT81" i="2" s="1"/>
  <c r="L114" i="10"/>
  <c r="R114" i="10" s="1"/>
  <c r="L85" i="10" s="1"/>
  <c r="AQ81" i="2" s="1"/>
  <c r="Q113" i="10"/>
  <c r="N113" i="10"/>
  <c r="J113" i="10"/>
  <c r="R113" i="10" s="1"/>
  <c r="L84" i="10" s="1"/>
  <c r="AQ42" i="2" s="1"/>
  <c r="C113" i="10"/>
  <c r="Q112" i="10"/>
  <c r="N112" i="10"/>
  <c r="L112" i="10"/>
  <c r="J112" i="10"/>
  <c r="S111" i="10"/>
  <c r="L111" i="10"/>
  <c r="J111" i="10"/>
  <c r="S110" i="10"/>
  <c r="L110" i="10"/>
  <c r="J110" i="10"/>
  <c r="S109" i="10"/>
  <c r="J109" i="10"/>
  <c r="R109" i="10" s="1"/>
  <c r="S107" i="10"/>
  <c r="J107" i="10"/>
  <c r="K59" i="10"/>
  <c r="K51" i="10"/>
  <c r="J31" i="10"/>
  <c r="M59" i="9"/>
  <c r="N58" i="9"/>
  <c r="L58" i="9"/>
  <c r="N57" i="9"/>
  <c r="L57" i="9"/>
  <c r="AQ125" i="2" s="1"/>
  <c r="N55" i="9"/>
  <c r="AT125" i="2" s="1"/>
  <c r="L54" i="9"/>
  <c r="AQ183" i="2" s="1"/>
  <c r="N50" i="9"/>
  <c r="L50" i="9"/>
  <c r="AQ142" i="2" s="1"/>
  <c r="N49" i="9"/>
  <c r="L49" i="9"/>
  <c r="N48" i="9"/>
  <c r="L48" i="9"/>
  <c r="AQ140" i="2" s="1"/>
  <c r="N47" i="9"/>
  <c r="L47" i="9"/>
  <c r="N52" i="9"/>
  <c r="AT380" i="2" s="1"/>
  <c r="AA370" i="8"/>
  <c r="Z370" i="8"/>
  <c r="AC369" i="8"/>
  <c r="AB369" i="8"/>
  <c r="AC368" i="8"/>
  <c r="AB368" i="8"/>
  <c r="Z368" i="8"/>
  <c r="AC367" i="8"/>
  <c r="AB367" i="8"/>
  <c r="M284" i="8" s="1"/>
  <c r="AQ359" i="2" s="1"/>
  <c r="Z367" i="8"/>
  <c r="AC366" i="8"/>
  <c r="AB366" i="8"/>
  <c r="M283" i="8" s="1"/>
  <c r="AQ349" i="2" s="1"/>
  <c r="Z366" i="8"/>
  <c r="AC365" i="8"/>
  <c r="AB365" i="8"/>
  <c r="M282" i="8" s="1"/>
  <c r="AQ339" i="2" s="1"/>
  <c r="Z365" i="8"/>
  <c r="AC364" i="8"/>
  <c r="AB364" i="8"/>
  <c r="Z364" i="8"/>
  <c r="AC363" i="8"/>
  <c r="AB363" i="8"/>
  <c r="M280" i="8" s="1"/>
  <c r="AQ319" i="2" s="1"/>
  <c r="Z363" i="8"/>
  <c r="AC362" i="8"/>
  <c r="AB362" i="8"/>
  <c r="M279" i="8" s="1"/>
  <c r="AQ309" i="2" s="1"/>
  <c r="Z362" i="8"/>
  <c r="AC361" i="8"/>
  <c r="AB361" i="8"/>
  <c r="M278" i="8" s="1"/>
  <c r="AQ297" i="2" s="1"/>
  <c r="Z361" i="8"/>
  <c r="AC360" i="8"/>
  <c r="Z360" i="8"/>
  <c r="AC359" i="8"/>
  <c r="O276" i="8" s="1"/>
  <c r="AT412" i="2" s="1"/>
  <c r="AB359" i="8"/>
  <c r="M276" i="8" s="1"/>
  <c r="AQ408" i="2" s="1"/>
  <c r="AA359" i="8"/>
  <c r="Z359" i="8"/>
  <c r="AC358" i="8"/>
  <c r="O275" i="8" s="1"/>
  <c r="AT228" i="2" s="1"/>
  <c r="AB358" i="8"/>
  <c r="AA358" i="8"/>
  <c r="AC357" i="8"/>
  <c r="O274" i="8" s="1"/>
  <c r="AT75" i="2" s="1"/>
  <c r="AB357" i="8"/>
  <c r="AA357" i="8"/>
  <c r="AC356" i="8"/>
  <c r="AB356" i="8"/>
  <c r="AA356" i="8"/>
  <c r="AC355" i="8"/>
  <c r="O272" i="8" s="1"/>
  <c r="AT67" i="2" s="1"/>
  <c r="AB355" i="8"/>
  <c r="AA355" i="8"/>
  <c r="AC354" i="8"/>
  <c r="O271" i="8" s="1"/>
  <c r="AT63" i="2" s="1"/>
  <c r="AB354" i="8"/>
  <c r="AA354" i="8"/>
  <c r="AC353" i="8"/>
  <c r="O270" i="8" s="1"/>
  <c r="AT57" i="2" s="1"/>
  <c r="AB353" i="8"/>
  <c r="AA353" i="8"/>
  <c r="AC352" i="8"/>
  <c r="AB352" i="8"/>
  <c r="AA352" i="8"/>
  <c r="AB351" i="8"/>
  <c r="AA351" i="8"/>
  <c r="AC350" i="8"/>
  <c r="O267" i="8" s="1"/>
  <c r="AT44" i="2" s="1"/>
  <c r="AB350" i="8"/>
  <c r="AA350" i="8"/>
  <c r="AC349" i="8"/>
  <c r="AB349" i="8"/>
  <c r="M266" i="8" s="1"/>
  <c r="AQ400" i="2" s="1"/>
  <c r="Z349" i="8"/>
  <c r="AC348" i="8"/>
  <c r="AB348" i="8"/>
  <c r="AC347" i="8"/>
  <c r="O264" i="8" s="1"/>
  <c r="AT377" i="2" s="1"/>
  <c r="BC377" i="2" s="1"/>
  <c r="AB347" i="8"/>
  <c r="M264" i="8" s="1"/>
  <c r="Y347" i="8"/>
  <c r="Y370" i="8" s="1"/>
  <c r="AC346" i="8"/>
  <c r="O263" i="8" s="1"/>
  <c r="X346" i="8"/>
  <c r="AB346" i="8" s="1"/>
  <c r="M263" i="8" s="1"/>
  <c r="AQ368" i="2" s="1"/>
  <c r="AC345" i="8"/>
  <c r="O262" i="8" s="1"/>
  <c r="X345" i="8"/>
  <c r="AB345" i="8" s="1"/>
  <c r="M262" i="8" s="1"/>
  <c r="AQ358" i="2" s="1"/>
  <c r="AC344" i="8"/>
  <c r="O261" i="8" s="1"/>
  <c r="X344" i="8"/>
  <c r="AB344" i="8" s="1"/>
  <c r="M261" i="8" s="1"/>
  <c r="AQ348" i="2" s="1"/>
  <c r="AC343" i="8"/>
  <c r="O260" i="8" s="1"/>
  <c r="X343" i="8"/>
  <c r="AB343" i="8" s="1"/>
  <c r="M260" i="8" s="1"/>
  <c r="AQ338" i="2" s="1"/>
  <c r="AC342" i="8"/>
  <c r="O259" i="8" s="1"/>
  <c r="X342" i="8"/>
  <c r="AB342" i="8" s="1"/>
  <c r="M259" i="8" s="1"/>
  <c r="AQ328" i="2" s="1"/>
  <c r="AC341" i="8"/>
  <c r="O258" i="8" s="1"/>
  <c r="X341" i="8"/>
  <c r="AB341" i="8" s="1"/>
  <c r="M258" i="8" s="1"/>
  <c r="AQ318" i="2" s="1"/>
  <c r="AC340" i="8"/>
  <c r="O257" i="8" s="1"/>
  <c r="X340" i="8"/>
  <c r="AB340" i="8" s="1"/>
  <c r="M257" i="8" s="1"/>
  <c r="AQ308" i="2" s="1"/>
  <c r="AC339" i="8"/>
  <c r="O256" i="8" s="1"/>
  <c r="X339" i="8"/>
  <c r="AC338" i="8"/>
  <c r="AB338" i="8"/>
  <c r="AB337" i="8"/>
  <c r="W337" i="8"/>
  <c r="AC337" i="8" s="1"/>
  <c r="O254" i="8" s="1"/>
  <c r="AT390" i="2" s="1"/>
  <c r="AB336" i="8"/>
  <c r="M253" i="8" s="1"/>
  <c r="W336" i="8"/>
  <c r="AC336" i="8" s="1"/>
  <c r="O253" i="8" s="1"/>
  <c r="AT411" i="2" s="1"/>
  <c r="AB335" i="8"/>
  <c r="M252" i="8" s="1"/>
  <c r="W335" i="8"/>
  <c r="AC334" i="8"/>
  <c r="O251" i="8" s="1"/>
  <c r="V334" i="8"/>
  <c r="AB334" i="8" s="1"/>
  <c r="M251" i="8" s="1"/>
  <c r="AQ76" i="2" s="1"/>
  <c r="AC333" i="8"/>
  <c r="O250" i="8" s="1"/>
  <c r="V333" i="8"/>
  <c r="AB333" i="8" s="1"/>
  <c r="M250" i="8" s="1"/>
  <c r="AQ72" i="2" s="1"/>
  <c r="AC332" i="8"/>
  <c r="O249" i="8" s="1"/>
  <c r="V332" i="8"/>
  <c r="AB332" i="8" s="1"/>
  <c r="M249" i="8" s="1"/>
  <c r="AQ68" i="2" s="1"/>
  <c r="AC331" i="8"/>
  <c r="O248" i="8" s="1"/>
  <c r="V331" i="8"/>
  <c r="AB331" i="8" s="1"/>
  <c r="M248" i="8" s="1"/>
  <c r="AQ64" i="2" s="1"/>
  <c r="AC330" i="8"/>
  <c r="V330" i="8"/>
  <c r="AB330" i="8" s="1"/>
  <c r="M247" i="8" s="1"/>
  <c r="AQ58" i="2" s="1"/>
  <c r="AC329" i="8"/>
  <c r="O246" i="8" s="1"/>
  <c r="V329" i="8"/>
  <c r="AB329" i="8" s="1"/>
  <c r="M246" i="8" s="1"/>
  <c r="AQ54" i="2" s="1"/>
  <c r="AC328" i="8"/>
  <c r="O245" i="8" s="1"/>
  <c r="V328" i="8"/>
  <c r="AB328" i="8" s="1"/>
  <c r="M245" i="8" s="1"/>
  <c r="AQ50" i="2" s="1"/>
  <c r="AC327" i="8"/>
  <c r="O244" i="8" s="1"/>
  <c r="V327" i="8"/>
  <c r="AB327" i="8" s="1"/>
  <c r="M244" i="8" s="1"/>
  <c r="AQ45" i="2" s="1"/>
  <c r="T323" i="8"/>
  <c r="R323" i="8"/>
  <c r="Q323" i="8"/>
  <c r="AB323" i="8" s="1"/>
  <c r="M240" i="8" s="1"/>
  <c r="P323" i="8"/>
  <c r="M323" i="8"/>
  <c r="T322" i="8"/>
  <c r="R322" i="8"/>
  <c r="Q322" i="8"/>
  <c r="AB322" i="8" s="1"/>
  <c r="M239" i="8" s="1"/>
  <c r="AQ71" i="2" s="1"/>
  <c r="P322" i="8"/>
  <c r="M322" i="8"/>
  <c r="AB321" i="8"/>
  <c r="M238" i="8" s="1"/>
  <c r="AQ67" i="2" s="1"/>
  <c r="T321" i="8"/>
  <c r="AC321" i="8" s="1"/>
  <c r="O238" i="8" s="1"/>
  <c r="AT66" i="2" s="1"/>
  <c r="T320" i="8"/>
  <c r="R320" i="8"/>
  <c r="Q320" i="8"/>
  <c r="AB320" i="8" s="1"/>
  <c r="M237" i="8" s="1"/>
  <c r="AQ63" i="2" s="1"/>
  <c r="P320" i="8"/>
  <c r="R318" i="8"/>
  <c r="Q318" i="8"/>
  <c r="AB318" i="8" s="1"/>
  <c r="M235" i="8" s="1"/>
  <c r="AQ57" i="2" s="1"/>
  <c r="P318" i="8"/>
  <c r="T317" i="8"/>
  <c r="R317" i="8"/>
  <c r="Q317" i="8"/>
  <c r="AB317" i="8" s="1"/>
  <c r="M234" i="8" s="1"/>
  <c r="AQ53" i="2" s="1"/>
  <c r="P317" i="8"/>
  <c r="M317" i="8"/>
  <c r="T316" i="8"/>
  <c r="R316" i="8"/>
  <c r="Q316" i="8"/>
  <c r="AB316" i="8" s="1"/>
  <c r="M233" i="8" s="1"/>
  <c r="AQ49" i="2" s="1"/>
  <c r="P316" i="8"/>
  <c r="M316" i="8"/>
  <c r="AB315" i="8"/>
  <c r="M232" i="8" s="1"/>
  <c r="AQ44" i="2" s="1"/>
  <c r="T315" i="8"/>
  <c r="R315" i="8"/>
  <c r="P315" i="8"/>
  <c r="M315" i="8"/>
  <c r="AC314" i="8"/>
  <c r="S314" i="8"/>
  <c r="AB314" i="8" s="1"/>
  <c r="M231" i="8" s="1"/>
  <c r="AQ391" i="2" s="1"/>
  <c r="AC313" i="8"/>
  <c r="O230" i="8" s="1"/>
  <c r="AC312" i="8"/>
  <c r="O229" i="8" s="1"/>
  <c r="O312" i="8"/>
  <c r="AB312" i="8" s="1"/>
  <c r="M229" i="8" s="1"/>
  <c r="AQ226" i="2" s="1"/>
  <c r="AC311" i="8"/>
  <c r="O228" i="8" s="1"/>
  <c r="O311" i="8"/>
  <c r="L311" i="8"/>
  <c r="AC310" i="8"/>
  <c r="O227" i="8" s="1"/>
  <c r="S310" i="8"/>
  <c r="AB310" i="8" s="1"/>
  <c r="M227" i="8" s="1"/>
  <c r="AQ69" i="2" s="1"/>
  <c r="AC309" i="8"/>
  <c r="O226" i="8" s="1"/>
  <c r="S309" i="8"/>
  <c r="Q309" i="8"/>
  <c r="O309" i="8"/>
  <c r="L309" i="8"/>
  <c r="AC308" i="8"/>
  <c r="O225" i="8" s="1"/>
  <c r="S308" i="8"/>
  <c r="Q308" i="8"/>
  <c r="O308" i="8"/>
  <c r="L308" i="8"/>
  <c r="AC307" i="8"/>
  <c r="O224" i="8" s="1"/>
  <c r="S307" i="8"/>
  <c r="Q307" i="8"/>
  <c r="O307" i="8"/>
  <c r="AC305" i="8"/>
  <c r="O222" i="8" s="1"/>
  <c r="Q305" i="8"/>
  <c r="O305" i="8"/>
  <c r="AC304" i="8"/>
  <c r="O221" i="8" s="1"/>
  <c r="S304" i="8"/>
  <c r="Q304" i="8"/>
  <c r="O304" i="8"/>
  <c r="L304" i="8"/>
  <c r="AC303" i="8"/>
  <c r="O220" i="8" s="1"/>
  <c r="S303" i="8"/>
  <c r="Q303" i="8"/>
  <c r="O303" i="8"/>
  <c r="L303" i="8"/>
  <c r="M285" i="8"/>
  <c r="AQ369" i="2" s="1"/>
  <c r="M281" i="8"/>
  <c r="AQ329" i="2" s="1"/>
  <c r="M277" i="8"/>
  <c r="AQ285" i="2" s="1"/>
  <c r="O273" i="8"/>
  <c r="AT71" i="2" s="1"/>
  <c r="O269" i="8"/>
  <c r="AT53" i="2" s="1"/>
  <c r="O268" i="8"/>
  <c r="AT49" i="2" s="1"/>
  <c r="M254" i="8"/>
  <c r="O247" i="8"/>
  <c r="O231" i="8"/>
  <c r="I213" i="8"/>
  <c r="H183" i="8"/>
  <c r="V181" i="8"/>
  <c r="Q171" i="8"/>
  <c r="M171" i="8"/>
  <c r="M168" i="8"/>
  <c r="Q168" i="8" s="1"/>
  <c r="M165" i="8"/>
  <c r="Q158" i="8"/>
  <c r="P158" i="8"/>
  <c r="O158" i="8"/>
  <c r="M158" i="8"/>
  <c r="L158" i="8"/>
  <c r="M134" i="8"/>
  <c r="O132" i="8" s="1"/>
  <c r="U99" i="8"/>
  <c r="T99" i="8"/>
  <c r="S99" i="8"/>
  <c r="R99" i="8"/>
  <c r="Q99" i="8"/>
  <c r="O99" i="8"/>
  <c r="M99" i="8"/>
  <c r="L99" i="8"/>
  <c r="T84" i="8"/>
  <c r="S82" i="8"/>
  <c r="R82" i="8"/>
  <c r="Q82" i="8"/>
  <c r="P82" i="8"/>
  <c r="O82" i="8"/>
  <c r="M82" i="8"/>
  <c r="L82" i="8"/>
  <c r="T79" i="8"/>
  <c r="T78" i="8"/>
  <c r="T76" i="8"/>
  <c r="T73" i="8"/>
  <c r="Q59" i="8"/>
  <c r="Q65" i="8" s="1"/>
  <c r="P59" i="8"/>
  <c r="P65" i="8" s="1"/>
  <c r="O59" i="8"/>
  <c r="O65" i="8" s="1"/>
  <c r="M59" i="8"/>
  <c r="M65" i="8" s="1"/>
  <c r="L59" i="8"/>
  <c r="L65" i="8" s="1"/>
  <c r="O40" i="8"/>
  <c r="O44" i="8" s="1"/>
  <c r="M40" i="8"/>
  <c r="M44" i="8" s="1"/>
  <c r="L40" i="8"/>
  <c r="L44" i="8" s="1"/>
  <c r="N74" i="7"/>
  <c r="AT366" i="2" s="1"/>
  <c r="AT356" i="2"/>
  <c r="AT346" i="2"/>
  <c r="AT336" i="2"/>
  <c r="N69" i="7"/>
  <c r="AT326" i="2" s="1"/>
  <c r="N67" i="7"/>
  <c r="AT306" i="2" s="1"/>
  <c r="AT294" i="2"/>
  <c r="L64" i="7"/>
  <c r="L63" i="7"/>
  <c r="L62" i="7"/>
  <c r="AQ66" i="2" s="1"/>
  <c r="AQ62" i="2"/>
  <c r="L56" i="7"/>
  <c r="AQ48" i="2" s="1"/>
  <c r="AQ46" i="2"/>
  <c r="L54" i="7"/>
  <c r="G49" i="7"/>
  <c r="L72" i="6"/>
  <c r="AT77" i="2" s="1"/>
  <c r="L71" i="6"/>
  <c r="L70" i="6"/>
  <c r="L69" i="6"/>
  <c r="AT65" i="2" s="1"/>
  <c r="L67" i="6"/>
  <c r="AT59" i="2" s="1"/>
  <c r="L66" i="6"/>
  <c r="L65" i="6"/>
  <c r="J64" i="6"/>
  <c r="J63" i="6"/>
  <c r="AQ366" i="2" s="1"/>
  <c r="J62" i="6"/>
  <c r="J61" i="6"/>
  <c r="J60" i="6"/>
  <c r="AQ326" i="2" s="1"/>
  <c r="J59" i="6"/>
  <c r="AQ336" i="2" s="1"/>
  <c r="J58" i="6"/>
  <c r="AQ316" i="2" s="1"/>
  <c r="J57" i="6"/>
  <c r="AQ306" i="2" s="1"/>
  <c r="J56" i="6"/>
  <c r="AQ294" i="2" s="1"/>
  <c r="J55" i="6"/>
  <c r="AQ281" i="2" s="1"/>
  <c r="G49" i="6"/>
  <c r="G34" i="6"/>
  <c r="L299" i="5"/>
  <c r="AB298" i="5"/>
  <c r="AA298" i="5"/>
  <c r="X298" i="5"/>
  <c r="W298" i="5"/>
  <c r="AB297" i="5"/>
  <c r="AA297" i="5"/>
  <c r="X297" i="5"/>
  <c r="W297" i="5"/>
  <c r="AE297" i="5" s="1"/>
  <c r="K245" i="5" s="1"/>
  <c r="AQ272" i="2" s="1"/>
  <c r="AF296" i="5"/>
  <c r="M244" i="5" s="1"/>
  <c r="AT267" i="2" s="1"/>
  <c r="AB296" i="5"/>
  <c r="AA296" i="5"/>
  <c r="AE296" i="5" s="1"/>
  <c r="K244" i="5" s="1"/>
  <c r="AQ267" i="2" s="1"/>
  <c r="AB295" i="5"/>
  <c r="AF295" i="5" s="1"/>
  <c r="M243" i="5" s="1"/>
  <c r="AA295" i="5"/>
  <c r="AE295" i="5" s="1"/>
  <c r="AB294" i="5"/>
  <c r="AA294" i="5"/>
  <c r="X294" i="5"/>
  <c r="W294" i="5"/>
  <c r="AB293" i="5"/>
  <c r="AA293" i="5"/>
  <c r="X293" i="5"/>
  <c r="AF293" i="5" s="1"/>
  <c r="M241" i="5" s="1"/>
  <c r="AT252" i="2" s="1"/>
  <c r="W293" i="5"/>
  <c r="AB292" i="5"/>
  <c r="AA292" i="5"/>
  <c r="X292" i="5"/>
  <c r="AF292" i="5" s="1"/>
  <c r="M240" i="5" s="1"/>
  <c r="AT247" i="2" s="1"/>
  <c r="W292" i="5"/>
  <c r="AB291" i="5"/>
  <c r="AF291" i="5" s="1"/>
  <c r="M239" i="5" s="1"/>
  <c r="AT242" i="2" s="1"/>
  <c r="AA291" i="5"/>
  <c r="AE291" i="5" s="1"/>
  <c r="K239" i="5" s="1"/>
  <c r="AQ242" i="2" s="1"/>
  <c r="AB290" i="5"/>
  <c r="AA290" i="5"/>
  <c r="X290" i="5"/>
  <c r="W290" i="5"/>
  <c r="AF289" i="5"/>
  <c r="AE289" i="5"/>
  <c r="AB288" i="5"/>
  <c r="AF288" i="5" s="1"/>
  <c r="M236" i="5" s="1"/>
  <c r="AT276" i="2" s="1"/>
  <c r="AA288" i="5"/>
  <c r="AE288" i="5" s="1"/>
  <c r="K236" i="5" s="1"/>
  <c r="AQ276" i="2" s="1"/>
  <c r="AB287" i="5"/>
  <c r="AF287" i="5" s="1"/>
  <c r="M235" i="5" s="1"/>
  <c r="AT271" i="2" s="1"/>
  <c r="AA287" i="5"/>
  <c r="AE287" i="5" s="1"/>
  <c r="K235" i="5" s="1"/>
  <c r="AQ271" i="2" s="1"/>
  <c r="AB286" i="5"/>
  <c r="AF286" i="5" s="1"/>
  <c r="M234" i="5" s="1"/>
  <c r="AT266" i="2" s="1"/>
  <c r="AA286" i="5"/>
  <c r="AE286" i="5" s="1"/>
  <c r="K234" i="5" s="1"/>
  <c r="AQ266" i="2" s="1"/>
  <c r="AB285" i="5"/>
  <c r="AF285" i="5" s="1"/>
  <c r="M233" i="5" s="1"/>
  <c r="AT261" i="2" s="1"/>
  <c r="AA285" i="5"/>
  <c r="AE285" i="5" s="1"/>
  <c r="K233" i="5" s="1"/>
  <c r="AQ261" i="2" s="1"/>
  <c r="AB284" i="5"/>
  <c r="AF284" i="5" s="1"/>
  <c r="M232" i="5" s="1"/>
  <c r="AT256" i="2" s="1"/>
  <c r="AA284" i="5"/>
  <c r="AE284" i="5" s="1"/>
  <c r="K232" i="5" s="1"/>
  <c r="AQ256" i="2" s="1"/>
  <c r="AB283" i="5"/>
  <c r="AF283" i="5" s="1"/>
  <c r="M231" i="5" s="1"/>
  <c r="AA283" i="5"/>
  <c r="AE283" i="5" s="1"/>
  <c r="K231" i="5" s="1"/>
  <c r="AQ251" i="2" s="1"/>
  <c r="AB282" i="5"/>
  <c r="AF282" i="5" s="1"/>
  <c r="M230" i="5" s="1"/>
  <c r="AT246" i="2" s="1"/>
  <c r="AA282" i="5"/>
  <c r="AE282" i="5" s="1"/>
  <c r="K230" i="5" s="1"/>
  <c r="AQ246" i="2" s="1"/>
  <c r="AB281" i="5"/>
  <c r="AA281" i="5"/>
  <c r="R281" i="5"/>
  <c r="Q281" i="5"/>
  <c r="AB280" i="5"/>
  <c r="AF280" i="5" s="1"/>
  <c r="M228" i="5" s="1"/>
  <c r="AT235" i="2" s="1"/>
  <c r="AA280" i="5"/>
  <c r="AE280" i="5" s="1"/>
  <c r="K228" i="5" s="1"/>
  <c r="AQ235" i="2" s="1"/>
  <c r="AF279" i="5"/>
  <c r="AE279" i="5"/>
  <c r="AB278" i="5"/>
  <c r="AA278" i="5"/>
  <c r="Z278" i="5"/>
  <c r="Y278" i="5"/>
  <c r="AB277" i="5"/>
  <c r="AA277" i="5"/>
  <c r="Z277" i="5"/>
  <c r="Y277" i="5"/>
  <c r="AB276" i="5"/>
  <c r="AF276" i="5" s="1"/>
  <c r="M224" i="5" s="1"/>
  <c r="AT265" i="2" s="1"/>
  <c r="AA276" i="5"/>
  <c r="AE276" i="5" s="1"/>
  <c r="K224" i="5" s="1"/>
  <c r="AQ265" i="2" s="1"/>
  <c r="AF275" i="5"/>
  <c r="M223" i="5" s="1"/>
  <c r="AE275" i="5"/>
  <c r="K223" i="5" s="1"/>
  <c r="AB274" i="5"/>
  <c r="AA274" i="5"/>
  <c r="Z274" i="5"/>
  <c r="Y274" i="5"/>
  <c r="AB273" i="5"/>
  <c r="AA273" i="5"/>
  <c r="Z273" i="5"/>
  <c r="Y273" i="5"/>
  <c r="AB272" i="5"/>
  <c r="AA272" i="5"/>
  <c r="Z272" i="5"/>
  <c r="Y272" i="5"/>
  <c r="AB271" i="5"/>
  <c r="AF271" i="5" s="1"/>
  <c r="M219" i="5" s="1"/>
  <c r="AA271" i="5"/>
  <c r="AE271" i="5" s="1"/>
  <c r="K219" i="5" s="1"/>
  <c r="AQ239" i="2" s="1"/>
  <c r="AB270" i="5"/>
  <c r="AA270" i="5"/>
  <c r="Z270" i="5"/>
  <c r="Y270" i="5"/>
  <c r="AF269" i="5"/>
  <c r="AE269" i="5"/>
  <c r="AE268" i="5"/>
  <c r="K247" i="5" s="1"/>
  <c r="AD268" i="5"/>
  <c r="AB268" i="5"/>
  <c r="Z268" i="5"/>
  <c r="X268" i="5"/>
  <c r="V268" i="5"/>
  <c r="T268" i="5"/>
  <c r="R268" i="5"/>
  <c r="O268" i="5"/>
  <c r="K268" i="5"/>
  <c r="AF267" i="5"/>
  <c r="M216" i="5" s="1"/>
  <c r="AT224" i="2" s="1"/>
  <c r="AD267" i="5"/>
  <c r="AC267" i="5"/>
  <c r="AE267" i="5" s="1"/>
  <c r="K216" i="5" s="1"/>
  <c r="AQ224" i="2" s="1"/>
  <c r="AB266" i="5"/>
  <c r="AF266" i="5" s="1"/>
  <c r="M215" i="5" s="1"/>
  <c r="AT225" i="2" s="1"/>
  <c r="AA266" i="5"/>
  <c r="AE266" i="5" s="1"/>
  <c r="K215" i="5" s="1"/>
  <c r="AQ225" i="2" s="1"/>
  <c r="AF265" i="5"/>
  <c r="AE265" i="5"/>
  <c r="K214" i="5" s="1"/>
  <c r="AQ222" i="2" s="1"/>
  <c r="AF264" i="5"/>
  <c r="AE264" i="5"/>
  <c r="K213" i="5" s="1"/>
  <c r="AQ221" i="2" s="1"/>
  <c r="AF263" i="5"/>
  <c r="M212" i="5" s="1"/>
  <c r="AE263" i="5"/>
  <c r="K212" i="5" s="1"/>
  <c r="AQ220" i="2" s="1"/>
  <c r="V262" i="5"/>
  <c r="V299" i="5" s="1"/>
  <c r="U262" i="5"/>
  <c r="T262" i="5"/>
  <c r="S262" i="5"/>
  <c r="O262" i="5"/>
  <c r="M262" i="5"/>
  <c r="K262" i="5"/>
  <c r="I262" i="5"/>
  <c r="AF261" i="5"/>
  <c r="M210" i="5" s="1"/>
  <c r="AT218" i="2" s="1"/>
  <c r="AE261" i="5"/>
  <c r="K210" i="5" s="1"/>
  <c r="AQ218" i="2" s="1"/>
  <c r="Y259" i="5"/>
  <c r="U259" i="5"/>
  <c r="S259" i="5"/>
  <c r="Q259" i="5"/>
  <c r="Q299" i="5" s="1"/>
  <c r="M259" i="5"/>
  <c r="I259" i="5"/>
  <c r="I299" i="5" s="1"/>
  <c r="AC258" i="5"/>
  <c r="AE258" i="5" s="1"/>
  <c r="K243" i="5"/>
  <c r="M214" i="5"/>
  <c r="AT222" i="2" s="1"/>
  <c r="M213" i="5"/>
  <c r="M191" i="5"/>
  <c r="L191" i="5"/>
  <c r="K191" i="5"/>
  <c r="I191" i="5"/>
  <c r="H191" i="5"/>
  <c r="M169" i="5"/>
  <c r="K169" i="5"/>
  <c r="I169" i="5"/>
  <c r="H169" i="5"/>
  <c r="K146" i="5"/>
  <c r="M135" i="5"/>
  <c r="Z259" i="5" s="1"/>
  <c r="K130" i="5"/>
  <c r="M128" i="5" s="1"/>
  <c r="K109" i="5"/>
  <c r="M98" i="5"/>
  <c r="K93" i="5"/>
  <c r="M92" i="5" s="1"/>
  <c r="L58" i="4"/>
  <c r="J58" i="4"/>
  <c r="L57" i="4"/>
  <c r="L59" i="4"/>
  <c r="AT216" i="2" s="1"/>
  <c r="L55" i="4"/>
  <c r="L54" i="4"/>
  <c r="J54" i="4"/>
  <c r="AQ14" i="2" s="1"/>
  <c r="L53" i="4"/>
  <c r="J53" i="4"/>
  <c r="H44" i="4"/>
  <c r="H30" i="4"/>
  <c r="J55" i="4" s="1"/>
  <c r="K143" i="3"/>
  <c r="N141" i="3"/>
  <c r="AO412" i="2" s="1"/>
  <c r="N140" i="3"/>
  <c r="AO410" i="2" s="1"/>
  <c r="N139" i="3"/>
  <c r="AO277" i="2" s="1"/>
  <c r="N138" i="3"/>
  <c r="AO276" i="2" s="1"/>
  <c r="N137" i="3"/>
  <c r="N136" i="3"/>
  <c r="N135" i="3"/>
  <c r="N134" i="3"/>
  <c r="AO270" i="2" s="1"/>
  <c r="N133" i="3"/>
  <c r="N132" i="3"/>
  <c r="AO266" i="2" s="1"/>
  <c r="N131" i="3"/>
  <c r="AO265" i="2" s="1"/>
  <c r="N130" i="3"/>
  <c r="N129" i="3"/>
  <c r="N128" i="3"/>
  <c r="N127" i="3"/>
  <c r="AO257" i="2" s="1"/>
  <c r="N126" i="3"/>
  <c r="AO256" i="2" s="1"/>
  <c r="N125" i="3"/>
  <c r="AO255" i="2" s="1"/>
  <c r="N124" i="3"/>
  <c r="AO252" i="2" s="1"/>
  <c r="N123" i="3"/>
  <c r="AO251" i="2" s="1"/>
  <c r="N122" i="3"/>
  <c r="AO250" i="2" s="1"/>
  <c r="N121" i="3"/>
  <c r="AO247" i="2" s="1"/>
  <c r="N120" i="3"/>
  <c r="N119" i="3"/>
  <c r="AO245" i="2" s="1"/>
  <c r="N118" i="3"/>
  <c r="AO242" i="2" s="1"/>
  <c r="N117" i="3"/>
  <c r="AO240" i="2" s="1"/>
  <c r="N116" i="3"/>
  <c r="AO239" i="2" s="1"/>
  <c r="N115" i="3"/>
  <c r="AO236" i="2" s="1"/>
  <c r="N114" i="3"/>
  <c r="AO235" i="2" s="1"/>
  <c r="L112" i="3"/>
  <c r="AN407" i="2" s="1"/>
  <c r="L111" i="3"/>
  <c r="AN410" i="2" s="1"/>
  <c r="L110" i="3"/>
  <c r="AN231" i="2" s="1"/>
  <c r="L109" i="3"/>
  <c r="AN230" i="2" s="1"/>
  <c r="L108" i="3"/>
  <c r="AN225" i="2" s="1"/>
  <c r="L107" i="3"/>
  <c r="AN224" i="2" s="1"/>
  <c r="L105" i="3"/>
  <c r="AN222" i="2" s="1"/>
  <c r="L104" i="3"/>
  <c r="AN221" i="2" s="1"/>
  <c r="L103" i="3"/>
  <c r="AN220" i="2" s="1"/>
  <c r="L102" i="3"/>
  <c r="L101" i="3"/>
  <c r="AN218" i="2" s="1"/>
  <c r="N113" i="3"/>
  <c r="AO234" i="2" s="1"/>
  <c r="H40" i="3"/>
  <c r="AI422" i="2"/>
  <c r="AK422" i="2" s="1"/>
  <c r="AI421" i="2"/>
  <c r="AK421" i="2" s="1"/>
  <c r="AI420" i="2"/>
  <c r="AI416" i="2"/>
  <c r="AK416" i="2" s="1"/>
  <c r="E415" i="2"/>
  <c r="AK412" i="2"/>
  <c r="AJ412" i="2"/>
  <c r="BB412" i="2" s="1"/>
  <c r="AS411" i="2"/>
  <c r="AK411" i="2"/>
  <c r="AJ411" i="2"/>
  <c r="BB411" i="2" s="1"/>
  <c r="AS410" i="2"/>
  <c r="AP410" i="2"/>
  <c r="AK410" i="2"/>
  <c r="AJ410" i="2"/>
  <c r="AK408" i="2"/>
  <c r="BC408" i="2" s="1"/>
  <c r="AJ408" i="2"/>
  <c r="AS407" i="2"/>
  <c r="AP407" i="2"/>
  <c r="AK407" i="2"/>
  <c r="AJ407" i="2"/>
  <c r="AU406" i="2"/>
  <c r="AS406" i="2"/>
  <c r="AP406" i="2"/>
  <c r="AK406" i="2"/>
  <c r="AJ406" i="2"/>
  <c r="AP402" i="2"/>
  <c r="AK402" i="2"/>
  <c r="BC402" i="2" s="1"/>
  <c r="AJ402" i="2"/>
  <c r="AP401" i="2"/>
  <c r="AK401" i="2"/>
  <c r="BC401" i="2" s="1"/>
  <c r="AJ401" i="2"/>
  <c r="AK400" i="2"/>
  <c r="BC400" i="2" s="1"/>
  <c r="AJ400" i="2"/>
  <c r="AP399" i="2"/>
  <c r="AK399" i="2"/>
  <c r="BC399" i="2" s="1"/>
  <c r="AJ399" i="2"/>
  <c r="AS398" i="2"/>
  <c r="AK398" i="2"/>
  <c r="AJ398" i="2"/>
  <c r="BB398" i="2" s="1"/>
  <c r="AS397" i="2"/>
  <c r="AK397" i="2"/>
  <c r="AJ397" i="2"/>
  <c r="BB397" i="2" s="1"/>
  <c r="AP396" i="2"/>
  <c r="AK396" i="2"/>
  <c r="BC396" i="2" s="1"/>
  <c r="AJ396" i="2"/>
  <c r="AP395" i="2"/>
  <c r="AK395" i="2"/>
  <c r="BC395" i="2" s="1"/>
  <c r="AJ395" i="2"/>
  <c r="AP394" i="2"/>
  <c r="AK394" i="2"/>
  <c r="BC394" i="2" s="1"/>
  <c r="AJ394" i="2"/>
  <c r="AP392" i="2"/>
  <c r="AK392" i="2"/>
  <c r="BC392" i="2" s="1"/>
  <c r="AJ392" i="2"/>
  <c r="AY391" i="2"/>
  <c r="AX391" i="2"/>
  <c r="AP391" i="2"/>
  <c r="AK391" i="2"/>
  <c r="AJ391" i="2"/>
  <c r="AU390" i="2"/>
  <c r="AS390" i="2"/>
  <c r="AK390" i="2"/>
  <c r="AJ390" i="2"/>
  <c r="AQ386" i="2"/>
  <c r="AP386" i="2"/>
  <c r="AK386" i="2"/>
  <c r="BC386" i="2" s="1"/>
  <c r="AJ386" i="2"/>
  <c r="AS384" i="2"/>
  <c r="AK384" i="2"/>
  <c r="AJ384" i="2"/>
  <c r="BB384" i="2" s="1"/>
  <c r="AK383" i="2"/>
  <c r="AJ383" i="2"/>
  <c r="BB383" i="2" s="1"/>
  <c r="AS382" i="2"/>
  <c r="AK382" i="2"/>
  <c r="AJ382" i="2"/>
  <c r="BB382" i="2" s="1"/>
  <c r="AX381" i="2"/>
  <c r="AT381" i="2"/>
  <c r="AS381" i="2"/>
  <c r="AP381" i="2"/>
  <c r="AK381" i="2"/>
  <c r="AJ381" i="2"/>
  <c r="AS380" i="2"/>
  <c r="AK380" i="2"/>
  <c r="AJ380" i="2"/>
  <c r="BB380" i="2" s="1"/>
  <c r="BB377" i="2"/>
  <c r="AS377" i="2"/>
  <c r="AT376" i="2"/>
  <c r="AS376" i="2"/>
  <c r="AK376" i="2"/>
  <c r="AJ376" i="2"/>
  <c r="BB376" i="2" s="1"/>
  <c r="BC370" i="2"/>
  <c r="AK369" i="2"/>
  <c r="AJ369" i="2"/>
  <c r="AY368" i="2"/>
  <c r="AX368" i="2"/>
  <c r="AU368" i="2"/>
  <c r="AS368" i="2"/>
  <c r="AP368" i="2"/>
  <c r="AK368" i="2"/>
  <c r="AJ368" i="2"/>
  <c r="AS367" i="2"/>
  <c r="AP367" i="2"/>
  <c r="AK367" i="2"/>
  <c r="AJ367" i="2"/>
  <c r="AV366" i="2"/>
  <c r="AU366" i="2"/>
  <c r="AS366" i="2"/>
  <c r="AP366" i="2"/>
  <c r="AK366" i="2"/>
  <c r="AJ366" i="2"/>
  <c r="BC360" i="2"/>
  <c r="AK359" i="2"/>
  <c r="AJ359" i="2"/>
  <c r="AX358" i="2"/>
  <c r="AU358" i="2"/>
  <c r="AS358" i="2"/>
  <c r="AP358" i="2"/>
  <c r="AK358" i="2"/>
  <c r="AJ358" i="2"/>
  <c r="AS357" i="2"/>
  <c r="AP357" i="2"/>
  <c r="AK357" i="2"/>
  <c r="AJ357" i="2"/>
  <c r="AV356" i="2"/>
  <c r="AU356" i="2"/>
  <c r="AS356" i="2"/>
  <c r="AQ356" i="2"/>
  <c r="AP356" i="2"/>
  <c r="AK356" i="2"/>
  <c r="AJ356" i="2"/>
  <c r="BC350" i="2"/>
  <c r="AK349" i="2"/>
  <c r="AJ349" i="2"/>
  <c r="AX348" i="2"/>
  <c r="AV348" i="2"/>
  <c r="AU348" i="2"/>
  <c r="AS348" i="2"/>
  <c r="AP348" i="2"/>
  <c r="AK348" i="2"/>
  <c r="AJ348" i="2"/>
  <c r="AS347" i="2"/>
  <c r="AP347" i="2"/>
  <c r="AK347" i="2"/>
  <c r="AJ347" i="2"/>
  <c r="AV346" i="2"/>
  <c r="AU346" i="2"/>
  <c r="AS346" i="2"/>
  <c r="AQ346" i="2"/>
  <c r="AP346" i="2"/>
  <c r="AK346" i="2"/>
  <c r="AJ346" i="2"/>
  <c r="BC340" i="2"/>
  <c r="AK339" i="2"/>
  <c r="AJ339" i="2"/>
  <c r="AX338" i="2"/>
  <c r="AV338" i="2"/>
  <c r="AU338" i="2"/>
  <c r="AS338" i="2"/>
  <c r="AP338" i="2"/>
  <c r="AK338" i="2"/>
  <c r="AJ338" i="2"/>
  <c r="AS337" i="2"/>
  <c r="AP337" i="2"/>
  <c r="AK337" i="2"/>
  <c r="AJ337" i="2"/>
  <c r="AU336" i="2"/>
  <c r="AS336" i="2"/>
  <c r="AP336" i="2"/>
  <c r="AK336" i="2"/>
  <c r="AJ336" i="2"/>
  <c r="BC330" i="2"/>
  <c r="AK329" i="2"/>
  <c r="AJ329" i="2"/>
  <c r="AY328" i="2"/>
  <c r="AX328" i="2"/>
  <c r="AU328" i="2"/>
  <c r="AS328" i="2"/>
  <c r="AP328" i="2"/>
  <c r="AK328" i="2"/>
  <c r="AJ328" i="2"/>
  <c r="AS327" i="2"/>
  <c r="AP327" i="2"/>
  <c r="AK327" i="2"/>
  <c r="AJ327" i="2"/>
  <c r="AU326" i="2"/>
  <c r="AS326" i="2"/>
  <c r="AP326" i="2"/>
  <c r="AK326" i="2"/>
  <c r="AJ326" i="2"/>
  <c r="BC320" i="2"/>
  <c r="AK319" i="2"/>
  <c r="AJ319" i="2"/>
  <c r="AX318" i="2"/>
  <c r="AU318" i="2"/>
  <c r="AS318" i="2"/>
  <c r="AP318" i="2"/>
  <c r="AK318" i="2"/>
  <c r="AJ318" i="2"/>
  <c r="AS317" i="2"/>
  <c r="AP317" i="2"/>
  <c r="AK317" i="2"/>
  <c r="AJ317" i="2"/>
  <c r="AU316" i="2"/>
  <c r="AT316" i="2"/>
  <c r="AS316" i="2"/>
  <c r="AP316" i="2"/>
  <c r="AK316" i="2"/>
  <c r="AJ316" i="2"/>
  <c r="BC310" i="2"/>
  <c r="AK309" i="2"/>
  <c r="AJ309" i="2"/>
  <c r="AX308" i="2"/>
  <c r="AU308" i="2"/>
  <c r="AS308" i="2"/>
  <c r="AP308" i="2"/>
  <c r="AK308" i="2"/>
  <c r="AJ308" i="2"/>
  <c r="AY307" i="2"/>
  <c r="AX307" i="2"/>
  <c r="AS307" i="2"/>
  <c r="AP307" i="2"/>
  <c r="AK307" i="2"/>
  <c r="AJ307" i="2"/>
  <c r="AU306" i="2"/>
  <c r="AS306" i="2"/>
  <c r="AP306" i="2"/>
  <c r="AK306" i="2"/>
  <c r="AJ306" i="2"/>
  <c r="BC300" i="2"/>
  <c r="AT298" i="2"/>
  <c r="BC298" i="2" s="1"/>
  <c r="AK297" i="2"/>
  <c r="AJ297" i="2"/>
  <c r="AY296" i="2"/>
  <c r="AX296" i="2"/>
  <c r="AV296" i="2"/>
  <c r="AU296" i="2"/>
  <c r="AS296" i="2"/>
  <c r="AP296" i="2"/>
  <c r="AK296" i="2"/>
  <c r="AJ296" i="2"/>
  <c r="AS295" i="2"/>
  <c r="AP295" i="2"/>
  <c r="AK295" i="2"/>
  <c r="AJ295" i="2"/>
  <c r="AU294" i="2"/>
  <c r="AS294" i="2"/>
  <c r="AP294" i="2"/>
  <c r="AK294" i="2"/>
  <c r="AJ294" i="2"/>
  <c r="BC287" i="2"/>
  <c r="BC286" i="2"/>
  <c r="AK285" i="2"/>
  <c r="AJ285" i="2"/>
  <c r="AV284" i="2"/>
  <c r="AU284" i="2"/>
  <c r="AP284" i="2"/>
  <c r="AK284" i="2"/>
  <c r="AJ284" i="2"/>
  <c r="AY283" i="2"/>
  <c r="AX283" i="2"/>
  <c r="AU283" i="2"/>
  <c r="AS283" i="2"/>
  <c r="AP283" i="2"/>
  <c r="AK283" i="2"/>
  <c r="AJ283" i="2"/>
  <c r="AY282" i="2"/>
  <c r="AX282" i="2"/>
  <c r="AV282" i="2"/>
  <c r="AU282" i="2"/>
  <c r="AS282" i="2"/>
  <c r="AP282" i="2"/>
  <c r="AK282" i="2"/>
  <c r="AJ282" i="2"/>
  <c r="AS281" i="2"/>
  <c r="AP281" i="2"/>
  <c r="AK281" i="2"/>
  <c r="AJ281" i="2"/>
  <c r="BD280" i="2"/>
  <c r="AK280" i="2"/>
  <c r="AJ280" i="2"/>
  <c r="BD279" i="2"/>
  <c r="AK279" i="2"/>
  <c r="AJ279" i="2"/>
  <c r="BD278" i="2"/>
  <c r="AK278" i="2"/>
  <c r="AJ278" i="2"/>
  <c r="AX277" i="2"/>
  <c r="AS277" i="2"/>
  <c r="AP277" i="2"/>
  <c r="AK277" i="2"/>
  <c r="AJ277" i="2"/>
  <c r="AY276" i="2"/>
  <c r="AX276" i="2"/>
  <c r="AS276" i="2"/>
  <c r="AP276" i="2"/>
  <c r="AK276" i="2"/>
  <c r="AJ276" i="2"/>
  <c r="AS275" i="2"/>
  <c r="AP275" i="2"/>
  <c r="AO275" i="2"/>
  <c r="AK275" i="2"/>
  <c r="AJ275" i="2"/>
  <c r="BD274" i="2"/>
  <c r="AK274" i="2"/>
  <c r="AJ274" i="2"/>
  <c r="BD273" i="2"/>
  <c r="AK273" i="2"/>
  <c r="AJ273" i="2"/>
  <c r="AX272" i="2"/>
  <c r="AS272" i="2"/>
  <c r="AP272" i="2"/>
  <c r="AO272" i="2"/>
  <c r="AK272" i="2"/>
  <c r="AJ272" i="2"/>
  <c r="AX271" i="2"/>
  <c r="AS271" i="2"/>
  <c r="AP271" i="2"/>
  <c r="AO271" i="2"/>
  <c r="AK271" i="2"/>
  <c r="AJ271" i="2"/>
  <c r="AS270" i="2"/>
  <c r="AP270" i="2"/>
  <c r="AK270" i="2"/>
  <c r="AJ270" i="2"/>
  <c r="BD269" i="2"/>
  <c r="AK269" i="2"/>
  <c r="AJ269" i="2"/>
  <c r="BD268" i="2"/>
  <c r="AK268" i="2"/>
  <c r="AJ268" i="2"/>
  <c r="AX267" i="2"/>
  <c r="AS267" i="2"/>
  <c r="AP267" i="2"/>
  <c r="AO267" i="2"/>
  <c r="AK267" i="2"/>
  <c r="AJ267" i="2"/>
  <c r="AY266" i="2"/>
  <c r="AX266" i="2"/>
  <c r="AS266" i="2"/>
  <c r="AP266" i="2"/>
  <c r="AK266" i="2"/>
  <c r="AJ266" i="2"/>
  <c r="AS265" i="2"/>
  <c r="AP265" i="2"/>
  <c r="AK265" i="2"/>
  <c r="AJ265" i="2"/>
  <c r="BD264" i="2"/>
  <c r="AK264" i="2"/>
  <c r="AJ264" i="2"/>
  <c r="BD263" i="2"/>
  <c r="AK263" i="2"/>
  <c r="AJ263" i="2"/>
  <c r="AY262" i="2"/>
  <c r="AX262" i="2"/>
  <c r="AT262" i="2"/>
  <c r="AS262" i="2"/>
  <c r="AQ262" i="2"/>
  <c r="AP262" i="2"/>
  <c r="AO262" i="2"/>
  <c r="AK262" i="2"/>
  <c r="AJ262" i="2"/>
  <c r="AY261" i="2"/>
  <c r="AX261" i="2"/>
  <c r="AS261" i="2"/>
  <c r="AP261" i="2"/>
  <c r="AO261" i="2"/>
  <c r="AK261" i="2"/>
  <c r="AJ261" i="2"/>
  <c r="AS260" i="2"/>
  <c r="AP260" i="2"/>
  <c r="AO260" i="2"/>
  <c r="AK260" i="2"/>
  <c r="AJ260" i="2"/>
  <c r="BD259" i="2"/>
  <c r="AK259" i="2"/>
  <c r="AJ259" i="2"/>
  <c r="BD258" i="2"/>
  <c r="AK258" i="2"/>
  <c r="AJ258" i="2"/>
  <c r="AY257" i="2"/>
  <c r="AX257" i="2"/>
  <c r="AS257" i="2"/>
  <c r="AP257" i="2"/>
  <c r="AK257" i="2"/>
  <c r="AJ257" i="2"/>
  <c r="AX256" i="2"/>
  <c r="AS256" i="2"/>
  <c r="AP256" i="2"/>
  <c r="AK256" i="2"/>
  <c r="AJ256" i="2"/>
  <c r="AS255" i="2"/>
  <c r="AP255" i="2"/>
  <c r="AK255" i="2"/>
  <c r="AJ255" i="2"/>
  <c r="BD254" i="2"/>
  <c r="AK254" i="2"/>
  <c r="AJ254" i="2"/>
  <c r="BD253" i="2"/>
  <c r="AK253" i="2"/>
  <c r="AJ253" i="2"/>
  <c r="AX252" i="2"/>
  <c r="AS252" i="2"/>
  <c r="AP252" i="2"/>
  <c r="AK252" i="2"/>
  <c r="AJ252" i="2"/>
  <c r="AX251" i="2"/>
  <c r="AT251" i="2"/>
  <c r="AS251" i="2"/>
  <c r="AP251" i="2"/>
  <c r="AK251" i="2"/>
  <c r="AJ251" i="2"/>
  <c r="AS250" i="2"/>
  <c r="AP250" i="2"/>
  <c r="AK250" i="2"/>
  <c r="AJ250" i="2"/>
  <c r="BD249" i="2"/>
  <c r="AK249" i="2"/>
  <c r="AJ249" i="2"/>
  <c r="BD248" i="2"/>
  <c r="AK248" i="2"/>
  <c r="AJ248" i="2"/>
  <c r="AX247" i="2"/>
  <c r="AS247" i="2"/>
  <c r="AP247" i="2"/>
  <c r="AK247" i="2"/>
  <c r="AJ247" i="2"/>
  <c r="AX246" i="2"/>
  <c r="AS246" i="2"/>
  <c r="AP246" i="2"/>
  <c r="AO246" i="2"/>
  <c r="AK246" i="2"/>
  <c r="AJ246" i="2"/>
  <c r="AU245" i="2"/>
  <c r="AS245" i="2"/>
  <c r="AP245" i="2"/>
  <c r="AK245" i="2"/>
  <c r="AJ245" i="2"/>
  <c r="BD244" i="2"/>
  <c r="AK244" i="2"/>
  <c r="AJ244" i="2"/>
  <c r="BD243" i="2"/>
  <c r="AK243" i="2"/>
  <c r="AJ243" i="2"/>
  <c r="AX242" i="2"/>
  <c r="AS242" i="2"/>
  <c r="AP242" i="2"/>
  <c r="AK242" i="2"/>
  <c r="AJ242" i="2"/>
  <c r="AQ241" i="2"/>
  <c r="BB241" i="2" s="1"/>
  <c r="AX240" i="2"/>
  <c r="AS240" i="2"/>
  <c r="AP240" i="2"/>
  <c r="AK240" i="2"/>
  <c r="AJ240" i="2"/>
  <c r="AT239" i="2"/>
  <c r="AS239" i="2"/>
  <c r="AP239" i="2"/>
  <c r="AK239" i="2"/>
  <c r="AJ239" i="2"/>
  <c r="BD238" i="2"/>
  <c r="AK238" i="2"/>
  <c r="AJ238" i="2"/>
  <c r="BD237" i="2"/>
  <c r="AK237" i="2"/>
  <c r="AJ237" i="2"/>
  <c r="AX236" i="2"/>
  <c r="AS236" i="2"/>
  <c r="AP236" i="2"/>
  <c r="AK236" i="2"/>
  <c r="AJ236" i="2"/>
  <c r="AY235" i="2"/>
  <c r="AX235" i="2"/>
  <c r="AS235" i="2"/>
  <c r="AP235" i="2"/>
  <c r="AK235" i="2"/>
  <c r="AJ235" i="2"/>
  <c r="AU234" i="2"/>
  <c r="AS234" i="2"/>
  <c r="AP234" i="2"/>
  <c r="AK234" i="2"/>
  <c r="AJ234" i="2"/>
  <c r="AK233" i="2"/>
  <c r="AJ233" i="2"/>
  <c r="AK232" i="2"/>
  <c r="AJ232" i="2"/>
  <c r="AK231" i="2"/>
  <c r="BC231" i="2" s="1"/>
  <c r="AJ231" i="2"/>
  <c r="AK230" i="2"/>
  <c r="BC230" i="2" s="1"/>
  <c r="AJ230" i="2"/>
  <c r="AS229" i="2"/>
  <c r="AP229" i="2"/>
  <c r="AK229" i="2"/>
  <c r="AJ229" i="2"/>
  <c r="AP228" i="2"/>
  <c r="AK228" i="2"/>
  <c r="AJ228" i="2"/>
  <c r="AS227" i="2"/>
  <c r="AP227" i="2"/>
  <c r="AK227" i="2"/>
  <c r="AJ227" i="2"/>
  <c r="AS226" i="2"/>
  <c r="AP226" i="2"/>
  <c r="AK226" i="2"/>
  <c r="AJ226" i="2"/>
  <c r="AX225" i="2"/>
  <c r="AS225" i="2"/>
  <c r="AP225" i="2"/>
  <c r="AK225" i="2"/>
  <c r="AJ225" i="2"/>
  <c r="AU224" i="2"/>
  <c r="AS224" i="2"/>
  <c r="AP224" i="2"/>
  <c r="AK224" i="2"/>
  <c r="AJ224" i="2"/>
  <c r="AS222" i="2"/>
  <c r="AP222" i="2"/>
  <c r="AK222" i="2"/>
  <c r="AJ222" i="2"/>
  <c r="AT221" i="2"/>
  <c r="AS221" i="2"/>
  <c r="AP221" i="2"/>
  <c r="AK221" i="2"/>
  <c r="AJ221" i="2"/>
  <c r="AT220" i="2"/>
  <c r="AS220" i="2"/>
  <c r="AP220" i="2"/>
  <c r="AS219" i="2"/>
  <c r="AP219" i="2"/>
  <c r="AN219" i="2"/>
  <c r="AK219" i="2"/>
  <c r="AJ219" i="2"/>
  <c r="AS218" i="2"/>
  <c r="AP218" i="2"/>
  <c r="AK218" i="2"/>
  <c r="AJ218" i="2"/>
  <c r="AK217" i="2"/>
  <c r="BC217" i="2" s="1"/>
  <c r="AJ217" i="2"/>
  <c r="BB217" i="2" s="1"/>
  <c r="AS216" i="2"/>
  <c r="AQ216" i="2"/>
  <c r="AP216" i="2"/>
  <c r="AK216" i="2"/>
  <c r="AJ216" i="2"/>
  <c r="AK214" i="2"/>
  <c r="AJ214" i="2"/>
  <c r="BG213" i="2"/>
  <c r="BF213" i="2"/>
  <c r="AK213" i="2"/>
  <c r="AJ213" i="2"/>
  <c r="AX212" i="2"/>
  <c r="AK212" i="2"/>
  <c r="AJ212" i="2"/>
  <c r="BB212" i="2" s="1"/>
  <c r="AY211" i="2"/>
  <c r="AX211" i="2"/>
  <c r="AK211" i="2"/>
  <c r="AJ211" i="2"/>
  <c r="BB211" i="2" s="1"/>
  <c r="AY210" i="2"/>
  <c r="AX210" i="2"/>
  <c r="AK210" i="2"/>
  <c r="AJ210" i="2"/>
  <c r="BB210" i="2" s="1"/>
  <c r="AX209" i="2"/>
  <c r="AK209" i="2"/>
  <c r="AJ209" i="2"/>
  <c r="BB209" i="2" s="1"/>
  <c r="AX208" i="2"/>
  <c r="AK208" i="2"/>
  <c r="AJ208" i="2"/>
  <c r="BB208" i="2" s="1"/>
  <c r="AX207" i="2"/>
  <c r="AK207" i="2"/>
  <c r="AJ207" i="2"/>
  <c r="BB207" i="2" s="1"/>
  <c r="AX206" i="2"/>
  <c r="AK206" i="2"/>
  <c r="AJ206" i="2"/>
  <c r="BB206" i="2" s="1"/>
  <c r="AX205" i="2"/>
  <c r="AK205" i="2"/>
  <c r="AJ205" i="2"/>
  <c r="BB205" i="2" s="1"/>
  <c r="AX202" i="2"/>
  <c r="AK202" i="2"/>
  <c r="AJ202" i="2"/>
  <c r="BB202" i="2" s="1"/>
  <c r="AY201" i="2"/>
  <c r="AX201" i="2"/>
  <c r="AK201" i="2"/>
  <c r="AJ201" i="2"/>
  <c r="BB201" i="2" s="1"/>
  <c r="AY200" i="2"/>
  <c r="AX200" i="2"/>
  <c r="AK200" i="2"/>
  <c r="AJ200" i="2"/>
  <c r="BB200" i="2" s="1"/>
  <c r="AX199" i="2"/>
  <c r="AK199" i="2"/>
  <c r="AJ199" i="2"/>
  <c r="BB199" i="2" s="1"/>
  <c r="AX198" i="2"/>
  <c r="AK198" i="2"/>
  <c r="AJ198" i="2"/>
  <c r="BB198" i="2" s="1"/>
  <c r="AX197" i="2"/>
  <c r="AK197" i="2"/>
  <c r="AJ197" i="2"/>
  <c r="BB197" i="2" s="1"/>
  <c r="BF196" i="2"/>
  <c r="AK196" i="2"/>
  <c r="AJ196" i="2"/>
  <c r="AK195" i="2"/>
  <c r="AJ195" i="2"/>
  <c r="AK194" i="2"/>
  <c r="BC194" i="2" s="1"/>
  <c r="AJ194" i="2"/>
  <c r="BB194" i="2" s="1"/>
  <c r="AK193" i="2"/>
  <c r="BC193" i="2" s="1"/>
  <c r="AJ193" i="2"/>
  <c r="BB193" i="2" s="1"/>
  <c r="AK192" i="2"/>
  <c r="AJ192" i="2"/>
  <c r="AU191" i="2"/>
  <c r="AK191" i="2"/>
  <c r="BC191" i="2" s="1"/>
  <c r="AJ191" i="2"/>
  <c r="AS185" i="2"/>
  <c r="AK185" i="2"/>
  <c r="AJ185" i="2"/>
  <c r="BB185" i="2" s="1"/>
  <c r="AX184" i="2"/>
  <c r="AV184" i="2"/>
  <c r="AU184" i="2"/>
  <c r="AS184" i="2"/>
  <c r="AK184" i="2"/>
  <c r="AJ184" i="2"/>
  <c r="AT183" i="2"/>
  <c r="AS183" i="2"/>
  <c r="AP183" i="2"/>
  <c r="AK183" i="2"/>
  <c r="AJ183" i="2"/>
  <c r="AK178" i="2"/>
  <c r="AJ178" i="2"/>
  <c r="AK177" i="2"/>
  <c r="AJ177" i="2"/>
  <c r="AK173" i="2"/>
  <c r="AJ173" i="2"/>
  <c r="AK172" i="2"/>
  <c r="AJ172" i="2"/>
  <c r="AK171" i="2"/>
  <c r="AJ171" i="2"/>
  <c r="AK166" i="2"/>
  <c r="AJ166" i="2"/>
  <c r="AK165" i="2"/>
  <c r="AJ165" i="2"/>
  <c r="AK164" i="2"/>
  <c r="AJ164" i="2"/>
  <c r="AK163" i="2"/>
  <c r="AJ163" i="2"/>
  <c r="AK162" i="2"/>
  <c r="AJ162" i="2"/>
  <c r="AP160" i="2"/>
  <c r="AK160" i="2"/>
  <c r="BC160" i="2" s="1"/>
  <c r="AJ160" i="2"/>
  <c r="AS158" i="2"/>
  <c r="AP158" i="2"/>
  <c r="AJ158" i="2"/>
  <c r="AK157" i="2"/>
  <c r="BC157" i="2" s="1"/>
  <c r="AJ157" i="2"/>
  <c r="BB157" i="2" s="1"/>
  <c r="AS152" i="2"/>
  <c r="AK152" i="2"/>
  <c r="AJ152" i="2"/>
  <c r="AS150" i="2"/>
  <c r="AM150" i="2"/>
  <c r="AK149" i="2"/>
  <c r="AJ149" i="2"/>
  <c r="AV148" i="2"/>
  <c r="AU148" i="2"/>
  <c r="AS148" i="2"/>
  <c r="AP148" i="2"/>
  <c r="AK148" i="2"/>
  <c r="AJ148" i="2"/>
  <c r="AV147" i="2"/>
  <c r="AU147" i="2"/>
  <c r="AS147" i="2"/>
  <c r="AP147" i="2"/>
  <c r="AK147" i="2"/>
  <c r="AJ147" i="2"/>
  <c r="AV146" i="2"/>
  <c r="AU146" i="2"/>
  <c r="AS146" i="2"/>
  <c r="AK146" i="2"/>
  <c r="AJ146" i="2"/>
  <c r="AU145" i="2"/>
  <c r="AS145" i="2"/>
  <c r="AP145" i="2"/>
  <c r="AK145" i="2"/>
  <c r="AJ145" i="2"/>
  <c r="AU144" i="2"/>
  <c r="AK144" i="2"/>
  <c r="AJ144" i="2"/>
  <c r="AU142" i="2"/>
  <c r="AS142" i="2"/>
  <c r="AP142" i="2"/>
  <c r="AK142" i="2"/>
  <c r="AJ142" i="2"/>
  <c r="AU141" i="2"/>
  <c r="AS141" i="2"/>
  <c r="AQ141" i="2"/>
  <c r="AP141" i="2"/>
  <c r="AK141" i="2"/>
  <c r="AJ141" i="2"/>
  <c r="AS140" i="2"/>
  <c r="AP140" i="2"/>
  <c r="AK140" i="2"/>
  <c r="AJ140" i="2"/>
  <c r="AS139" i="2"/>
  <c r="AP139" i="2"/>
  <c r="AK139" i="2"/>
  <c r="AJ139" i="2"/>
  <c r="AS138" i="2"/>
  <c r="AP138" i="2"/>
  <c r="AK138" i="2"/>
  <c r="AJ138" i="2"/>
  <c r="AS137" i="2"/>
  <c r="AQ137" i="2"/>
  <c r="AP137" i="2"/>
  <c r="AK137" i="2"/>
  <c r="AJ137" i="2"/>
  <c r="AU136" i="2"/>
  <c r="AP136" i="2"/>
  <c r="AK136" i="2"/>
  <c r="BC136" i="2" s="1"/>
  <c r="AJ136" i="2"/>
  <c r="AK135" i="2"/>
  <c r="BC135" i="2" s="1"/>
  <c r="AJ135" i="2"/>
  <c r="BB135" i="2" s="1"/>
  <c r="AY134" i="2"/>
  <c r="AX134" i="2"/>
  <c r="AK134" i="2"/>
  <c r="AJ134" i="2"/>
  <c r="BB134" i="2" s="1"/>
  <c r="AY133" i="2"/>
  <c r="AX133" i="2"/>
  <c r="AK133" i="2"/>
  <c r="AJ133" i="2"/>
  <c r="BB133" i="2" s="1"/>
  <c r="AX132" i="2"/>
  <c r="AK132" i="2"/>
  <c r="AJ132" i="2"/>
  <c r="BB132" i="2" s="1"/>
  <c r="AX130" i="2"/>
  <c r="AK130" i="2"/>
  <c r="AJ130" i="2"/>
  <c r="BB130" i="2" s="1"/>
  <c r="AX129" i="2"/>
  <c r="AK129" i="2"/>
  <c r="AJ129" i="2"/>
  <c r="BB129" i="2" s="1"/>
  <c r="AX128" i="2"/>
  <c r="AK128" i="2"/>
  <c r="AJ128" i="2"/>
  <c r="BB128" i="2" s="1"/>
  <c r="AX127" i="2"/>
  <c r="AK127" i="2"/>
  <c r="AJ127" i="2"/>
  <c r="BB127" i="2" s="1"/>
  <c r="AY126" i="2"/>
  <c r="AX126" i="2"/>
  <c r="AK126" i="2"/>
  <c r="AJ126" i="2"/>
  <c r="BB126" i="2" s="1"/>
  <c r="AS125" i="2"/>
  <c r="AP125" i="2"/>
  <c r="AK125" i="2"/>
  <c r="AJ125" i="2"/>
  <c r="AU124" i="2"/>
  <c r="AK124" i="2"/>
  <c r="BC124" i="2" s="1"/>
  <c r="AJ124" i="2"/>
  <c r="AU123" i="2"/>
  <c r="AK123" i="2"/>
  <c r="AJ123" i="2"/>
  <c r="AK122" i="2"/>
  <c r="BC122" i="2" s="1"/>
  <c r="AJ122" i="2"/>
  <c r="BB122" i="2" s="1"/>
  <c r="AX121" i="2"/>
  <c r="AK121" i="2"/>
  <c r="AJ121" i="2"/>
  <c r="BB121" i="2" s="1"/>
  <c r="AK120" i="2"/>
  <c r="BC120" i="2" s="1"/>
  <c r="AJ120" i="2"/>
  <c r="BB120" i="2" s="1"/>
  <c r="AK119" i="2"/>
  <c r="BC119" i="2" s="1"/>
  <c r="AJ119" i="2"/>
  <c r="BB119" i="2" s="1"/>
  <c r="AK118" i="2"/>
  <c r="BC118" i="2" s="1"/>
  <c r="AJ118" i="2"/>
  <c r="BB118" i="2" s="1"/>
  <c r="AK117" i="2"/>
  <c r="BC117" i="2" s="1"/>
  <c r="AJ117" i="2"/>
  <c r="BB117" i="2" s="1"/>
  <c r="AK116" i="2"/>
  <c r="BC116" i="2" s="1"/>
  <c r="AJ116" i="2"/>
  <c r="BB116" i="2" s="1"/>
  <c r="AU114" i="2"/>
  <c r="AK114" i="2"/>
  <c r="BC114" i="2" s="1"/>
  <c r="AJ114" i="2"/>
  <c r="AU113" i="2"/>
  <c r="AK113" i="2"/>
  <c r="BC113" i="2" s="1"/>
  <c r="AJ113" i="2"/>
  <c r="AV112" i="2"/>
  <c r="AU112" i="2"/>
  <c r="AK112" i="2"/>
  <c r="AJ112" i="2"/>
  <c r="AK111" i="2"/>
  <c r="BC111" i="2" s="1"/>
  <c r="AJ111" i="2"/>
  <c r="BB111" i="2" s="1"/>
  <c r="AK110" i="2"/>
  <c r="BC110" i="2" s="1"/>
  <c r="AJ110" i="2"/>
  <c r="BB110" i="2" s="1"/>
  <c r="AK109" i="2"/>
  <c r="AJ109" i="2"/>
  <c r="BB109" i="2" s="1"/>
  <c r="AK108" i="2"/>
  <c r="BC108" i="2" s="1"/>
  <c r="AJ108" i="2"/>
  <c r="BB108" i="2" s="1"/>
  <c r="AK103" i="2"/>
  <c r="AJ103" i="2"/>
  <c r="AK102" i="2"/>
  <c r="AJ102" i="2"/>
  <c r="AK98" i="2"/>
  <c r="AJ98" i="2"/>
  <c r="AK97" i="2"/>
  <c r="AJ97" i="2"/>
  <c r="AK96" i="2"/>
  <c r="AJ96" i="2"/>
  <c r="AI92" i="2"/>
  <c r="AK92" i="2" s="1"/>
  <c r="AH92" i="2"/>
  <c r="AJ92" i="2" s="1"/>
  <c r="AI91" i="2"/>
  <c r="AK91" i="2" s="1"/>
  <c r="AH91" i="2"/>
  <c r="AJ91" i="2" s="1"/>
  <c r="AI90" i="2"/>
  <c r="AK90" i="2" s="1"/>
  <c r="AH90" i="2"/>
  <c r="AJ90" i="2" s="1"/>
  <c r="AK89" i="2"/>
  <c r="AJ89" i="2"/>
  <c r="AK88" i="2"/>
  <c r="AJ88" i="2"/>
  <c r="AK83" i="2"/>
  <c r="AJ83" i="2"/>
  <c r="AK82" i="2"/>
  <c r="AJ82" i="2"/>
  <c r="AS81" i="2"/>
  <c r="AP81" i="2"/>
  <c r="AK81" i="2"/>
  <c r="AJ81" i="2"/>
  <c r="AP78" i="2"/>
  <c r="AK78" i="2"/>
  <c r="BC78" i="2" s="1"/>
  <c r="AJ78" i="2"/>
  <c r="AS77" i="2"/>
  <c r="AP77" i="2"/>
  <c r="AK77" i="2"/>
  <c r="AJ77" i="2"/>
  <c r="AP76" i="2"/>
  <c r="AK76" i="2"/>
  <c r="BC76" i="2" s="1"/>
  <c r="AJ76" i="2"/>
  <c r="AQ75" i="2"/>
  <c r="AP75" i="2"/>
  <c r="AK75" i="2"/>
  <c r="AJ75" i="2"/>
  <c r="AS74" i="2"/>
  <c r="AQ74" i="2"/>
  <c r="AP74" i="2"/>
  <c r="AK74" i="2"/>
  <c r="AJ74" i="2"/>
  <c r="AT73" i="2"/>
  <c r="AS73" i="2"/>
  <c r="AP73" i="2"/>
  <c r="AK73" i="2"/>
  <c r="AJ73" i="2"/>
  <c r="AP72" i="2"/>
  <c r="AK72" i="2"/>
  <c r="BC72" i="2" s="1"/>
  <c r="AJ72" i="2"/>
  <c r="AP71" i="2"/>
  <c r="AK71" i="2"/>
  <c r="AJ71" i="2"/>
  <c r="AS70" i="2"/>
  <c r="AP70" i="2"/>
  <c r="AK70" i="2"/>
  <c r="AJ70" i="2"/>
  <c r="AT69" i="2"/>
  <c r="AS69" i="2"/>
  <c r="AP69" i="2"/>
  <c r="AK69" i="2"/>
  <c r="AJ69" i="2"/>
  <c r="AP68" i="2"/>
  <c r="AK68" i="2"/>
  <c r="BC68" i="2" s="1"/>
  <c r="AJ68" i="2"/>
  <c r="AP67" i="2"/>
  <c r="AK67" i="2"/>
  <c r="AJ67" i="2"/>
  <c r="AS66" i="2"/>
  <c r="AP66" i="2"/>
  <c r="AK66" i="2"/>
  <c r="AJ66" i="2"/>
  <c r="AS65" i="2"/>
  <c r="AP65" i="2"/>
  <c r="AK65" i="2"/>
  <c r="AJ65" i="2"/>
  <c r="AP64" i="2"/>
  <c r="AK64" i="2"/>
  <c r="BC64" i="2" s="1"/>
  <c r="AJ64" i="2"/>
  <c r="AP63" i="2"/>
  <c r="AK63" i="2"/>
  <c r="AJ63" i="2"/>
  <c r="AS62" i="2"/>
  <c r="AP62" i="2"/>
  <c r="AK62" i="2"/>
  <c r="AJ62" i="2"/>
  <c r="AS59" i="2"/>
  <c r="AP59" i="2"/>
  <c r="AK59" i="2"/>
  <c r="AJ59" i="2"/>
  <c r="AP58" i="2"/>
  <c r="AK58" i="2"/>
  <c r="BC58" i="2" s="1"/>
  <c r="AJ58" i="2"/>
  <c r="AP57" i="2"/>
  <c r="AK57" i="2"/>
  <c r="AJ57" i="2"/>
  <c r="AS56" i="2"/>
  <c r="AQ56" i="2"/>
  <c r="AP56" i="2"/>
  <c r="AK56" i="2"/>
  <c r="AJ56" i="2"/>
  <c r="AT55" i="2"/>
  <c r="AS55" i="2"/>
  <c r="AP55" i="2"/>
  <c r="AK55" i="2"/>
  <c r="AJ55" i="2"/>
  <c r="AP54" i="2"/>
  <c r="AK54" i="2"/>
  <c r="BC54" i="2" s="1"/>
  <c r="AJ54" i="2"/>
  <c r="AP53" i="2"/>
  <c r="AK53" i="2"/>
  <c r="AJ53" i="2"/>
  <c r="AS52" i="2"/>
  <c r="AQ52" i="2"/>
  <c r="AP52" i="2"/>
  <c r="AK52" i="2"/>
  <c r="AJ52" i="2"/>
  <c r="AT51" i="2"/>
  <c r="AS51" i="2"/>
  <c r="AP51" i="2"/>
  <c r="AK51" i="2"/>
  <c r="AJ51" i="2"/>
  <c r="AP50" i="2"/>
  <c r="AK50" i="2"/>
  <c r="BC50" i="2" s="1"/>
  <c r="AJ50" i="2"/>
  <c r="AP49" i="2"/>
  <c r="AK49" i="2"/>
  <c r="AJ49" i="2"/>
  <c r="AS48" i="2"/>
  <c r="AP48" i="2"/>
  <c r="AK48" i="2"/>
  <c r="AJ48" i="2"/>
  <c r="AK47" i="2"/>
  <c r="BC47" i="2" s="1"/>
  <c r="AJ47" i="2"/>
  <c r="BB47" i="2" s="1"/>
  <c r="AP46" i="2"/>
  <c r="AK46" i="2"/>
  <c r="BC46" i="2" s="1"/>
  <c r="AJ46" i="2"/>
  <c r="AP45" i="2"/>
  <c r="AK45" i="2"/>
  <c r="BC45" i="2" s="1"/>
  <c r="AJ45" i="2"/>
  <c r="AP44" i="2"/>
  <c r="AK44" i="2"/>
  <c r="AJ44" i="2"/>
  <c r="AS43" i="2"/>
  <c r="AQ43" i="2"/>
  <c r="AP43" i="2"/>
  <c r="AK43" i="2"/>
  <c r="AJ43" i="2"/>
  <c r="AS42" i="2"/>
  <c r="AP42" i="2"/>
  <c r="AK42" i="2"/>
  <c r="AJ42" i="2"/>
  <c r="AP37" i="2"/>
  <c r="AK37" i="2"/>
  <c r="BC37" i="2" s="1"/>
  <c r="AJ37" i="2"/>
  <c r="BB37" i="2" s="1"/>
  <c r="AY36" i="2"/>
  <c r="AX36" i="2"/>
  <c r="AK36" i="2"/>
  <c r="AJ36" i="2"/>
  <c r="BB36" i="2" s="1"/>
  <c r="AX35" i="2"/>
  <c r="AK35" i="2"/>
  <c r="AJ35" i="2"/>
  <c r="AK33" i="2"/>
  <c r="AJ33" i="2"/>
  <c r="AK32" i="2"/>
  <c r="AJ32" i="2"/>
  <c r="AK31" i="2"/>
  <c r="BC31" i="2" s="1"/>
  <c r="AJ31" i="2"/>
  <c r="AK30" i="2"/>
  <c r="BC30" i="2" s="1"/>
  <c r="AJ30" i="2"/>
  <c r="AX29" i="2"/>
  <c r="AU29" i="2"/>
  <c r="AK29" i="2"/>
  <c r="AJ29" i="2"/>
  <c r="AU28" i="2"/>
  <c r="AK28" i="2"/>
  <c r="AJ28" i="2"/>
  <c r="AK27" i="2"/>
  <c r="BC27" i="2" s="1"/>
  <c r="AJ27" i="2"/>
  <c r="BB27" i="2" s="1"/>
  <c r="AK26" i="2"/>
  <c r="BC26" i="2" s="1"/>
  <c r="AJ26" i="2"/>
  <c r="BB26" i="2" s="1"/>
  <c r="AV25" i="2"/>
  <c r="AU25" i="2"/>
  <c r="AK25" i="2"/>
  <c r="BC25" i="2" s="1"/>
  <c r="AJ25" i="2"/>
  <c r="AX24" i="2"/>
  <c r="AK24" i="2"/>
  <c r="AJ24" i="2"/>
  <c r="BB24" i="2" s="1"/>
  <c r="AY23" i="2"/>
  <c r="AX23" i="2"/>
  <c r="AK23" i="2"/>
  <c r="AJ23" i="2"/>
  <c r="BB23" i="2" s="1"/>
  <c r="AX22" i="2"/>
  <c r="AK22" i="2"/>
  <c r="AJ22" i="2"/>
  <c r="AK21" i="2"/>
  <c r="BC21" i="2" s="1"/>
  <c r="AJ21" i="2"/>
  <c r="BB21" i="2" s="1"/>
  <c r="AK19" i="2"/>
  <c r="BC19" i="2" s="1"/>
  <c r="AJ19" i="2"/>
  <c r="BB19" i="2" s="1"/>
  <c r="AK18" i="2"/>
  <c r="BC18" i="2" s="1"/>
  <c r="AJ18" i="2"/>
  <c r="BB18" i="2" s="1"/>
  <c r="AJ17" i="2"/>
  <c r="BB17" i="2" s="1"/>
  <c r="AP16" i="2"/>
  <c r="AK16" i="2"/>
  <c r="BC16" i="2" s="1"/>
  <c r="AJ16" i="2"/>
  <c r="AQ15" i="2"/>
  <c r="AP15" i="2"/>
  <c r="AK15" i="2"/>
  <c r="BC15" i="2" s="1"/>
  <c r="AJ15" i="2"/>
  <c r="AP14" i="2"/>
  <c r="AK14" i="2"/>
  <c r="BC14" i="2" s="1"/>
  <c r="AJ14" i="2"/>
  <c r="AK13" i="2"/>
  <c r="BC13" i="2" s="1"/>
  <c r="AJ13" i="2"/>
  <c r="BB13" i="2" s="1"/>
  <c r="AK11" i="2"/>
  <c r="BC11" i="2" s="1"/>
  <c r="AJ11" i="2"/>
  <c r="AK10" i="2"/>
  <c r="BC10" i="2" s="1"/>
  <c r="AJ10" i="2"/>
  <c r="AK8" i="2"/>
  <c r="BC8" i="2" s="1"/>
  <c r="AJ8" i="2"/>
  <c r="AY205" i="2" l="1"/>
  <c r="BC204" i="2"/>
  <c r="BG204" i="2" s="1"/>
  <c r="AF273" i="5"/>
  <c r="M221" i="5" s="1"/>
  <c r="AT250" i="2" s="1"/>
  <c r="AE290" i="5"/>
  <c r="K238" i="5" s="1"/>
  <c r="AQ236" i="2" s="1"/>
  <c r="AE270" i="5"/>
  <c r="K218" i="5" s="1"/>
  <c r="AQ234" i="2" s="1"/>
  <c r="AE272" i="5"/>
  <c r="K220" i="5" s="1"/>
  <c r="AQ245" i="2" s="1"/>
  <c r="AF272" i="5"/>
  <c r="M220" i="5" s="1"/>
  <c r="AT245" i="2" s="1"/>
  <c r="AF274" i="5"/>
  <c r="M222" i="5" s="1"/>
  <c r="AT255" i="2" s="1"/>
  <c r="AF277" i="5"/>
  <c r="M225" i="5" s="1"/>
  <c r="AT270" i="2" s="1"/>
  <c r="O169" i="5"/>
  <c r="O165" i="5" s="1"/>
  <c r="AD299" i="5"/>
  <c r="AE273" i="5"/>
  <c r="K221" i="5" s="1"/>
  <c r="AQ250" i="2" s="1"/>
  <c r="AQ260" i="2"/>
  <c r="BB260" i="2" s="1"/>
  <c r="AQ223" i="2"/>
  <c r="BB223" i="2" s="1"/>
  <c r="AF290" i="5"/>
  <c r="M238" i="5" s="1"/>
  <c r="AT236" i="2" s="1"/>
  <c r="AT260" i="2"/>
  <c r="BC260" i="2" s="1"/>
  <c r="BC223" i="2"/>
  <c r="AF278" i="5"/>
  <c r="M226" i="5" s="1"/>
  <c r="AT275" i="2" s="1"/>
  <c r="BC275" i="2" s="1"/>
  <c r="AF281" i="5"/>
  <c r="M229" i="5" s="1"/>
  <c r="AT240" i="2" s="1"/>
  <c r="AE293" i="5"/>
  <c r="K241" i="5" s="1"/>
  <c r="AQ252" i="2" s="1"/>
  <c r="W370" i="8"/>
  <c r="AB311" i="8"/>
  <c r="M228" i="8" s="1"/>
  <c r="AQ399" i="2" s="1"/>
  <c r="L76" i="11"/>
  <c r="S112" i="10"/>
  <c r="N83" i="10" s="1"/>
  <c r="AT139" i="2" s="1"/>
  <c r="R112" i="10"/>
  <c r="L83" i="10" s="1"/>
  <c r="AQ139" i="2" s="1"/>
  <c r="N92" i="10"/>
  <c r="AT398" i="2" s="1"/>
  <c r="BC398" i="2" s="1"/>
  <c r="BD398" i="2" s="1"/>
  <c r="R115" i="10"/>
  <c r="L86" i="10" s="1"/>
  <c r="AQ283" i="2" s="1"/>
  <c r="N97" i="10"/>
  <c r="AT142" i="2" s="1"/>
  <c r="BC142" i="2" s="1"/>
  <c r="S122" i="10"/>
  <c r="N93" i="10" s="1"/>
  <c r="AT138" i="2" s="1"/>
  <c r="BC138" i="2" s="1"/>
  <c r="N96" i="10"/>
  <c r="AT141" i="2" s="1"/>
  <c r="BC141" i="2" s="1"/>
  <c r="R111" i="10"/>
  <c r="L82" i="10" s="1"/>
  <c r="AQ396" i="2" s="1"/>
  <c r="BB396" i="2" s="1"/>
  <c r="BE396" i="2" s="1"/>
  <c r="Q129" i="10"/>
  <c r="AB304" i="8"/>
  <c r="M221" i="8" s="1"/>
  <c r="AQ55" i="2" s="1"/>
  <c r="BB55" i="2" s="1"/>
  <c r="J59" i="4"/>
  <c r="J61" i="4" s="1"/>
  <c r="BB11" i="2"/>
  <c r="BG11" i="2" s="1"/>
  <c r="BC17" i="2"/>
  <c r="BG17" i="2" s="1"/>
  <c r="L246" i="20"/>
  <c r="AF270" i="5"/>
  <c r="M218" i="5" s="1"/>
  <c r="AT234" i="2" s="1"/>
  <c r="AE274" i="5"/>
  <c r="K222" i="5" s="1"/>
  <c r="AQ255" i="2" s="1"/>
  <c r="BB255" i="2" s="1"/>
  <c r="AF294" i="5"/>
  <c r="M242" i="5" s="1"/>
  <c r="AT257" i="2" s="1"/>
  <c r="AF297" i="5"/>
  <c r="M245" i="5" s="1"/>
  <c r="AT272" i="2" s="1"/>
  <c r="BC272" i="2" s="1"/>
  <c r="L52" i="9"/>
  <c r="L59" i="9" s="1"/>
  <c r="AC315" i="8"/>
  <c r="O232" i="8" s="1"/>
  <c r="AT43" i="2" s="1"/>
  <c r="BC43" i="2" s="1"/>
  <c r="R110" i="10"/>
  <c r="L81" i="10" s="1"/>
  <c r="AQ395" i="2" s="1"/>
  <c r="BB395" i="2" s="1"/>
  <c r="N89" i="10"/>
  <c r="AT384" i="2" s="1"/>
  <c r="BC384" i="2" s="1"/>
  <c r="BE384" i="2" s="1"/>
  <c r="C92" i="17"/>
  <c r="U299" i="5"/>
  <c r="M107" i="5"/>
  <c r="R370" i="8"/>
  <c r="AC318" i="8"/>
  <c r="O235" i="8" s="1"/>
  <c r="AT56" i="2" s="1"/>
  <c r="BC56" i="2" s="1"/>
  <c r="L90" i="10"/>
  <c r="AQ381" i="2" s="1"/>
  <c r="S137" i="11"/>
  <c r="N114" i="11" s="1"/>
  <c r="AT295" i="2" s="1"/>
  <c r="BC295" i="2" s="1"/>
  <c r="S143" i="11"/>
  <c r="N120" i="11" s="1"/>
  <c r="AT357" i="2" s="1"/>
  <c r="BC357" i="2" s="1"/>
  <c r="G145" i="11"/>
  <c r="S145" i="11" s="1"/>
  <c r="N122" i="11" s="1"/>
  <c r="AT229" i="2" s="1"/>
  <c r="BC229" i="2" s="1"/>
  <c r="R122" i="10"/>
  <c r="L93" i="10" s="1"/>
  <c r="AQ138" i="2" s="1"/>
  <c r="R299" i="5"/>
  <c r="AE278" i="5"/>
  <c r="K226" i="5" s="1"/>
  <c r="AQ275" i="2" s="1"/>
  <c r="BB275" i="2" s="1"/>
  <c r="AE294" i="5"/>
  <c r="K242" i="5" s="1"/>
  <c r="AQ257" i="2" s="1"/>
  <c r="BB257" i="2" s="1"/>
  <c r="AB305" i="8"/>
  <c r="M222" i="8" s="1"/>
  <c r="AQ59" i="2" s="1"/>
  <c r="BB59" i="2" s="1"/>
  <c r="N87" i="10"/>
  <c r="AT382" i="2" s="1"/>
  <c r="BC382" i="2" s="1"/>
  <c r="BE382" i="2" s="1"/>
  <c r="S120" i="10"/>
  <c r="N91" i="10" s="1"/>
  <c r="AT397" i="2" s="1"/>
  <c r="BC397" i="2" s="1"/>
  <c r="BE397" i="2" s="1"/>
  <c r="D420" i="2"/>
  <c r="AK420" i="2" s="1"/>
  <c r="N75" i="7"/>
  <c r="AT281" i="2"/>
  <c r="AA299" i="5"/>
  <c r="G32" i="7"/>
  <c r="I49" i="7" s="1"/>
  <c r="G24" i="17"/>
  <c r="G37" i="17" s="1"/>
  <c r="C116" i="17" s="1"/>
  <c r="O191" i="5"/>
  <c r="O187" i="5" s="1"/>
  <c r="AF268" i="5"/>
  <c r="M247" i="5" s="1"/>
  <c r="AT184" i="2" s="1"/>
  <c r="BC184" i="2" s="1"/>
  <c r="AC335" i="8"/>
  <c r="O252" i="8" s="1"/>
  <c r="AT227" i="2" s="1"/>
  <c r="BC227" i="2" s="1"/>
  <c r="L210" i="16"/>
  <c r="K4" i="30"/>
  <c r="S21" i="30"/>
  <c r="L129" i="10"/>
  <c r="J210" i="16"/>
  <c r="AV28" i="2" s="1"/>
  <c r="BB28" i="2" s="1"/>
  <c r="AV113" i="2"/>
  <c r="BB113" i="2" s="1"/>
  <c r="AQ136" i="2"/>
  <c r="BB136" i="2" s="1"/>
  <c r="H94" i="3"/>
  <c r="M299" i="5"/>
  <c r="S313" i="8"/>
  <c r="AB313" i="8" s="1"/>
  <c r="M230" i="8" s="1"/>
  <c r="AQ282" i="2" s="1"/>
  <c r="BB282" i="2" s="1"/>
  <c r="AB307" i="8"/>
  <c r="M224" i="8" s="1"/>
  <c r="AQ65" i="2" s="1"/>
  <c r="BB65" i="2" s="1"/>
  <c r="X370" i="8"/>
  <c r="G51" i="17"/>
  <c r="M145" i="5"/>
  <c r="AF259" i="5"/>
  <c r="M208" i="5" s="1"/>
  <c r="AT158" i="2" s="1"/>
  <c r="BC158" i="2" s="1"/>
  <c r="T299" i="5"/>
  <c r="AE281" i="5"/>
  <c r="K229" i="5" s="1"/>
  <c r="AQ240" i="2" s="1"/>
  <c r="BB240" i="2" s="1"/>
  <c r="AB339" i="8"/>
  <c r="M256" i="8" s="1"/>
  <c r="AQ296" i="2" s="1"/>
  <c r="BB296" i="2" s="1"/>
  <c r="L147" i="11"/>
  <c r="S138" i="11"/>
  <c r="N115" i="11" s="1"/>
  <c r="AT307" i="2" s="1"/>
  <c r="BC307" i="2" s="1"/>
  <c r="S140" i="11"/>
  <c r="N117" i="11" s="1"/>
  <c r="AT327" i="2" s="1"/>
  <c r="BC327" i="2" s="1"/>
  <c r="S144" i="11"/>
  <c r="N121" i="11" s="1"/>
  <c r="AT367" i="2" s="1"/>
  <c r="BC367" i="2" s="1"/>
  <c r="N147" i="11"/>
  <c r="J253" i="16"/>
  <c r="AV224" i="2" s="1"/>
  <c r="BB224" i="2" s="1"/>
  <c r="P908" i="20"/>
  <c r="L779" i="20"/>
  <c r="L908" i="20" s="1"/>
  <c r="AF262" i="5"/>
  <c r="M211" i="5" s="1"/>
  <c r="AT219" i="2" s="1"/>
  <c r="BC219" i="2" s="1"/>
  <c r="I49" i="6"/>
  <c r="N59" i="9"/>
  <c r="O147" i="11"/>
  <c r="G105" i="17"/>
  <c r="G112" i="17" s="1"/>
  <c r="L75" i="7"/>
  <c r="M325" i="8"/>
  <c r="AC325" i="8" s="1"/>
  <c r="O242" i="8" s="1"/>
  <c r="AT410" i="2" s="1"/>
  <c r="BC410" i="2" s="1"/>
  <c r="O129" i="10"/>
  <c r="T908" i="20"/>
  <c r="L61" i="4"/>
  <c r="O299" i="5"/>
  <c r="AB308" i="8"/>
  <c r="M225" i="8" s="1"/>
  <c r="AQ73" i="2" s="1"/>
  <c r="BB73" i="2" s="1"/>
  <c r="AB309" i="8"/>
  <c r="M226" i="8" s="1"/>
  <c r="AQ77" i="2" s="1"/>
  <c r="BB77" i="2" s="1"/>
  <c r="AC323" i="8"/>
  <c r="O240" i="8" s="1"/>
  <c r="AT74" i="2" s="1"/>
  <c r="BC74" i="2" s="1"/>
  <c r="S113" i="10"/>
  <c r="N84" i="10" s="1"/>
  <c r="AT42" i="2" s="1"/>
  <c r="BC42" i="2" s="1"/>
  <c r="N129" i="10"/>
  <c r="C37" i="17"/>
  <c r="Q908" i="20"/>
  <c r="T909" i="21"/>
  <c r="I21" i="30"/>
  <c r="I23" i="30" s="1"/>
  <c r="C23" i="23"/>
  <c r="V23" i="23"/>
  <c r="D36" i="23" s="1"/>
  <c r="L23" i="23"/>
  <c r="U23" i="23"/>
  <c r="K23" i="23"/>
  <c r="T23" i="23"/>
  <c r="J23" i="23"/>
  <c r="D45" i="23" s="1"/>
  <c r="C109" i="23" s="1"/>
  <c r="R23" i="23"/>
  <c r="E52" i="23" s="1"/>
  <c r="D116" i="23" s="1"/>
  <c r="H23" i="23"/>
  <c r="F23" i="23"/>
  <c r="D23" i="23"/>
  <c r="O23" i="23"/>
  <c r="E49" i="23" s="1"/>
  <c r="D113" i="23" s="1"/>
  <c r="P23" i="23"/>
  <c r="Q23" i="23"/>
  <c r="E51" i="23" s="1"/>
  <c r="D115" i="23" s="1"/>
  <c r="M23" i="23"/>
  <c r="D48" i="23" s="1"/>
  <c r="C112" i="23" s="1"/>
  <c r="H30" i="23"/>
  <c r="G25" i="23"/>
  <c r="D35" i="23"/>
  <c r="B28" i="23"/>
  <c r="L143" i="3"/>
  <c r="M188" i="8"/>
  <c r="J212" i="8" s="1"/>
  <c r="I183" i="8"/>
  <c r="AE259" i="5"/>
  <c r="K208" i="5" s="1"/>
  <c r="AB299" i="5"/>
  <c r="T370" i="8"/>
  <c r="K147" i="11"/>
  <c r="R134" i="11"/>
  <c r="L111" i="11" s="1"/>
  <c r="AQ402" i="2" s="1"/>
  <c r="BB402" i="2" s="1"/>
  <c r="BE402" i="2" s="1"/>
  <c r="I147" i="11"/>
  <c r="S299" i="5"/>
  <c r="AE262" i="5"/>
  <c r="K211" i="5" s="1"/>
  <c r="AQ219" i="2" s="1"/>
  <c r="BB219" i="2" s="1"/>
  <c r="AE277" i="5"/>
  <c r="K225" i="5" s="1"/>
  <c r="AQ270" i="2" s="1"/>
  <c r="BB270" i="2" s="1"/>
  <c r="AE292" i="5"/>
  <c r="K240" i="5" s="1"/>
  <c r="AQ247" i="2" s="1"/>
  <c r="BB247" i="2" s="1"/>
  <c r="J73" i="6"/>
  <c r="T82" i="8"/>
  <c r="U84" i="8" s="1"/>
  <c r="AC317" i="8"/>
  <c r="O234" i="8" s="1"/>
  <c r="AT52" i="2" s="1"/>
  <c r="BC52" i="2" s="1"/>
  <c r="AC322" i="8"/>
  <c r="O239" i="8" s="1"/>
  <c r="J129" i="10"/>
  <c r="F147" i="11"/>
  <c r="S139" i="11"/>
  <c r="N116" i="11" s="1"/>
  <c r="AT317" i="2" s="1"/>
  <c r="BC317" i="2" s="1"/>
  <c r="S141" i="11"/>
  <c r="N118" i="11" s="1"/>
  <c r="AT337" i="2" s="1"/>
  <c r="BC337" i="2" s="1"/>
  <c r="AB303" i="8"/>
  <c r="AC320" i="8"/>
  <c r="K129" i="10"/>
  <c r="S117" i="10"/>
  <c r="N88" i="10" s="1"/>
  <c r="AT383" i="2" s="1"/>
  <c r="BC383" i="2" s="1"/>
  <c r="BD383" i="2" s="1"/>
  <c r="S146" i="11"/>
  <c r="N123" i="11" s="1"/>
  <c r="AT185" i="2" s="1"/>
  <c r="BC185" i="2" s="1"/>
  <c r="U908" i="20"/>
  <c r="N143" i="3"/>
  <c r="W299" i="5"/>
  <c r="AE298" i="5"/>
  <c r="K246" i="5" s="1"/>
  <c r="AQ277" i="2" s="1"/>
  <c r="BB277" i="2" s="1"/>
  <c r="X299" i="5"/>
  <c r="L73" i="6"/>
  <c r="P324" i="8"/>
  <c r="AC324" i="8" s="1"/>
  <c r="O241" i="8" s="1"/>
  <c r="AT226" i="2" s="1"/>
  <c r="BC226" i="2" s="1"/>
  <c r="O324" i="8"/>
  <c r="AB324" i="8" s="1"/>
  <c r="M241" i="8" s="1"/>
  <c r="AQ227" i="2" s="1"/>
  <c r="BB227" i="2" s="1"/>
  <c r="AC316" i="8"/>
  <c r="O233" i="8" s="1"/>
  <c r="AT48" i="2" s="1"/>
  <c r="BC48" i="2" s="1"/>
  <c r="L325" i="8"/>
  <c r="AB325" i="8" s="1"/>
  <c r="M242" i="8" s="1"/>
  <c r="AQ410" i="2" s="1"/>
  <c r="BB410" i="2" s="1"/>
  <c r="S123" i="10"/>
  <c r="N94" i="10" s="1"/>
  <c r="AT137" i="2" s="1"/>
  <c r="BC137" i="2" s="1"/>
  <c r="R133" i="11"/>
  <c r="L110" i="11" s="1"/>
  <c r="AQ401" i="2" s="1"/>
  <c r="BB401" i="2" s="1"/>
  <c r="BE401" i="2" s="1"/>
  <c r="H147" i="11"/>
  <c r="U909" i="21"/>
  <c r="Z299" i="5"/>
  <c r="AC299" i="5"/>
  <c r="AF298" i="5"/>
  <c r="M246" i="5" s="1"/>
  <c r="AT277" i="2" s="1"/>
  <c r="BC277" i="2" s="1"/>
  <c r="Y299" i="5"/>
  <c r="Q370" i="8"/>
  <c r="L80" i="10"/>
  <c r="AQ394" i="2" s="1"/>
  <c r="BB394" i="2" s="1"/>
  <c r="L52" i="11"/>
  <c r="S136" i="11"/>
  <c r="N113" i="11" s="1"/>
  <c r="AT282" i="2" s="1"/>
  <c r="BC282" i="2" s="1"/>
  <c r="K207" i="5"/>
  <c r="V370" i="8"/>
  <c r="E46" i="18"/>
  <c r="D127" i="18" s="1"/>
  <c r="E51" i="18"/>
  <c r="D140" i="18" s="1"/>
  <c r="G125" i="18"/>
  <c r="C94" i="18" s="1"/>
  <c r="G147" i="11"/>
  <c r="K299" i="5"/>
  <c r="R107" i="10"/>
  <c r="E59" i="14"/>
  <c r="G55" i="14" s="1"/>
  <c r="G152" i="14" s="1"/>
  <c r="G223" i="14" s="1"/>
  <c r="D58" i="18"/>
  <c r="C139" i="18" s="1"/>
  <c r="D47" i="18"/>
  <c r="E61" i="18"/>
  <c r="D142" i="18" s="1"/>
  <c r="L100" i="11"/>
  <c r="S142" i="11"/>
  <c r="G108" i="23"/>
  <c r="C77" i="23" s="1"/>
  <c r="D47" i="23"/>
  <c r="C111" i="23" s="1"/>
  <c r="H105" i="23"/>
  <c r="D74" i="23" s="1"/>
  <c r="H99" i="23"/>
  <c r="D68" i="23" s="1"/>
  <c r="G101" i="23"/>
  <c r="C70" i="23" s="1"/>
  <c r="G102" i="23"/>
  <c r="C71" i="23" s="1"/>
  <c r="G97" i="23"/>
  <c r="C66" i="23" s="1"/>
  <c r="G103" i="23"/>
  <c r="C72" i="23" s="1"/>
  <c r="G106" i="23"/>
  <c r="C75" i="23" s="1"/>
  <c r="G104" i="23"/>
  <c r="C73" i="23" s="1"/>
  <c r="G107" i="23"/>
  <c r="C76" i="23" s="1"/>
  <c r="E65" i="18"/>
  <c r="D65" i="18"/>
  <c r="D52" i="18"/>
  <c r="C141" i="18" s="1"/>
  <c r="D59" i="18"/>
  <c r="C140" i="18" s="1"/>
  <c r="E60" i="18"/>
  <c r="D141" i="18" s="1"/>
  <c r="D45" i="18"/>
  <c r="C127" i="18" s="1"/>
  <c r="E62" i="18"/>
  <c r="D143" i="18" s="1"/>
  <c r="K43" i="18"/>
  <c r="AV88" i="2"/>
  <c r="AY171" i="2"/>
  <c r="AY164" i="2"/>
  <c r="E59" i="15"/>
  <c r="G45" i="15" s="1"/>
  <c r="E145" i="15" s="1"/>
  <c r="G210" i="15" s="1"/>
  <c r="AY65" i="2"/>
  <c r="BC65" i="2" s="1"/>
  <c r="E215" i="14"/>
  <c r="AV281" i="2"/>
  <c r="BB281" i="2" s="1"/>
  <c r="AV381" i="2"/>
  <c r="G100" i="29"/>
  <c r="H100" i="29"/>
  <c r="D79" i="29" s="1"/>
  <c r="H180" i="31"/>
  <c r="D134" i="31" s="1"/>
  <c r="G180" i="31"/>
  <c r="C134" i="31" s="1"/>
  <c r="AQ104" i="2" s="1"/>
  <c r="BB104" i="2" s="1"/>
  <c r="BG104" i="2" s="1"/>
  <c r="D182" i="31"/>
  <c r="E182" i="31" s="1"/>
  <c r="H182" i="31" s="1"/>
  <c r="D136" i="31" s="1"/>
  <c r="AT174" i="2" s="1"/>
  <c r="BC174" i="2" s="1"/>
  <c r="D181" i="31"/>
  <c r="E181" i="31" s="1"/>
  <c r="H181" i="31" s="1"/>
  <c r="D135" i="31" s="1"/>
  <c r="AT167" i="2" s="1"/>
  <c r="BC167" i="2" s="1"/>
  <c r="BF167" i="2" s="1"/>
  <c r="E169" i="31"/>
  <c r="E173" i="31"/>
  <c r="E177" i="31"/>
  <c r="C184" i="31"/>
  <c r="E184" i="31" s="1"/>
  <c r="G184" i="31" s="1"/>
  <c r="C138" i="31" s="1"/>
  <c r="E25" i="31"/>
  <c r="C185" i="31"/>
  <c r="E185" i="31" s="1"/>
  <c r="H185" i="31" s="1"/>
  <c r="D139" i="31" s="1"/>
  <c r="AT179" i="2"/>
  <c r="BC179" i="2" s="1"/>
  <c r="E163" i="31"/>
  <c r="E167" i="31"/>
  <c r="C91" i="29"/>
  <c r="E91" i="29" s="1"/>
  <c r="D92" i="29"/>
  <c r="C92" i="29"/>
  <c r="E215" i="15"/>
  <c r="AY177" i="2"/>
  <c r="AY162" i="2"/>
  <c r="AV103" i="2"/>
  <c r="AV90" i="2"/>
  <c r="AV82" i="2"/>
  <c r="AY123" i="2"/>
  <c r="BC123" i="2" s="1"/>
  <c r="AY145" i="2"/>
  <c r="AY224" i="2"/>
  <c r="BC224" i="2" s="1"/>
  <c r="AY234" i="2"/>
  <c r="AY51" i="2"/>
  <c r="BC51" i="2" s="1"/>
  <c r="G46" i="14"/>
  <c r="E146" i="14" s="1"/>
  <c r="G211" i="14" s="1"/>
  <c r="G49" i="14"/>
  <c r="E66" i="14" s="1"/>
  <c r="G122" i="14"/>
  <c r="G123" i="14" s="1"/>
  <c r="AV43" i="2"/>
  <c r="BB43" i="2" s="1"/>
  <c r="AY146" i="2"/>
  <c r="BC146" i="2" s="1"/>
  <c r="AY183" i="2"/>
  <c r="BC183" i="2" s="1"/>
  <c r="AY144" i="2"/>
  <c r="BC144" i="2" s="1"/>
  <c r="AY109" i="2"/>
  <c r="BC109" i="2" s="1"/>
  <c r="BG109" i="2" s="1"/>
  <c r="AY390" i="2"/>
  <c r="BC390" i="2" s="1"/>
  <c r="AY112" i="2"/>
  <c r="BC112" i="2" s="1"/>
  <c r="AV391" i="2"/>
  <c r="BB391" i="2" s="1"/>
  <c r="BG157" i="2"/>
  <c r="AX415" i="2"/>
  <c r="AS415" i="2"/>
  <c r="AJ9" i="2"/>
  <c r="AH415" i="2"/>
  <c r="AO415" i="2"/>
  <c r="AN415" i="2"/>
  <c r="AP415" i="2"/>
  <c r="AK9" i="2"/>
  <c r="AI415" i="2"/>
  <c r="BB318" i="2"/>
  <c r="AU415" i="2"/>
  <c r="AY153" i="2"/>
  <c r="G57" i="15"/>
  <c r="G47" i="15"/>
  <c r="E147" i="15" s="1"/>
  <c r="G212" i="15" s="1"/>
  <c r="G46" i="15"/>
  <c r="E146" i="15" s="1"/>
  <c r="G211" i="15" s="1"/>
  <c r="G54" i="15"/>
  <c r="G151" i="15" s="1"/>
  <c r="G222" i="15" s="1"/>
  <c r="G49" i="15"/>
  <c r="G41" i="15"/>
  <c r="E141" i="15" s="1"/>
  <c r="AV31" i="2"/>
  <c r="BB31" i="2" s="1"/>
  <c r="BF31" i="2" s="1"/>
  <c r="AV96" i="2"/>
  <c r="G122" i="15"/>
  <c r="G123" i="15" s="1"/>
  <c r="AV35" i="2"/>
  <c r="BB35" i="2" s="1"/>
  <c r="AV22" i="2"/>
  <c r="BB22" i="2" s="1"/>
  <c r="AV8" i="2"/>
  <c r="AV10" i="2"/>
  <c r="BB10" i="2" s="1"/>
  <c r="BG10" i="2" s="1"/>
  <c r="AV62" i="2"/>
  <c r="BB62" i="2" s="1"/>
  <c r="AV56" i="2"/>
  <c r="BB56" i="2" s="1"/>
  <c r="AV48" i="2"/>
  <c r="BB48" i="2" s="1"/>
  <c r="E220" i="13"/>
  <c r="AV30" i="2"/>
  <c r="G57" i="13"/>
  <c r="G155" i="13" s="1"/>
  <c r="G226" i="13" s="1"/>
  <c r="G47" i="13"/>
  <c r="E148" i="13" s="1"/>
  <c r="G213" i="13" s="1"/>
  <c r="G45" i="13"/>
  <c r="E146" i="13" s="1"/>
  <c r="G211" i="13" s="1"/>
  <c r="G58" i="13"/>
  <c r="G156" i="13" s="1"/>
  <c r="G227" i="13" s="1"/>
  <c r="E67" i="13"/>
  <c r="G56" i="13"/>
  <c r="G154" i="13" s="1"/>
  <c r="G46" i="13"/>
  <c r="E147" i="13" s="1"/>
  <c r="G212" i="13" s="1"/>
  <c r="G53" i="13"/>
  <c r="G44" i="13"/>
  <c r="E145" i="13" s="1"/>
  <c r="G210" i="13" s="1"/>
  <c r="G50" i="13"/>
  <c r="E151" i="13" s="1"/>
  <c r="G216" i="13" s="1"/>
  <c r="G59" i="13"/>
  <c r="G157" i="13" s="1"/>
  <c r="G228" i="13" s="1"/>
  <c r="G61" i="13"/>
  <c r="G51" i="13"/>
  <c r="E152" i="13" s="1"/>
  <c r="G43" i="13"/>
  <c r="E144" i="13" s="1"/>
  <c r="G209" i="13" s="1"/>
  <c r="G49" i="13"/>
  <c r="E150" i="13" s="1"/>
  <c r="G215" i="13" s="1"/>
  <c r="G48" i="13"/>
  <c r="E149" i="13" s="1"/>
  <c r="G214" i="13" s="1"/>
  <c r="BB229" i="2"/>
  <c r="BC210" i="2"/>
  <c r="BF210" i="2" s="1"/>
  <c r="BB66" i="2"/>
  <c r="BB72" i="2"/>
  <c r="BC391" i="2"/>
  <c r="D28" i="28"/>
  <c r="C30" i="28"/>
  <c r="AA243" i="12"/>
  <c r="AC243" i="12" s="1"/>
  <c r="N213" i="12" s="1"/>
  <c r="AT407" i="2" s="1"/>
  <c r="BC407" i="2" s="1"/>
  <c r="C89" i="18"/>
  <c r="D89" i="18" s="1"/>
  <c r="J50" i="12"/>
  <c r="G244" i="12" s="1"/>
  <c r="G253" i="12" s="1"/>
  <c r="AA242" i="12"/>
  <c r="AC242" i="12" s="1"/>
  <c r="N212" i="12" s="1"/>
  <c r="AT406" i="2" s="1"/>
  <c r="BC406" i="2" s="1"/>
  <c r="N253" i="12"/>
  <c r="L253" i="12"/>
  <c r="AC251" i="12"/>
  <c r="N219" i="12" s="1"/>
  <c r="AT148" i="2" s="1"/>
  <c r="BC148" i="2" s="1"/>
  <c r="AB251" i="12"/>
  <c r="L219" i="12" s="1"/>
  <c r="AQ148" i="2" s="1"/>
  <c r="BB148" i="2" s="1"/>
  <c r="AB250" i="12"/>
  <c r="L218" i="12" s="1"/>
  <c r="AQ147" i="2" s="1"/>
  <c r="BB147" i="2" s="1"/>
  <c r="AC250" i="12"/>
  <c r="N218" i="12" s="1"/>
  <c r="AT147" i="2" s="1"/>
  <c r="BC147" i="2" s="1"/>
  <c r="X253" i="12"/>
  <c r="J253" i="12"/>
  <c r="AB246" i="12"/>
  <c r="L216" i="12" s="1"/>
  <c r="AQ83" i="2" s="1"/>
  <c r="BB83" i="2" s="1"/>
  <c r="AC246" i="12"/>
  <c r="N216" i="12" s="1"/>
  <c r="F233" i="12"/>
  <c r="F253" i="12" s="1"/>
  <c r="AA237" i="12"/>
  <c r="AB237" i="12" s="1"/>
  <c r="L207" i="12" s="1"/>
  <c r="AQ327" i="2" s="1"/>
  <c r="BB327" i="2" s="1"/>
  <c r="AA245" i="12"/>
  <c r="AB247" i="12"/>
  <c r="L217" i="12" s="1"/>
  <c r="L36" i="12"/>
  <c r="H244" i="12" s="1"/>
  <c r="AA241" i="12"/>
  <c r="AC241" i="12" s="1"/>
  <c r="N211" i="12" s="1"/>
  <c r="AT368" i="2" s="1"/>
  <c r="BC368" i="2" s="1"/>
  <c r="AA240" i="12"/>
  <c r="AB240" i="12" s="1"/>
  <c r="L210" i="12" s="1"/>
  <c r="AQ357" i="2" s="1"/>
  <c r="BB357" i="2" s="1"/>
  <c r="BC380" i="2"/>
  <c r="BE380" i="2" s="1"/>
  <c r="BB58" i="2"/>
  <c r="BB123" i="2"/>
  <c r="BC127" i="2"/>
  <c r="BG127" i="2" s="1"/>
  <c r="BB285" i="2"/>
  <c r="BC63" i="2"/>
  <c r="BC75" i="2"/>
  <c r="BB146" i="2"/>
  <c r="BB144" i="2"/>
  <c r="BC140" i="2"/>
  <c r="BC139" i="2"/>
  <c r="BB386" i="2"/>
  <c r="BD386" i="2" s="1"/>
  <c r="BC53" i="2"/>
  <c r="BF122" i="2"/>
  <c r="BB49" i="2"/>
  <c r="BB52" i="2"/>
  <c r="BC29" i="2"/>
  <c r="BB69" i="2"/>
  <c r="BC133" i="2"/>
  <c r="BF133" i="2" s="1"/>
  <c r="BC205" i="2"/>
  <c r="BF205" i="2" s="1"/>
  <c r="BC207" i="2"/>
  <c r="BG207" i="2" s="1"/>
  <c r="BC209" i="2"/>
  <c r="BG209" i="2" s="1"/>
  <c r="BB222" i="2"/>
  <c r="BC236" i="2"/>
  <c r="BB309" i="2"/>
  <c r="BB42" i="2"/>
  <c r="BC24" i="2"/>
  <c r="BB44" i="2"/>
  <c r="BB235" i="2"/>
  <c r="BC201" i="2"/>
  <c r="BG201" i="2" s="1"/>
  <c r="BC228" i="2"/>
  <c r="BB356" i="2"/>
  <c r="BB329" i="2"/>
  <c r="BB369" i="2"/>
  <c r="BB64" i="2"/>
  <c r="BC130" i="2"/>
  <c r="BF130" i="2" s="1"/>
  <c r="BD217" i="2"/>
  <c r="BG26" i="2"/>
  <c r="BB54" i="2"/>
  <c r="BC71" i="2"/>
  <c r="BB216" i="2"/>
  <c r="BB271" i="2"/>
  <c r="BB338" i="2"/>
  <c r="BB399" i="2"/>
  <c r="BE399" i="2" s="1"/>
  <c r="BB32" i="2"/>
  <c r="BB57" i="2"/>
  <c r="BB81" i="2"/>
  <c r="BB230" i="2"/>
  <c r="BE230" i="2" s="1"/>
  <c r="BB267" i="2"/>
  <c r="BC221" i="2"/>
  <c r="BC225" i="2"/>
  <c r="BC32" i="2"/>
  <c r="BB63" i="2"/>
  <c r="BB67" i="2"/>
  <c r="BC202" i="2"/>
  <c r="BF202" i="2" s="1"/>
  <c r="BB250" i="2"/>
  <c r="BB336" i="2"/>
  <c r="AA249" i="12"/>
  <c r="R239" i="12"/>
  <c r="AA239" i="12" s="1"/>
  <c r="R238" i="12"/>
  <c r="AA238" i="12" s="1"/>
  <c r="AC238" i="12" s="1"/>
  <c r="N208" i="12" s="1"/>
  <c r="AT338" i="2" s="1"/>
  <c r="BC338" i="2" s="1"/>
  <c r="R236" i="12"/>
  <c r="AA236" i="12" s="1"/>
  <c r="AB236" i="12" s="1"/>
  <c r="L206" i="12" s="1"/>
  <c r="R235" i="12"/>
  <c r="AA235" i="12" s="1"/>
  <c r="AC235" i="12" s="1"/>
  <c r="N205" i="12" s="1"/>
  <c r="AT308" i="2" s="1"/>
  <c r="BC308" i="2" s="1"/>
  <c r="R234" i="12"/>
  <c r="AA234" i="12" s="1"/>
  <c r="AC234" i="12" s="1"/>
  <c r="N204" i="12" s="1"/>
  <c r="AT296" i="2" s="1"/>
  <c r="BC296" i="2" s="1"/>
  <c r="E151" i="31"/>
  <c r="G151" i="31" s="1"/>
  <c r="C105" i="31" s="1"/>
  <c r="E155" i="31"/>
  <c r="G155" i="31" s="1"/>
  <c r="C109" i="31" s="1"/>
  <c r="E159" i="31"/>
  <c r="H159" i="31" s="1"/>
  <c r="D113" i="31" s="1"/>
  <c r="E161" i="31"/>
  <c r="E165" i="31"/>
  <c r="E153" i="31"/>
  <c r="G153" i="31" s="1"/>
  <c r="C107" i="31" s="1"/>
  <c r="E157" i="31"/>
  <c r="G157" i="31" s="1"/>
  <c r="C111" i="31" s="1"/>
  <c r="E154" i="31"/>
  <c r="H154" i="31" s="1"/>
  <c r="D108" i="31" s="1"/>
  <c r="E158" i="31"/>
  <c r="H158" i="31" s="1"/>
  <c r="D112" i="31" s="1"/>
  <c r="E160" i="31"/>
  <c r="H160" i="31" s="1"/>
  <c r="D114" i="31" s="1"/>
  <c r="E152" i="31"/>
  <c r="G152" i="31" s="1"/>
  <c r="C106" i="31" s="1"/>
  <c r="E156" i="31"/>
  <c r="G156" i="31" s="1"/>
  <c r="C110" i="31" s="1"/>
  <c r="E176" i="31"/>
  <c r="E170" i="31"/>
  <c r="E174" i="31"/>
  <c r="E172" i="31"/>
  <c r="E171" i="31"/>
  <c r="E175" i="31"/>
  <c r="E164" i="31"/>
  <c r="E168" i="31"/>
  <c r="E162" i="31"/>
  <c r="E166" i="31"/>
  <c r="E150" i="31"/>
  <c r="G150" i="31" s="1"/>
  <c r="C104" i="31" s="1"/>
  <c r="H178" i="31"/>
  <c r="D132" i="31" s="1"/>
  <c r="G178" i="31"/>
  <c r="C132" i="31" s="1"/>
  <c r="AQ93" i="2" s="1"/>
  <c r="BB93" i="2" s="1"/>
  <c r="H179" i="31"/>
  <c r="D133" i="31" s="1"/>
  <c r="G179" i="31"/>
  <c r="C133" i="31" s="1"/>
  <c r="AQ99" i="2" s="1"/>
  <c r="BB99" i="2" s="1"/>
  <c r="G183" i="31"/>
  <c r="C137" i="31" s="1"/>
  <c r="BB179" i="2" s="1"/>
  <c r="BC73" i="2"/>
  <c r="BB114" i="2"/>
  <c r="BC129" i="2"/>
  <c r="BG129" i="2" s="1"/>
  <c r="BC208" i="2"/>
  <c r="BG208" i="2" s="1"/>
  <c r="BC35" i="2"/>
  <c r="BB50" i="2"/>
  <c r="BC69" i="2"/>
  <c r="BG120" i="2"/>
  <c r="BC218" i="2"/>
  <c r="BB246" i="2"/>
  <c r="BC270" i="2"/>
  <c r="BB358" i="2"/>
  <c r="BC211" i="2"/>
  <c r="BG211" i="2" s="1"/>
  <c r="BB221" i="2"/>
  <c r="BC261" i="2"/>
  <c r="BC23" i="2"/>
  <c r="BB228" i="2"/>
  <c r="BC247" i="2"/>
  <c r="BB261" i="2"/>
  <c r="BB15" i="2"/>
  <c r="BB124" i="2"/>
  <c r="BB265" i="2"/>
  <c r="BC57" i="2"/>
  <c r="BG119" i="2"/>
  <c r="BB139" i="2"/>
  <c r="BB142" i="2"/>
  <c r="BC220" i="2"/>
  <c r="BB226" i="2"/>
  <c r="BB262" i="2"/>
  <c r="BB349" i="2"/>
  <c r="BB266" i="2"/>
  <c r="BB68" i="2"/>
  <c r="BC77" i="2"/>
  <c r="BC81" i="2"/>
  <c r="BG116" i="2"/>
  <c r="BF19" i="2"/>
  <c r="BC36" i="2"/>
  <c r="BB183" i="2"/>
  <c r="BB236" i="2"/>
  <c r="BB252" i="2"/>
  <c r="BB297" i="2"/>
  <c r="BB348" i="2"/>
  <c r="BG135" i="2"/>
  <c r="BF135" i="2"/>
  <c r="BF157" i="2"/>
  <c r="BB25" i="2"/>
  <c r="BG25" i="2" s="1"/>
  <c r="BB45" i="2"/>
  <c r="BB76" i="2"/>
  <c r="BF116" i="2"/>
  <c r="BF119" i="2"/>
  <c r="BC132" i="2"/>
  <c r="BG132" i="2" s="1"/>
  <c r="BC67" i="2"/>
  <c r="BB71" i="2"/>
  <c r="BC128" i="2"/>
  <c r="BF128" i="2" s="1"/>
  <c r="BC198" i="2"/>
  <c r="BG198" i="2" s="1"/>
  <c r="BG122" i="2"/>
  <c r="BB245" i="2"/>
  <c r="BB158" i="2"/>
  <c r="BE217" i="2"/>
  <c r="BB251" i="2"/>
  <c r="BC121" i="2"/>
  <c r="BF121" i="2" s="1"/>
  <c r="BF120" i="2"/>
  <c r="BB220" i="2"/>
  <c r="BG18" i="2"/>
  <c r="BF18" i="2"/>
  <c r="BC22" i="2"/>
  <c r="BC59" i="2"/>
  <c r="BB272" i="2"/>
  <c r="BC257" i="2"/>
  <c r="BG37" i="2"/>
  <c r="BC55" i="2"/>
  <c r="BB70" i="2"/>
  <c r="BB140" i="2"/>
  <c r="BB231" i="2"/>
  <c r="BE231" i="2" s="1"/>
  <c r="BB239" i="2"/>
  <c r="BB125" i="2"/>
  <c r="BB141" i="2"/>
  <c r="BB46" i="2"/>
  <c r="BF46" i="2" s="1"/>
  <c r="C78" i="17" s="1"/>
  <c r="BC134" i="2"/>
  <c r="BG134" i="2" s="1"/>
  <c r="BB137" i="2"/>
  <c r="BB138" i="2"/>
  <c r="BC200" i="2"/>
  <c r="BG200" i="2" s="1"/>
  <c r="BC206" i="2"/>
  <c r="BG206" i="2" s="1"/>
  <c r="BC216" i="2"/>
  <c r="BB242" i="2"/>
  <c r="BC245" i="2"/>
  <c r="BC381" i="2"/>
  <c r="BB390" i="2"/>
  <c r="BB408" i="2"/>
  <c r="BC126" i="2"/>
  <c r="BG126" i="2" s="1"/>
  <c r="BB14" i="2"/>
  <c r="BC66" i="2"/>
  <c r="BB78" i="2"/>
  <c r="BF78" i="2" s="1"/>
  <c r="BC125" i="2"/>
  <c r="BC199" i="2"/>
  <c r="BG199" i="2" s="1"/>
  <c r="BB234" i="2"/>
  <c r="BC239" i="2"/>
  <c r="BC271" i="2"/>
  <c r="BB283" i="2"/>
  <c r="BC265" i="2"/>
  <c r="BB316" i="2"/>
  <c r="BB368" i="2"/>
  <c r="BB400" i="2"/>
  <c r="BE400" i="2" s="1"/>
  <c r="BC411" i="2"/>
  <c r="BC222" i="2"/>
  <c r="BC256" i="2"/>
  <c r="BC266" i="2"/>
  <c r="BB326" i="2"/>
  <c r="BB346" i="2"/>
  <c r="BB276" i="2"/>
  <c r="BB319" i="2"/>
  <c r="BB339" i="2"/>
  <c r="BB366" i="2"/>
  <c r="BC376" i="2"/>
  <c r="BE376" i="2" s="1"/>
  <c r="BB225" i="2"/>
  <c r="BC242" i="2"/>
  <c r="BC246" i="2"/>
  <c r="BC255" i="2"/>
  <c r="BB256" i="2"/>
  <c r="BB359" i="2"/>
  <c r="BG21" i="2"/>
  <c r="BF21" i="2"/>
  <c r="BG47" i="2"/>
  <c r="BF47" i="2"/>
  <c r="C66" i="17" s="1"/>
  <c r="BG13" i="2"/>
  <c r="BF13" i="2"/>
  <c r="BB53" i="2"/>
  <c r="BB29" i="2"/>
  <c r="BC44" i="2"/>
  <c r="BF108" i="2"/>
  <c r="BB75" i="2"/>
  <c r="BC235" i="2"/>
  <c r="BF27" i="2"/>
  <c r="BB218" i="2"/>
  <c r="BG27" i="2"/>
  <c r="BB74" i="2"/>
  <c r="BG111" i="2"/>
  <c r="BF111" i="2"/>
  <c r="BG110" i="2"/>
  <c r="BF110" i="2"/>
  <c r="BG19" i="2"/>
  <c r="BF26" i="2"/>
  <c r="BC49" i="2"/>
  <c r="BC252" i="2"/>
  <c r="BC276" i="2"/>
  <c r="BB112" i="2"/>
  <c r="BB308" i="2"/>
  <c r="BC240" i="2"/>
  <c r="BC267" i="2"/>
  <c r="BB306" i="2"/>
  <c r="BC250" i="2"/>
  <c r="BC251" i="2"/>
  <c r="BC262" i="2"/>
  <c r="BB328" i="2"/>
  <c r="BC412" i="2"/>
  <c r="BB294" i="2"/>
  <c r="L61" i="29"/>
  <c r="D101" i="29" s="1"/>
  <c r="E101" i="29" s="1"/>
  <c r="E99" i="29"/>
  <c r="E94" i="29"/>
  <c r="G94" i="29" s="1"/>
  <c r="C73" i="29" s="1"/>
  <c r="E96" i="29"/>
  <c r="G96" i="29" s="1"/>
  <c r="C75" i="29" s="1"/>
  <c r="AQ166" i="2" s="1"/>
  <c r="BB166" i="2" s="1"/>
  <c r="E95" i="29"/>
  <c r="G95" i="29" s="1"/>
  <c r="C74" i="29" s="1"/>
  <c r="AQ98" i="2" s="1"/>
  <c r="BB98" i="2" s="1"/>
  <c r="E97" i="29"/>
  <c r="G97" i="29" s="1"/>
  <c r="L55" i="29"/>
  <c r="D145" i="18"/>
  <c r="E145" i="18" s="1"/>
  <c r="K55" i="29"/>
  <c r="E117" i="23"/>
  <c r="G117" i="23" s="1"/>
  <c r="C86" i="23" s="1"/>
  <c r="BC212" i="2"/>
  <c r="BG212" i="2" s="1"/>
  <c r="AC248" i="12"/>
  <c r="N220" i="12" s="1"/>
  <c r="AB252" i="12"/>
  <c r="L221" i="12" s="1"/>
  <c r="AC252" i="12"/>
  <c r="N221" i="12" s="1"/>
  <c r="AB248" i="12"/>
  <c r="BB160" i="2" l="1"/>
  <c r="BG160" i="2" s="1"/>
  <c r="AQ159" i="2"/>
  <c r="BB159" i="2" s="1"/>
  <c r="BG158" i="2" s="1"/>
  <c r="BE223" i="2"/>
  <c r="BD223" i="2"/>
  <c r="O237" i="8"/>
  <c r="AT62" i="2" s="1"/>
  <c r="BC62" i="2" s="1"/>
  <c r="AT70" i="2"/>
  <c r="BC70" i="2" s="1"/>
  <c r="BC60" i="2"/>
  <c r="M370" i="8"/>
  <c r="BF17" i="2"/>
  <c r="BF11" i="2"/>
  <c r="BC234" i="2"/>
  <c r="BD234" i="2" s="1"/>
  <c r="G39" i="15"/>
  <c r="E139" i="15" s="1"/>
  <c r="G204" i="15" s="1"/>
  <c r="BB381" i="2"/>
  <c r="BD381" i="2" s="1"/>
  <c r="G52" i="15"/>
  <c r="G149" i="15" s="1"/>
  <c r="M248" i="5"/>
  <c r="G59" i="15"/>
  <c r="S147" i="11"/>
  <c r="E54" i="23"/>
  <c r="D54" i="23"/>
  <c r="E63" i="15"/>
  <c r="M55" i="29"/>
  <c r="E63" i="14"/>
  <c r="G39" i="14"/>
  <c r="E139" i="14" s="1"/>
  <c r="G204" i="14" s="1"/>
  <c r="G42" i="14"/>
  <c r="E142" i="14" s="1"/>
  <c r="G207" i="14" s="1"/>
  <c r="AY316" i="2" s="1"/>
  <c r="BC316" i="2" s="1"/>
  <c r="G47" i="14"/>
  <c r="E147" i="14" s="1"/>
  <c r="G212" i="14" s="1"/>
  <c r="G52" i="14"/>
  <c r="G149" i="14" s="1"/>
  <c r="G43" i="14"/>
  <c r="E143" i="14" s="1"/>
  <c r="G208" i="14" s="1"/>
  <c r="E63" i="18"/>
  <c r="D144" i="18" s="1"/>
  <c r="D57" i="18"/>
  <c r="C138" i="18" s="1"/>
  <c r="AE299" i="5"/>
  <c r="G44" i="14"/>
  <c r="E144" i="14" s="1"/>
  <c r="G209" i="14" s="1"/>
  <c r="G53" i="14"/>
  <c r="G150" i="14" s="1"/>
  <c r="G221" i="14" s="1"/>
  <c r="G57" i="14"/>
  <c r="G59" i="14" s="1"/>
  <c r="G54" i="14"/>
  <c r="G151" i="14" s="1"/>
  <c r="G222" i="14" s="1"/>
  <c r="E50" i="18"/>
  <c r="D139" i="18" s="1"/>
  <c r="E139" i="18" s="1"/>
  <c r="G40" i="14"/>
  <c r="E140" i="14" s="1"/>
  <c r="G205" i="14" s="1"/>
  <c r="G45" i="14"/>
  <c r="E145" i="14" s="1"/>
  <c r="G210" i="14" s="1"/>
  <c r="G44" i="15"/>
  <c r="E144" i="15" s="1"/>
  <c r="G209" i="15" s="1"/>
  <c r="G41" i="14"/>
  <c r="E141" i="14" s="1"/>
  <c r="G206" i="14" s="1"/>
  <c r="S370" i="8"/>
  <c r="E23" i="23"/>
  <c r="M28" i="23"/>
  <c r="E40" i="23" s="1"/>
  <c r="D112" i="23" s="1"/>
  <c r="E112" i="23" s="1"/>
  <c r="V28" i="23"/>
  <c r="L28" i="23"/>
  <c r="F28" i="23"/>
  <c r="U28" i="23"/>
  <c r="K28" i="23"/>
  <c r="D28" i="23"/>
  <c r="T28" i="23"/>
  <c r="J28" i="23"/>
  <c r="AL90" i="2" s="1"/>
  <c r="C28" i="23"/>
  <c r="R28" i="23"/>
  <c r="D44" i="23" s="1"/>
  <c r="C116" i="23" s="1"/>
  <c r="E116" i="23" s="1"/>
  <c r="Q28" i="23"/>
  <c r="D43" i="23" s="1"/>
  <c r="C115" i="23" s="1"/>
  <c r="E115" i="23" s="1"/>
  <c r="P28" i="23"/>
  <c r="H28" i="23"/>
  <c r="G23" i="23" s="1"/>
  <c r="E34" i="23" s="1"/>
  <c r="D98" i="23" s="1"/>
  <c r="O28" i="23"/>
  <c r="D41" i="23" s="1"/>
  <c r="C113" i="23" s="1"/>
  <c r="E113" i="23" s="1"/>
  <c r="G28" i="23"/>
  <c r="L124" i="11"/>
  <c r="L370" i="8"/>
  <c r="AF299" i="5"/>
  <c r="D56" i="18"/>
  <c r="C137" i="18" s="1"/>
  <c r="R147" i="11"/>
  <c r="D53" i="18"/>
  <c r="C142" i="18" s="1"/>
  <c r="E142" i="18" s="1"/>
  <c r="R129" i="10"/>
  <c r="L78" i="10"/>
  <c r="AM149" i="2"/>
  <c r="N119" i="11"/>
  <c r="N124" i="11" s="1"/>
  <c r="K248" i="5"/>
  <c r="AQ16" i="2"/>
  <c r="BB16" i="2" s="1"/>
  <c r="S129" i="10"/>
  <c r="AB370" i="8"/>
  <c r="M220" i="8"/>
  <c r="E127" i="18"/>
  <c r="H127" i="18" s="1"/>
  <c r="D96" i="18" s="1"/>
  <c r="AT149" i="2" s="1"/>
  <c r="BE383" i="2"/>
  <c r="O370" i="8"/>
  <c r="P370" i="8"/>
  <c r="AC370" i="8"/>
  <c r="O287" i="8"/>
  <c r="C98" i="23"/>
  <c r="H117" i="23"/>
  <c r="D86" i="23" s="1"/>
  <c r="AT83" i="2" s="1"/>
  <c r="BC83" i="2" s="1"/>
  <c r="E50" i="23"/>
  <c r="D114" i="23" s="1"/>
  <c r="D46" i="23"/>
  <c r="C110" i="23" s="1"/>
  <c r="E141" i="18"/>
  <c r="H141" i="18" s="1"/>
  <c r="D110" i="18" s="1"/>
  <c r="AT164" i="2" s="1"/>
  <c r="E140" i="18"/>
  <c r="E48" i="18"/>
  <c r="D55" i="18"/>
  <c r="C144" i="18" s="1"/>
  <c r="E49" i="18"/>
  <c r="D138" i="18" s="1"/>
  <c r="D54" i="18"/>
  <c r="G40" i="15"/>
  <c r="E140" i="15" s="1"/>
  <c r="G205" i="15" s="1"/>
  <c r="G43" i="15"/>
  <c r="E143" i="15" s="1"/>
  <c r="G208" i="15" s="1"/>
  <c r="G55" i="15"/>
  <c r="G152" i="15" s="1"/>
  <c r="G223" i="15" s="1"/>
  <c r="G53" i="15"/>
  <c r="G150" i="15" s="1"/>
  <c r="G221" i="15" s="1"/>
  <c r="G42" i="15"/>
  <c r="E142" i="15" s="1"/>
  <c r="G207" i="15" s="1"/>
  <c r="G217" i="13"/>
  <c r="G101" i="29"/>
  <c r="H101" i="29"/>
  <c r="D80" i="29" s="1"/>
  <c r="AT299" i="2" s="1"/>
  <c r="BF104" i="2"/>
  <c r="H172" i="31"/>
  <c r="D126" i="31" s="1"/>
  <c r="G172" i="31"/>
  <c r="C126" i="31" s="1"/>
  <c r="H164" i="31"/>
  <c r="D118" i="31" s="1"/>
  <c r="G164" i="31"/>
  <c r="C118" i="31" s="1"/>
  <c r="H167" i="31"/>
  <c r="D121" i="31" s="1"/>
  <c r="G167" i="31"/>
  <c r="C121" i="31" s="1"/>
  <c r="H177" i="31"/>
  <c r="D131" i="31" s="1"/>
  <c r="G177" i="31"/>
  <c r="C131" i="31" s="1"/>
  <c r="H175" i="31"/>
  <c r="D129" i="31" s="1"/>
  <c r="G175" i="31"/>
  <c r="C129" i="31" s="1"/>
  <c r="H163" i="31"/>
  <c r="D117" i="31" s="1"/>
  <c r="G163" i="31"/>
  <c r="C117" i="31" s="1"/>
  <c r="H173" i="31"/>
  <c r="D127" i="31" s="1"/>
  <c r="G173" i="31"/>
  <c r="C127" i="31" s="1"/>
  <c r="H171" i="31"/>
  <c r="D125" i="31" s="1"/>
  <c r="G171" i="31"/>
  <c r="C125" i="31" s="1"/>
  <c r="H169" i="31"/>
  <c r="D123" i="31" s="1"/>
  <c r="G169" i="31"/>
  <c r="C123" i="31" s="1"/>
  <c r="H174" i="31"/>
  <c r="D128" i="31" s="1"/>
  <c r="G174" i="31"/>
  <c r="C128" i="31" s="1"/>
  <c r="H166" i="31"/>
  <c r="D120" i="31" s="1"/>
  <c r="G166" i="31"/>
  <c r="C120" i="31" s="1"/>
  <c r="H170" i="31"/>
  <c r="D124" i="31" s="1"/>
  <c r="G170" i="31"/>
  <c r="C124" i="31" s="1"/>
  <c r="H162" i="31"/>
  <c r="D116" i="31" s="1"/>
  <c r="G162" i="31"/>
  <c r="C116" i="31" s="1"/>
  <c r="H176" i="31"/>
  <c r="D130" i="31" s="1"/>
  <c r="G176" i="31"/>
  <c r="C130" i="31" s="1"/>
  <c r="H165" i="31"/>
  <c r="D119" i="31" s="1"/>
  <c r="G165" i="31"/>
  <c r="C119" i="31" s="1"/>
  <c r="G181" i="31"/>
  <c r="C135" i="31" s="1"/>
  <c r="H168" i="31"/>
  <c r="D122" i="31" s="1"/>
  <c r="G168" i="31"/>
  <c r="C122" i="31" s="1"/>
  <c r="H161" i="31"/>
  <c r="D115" i="31" s="1"/>
  <c r="G161" i="31"/>
  <c r="C115" i="31" s="1"/>
  <c r="BG167" i="2"/>
  <c r="AM152" i="2"/>
  <c r="AT187" i="2"/>
  <c r="BC187" i="2" s="1"/>
  <c r="G182" i="31"/>
  <c r="C136" i="31" s="1"/>
  <c r="D186" i="31"/>
  <c r="C186" i="31"/>
  <c r="G185" i="31"/>
  <c r="C139" i="31" s="1"/>
  <c r="AQ85" i="2" s="1"/>
  <c r="BB85" i="2" s="1"/>
  <c r="BF85" i="2" s="1"/>
  <c r="BG179" i="2"/>
  <c r="BF99" i="2"/>
  <c r="BG99" i="2"/>
  <c r="BG174" i="2"/>
  <c r="BF174" i="2"/>
  <c r="BF93" i="2"/>
  <c r="BG93" i="2"/>
  <c r="E92" i="29"/>
  <c r="G92" i="29" s="1"/>
  <c r="C71" i="29" s="1"/>
  <c r="E93" i="29"/>
  <c r="AY336" i="2"/>
  <c r="BC336" i="2" s="1"/>
  <c r="AY356" i="2"/>
  <c r="BC356" i="2" s="1"/>
  <c r="AY294" i="2"/>
  <c r="BC294" i="2" s="1"/>
  <c r="G220" i="14"/>
  <c r="BC9" i="2"/>
  <c r="AK415" i="2"/>
  <c r="BB9" i="2"/>
  <c r="AJ415" i="2"/>
  <c r="BF14" i="2"/>
  <c r="BG136" i="2"/>
  <c r="BB8" i="2"/>
  <c r="BF8" i="2" s="1"/>
  <c r="BD394" i="2"/>
  <c r="BE394" i="2"/>
  <c r="BE390" i="2"/>
  <c r="BD390" i="2"/>
  <c r="BF179" i="2"/>
  <c r="G206" i="15"/>
  <c r="AY306" i="2" s="1"/>
  <c r="BC306" i="2" s="1"/>
  <c r="G220" i="15"/>
  <c r="G153" i="15"/>
  <c r="AY346" i="2"/>
  <c r="BC346" i="2" s="1"/>
  <c r="E66" i="15"/>
  <c r="BB30" i="2"/>
  <c r="BF30" i="2" s="1"/>
  <c r="E158" i="13"/>
  <c r="G225" i="13"/>
  <c r="G230" i="13" s="1"/>
  <c r="G158" i="13"/>
  <c r="G218" i="13" s="1"/>
  <c r="E70" i="13"/>
  <c r="G63" i="13"/>
  <c r="AB242" i="12"/>
  <c r="L212" i="12" s="1"/>
  <c r="AQ406" i="2" s="1"/>
  <c r="BB406" i="2" s="1"/>
  <c r="BD406" i="2" s="1"/>
  <c r="AB243" i="12"/>
  <c r="L213" i="12" s="1"/>
  <c r="AQ407" i="2" s="1"/>
  <c r="BB407" i="2" s="1"/>
  <c r="BD407" i="2" s="1"/>
  <c r="BG144" i="2"/>
  <c r="AQ317" i="2"/>
  <c r="BB317" i="2" s="1"/>
  <c r="AC237" i="12"/>
  <c r="N207" i="12" s="1"/>
  <c r="AT328" i="2" s="1"/>
  <c r="BC328" i="2" s="1"/>
  <c r="BG210" i="2"/>
  <c r="BF109" i="2"/>
  <c r="BD380" i="2"/>
  <c r="BE275" i="2"/>
  <c r="BF139" i="2"/>
  <c r="BF127" i="2"/>
  <c r="BE245" i="2"/>
  <c r="AT241" i="2"/>
  <c r="BC241" i="2" s="1"/>
  <c r="BD240" i="2" s="1"/>
  <c r="D30" i="28"/>
  <c r="AB241" i="12"/>
  <c r="L211" i="12" s="1"/>
  <c r="AQ367" i="2" s="1"/>
  <c r="BB367" i="2" s="1"/>
  <c r="BG147" i="2"/>
  <c r="AC245" i="12"/>
  <c r="N215" i="12" s="1"/>
  <c r="AB245" i="12"/>
  <c r="L215" i="12" s="1"/>
  <c r="AQ82" i="2" s="1"/>
  <c r="BB82" i="2" s="1"/>
  <c r="AC240" i="12"/>
  <c r="N210" i="12" s="1"/>
  <c r="AT358" i="2" s="1"/>
  <c r="BC358" i="2" s="1"/>
  <c r="H253" i="12"/>
  <c r="AA244" i="12"/>
  <c r="BD382" i="2"/>
  <c r="BF144" i="2"/>
  <c r="BE266" i="2"/>
  <c r="BG69" i="2"/>
  <c r="D73" i="17" s="1"/>
  <c r="BE386" i="2"/>
  <c r="BF129" i="2"/>
  <c r="BF10" i="2"/>
  <c r="BD399" i="2"/>
  <c r="BF142" i="2"/>
  <c r="BF126" i="2"/>
  <c r="BE256" i="2"/>
  <c r="BD236" i="2"/>
  <c r="BG139" i="2"/>
  <c r="BE235" i="2"/>
  <c r="BF146" i="2"/>
  <c r="BE221" i="2"/>
  <c r="BF81" i="2"/>
  <c r="BE260" i="2"/>
  <c r="BD219" i="2"/>
  <c r="BG133" i="2"/>
  <c r="BD266" i="2"/>
  <c r="BF201" i="2"/>
  <c r="BG42" i="2"/>
  <c r="BE398" i="2"/>
  <c r="BD216" i="2"/>
  <c r="BG32" i="2"/>
  <c r="BE255" i="2"/>
  <c r="BE277" i="2"/>
  <c r="BF32" i="2"/>
  <c r="BG202" i="2"/>
  <c r="BF207" i="2"/>
  <c r="BE225" i="2"/>
  <c r="BF209" i="2"/>
  <c r="BE267" i="2"/>
  <c r="BE247" i="2"/>
  <c r="BG125" i="2"/>
  <c r="BD261" i="2"/>
  <c r="BD221" i="2"/>
  <c r="BG205" i="2"/>
  <c r="BD396" i="2"/>
  <c r="BD402" i="2"/>
  <c r="BG43" i="2"/>
  <c r="BF134" i="2"/>
  <c r="BF37" i="2"/>
  <c r="BE224" i="2"/>
  <c r="BF224" i="2" s="1"/>
  <c r="BD401" i="2"/>
  <c r="BE257" i="2"/>
  <c r="BD239" i="2"/>
  <c r="BD230" i="2"/>
  <c r="BF42" i="2"/>
  <c r="BE219" i="2"/>
  <c r="BD265" i="2"/>
  <c r="BD260" i="2"/>
  <c r="BD245" i="2"/>
  <c r="BF22" i="2"/>
  <c r="BD252" i="2"/>
  <c r="BG142" i="2"/>
  <c r="BE222" i="2"/>
  <c r="BD271" i="2"/>
  <c r="BG81" i="2"/>
  <c r="BG73" i="2"/>
  <c r="BG48" i="2"/>
  <c r="BG14" i="2"/>
  <c r="BD242" i="2"/>
  <c r="BG52" i="2"/>
  <c r="BF52" i="2"/>
  <c r="C68" i="17" s="1"/>
  <c r="BG130" i="2"/>
  <c r="BG77" i="2"/>
  <c r="D77" i="17" s="1"/>
  <c r="BE270" i="2"/>
  <c r="AC236" i="12"/>
  <c r="N206" i="12" s="1"/>
  <c r="AT318" i="2" s="1"/>
  <c r="BC318" i="2" s="1"/>
  <c r="BF73" i="2"/>
  <c r="BD256" i="2"/>
  <c r="BF66" i="2"/>
  <c r="C73" i="17" s="1"/>
  <c r="BG141" i="2"/>
  <c r="BG59" i="2"/>
  <c r="D69" i="17" s="1"/>
  <c r="BD231" i="2"/>
  <c r="BE239" i="2"/>
  <c r="BF77" i="2"/>
  <c r="BD224" i="2"/>
  <c r="BD270" i="2"/>
  <c r="BF211" i="2"/>
  <c r="BG46" i="2"/>
  <c r="BE410" i="2"/>
  <c r="BD400" i="2"/>
  <c r="BD251" i="2"/>
  <c r="BF62" i="2"/>
  <c r="C71" i="17" s="1"/>
  <c r="BG78" i="2"/>
  <c r="BD225" i="2"/>
  <c r="BD272" i="2"/>
  <c r="T253" i="12"/>
  <c r="AB235" i="12"/>
  <c r="L205" i="12" s="1"/>
  <c r="AQ307" i="2" s="1"/>
  <c r="BB307" i="2" s="1"/>
  <c r="AB238" i="12"/>
  <c r="L208" i="12" s="1"/>
  <c r="AQ337" i="2" s="1"/>
  <c r="BB337" i="2" s="1"/>
  <c r="AB234" i="12"/>
  <c r="L204" i="12" s="1"/>
  <c r="AQ295" i="2" s="1"/>
  <c r="N118" i="12"/>
  <c r="AB239" i="12"/>
  <c r="L209" i="12" s="1"/>
  <c r="AQ347" i="2" s="1"/>
  <c r="BB347" i="2" s="1"/>
  <c r="AC239" i="12"/>
  <c r="N209" i="12" s="1"/>
  <c r="AT348" i="2" s="1"/>
  <c r="BC348" i="2" s="1"/>
  <c r="AC249" i="12"/>
  <c r="N222" i="12" s="1"/>
  <c r="AT152" i="2" s="1"/>
  <c r="AB249" i="12"/>
  <c r="L222" i="12" s="1"/>
  <c r="G159" i="31"/>
  <c r="C113" i="31" s="1"/>
  <c r="H155" i="31"/>
  <c r="D109" i="31" s="1"/>
  <c r="H151" i="31"/>
  <c r="D105" i="31" s="1"/>
  <c r="H156" i="31"/>
  <c r="D110" i="31" s="1"/>
  <c r="G154" i="31"/>
  <c r="C108" i="31" s="1"/>
  <c r="G158" i="31"/>
  <c r="C112" i="31" s="1"/>
  <c r="H157" i="31"/>
  <c r="D111" i="31" s="1"/>
  <c r="G160" i="31"/>
  <c r="C114" i="31" s="1"/>
  <c r="AQ288" i="2" s="1"/>
  <c r="H184" i="31"/>
  <c r="D138" i="31" s="1"/>
  <c r="H153" i="31"/>
  <c r="D107" i="31" s="1"/>
  <c r="H150" i="31"/>
  <c r="D104" i="31" s="1"/>
  <c r="AT153" i="2" s="1"/>
  <c r="H152" i="31"/>
  <c r="D106" i="31" s="1"/>
  <c r="BF70" i="2"/>
  <c r="BF25" i="2"/>
  <c r="BE262" i="2"/>
  <c r="BF125" i="2"/>
  <c r="BD410" i="2"/>
  <c r="BF141" i="2"/>
  <c r="BE236" i="2"/>
  <c r="BE272" i="2"/>
  <c r="BE261" i="2"/>
  <c r="BD222" i="2"/>
  <c r="BF69" i="2"/>
  <c r="BD247" i="2"/>
  <c r="BF136" i="2"/>
  <c r="BG123" i="2"/>
  <c r="BF147" i="2"/>
  <c r="BD397" i="2"/>
  <c r="BG148" i="2"/>
  <c r="BG22" i="2"/>
  <c r="BD376" i="2"/>
  <c r="BD255" i="2"/>
  <c r="BD277" i="2"/>
  <c r="BD246" i="2"/>
  <c r="BG62" i="2"/>
  <c r="BG56" i="2"/>
  <c r="C76" i="29"/>
  <c r="AQ173" i="2" s="1"/>
  <c r="BB173" i="2" s="1"/>
  <c r="BC188" i="2"/>
  <c r="E186" i="31"/>
  <c r="BE246" i="2"/>
  <c r="BG31" i="2"/>
  <c r="BF140" i="2"/>
  <c r="BG140" i="2"/>
  <c r="BD220" i="2"/>
  <c r="BE220" i="2"/>
  <c r="BE242" i="2"/>
  <c r="BF206" i="2"/>
  <c r="BD267" i="2"/>
  <c r="BE265" i="2"/>
  <c r="BD275" i="2"/>
  <c r="BF59" i="2"/>
  <c r="BF43" i="2"/>
  <c r="BF148" i="2"/>
  <c r="BE271" i="2"/>
  <c r="BF56" i="2"/>
  <c r="C69" i="17" s="1"/>
  <c r="BG66" i="2"/>
  <c r="BF138" i="2"/>
  <c r="BG138" i="2"/>
  <c r="BF123" i="2"/>
  <c r="BG121" i="2"/>
  <c r="BF198" i="2"/>
  <c r="BE251" i="2"/>
  <c r="BD257" i="2"/>
  <c r="BD395" i="2"/>
  <c r="BE395" i="2"/>
  <c r="BF132" i="2"/>
  <c r="BF200" i="2"/>
  <c r="BF199" i="2"/>
  <c r="BE252" i="2"/>
  <c r="BE216" i="2"/>
  <c r="BF48" i="2"/>
  <c r="BD384" i="2"/>
  <c r="BD235" i="2"/>
  <c r="BG128" i="2"/>
  <c r="BG146" i="2"/>
  <c r="BD250" i="2"/>
  <c r="BE250" i="2"/>
  <c r="BD262" i="2"/>
  <c r="BD218" i="2"/>
  <c r="BE218" i="2"/>
  <c r="BF55" i="2"/>
  <c r="BG55" i="2"/>
  <c r="D68" i="17" s="1"/>
  <c r="BG35" i="2"/>
  <c r="BF35" i="2"/>
  <c r="BG70" i="2"/>
  <c r="BG112" i="2"/>
  <c r="BF112" i="2"/>
  <c r="BG74" i="2"/>
  <c r="BF74" i="2"/>
  <c r="C77" i="17" s="1"/>
  <c r="BE412" i="2"/>
  <c r="BD412" i="2"/>
  <c r="BE276" i="2"/>
  <c r="BD276" i="2"/>
  <c r="BG65" i="2"/>
  <c r="D71" i="17" s="1"/>
  <c r="BF65" i="2"/>
  <c r="AN419" i="2"/>
  <c r="H94" i="29"/>
  <c r="H97" i="29"/>
  <c r="H95" i="29"/>
  <c r="D74" i="29" s="1"/>
  <c r="AT98" i="2" s="1"/>
  <c r="BC98" i="2" s="1"/>
  <c r="D102" i="29"/>
  <c r="H96" i="29"/>
  <c r="D75" i="29" s="1"/>
  <c r="AT166" i="2" s="1"/>
  <c r="BC166" i="2" s="1"/>
  <c r="H99" i="29"/>
  <c r="D78" i="29" s="1"/>
  <c r="G99" i="29"/>
  <c r="C78" i="29" s="1"/>
  <c r="AQ84" i="2" s="1"/>
  <c r="C102" i="29"/>
  <c r="AQ92" i="2"/>
  <c r="BB92" i="2" s="1"/>
  <c r="G145" i="18"/>
  <c r="C114" i="18" s="1"/>
  <c r="H145" i="18"/>
  <c r="D114" i="18" s="1"/>
  <c r="AT82" i="2" s="1"/>
  <c r="BC82" i="2" s="1"/>
  <c r="H91" i="29"/>
  <c r="G91" i="29"/>
  <c r="C70" i="29" s="1"/>
  <c r="BF212" i="2"/>
  <c r="AT150" i="2"/>
  <c r="L220" i="12"/>
  <c r="C67" i="17" l="1"/>
  <c r="BI48" i="2"/>
  <c r="BI50" i="2" s="1"/>
  <c r="BB295" i="2"/>
  <c r="AQ279" i="2"/>
  <c r="BF160" i="2"/>
  <c r="BF158" i="2"/>
  <c r="BF60" i="2"/>
  <c r="BG60" i="2"/>
  <c r="BE234" i="2"/>
  <c r="BE381" i="2"/>
  <c r="G225" i="14"/>
  <c r="E28" i="23"/>
  <c r="AY326" i="2"/>
  <c r="BC326" i="2" s="1"/>
  <c r="AM164" i="2"/>
  <c r="BC164" i="2" s="1"/>
  <c r="AY366" i="2"/>
  <c r="BC366" i="2" s="1"/>
  <c r="G153" i="14"/>
  <c r="E219" i="14" s="1"/>
  <c r="E225" i="14" s="1"/>
  <c r="E39" i="23"/>
  <c r="D111" i="23" s="1"/>
  <c r="E111" i="23" s="1"/>
  <c r="AL96" i="2"/>
  <c r="E138" i="18"/>
  <c r="G138" i="18" s="1"/>
  <c r="C107" i="18" s="1"/>
  <c r="AQ102" i="2" s="1"/>
  <c r="E144" i="18"/>
  <c r="G144" i="18" s="1"/>
  <c r="C113" i="18" s="1"/>
  <c r="AQ162" i="2" s="1"/>
  <c r="BB162" i="2" s="1"/>
  <c r="G127" i="18"/>
  <c r="C96" i="18" s="1"/>
  <c r="AQ149" i="2" s="1"/>
  <c r="BB149" i="2" s="1"/>
  <c r="AL88" i="2"/>
  <c r="E37" i="23"/>
  <c r="D109" i="23" s="1"/>
  <c r="E109" i="23" s="1"/>
  <c r="K32" i="23"/>
  <c r="AL103" i="2" s="1"/>
  <c r="E153" i="14"/>
  <c r="AM162" i="2"/>
  <c r="E38" i="23"/>
  <c r="D110" i="23" s="1"/>
  <c r="D42" i="23"/>
  <c r="C114" i="23" s="1"/>
  <c r="E114" i="23" s="1"/>
  <c r="G114" i="23" s="1"/>
  <c r="C83" i="23" s="1"/>
  <c r="AQ178" i="2" s="1"/>
  <c r="BB178" i="2" s="1"/>
  <c r="E98" i="23"/>
  <c r="G98" i="23" s="1"/>
  <c r="C67" i="23" s="1"/>
  <c r="AQ33" i="2" s="1"/>
  <c r="AL33" i="2"/>
  <c r="H142" i="18"/>
  <c r="D111" i="18" s="1"/>
  <c r="AT177" i="2" s="1"/>
  <c r="G142" i="18"/>
  <c r="C111" i="18" s="1"/>
  <c r="AQ177" i="2" s="1"/>
  <c r="BB177" i="2" s="1"/>
  <c r="AT347" i="2"/>
  <c r="BC347" i="2" s="1"/>
  <c r="AQ392" i="2"/>
  <c r="BB392" i="2" s="1"/>
  <c r="M287" i="8"/>
  <c r="AQ51" i="2"/>
  <c r="BB51" i="2" s="1"/>
  <c r="BC149" i="2"/>
  <c r="AQ341" i="2"/>
  <c r="BB341" i="2" s="1"/>
  <c r="AQ351" i="2"/>
  <c r="BB351" i="2" s="1"/>
  <c r="H112" i="23"/>
  <c r="D81" i="23" s="1"/>
  <c r="AT89" i="2" s="1"/>
  <c r="BC89" i="2" s="1"/>
  <c r="G112" i="23"/>
  <c r="C81" i="23" s="1"/>
  <c r="AQ89" i="2" s="1"/>
  <c r="BB89" i="2" s="1"/>
  <c r="H111" i="23"/>
  <c r="D80" i="23" s="1"/>
  <c r="AT97" i="2" s="1"/>
  <c r="BC97" i="2" s="1"/>
  <c r="G111" i="23"/>
  <c r="C80" i="23" s="1"/>
  <c r="AQ97" i="2" s="1"/>
  <c r="BB97" i="2" s="1"/>
  <c r="H113" i="23"/>
  <c r="D82" i="23" s="1"/>
  <c r="AT165" i="2" s="1"/>
  <c r="BC165" i="2" s="1"/>
  <c r="G113" i="23"/>
  <c r="C82" i="23" s="1"/>
  <c r="AQ165" i="2" s="1"/>
  <c r="BB165" i="2" s="1"/>
  <c r="H109" i="23"/>
  <c r="D78" i="23" s="1"/>
  <c r="AT91" i="2" s="1"/>
  <c r="BC91" i="2" s="1"/>
  <c r="G109" i="23"/>
  <c r="C78" i="23" s="1"/>
  <c r="AQ91" i="2" s="1"/>
  <c r="BB91" i="2" s="1"/>
  <c r="E110" i="23"/>
  <c r="G115" i="23"/>
  <c r="C84" i="23" s="1"/>
  <c r="AQ172" i="2" s="1"/>
  <c r="BB172" i="2" s="1"/>
  <c r="H115" i="23"/>
  <c r="D84" i="23" s="1"/>
  <c r="AT172" i="2" s="1"/>
  <c r="BC172" i="2" s="1"/>
  <c r="H116" i="23"/>
  <c r="D85" i="23" s="1"/>
  <c r="AT163" i="2" s="1"/>
  <c r="BC163" i="2" s="1"/>
  <c r="G116" i="23"/>
  <c r="C85" i="23" s="1"/>
  <c r="AQ163" i="2" s="1"/>
  <c r="BB163" i="2" s="1"/>
  <c r="G141" i="18"/>
  <c r="C110" i="18" s="1"/>
  <c r="AQ164" i="2" s="1"/>
  <c r="BB164" i="2" s="1"/>
  <c r="H140" i="18"/>
  <c r="D109" i="18" s="1"/>
  <c r="AT88" i="2" s="1"/>
  <c r="BC88" i="2" s="1"/>
  <c r="G140" i="18"/>
  <c r="C109" i="18" s="1"/>
  <c r="AQ88" i="2" s="1"/>
  <c r="AL102" i="2"/>
  <c r="AM177" i="2"/>
  <c r="H138" i="18"/>
  <c r="D107" i="18" s="1"/>
  <c r="AT102" i="2" s="1"/>
  <c r="BC102" i="2" s="1"/>
  <c r="H139" i="18"/>
  <c r="D108" i="18" s="1"/>
  <c r="AT96" i="2" s="1"/>
  <c r="BC96" i="2" s="1"/>
  <c r="G139" i="18"/>
  <c r="C108" i="18" s="1"/>
  <c r="AQ96" i="2" s="1"/>
  <c r="C143" i="18"/>
  <c r="E143" i="18" s="1"/>
  <c r="E66" i="18"/>
  <c r="D137" i="18"/>
  <c r="E137" i="18" s="1"/>
  <c r="D66" i="18"/>
  <c r="AT331" i="2"/>
  <c r="BC331" i="2" s="1"/>
  <c r="AT321" i="2"/>
  <c r="BC321" i="2" s="1"/>
  <c r="G225" i="15"/>
  <c r="E153" i="15"/>
  <c r="AQ331" i="2"/>
  <c r="BB331" i="2" s="1"/>
  <c r="AT311" i="2"/>
  <c r="BC311" i="2" s="1"/>
  <c r="AT351" i="2"/>
  <c r="BC351" i="2" s="1"/>
  <c r="AT361" i="2"/>
  <c r="BC361" i="2" s="1"/>
  <c r="AT371" i="2"/>
  <c r="BC371" i="2" s="1"/>
  <c r="AQ301" i="2"/>
  <c r="BB301" i="2" s="1"/>
  <c r="AQ311" i="2"/>
  <c r="BB311" i="2" s="1"/>
  <c r="AQ361" i="2"/>
  <c r="BB361" i="2" s="1"/>
  <c r="AQ321" i="2"/>
  <c r="BB321" i="2" s="1"/>
  <c r="AT301" i="2"/>
  <c r="BC301" i="2" s="1"/>
  <c r="AT341" i="2"/>
  <c r="BC341" i="2" s="1"/>
  <c r="AT288" i="2"/>
  <c r="BC288" i="2" s="1"/>
  <c r="AQ371" i="2"/>
  <c r="BB371" i="2" s="1"/>
  <c r="BC153" i="2"/>
  <c r="AT84" i="2"/>
  <c r="BC84" i="2" s="1"/>
  <c r="BG85" i="2"/>
  <c r="AQ151" i="2"/>
  <c r="BB151" i="2" s="1"/>
  <c r="H92" i="29"/>
  <c r="D71" i="29" s="1"/>
  <c r="AT151" i="2" s="1"/>
  <c r="AM151" i="2"/>
  <c r="AL186" i="2" s="1"/>
  <c r="BB288" i="2"/>
  <c r="BB84" i="2"/>
  <c r="E102" i="29"/>
  <c r="G93" i="29" s="1"/>
  <c r="C72" i="29" s="1"/>
  <c r="AQ300" i="2" s="1"/>
  <c r="I153" i="14"/>
  <c r="G213" i="14"/>
  <c r="G215" i="14" s="1"/>
  <c r="BB153" i="2"/>
  <c r="BG8" i="2"/>
  <c r="BG9" i="2"/>
  <c r="BF9" i="2"/>
  <c r="BB188" i="2"/>
  <c r="BC152" i="2"/>
  <c r="E219" i="15"/>
  <c r="E225" i="15" s="1"/>
  <c r="G213" i="15"/>
  <c r="G215" i="15" s="1"/>
  <c r="I153" i="15"/>
  <c r="BG30" i="2"/>
  <c r="BE407" i="2"/>
  <c r="E224" i="13"/>
  <c r="E230" i="13" s="1"/>
  <c r="AY281" i="2"/>
  <c r="BC281" i="2" s="1"/>
  <c r="G220" i="13"/>
  <c r="I158" i="13"/>
  <c r="BE406" i="2"/>
  <c r="AQ152" i="2"/>
  <c r="O116" i="12"/>
  <c r="BE240" i="2"/>
  <c r="AB244" i="12"/>
  <c r="L214" i="12" s="1"/>
  <c r="BB145" i="2" s="1"/>
  <c r="AC244" i="12"/>
  <c r="N214" i="12" s="1"/>
  <c r="AT145" i="2" s="1"/>
  <c r="BC145" i="2" s="1"/>
  <c r="C65" i="17"/>
  <c r="AA233" i="12"/>
  <c r="R253" i="12"/>
  <c r="D76" i="29"/>
  <c r="AT173" i="2" s="1"/>
  <c r="BC173" i="2" s="1"/>
  <c r="D73" i="29"/>
  <c r="AT92" i="2" s="1"/>
  <c r="BC92" i="2" s="1"/>
  <c r="G186" i="31"/>
  <c r="C141" i="31"/>
  <c r="H186" i="31"/>
  <c r="D141" i="31"/>
  <c r="D70" i="29"/>
  <c r="AQ150" i="2"/>
  <c r="BC150" i="2"/>
  <c r="C79" i="17" l="1"/>
  <c r="BG149" i="2"/>
  <c r="AM178" i="2"/>
  <c r="AL192" i="2" s="1"/>
  <c r="BB192" i="2" s="1"/>
  <c r="BB96" i="2"/>
  <c r="BF96" i="2" s="1"/>
  <c r="H144" i="18"/>
  <c r="D113" i="18" s="1"/>
  <c r="AT162" i="2" s="1"/>
  <c r="BC162" i="2" s="1"/>
  <c r="BG162" i="2" s="1"/>
  <c r="BB88" i="2"/>
  <c r="BG88" i="2" s="1"/>
  <c r="BF149" i="2"/>
  <c r="AM192" i="2"/>
  <c r="BC192" i="2" s="1"/>
  <c r="D55" i="23"/>
  <c r="C100" i="23" s="1"/>
  <c r="E55" i="23"/>
  <c r="D100" i="23" s="1"/>
  <c r="D118" i="23" s="1"/>
  <c r="BB33" i="2"/>
  <c r="H98" i="23"/>
  <c r="D67" i="23" s="1"/>
  <c r="AT33" i="2" s="1"/>
  <c r="BC33" i="2" s="1"/>
  <c r="H114" i="23"/>
  <c r="D83" i="23" s="1"/>
  <c r="AT178" i="2" s="1"/>
  <c r="BF51" i="2"/>
  <c r="BG51" i="2"/>
  <c r="D67" i="17" s="1"/>
  <c r="D79" i="17" s="1"/>
  <c r="E79" i="17" s="1"/>
  <c r="BE392" i="2"/>
  <c r="BD392" i="2"/>
  <c r="BG164" i="2"/>
  <c r="H110" i="23"/>
  <c r="D79" i="23" s="1"/>
  <c r="AT103" i="2" s="1"/>
  <c r="BC103" i="2" s="1"/>
  <c r="G110" i="23"/>
  <c r="C79" i="23" s="1"/>
  <c r="AQ103" i="2" s="1"/>
  <c r="BB103" i="2" s="1"/>
  <c r="BF164" i="2"/>
  <c r="BB102" i="2"/>
  <c r="BC177" i="2"/>
  <c r="C129" i="18"/>
  <c r="C136" i="18"/>
  <c r="C134" i="18"/>
  <c r="C135" i="18"/>
  <c r="C131" i="18"/>
  <c r="C133" i="18"/>
  <c r="D67" i="18"/>
  <c r="C132" i="18"/>
  <c r="C128" i="18"/>
  <c r="C130" i="18"/>
  <c r="H137" i="18"/>
  <c r="D106" i="18" s="1"/>
  <c r="AT90" i="2" s="1"/>
  <c r="BC90" i="2" s="1"/>
  <c r="G137" i="18"/>
  <c r="C106" i="18" s="1"/>
  <c r="AQ90" i="2" s="1"/>
  <c r="BB90" i="2" s="1"/>
  <c r="D136" i="18"/>
  <c r="D128" i="18"/>
  <c r="D130" i="18"/>
  <c r="D131" i="18"/>
  <c r="D133" i="18"/>
  <c r="D135" i="18"/>
  <c r="D134" i="18"/>
  <c r="D129" i="18"/>
  <c r="D132" i="18"/>
  <c r="E67" i="18"/>
  <c r="G143" i="18"/>
  <c r="C112" i="18" s="1"/>
  <c r="AQ171" i="2" s="1"/>
  <c r="BB171" i="2" s="1"/>
  <c r="H143" i="18"/>
  <c r="D112" i="18" s="1"/>
  <c r="AT171" i="2" s="1"/>
  <c r="BC171" i="2" s="1"/>
  <c r="AY28" i="2"/>
  <c r="BF82" i="2"/>
  <c r="BB186" i="2"/>
  <c r="H93" i="29"/>
  <c r="H102" i="29" s="1"/>
  <c r="BC151" i="2"/>
  <c r="BF151" i="2" s="1"/>
  <c r="BB300" i="2"/>
  <c r="BG82" i="2"/>
  <c r="BG153" i="2"/>
  <c r="BB152" i="2"/>
  <c r="BF152" i="2" s="1"/>
  <c r="BG145" i="2"/>
  <c r="BF145" i="2"/>
  <c r="AB233" i="12"/>
  <c r="AA253" i="12"/>
  <c r="AC233" i="12"/>
  <c r="G102" i="29"/>
  <c r="C82" i="29"/>
  <c r="BB184" i="2"/>
  <c r="BB150" i="2"/>
  <c r="BG183" i="2" l="1"/>
  <c r="C94" i="17"/>
  <c r="C117" i="17" s="1"/>
  <c r="L170" i="16"/>
  <c r="N174" i="16" s="1"/>
  <c r="J289" i="16" s="1"/>
  <c r="BC178" i="2"/>
  <c r="BF177" i="2" s="1"/>
  <c r="BF88" i="2"/>
  <c r="D56" i="23"/>
  <c r="BG96" i="2"/>
  <c r="J102" i="29"/>
  <c r="BF162" i="2"/>
  <c r="E56" i="23"/>
  <c r="BF33" i="2"/>
  <c r="BG33" i="2"/>
  <c r="AM415" i="2"/>
  <c r="E133" i="18"/>
  <c r="G133" i="18" s="1"/>
  <c r="C102" i="18" s="1"/>
  <c r="AQ340" i="2" s="1"/>
  <c r="BB340" i="2" s="1"/>
  <c r="BF183" i="2"/>
  <c r="BF90" i="2"/>
  <c r="C118" i="23"/>
  <c r="E100" i="23"/>
  <c r="BG171" i="2"/>
  <c r="E135" i="18"/>
  <c r="H135" i="18" s="1"/>
  <c r="D104" i="18" s="1"/>
  <c r="AT359" i="2" s="1"/>
  <c r="BC359" i="2" s="1"/>
  <c r="D146" i="18"/>
  <c r="BF171" i="2"/>
  <c r="BG90" i="2"/>
  <c r="AL415" i="2"/>
  <c r="E131" i="18"/>
  <c r="E130" i="18"/>
  <c r="E136" i="18"/>
  <c r="BG102" i="2"/>
  <c r="BF102" i="2"/>
  <c r="E134" i="18"/>
  <c r="E128" i="18"/>
  <c r="C146" i="18"/>
  <c r="E129" i="18"/>
  <c r="E132" i="18"/>
  <c r="BC28" i="2"/>
  <c r="BG28" i="2" s="1"/>
  <c r="D72" i="29"/>
  <c r="BG151" i="2"/>
  <c r="BG152" i="2"/>
  <c r="N203" i="12"/>
  <c r="AC253" i="12"/>
  <c r="L203" i="12"/>
  <c r="AB253" i="12"/>
  <c r="BG150" i="2"/>
  <c r="BF150" i="2"/>
  <c r="L194" i="16" l="1"/>
  <c r="Q193" i="16" s="1"/>
  <c r="L290" i="16"/>
  <c r="BG177" i="2"/>
  <c r="AM419" i="2"/>
  <c r="H133" i="18"/>
  <c r="D102" i="18" s="1"/>
  <c r="AT339" i="2" s="1"/>
  <c r="BC339" i="2" s="1"/>
  <c r="BE336" i="2" s="1"/>
  <c r="E118" i="23"/>
  <c r="G100" i="23" s="1"/>
  <c r="H100" i="23"/>
  <c r="G135" i="18"/>
  <c r="C104" i="18" s="1"/>
  <c r="AQ360" i="2" s="1"/>
  <c r="BB360" i="2" s="1"/>
  <c r="G129" i="18"/>
  <c r="C98" i="18" s="1"/>
  <c r="AQ298" i="2" s="1"/>
  <c r="BB298" i="2" s="1"/>
  <c r="H129" i="18"/>
  <c r="D98" i="18" s="1"/>
  <c r="AT297" i="2" s="1"/>
  <c r="BC297" i="2" s="1"/>
  <c r="G136" i="18"/>
  <c r="C105" i="18" s="1"/>
  <c r="AQ370" i="2" s="1"/>
  <c r="BB370" i="2" s="1"/>
  <c r="H136" i="18"/>
  <c r="D105" i="18" s="1"/>
  <c r="AT369" i="2" s="1"/>
  <c r="BC369" i="2" s="1"/>
  <c r="G132" i="18"/>
  <c r="C101" i="18" s="1"/>
  <c r="AQ330" i="2" s="1"/>
  <c r="BB330" i="2" s="1"/>
  <c r="H132" i="18"/>
  <c r="D101" i="18" s="1"/>
  <c r="AT329" i="2" s="1"/>
  <c r="BC329" i="2" s="1"/>
  <c r="H128" i="18"/>
  <c r="E146" i="18"/>
  <c r="G128" i="18" s="1"/>
  <c r="H130" i="18"/>
  <c r="D99" i="18" s="1"/>
  <c r="AT309" i="2" s="1"/>
  <c r="BC309" i="2" s="1"/>
  <c r="G130" i="18"/>
  <c r="C99" i="18" s="1"/>
  <c r="AQ310" i="2" s="1"/>
  <c r="BB310" i="2" s="1"/>
  <c r="G134" i="18"/>
  <c r="C103" i="18" s="1"/>
  <c r="AQ350" i="2" s="1"/>
  <c r="BB350" i="2" s="1"/>
  <c r="H134" i="18"/>
  <c r="D103" i="18" s="1"/>
  <c r="AT349" i="2" s="1"/>
  <c r="BC349" i="2" s="1"/>
  <c r="H131" i="18"/>
  <c r="D100" i="18" s="1"/>
  <c r="AT319" i="2" s="1"/>
  <c r="BC319" i="2" s="1"/>
  <c r="G131" i="18"/>
  <c r="C100" i="18" s="1"/>
  <c r="AQ320" i="2" s="1"/>
  <c r="BB320" i="2" s="1"/>
  <c r="BF28" i="2"/>
  <c r="BC299" i="2"/>
  <c r="D82" i="29"/>
  <c r="AT283" i="2"/>
  <c r="AT279" i="2" s="1"/>
  <c r="N223" i="12"/>
  <c r="AQ284" i="2"/>
  <c r="L223" i="12"/>
  <c r="BD294" i="2" l="1"/>
  <c r="AY197" i="2"/>
  <c r="L306" i="16"/>
  <c r="AV191" i="2"/>
  <c r="J306" i="16"/>
  <c r="BD356" i="2"/>
  <c r="BE356" i="2"/>
  <c r="BD326" i="2"/>
  <c r="BE326" i="2"/>
  <c r="BE346" i="2"/>
  <c r="BD346" i="2"/>
  <c r="BD366" i="2"/>
  <c r="BE366" i="2"/>
  <c r="BD316" i="2"/>
  <c r="BE316" i="2"/>
  <c r="BE306" i="2"/>
  <c r="BD306" i="2"/>
  <c r="BD336" i="2"/>
  <c r="BE294" i="2"/>
  <c r="D69" i="23"/>
  <c r="H118" i="23"/>
  <c r="C69" i="23"/>
  <c r="G118" i="23"/>
  <c r="D97" i="18"/>
  <c r="H146" i="18"/>
  <c r="G146" i="18"/>
  <c r="C97" i="18"/>
  <c r="BB284" i="2"/>
  <c r="BC283" i="2"/>
  <c r="BB191" i="2" l="1"/>
  <c r="BF194" i="2" s="1"/>
  <c r="AV415" i="2"/>
  <c r="BC197" i="2"/>
  <c r="AY415" i="2"/>
  <c r="AQ287" i="2"/>
  <c r="BB287" i="2" s="1"/>
  <c r="C88" i="23"/>
  <c r="AT285" i="2"/>
  <c r="BC285" i="2" s="1"/>
  <c r="D88" i="23"/>
  <c r="C117" i="18"/>
  <c r="AQ286" i="2"/>
  <c r="AT284" i="2"/>
  <c r="D117" i="18"/>
  <c r="BG197" i="2" l="1"/>
  <c r="BF197" i="2"/>
  <c r="BC284" i="2"/>
  <c r="BC415" i="2" s="1"/>
  <c r="AT415" i="2"/>
  <c r="BB286" i="2"/>
  <c r="BI197" i="2" l="1"/>
  <c r="BH198" i="2"/>
  <c r="BE281" i="2"/>
  <c r="BE415" i="2" s="1"/>
  <c r="BD281" i="2"/>
  <c r="BD415" i="2" s="1"/>
  <c r="BB415" i="2"/>
  <c r="BD417" i="2" l="1"/>
  <c r="BE417" i="2"/>
  <c r="BF193" i="2" s="1"/>
  <c r="BG193" i="2" l="1"/>
  <c r="L195" i="16" s="1"/>
  <c r="BE419" i="2"/>
  <c r="BD419" i="2"/>
  <c r="C115" i="17" l="1"/>
  <c r="C118" i="17" s="1"/>
  <c r="BF214" i="2"/>
  <c r="BF415" i="2" s="1"/>
  <c r="BG214" i="2"/>
  <c r="BG415" i="2" s="1"/>
  <c r="N192" i="16" l="1"/>
  <c r="Q195" i="16"/>
  <c r="AQ415" i="2" l="1"/>
  <c r="AQ41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7"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7"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C157" authorId="0" shapeId="0" xr:uid="{00000000-0006-0000-0100-000003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L183" authorId="0" shapeId="0" xr:uid="{00000000-0006-0000-0100-000004000000}">
      <text>
        <r>
          <rPr>
            <b/>
            <sz val="8"/>
            <color indexed="81"/>
            <rFont val="Tahoma"/>
            <family val="2"/>
          </rPr>
          <t>LGC:</t>
        </r>
        <r>
          <rPr>
            <sz val="8"/>
            <color indexed="81"/>
            <rFont val="Tahoma"/>
            <family val="2"/>
          </rPr>
          <t xml:space="preserve">
Effect to equity for long-term debt.</t>
        </r>
      </text>
    </comment>
    <comment ref="AM183" authorId="0" shapeId="0" xr:uid="{00000000-0006-0000-0100-000005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7"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8"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91"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92"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2"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9"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7"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3"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6"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8"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4"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8"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31"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3"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9"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8"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31"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3"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9"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0A0C8A9A-C470-40A7-830D-127B251EE2C6}">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<sst xmlns="http://schemas.openxmlformats.org/spreadsheetml/2006/main" count="12189" uniqueCount="4228">
  <si>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</si>
  <si>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</si>
  <si>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</si>
  <si>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Vehicle +</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</si>
  <si>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</si>
  <si>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</si>
  <si>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</si>
  <si>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</si>
  <si>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</si>
  <si>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</si>
  <si>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</si>
  <si>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</si>
  <si>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</si>
  <si>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</si>
  <si>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</si>
  <si>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</si>
  <si>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</si>
  <si>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</si>
  <si>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</si>
  <si>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</si>
  <si>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</si>
  <si>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</si>
  <si>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</si>
  <si>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</si>
  <si>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</si>
  <si>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</si>
  <si>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</si>
  <si>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</si>
  <si>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</si>
  <si>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Equip +</t>
  </si>
  <si>
    <t>Furniture</t>
  </si>
  <si>
    <t>Indicate any amounts from step a. that would qualify as a special item.</t>
  </si>
  <si>
    <t>What is the net book values of any assets donated from or transferred in from the Enterprise Funds or an Internal Service Fund accounted for in Business-type activities included in the amount for step a. above?</t>
  </si>
  <si>
    <t>9.</t>
  </si>
  <si>
    <t>J</t>
  </si>
  <si>
    <r>
      <t xml:space="preserve">What is the </t>
    </r>
    <r>
      <rPr>
        <u/>
        <sz val="10"/>
        <rFont val="Arial"/>
        <family val="2"/>
      </rPr>
      <t>"material" amount of loss</t>
    </r>
    <r>
      <rPr>
        <sz val="10"/>
        <rFont val="Arial"/>
        <family val="2"/>
      </rPr>
      <t xml:space="preserve"> on disposal that should be reclassified as an expense to General Government  </t>
    </r>
    <r>
      <rPr>
        <sz val="8"/>
        <color indexed="10"/>
        <rFont val="Arial"/>
        <family val="2"/>
      </rPr>
      <t>(Enter as a positive number. Miscellaneous revenue will be adjusted in this entry.)</t>
    </r>
  </si>
  <si>
    <r>
      <t xml:space="preserve">Reclassify material losses in the sale of capital assets.   </t>
    </r>
    <r>
      <rPr>
        <b/>
        <sz val="8"/>
        <rFont val="Arial"/>
        <family val="2"/>
      </rPr>
      <t>(Entry initially generated as F.1 from Tab F.Other Cap Asset Entries)</t>
    </r>
  </si>
  <si>
    <r>
      <t xml:space="preserve">What is the </t>
    </r>
    <r>
      <rPr>
        <u/>
        <sz val="10"/>
        <rFont val="Arial"/>
        <family val="2"/>
      </rPr>
      <t>"material" amount of loss</t>
    </r>
    <r>
      <rPr>
        <sz val="10"/>
        <rFont val="Arial"/>
        <family val="2"/>
      </rPr>
      <t xml:space="preserve"> on disposal that meets the criteria to be reported as a special expense item.</t>
    </r>
    <r>
      <rPr>
        <sz val="10"/>
        <color indexed="10"/>
        <rFont val="Arial"/>
        <family val="2"/>
      </rPr>
      <t xml:space="preserve"> </t>
    </r>
    <r>
      <rPr>
        <sz val="8"/>
        <color indexed="10"/>
        <rFont val="Arial"/>
        <family val="2"/>
      </rPr>
      <t>(Enter as a positive number - Miscellaneous revenue will be adjusted in this entry.)</t>
    </r>
    <r>
      <rPr>
        <sz val="10"/>
        <rFont val="Arial"/>
        <family val="2"/>
      </rPr>
      <t xml:space="preserve"> </t>
    </r>
  </si>
  <si>
    <t>L.10</t>
  </si>
  <si>
    <r>
      <t xml:space="preserve">General Government </t>
    </r>
    <r>
      <rPr>
        <sz val="8"/>
        <color indexed="10"/>
        <rFont val="Arial"/>
        <family val="2"/>
      </rPr>
      <t>(expense)</t>
    </r>
  </si>
  <si>
    <r>
      <t xml:space="preserve">Miscellaneous revenue </t>
    </r>
    <r>
      <rPr>
        <sz val="8"/>
        <color indexed="10"/>
        <rFont val="Arial"/>
        <family val="2"/>
      </rPr>
      <t>(Adjusts journal entry F.1 created earlier)</t>
    </r>
  </si>
  <si>
    <t>Reclassifies material losses on sale of cap assets as expense of Gen Govt or records as special exp item</t>
  </si>
  <si>
    <r>
      <t xml:space="preserve">Special item - expense </t>
    </r>
    <r>
      <rPr>
        <sz val="8"/>
        <color indexed="10"/>
        <rFont val="Arial"/>
        <family val="2"/>
      </rPr>
      <t>(Loss on sale or disposal of assets)</t>
    </r>
  </si>
  <si>
    <t>Accumulated depreciation - Other improvements</t>
  </si>
  <si>
    <t>Accumulated depreciation - Vehicles &amp; motorized equipment</t>
  </si>
  <si>
    <t>Accumulated depreciation - Infrastructure</t>
  </si>
  <si>
    <t>Special Item</t>
  </si>
  <si>
    <t>Description</t>
  </si>
  <si>
    <t>Balance Sheet Accounts</t>
  </si>
  <si>
    <t xml:space="preserve"> </t>
  </si>
  <si>
    <t>Restricted cash</t>
  </si>
  <si>
    <t>Taxes receivable</t>
  </si>
  <si>
    <t>Accounts receivable</t>
  </si>
  <si>
    <t>Due from other funds</t>
  </si>
  <si>
    <t>Due from other governments</t>
  </si>
  <si>
    <t>Due from component unit</t>
  </si>
  <si>
    <t>Inventories</t>
  </si>
  <si>
    <t>Prepaid items</t>
  </si>
  <si>
    <t>Due to other funds</t>
  </si>
  <si>
    <t>Customer deposits</t>
  </si>
  <si>
    <t>Intergovernmental payable</t>
  </si>
  <si>
    <t>General obligation bonds</t>
  </si>
  <si>
    <t>Bond anticipation notes</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</si>
  <si>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</si>
  <si>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</si>
  <si>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t>
  </si>
  <si>
    <t>-</t>
  </si>
  <si>
    <t>Special legislation for restriction of earnings for Register of Deeds</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</si>
  <si>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</si>
  <si>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Note:</t>
  </si>
  <si>
    <t>Equipment &amp; Furniture</t>
  </si>
  <si>
    <t>Accum. Depreciation - Equipment &amp; Furniture</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</si>
  <si>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</si>
  <si>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</si>
  <si>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</si>
  <si>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</si>
  <si>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</si>
  <si>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Human services - operating grants &amp; contributions</t>
  </si>
  <si>
    <t>Accounts in tan have multiple</t>
  </si>
  <si>
    <t>Manually Posted</t>
  </si>
  <si>
    <t>Entries</t>
  </si>
  <si>
    <t>As Needed</t>
  </si>
  <si>
    <t>Preliminary judgment made on which funds are major and which are non-major before conversion worksheet is done. Reconfirmed if any adjusting entries for modified accrual are made.</t>
  </si>
  <si>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 type conversion worksheet elsewhere on the website. </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</si>
  <si>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</si>
  <si>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</si>
  <si>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</si>
  <si>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</si>
  <si>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</si>
  <si>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</si>
  <si>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</si>
  <si>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</si>
  <si>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</si>
  <si>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</si>
  <si>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</si>
  <si>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</si>
  <si>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The work section of this worksheet following section F compiles the data for the final entries in section F. Entry F.1 is for disposals; entry F.2 is to record the revenue when assets are donated to the unit; entry F.3 is to reclassify capital outlay expenditures to the proper function when title to the asset is not held by the county. The work section is not defined in the initial print range but provides the components of the final entry. Print ranges can be modified if it needs to be printed.</t>
  </si>
  <si>
    <t>Public safety - Capital grants and contributions</t>
  </si>
  <si>
    <t>Transportation - Charges for services</t>
  </si>
  <si>
    <t>Transportation - Operating grants and contributions</t>
  </si>
  <si>
    <t>Transportation - Capital grants and contributions</t>
  </si>
  <si>
    <t>Environmental protection - Charges for services</t>
  </si>
  <si>
    <t>Environmental protection - Operating grants and contributions</t>
  </si>
  <si>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</si>
  <si>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</si>
  <si>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</si>
  <si>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</si>
  <si>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</si>
  <si>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</si>
  <si>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</si>
  <si>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</si>
  <si>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</si>
  <si>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</si>
  <si>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</si>
  <si>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accounts to internal</t>
  </si>
  <si>
    <t>The journal entry for the conversion worksheet, to reclassify these expenditures as capital assets, will be automatically created.</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</si>
  <si>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</si>
  <si>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</si>
  <si>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</si>
  <si>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</si>
  <si>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</si>
  <si>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</si>
  <si>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Enter the amount of debt related to capital assets.
Enter as a positive number.</t>
  </si>
  <si>
    <r>
      <t>The information collected in this worksheet will provide the specific information that must be input into Worksheet L. Section</t>
    </r>
    <r>
      <rPr>
        <sz val="10"/>
        <rFont val="Times New Roman"/>
        <family val="1"/>
      </rPr>
      <t xml:space="preserve"> I</t>
    </r>
    <r>
      <rPr>
        <sz val="10"/>
        <rFont val="Arial"/>
        <family val="2"/>
      </rPr>
      <t>. Entering these final numbers into worksheet L should complete the conversion process.</t>
    </r>
  </si>
  <si>
    <t>Major Funds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</si>
  <si>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</si>
  <si>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</si>
  <si>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</si>
  <si>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</si>
  <si>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</si>
  <si>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</si>
  <si>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</si>
  <si>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</si>
  <si>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</si>
  <si>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</si>
  <si>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</si>
  <si>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</si>
  <si>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</si>
  <si>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</si>
  <si>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r>
      <t xml:space="preserve">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 </t>
    </r>
    <r>
      <rPr>
        <sz val="11"/>
        <rFont val="Times New Roman"/>
        <family val="1"/>
      </rPr>
      <t>I.</t>
    </r>
    <r>
      <rPr>
        <sz val="10"/>
        <rFont val="Arial"/>
        <family val="2"/>
      </rPr>
      <t xml:space="preserve"> below. Indicate the amount of the loss that qualifies as a General Government expense and any material portion that meets the criteria for a special expense.</t>
    </r>
  </si>
  <si>
    <t>Accrued interest receivable on taxes</t>
  </si>
  <si>
    <t>Due to other governments</t>
  </si>
  <si>
    <t>Change in pension obligation during the year</t>
  </si>
  <si>
    <t>Net change in value over the year</t>
  </si>
  <si>
    <t>Transfers in</t>
  </si>
  <si>
    <t>Transfers out</t>
  </si>
  <si>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</si>
  <si>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</si>
  <si>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</si>
  <si>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</si>
  <si>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</si>
  <si>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</si>
  <si>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r>
      <t xml:space="preserve">What is the amount of payables -"Advances from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</si>
  <si>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Reclassify inter-activity receivables and payables to internal balances </t>
    </r>
    <r>
      <rPr>
        <sz val="10"/>
        <rFont val="Arial"/>
        <family val="2"/>
      </rPr>
      <t xml:space="preserve">(transactions between governmental type and business type activities.) </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</si>
  <si>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</si>
  <si>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</si>
  <si>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 xml:space="preserve">Special Item - gain (loss) on sale of asset </t>
    </r>
    <r>
      <rPr>
        <sz val="10"/>
        <rFont val="Wingdings 2"/>
        <family val="1"/>
        <charset val="2"/>
      </rPr>
      <t xml:space="preserve"> </t>
    </r>
    <r>
      <rPr>
        <sz val="12"/>
        <rFont val="Wingdings 2"/>
        <family val="1"/>
        <charset val="2"/>
      </rPr>
      <t xml:space="preserve"> l</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</si>
  <si>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</si>
  <si>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</si>
  <si>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</si>
  <si>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</si>
  <si>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</si>
  <si>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Worksheets K.1-3 only handled internal service funds if the governmental activities were the primary users. For those internal service funds where the business type activity was the primary user and the allocation entries were created in the business type conversion worksheet, those entries applying to governmental activities must be entered in Section H below.</t>
  </si>
  <si>
    <t>Improvements other than buildings</t>
  </si>
  <si>
    <t>Recording Depreciation Expense</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</si>
  <si>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</si>
  <si>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</si>
  <si>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</si>
  <si>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</si>
  <si>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</si>
  <si>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</si>
  <si>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</si>
  <si>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</si>
  <si>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Education - charge for service</t>
  </si>
  <si>
    <t>Education - operating grants &amp; contributions</t>
  </si>
  <si>
    <t>Education - capital grants &amp; contributions</t>
  </si>
  <si>
    <t xml:space="preserve">Education </t>
  </si>
  <si>
    <t>Education-operating grants &amp; contributions</t>
  </si>
  <si>
    <t>Education-capital grants &amp; contributions</t>
  </si>
  <si>
    <t>Net Proceeds of New Debt Issue:</t>
  </si>
  <si>
    <t>Reacquisition cost:</t>
  </si>
  <si>
    <t>This workbook is mapped using cell references.  Any addition of columns and/or rows will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</si>
  <si>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</si>
  <si>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Environmental Protection</t>
  </si>
  <si>
    <t>Debt Service</t>
  </si>
  <si>
    <t>Principal retirement</t>
  </si>
  <si>
    <t>Interest and fees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</si>
  <si>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</si>
  <si>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</si>
  <si>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t>General government</t>
  </si>
  <si>
    <t xml:space="preserve">Environmental protection </t>
  </si>
  <si>
    <t>m</t>
  </si>
  <si>
    <t>A.1</t>
  </si>
  <si>
    <t>A.2</t>
  </si>
  <si>
    <t>B.1</t>
  </si>
  <si>
    <t>B.2</t>
  </si>
  <si>
    <t>C.1</t>
  </si>
  <si>
    <t>D.1</t>
  </si>
  <si>
    <t>Special item - revenue</t>
  </si>
  <si>
    <t>Notes 1 &amp; 2  ---  Data is entered</t>
  </si>
  <si>
    <t>Note 4 -- Entry A.1  from</t>
  </si>
  <si>
    <t>Special item - expenditure</t>
  </si>
  <si>
    <t>Total of new debt</t>
  </si>
  <si>
    <t>Human services</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</si>
  <si>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</si>
  <si>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</si>
  <si>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</si>
  <si>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</si>
  <si>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</si>
  <si>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</si>
  <si>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</si>
  <si>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</si>
  <si>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</si>
  <si>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</si>
  <si>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</si>
  <si>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 xml:space="preserve">Human services </t>
  </si>
  <si>
    <t xml:space="preserve">Cultural and recreation </t>
  </si>
  <si>
    <t>Restricted for Cultural and Recreation</t>
  </si>
  <si>
    <t>Restricted for Education</t>
  </si>
  <si>
    <t xml:space="preserve">Special assessments receivable </t>
  </si>
  <si>
    <t>Miscellaneous liabilities</t>
  </si>
  <si>
    <r>
      <t>Local option sales taxes…………………</t>
    </r>
    <r>
      <rPr>
        <sz val="8"/>
        <color indexed="10"/>
        <rFont val="Arial"/>
        <family val="2"/>
      </rPr>
      <t>(General)</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</si>
  <si>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</si>
  <si>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</si>
  <si>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</si>
  <si>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</si>
  <si>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Includes penalties</t>
  </si>
  <si>
    <t>Add any additional assessments made in the current year in the cell to the right.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</si>
  <si>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</si>
  <si>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</si>
  <si>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</si>
  <si>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</si>
  <si>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</si>
  <si>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</si>
  <si>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The first worksheet is the "summary" sheet titled </t>
    </r>
    <r>
      <rPr>
        <b/>
        <sz val="10"/>
        <rFont val="Arial"/>
        <family val="2"/>
      </rPr>
      <t>"Conversion Worksheet."</t>
    </r>
    <r>
      <rPr>
        <sz val="10"/>
        <rFont val="Arial"/>
        <family val="2"/>
      </rPr>
      <t xml:space="preserve"> This is the sheet to which all the other sheets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</si>
  <si>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Donations of capital assets received by the unit:</t>
  </si>
  <si>
    <t>Capital assets received by the unit as donations:</t>
  </si>
  <si>
    <t xml:space="preserve">   </t>
  </si>
  <si>
    <r>
      <t xml:space="preserve">Entry for Conversion worksheet to record changes in assets.  (Entry </t>
    </r>
    <r>
      <rPr>
        <b/>
        <sz val="10"/>
        <rFont val="Times New Roman"/>
        <family val="1"/>
      </rPr>
      <t>I.1</t>
    </r>
    <r>
      <rPr>
        <b/>
        <sz val="10"/>
        <rFont val="Arial"/>
        <family val="2"/>
      </rPr>
      <t>)</t>
    </r>
  </si>
  <si>
    <t>Investments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</si>
  <si>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</si>
  <si>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Governmental Activities</t>
  </si>
  <si>
    <t xml:space="preserve">  Land</t>
  </si>
  <si>
    <t xml:space="preserve">  Other non-depreciable assets</t>
  </si>
  <si>
    <t xml:space="preserve">  Buildings</t>
  </si>
  <si>
    <t xml:space="preserve">  Improvements other than buildings</t>
  </si>
  <si>
    <t xml:space="preserve">  Equipment</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</si>
  <si>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</si>
  <si>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</si>
  <si>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</si>
  <si>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</si>
  <si>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NW Capital Project</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</si>
  <si>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</si>
  <si>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</si>
  <si>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</si>
  <si>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</si>
  <si>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</si>
  <si>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Change in reserve for prepaid expense</t>
  </si>
  <si>
    <t>Change in reserve for inventory</t>
  </si>
  <si>
    <t>Change in Reserve for prepaid expense</t>
  </si>
  <si>
    <t>Other L.T. Liability 2</t>
  </si>
  <si>
    <t>Other L.T. Liability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</si>
  <si>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need to be posted to the unit's permanent accounts to properly reflect next year's beginning balances.</t>
  </si>
  <si>
    <t>Restricted for Register of Deeds</t>
  </si>
  <si>
    <t>Proof Totals:</t>
  </si>
  <si>
    <r>
      <t xml:space="preserve">Full accrual Beginning net equity + change in net equity - </t>
    </r>
    <r>
      <rPr>
        <sz val="8"/>
        <rFont val="Arial"/>
        <family val="2"/>
      </rPr>
      <t>(from conversion worksheet)</t>
    </r>
  </si>
  <si>
    <t>Human Resources</t>
  </si>
  <si>
    <t>Culture and Recreation</t>
  </si>
  <si>
    <t>Identify the proper asset class to which the depreciation should be recorded in section B. below.</t>
  </si>
  <si>
    <t>The data provided in sections A. and B. will provide the information to create the proper entry for the conversion worksheet.</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</si>
  <si>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</si>
  <si>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</si>
  <si>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</si>
  <si>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</si>
  <si>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</si>
  <si>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</si>
  <si>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</si>
  <si>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t>This amount will be classified as a "transfer in" for the governmental activities column. It should also be included as a reconciling item to the fund statements.</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</si>
  <si>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</si>
  <si>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</si>
  <si>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</si>
  <si>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</si>
  <si>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</si>
  <si>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</si>
  <si>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Indicate to which function the net change in prepaid expenses applies. The sum of the amounts below must equal the amount in the net change field above .</t>
  </si>
  <si>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</si>
  <si>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</si>
  <si>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</si>
  <si>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</si>
  <si>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Reclassification of</t>
  </si>
  <si>
    <t>Revenues by Function</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</si>
  <si>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</si>
  <si>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</si>
  <si>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8.</t>
  </si>
  <si>
    <r>
      <t xml:space="preserve">General Government </t>
    </r>
    <r>
      <rPr>
        <sz val="8"/>
        <color indexed="10"/>
        <rFont val="Arial"/>
        <family val="2"/>
      </rPr>
      <t>- expense</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</si>
  <si>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</si>
  <si>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</si>
  <si>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</si>
  <si>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</si>
  <si>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</si>
  <si>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</si>
  <si>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</si>
  <si>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</si>
  <si>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</si>
  <si>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</si>
  <si>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</si>
  <si>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</si>
  <si>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Human Services</t>
  </si>
  <si>
    <t>Total program revenues</t>
  </si>
  <si>
    <t>General government - Charges for services</t>
  </si>
  <si>
    <t>General government - Operating grants and contributions</t>
  </si>
  <si>
    <t>d.</t>
  </si>
  <si>
    <t>Building</t>
  </si>
  <si>
    <t>Improvement</t>
  </si>
  <si>
    <t>Vehicles +</t>
  </si>
  <si>
    <t>Mot. Equip</t>
  </si>
  <si>
    <t>Miscellaneous Revenue</t>
  </si>
  <si>
    <t>Net book value of capital assets sold</t>
  </si>
  <si>
    <t>Gain / loss qualifying as special item</t>
  </si>
  <si>
    <t>Gain / loss on sale of assets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</si>
  <si>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</si>
  <si>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</si>
  <si>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</si>
  <si>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</si>
  <si>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This amount will be classified as a "transfer out" for the governmental activities column, it should also be included as a reconciling item to the fund statements.</t>
  </si>
  <si>
    <t>OFU - Transfer Out</t>
  </si>
  <si>
    <t>OFS - Transfer In</t>
  </si>
  <si>
    <t>Permits and fess</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</si>
  <si>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</si>
  <si>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</si>
  <si>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</si>
  <si>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</si>
  <si>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</si>
  <si>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</si>
  <si>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Human services - charge for service</t>
  </si>
  <si>
    <t>Cultural and recreation - charge for service</t>
  </si>
  <si>
    <t>j</t>
  </si>
  <si>
    <t>k</t>
  </si>
  <si>
    <t>Public Safety - capital grants &amp; contributions</t>
  </si>
  <si>
    <t>Transportation - capital grants and contributions</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</si>
  <si>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</si>
  <si>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</si>
  <si>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</si>
  <si>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</si>
  <si>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</si>
  <si>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</si>
  <si>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</si>
  <si>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</si>
  <si>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</si>
  <si>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 xml:space="preserve">What expenditures classified as "capital outlay" were spent for assets where the county does not hold title to the asset, (e.g. school construction)? </t>
  </si>
  <si>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</si>
  <si>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</si>
  <si>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</si>
  <si>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</si>
  <si>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</si>
  <si>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</si>
  <si>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</si>
  <si>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</si>
  <si>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</si>
  <si>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</si>
  <si>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</si>
  <si>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</si>
  <si>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</si>
  <si>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</si>
  <si>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</si>
  <si>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</si>
  <si>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</si>
  <si>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</si>
  <si>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</si>
  <si>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t>Parking</t>
  </si>
  <si>
    <t xml:space="preserve">   Net OPEB liability</t>
  </si>
  <si>
    <r>
      <t xml:space="preserve">What was the amount of the net OPEB obligation at the beginning of the year? If multiple benefit plans are involved enter the sum of all plans. </t>
    </r>
    <r>
      <rPr>
        <sz val="8"/>
        <color indexed="10"/>
        <rFont val="Arial"/>
        <family val="2"/>
      </rPr>
      <t>(Beginning balances for Governmntal Funds only were recorded in Columns AF &amp; AG in the main Conversion Worksheet.)</t>
    </r>
  </si>
  <si>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</si>
  <si>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Other program 2</t>
  </si>
  <si>
    <t>Total of incremental net OPEB costs</t>
  </si>
  <si>
    <t>t</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</si>
  <si>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</si>
  <si>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</si>
  <si>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</si>
  <si>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Other Liability &amp; Expenses: </t>
    </r>
    <r>
      <rPr>
        <sz val="10"/>
        <rFont val="Arial"/>
        <family val="2"/>
      </rPr>
      <t>addresses compensated absences, claims &amp; judgments, net pension obligation, net OPEB liability and other long-term liabilities.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</si>
  <si>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</si>
  <si>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</si>
  <si>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</si>
  <si>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</si>
  <si>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 xml:space="preserve">Premium on debt issued </t>
    </r>
    <r>
      <rPr>
        <sz val="8"/>
        <color indexed="10"/>
        <rFont val="Arial"/>
        <family val="2"/>
      </rPr>
      <t>-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</si>
  <si>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</si>
  <si>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</si>
  <si>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</si>
  <si>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r>
      <t>General Instructions:</t>
    </r>
    <r>
      <rPr>
        <sz val="10"/>
        <rFont val="Arial"/>
        <family val="2"/>
      </rPr>
      <t xml:space="preserve"> synopsis and general guidelines for use of the workbook. </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</si>
  <si>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</si>
  <si>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</si>
  <si>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t>Reclassify capital outlay expenditures where county does not hold title to assets:</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</si>
  <si>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</si>
  <si>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</si>
  <si>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</si>
  <si>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</si>
  <si>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</si>
  <si>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</si>
  <si>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Review the various governmental funds, including capital projects, and identify capital outlay expenditures that should be capitalized and recorded as capital assets in the county's permanent records . Accumulate by function for entry to Section A below. The amount for capital outlay for schools or other parties where title to the property is not held by the county will be excluded from this entry and reclassified as a functional expenditure in worksheet F.</t>
  </si>
  <si>
    <r>
      <t xml:space="preserve">* 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</si>
  <si>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t>Determine the function / program to which the revenue applies for those revenues which are program specific. Note that special assessments in section F. and G. have additional questions regarding new levies for the current year and current year collections.</t>
  </si>
  <si>
    <t xml:space="preserve">Conversion entries to convert from modified accrual to full accrual are generated from the worksheets B through J. </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</si>
  <si>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</si>
  <si>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</si>
  <si>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</si>
  <si>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</si>
  <si>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</si>
  <si>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</si>
  <si>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</si>
  <si>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</si>
  <si>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</si>
  <si>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</si>
  <si>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</si>
  <si>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</si>
  <si>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</si>
  <si>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</si>
  <si>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</si>
  <si>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</si>
  <si>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</si>
  <si>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</si>
  <si>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</si>
  <si>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</si>
  <si>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</si>
  <si>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</si>
  <si>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</si>
  <si>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</si>
  <si>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</si>
  <si>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business type is dominant</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</si>
  <si>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</si>
  <si>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</si>
  <si>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</si>
  <si>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</si>
  <si>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</si>
  <si>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</si>
  <si>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Human services-operating grants &amp; contributions</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</si>
  <si>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</si>
  <si>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</si>
  <si>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</si>
  <si>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</si>
  <si>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</si>
  <si>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The Predominant Activity Type is 
(business or governmental):  --  </t>
    </r>
    <r>
      <rPr>
        <sz val="8"/>
        <color indexed="10"/>
        <rFont val="Arial"/>
        <family val="2"/>
      </rPr>
      <t xml:space="preserve">automatic calculation   </t>
    </r>
  </si>
  <si>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</si>
  <si>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</si>
  <si>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</si>
  <si>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</si>
  <si>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</si>
  <si>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</si>
  <si>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</si>
  <si>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</si>
  <si>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</si>
  <si>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</si>
  <si>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</si>
  <si>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</si>
  <si>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</si>
  <si>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</si>
  <si>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</si>
  <si>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</si>
  <si>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</si>
  <si>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</si>
  <si>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</si>
  <si>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</si>
  <si>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</si>
  <si>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</si>
  <si>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</si>
  <si>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</si>
  <si>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</si>
  <si>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</si>
  <si>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t>Public Safety - operating grants &amp; contributions</t>
  </si>
  <si>
    <t>Installment purchases/COPS</t>
  </si>
  <si>
    <t>H.1</t>
  </si>
  <si>
    <t>OFS - Sale of capital assets</t>
  </si>
  <si>
    <t>Deferred Charges - refunding</t>
  </si>
  <si>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</si>
  <si>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</si>
  <si>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</si>
  <si>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</si>
  <si>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</si>
  <si>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</si>
  <si>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</si>
  <si>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</si>
  <si>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</si>
  <si>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</si>
  <si>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Human services-capital grants &amp; contributions</t>
  </si>
  <si>
    <t>Cultural and recreation-capital grants &amp; contributions</t>
  </si>
  <si>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</si>
  <si>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</si>
  <si>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</si>
  <si>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r>
      <t xml:space="preserve">The amounts recorded are the ending balances from the prior year (this year's beginning balances.) </t>
    </r>
    <r>
      <rPr>
        <b/>
        <sz val="10"/>
        <rFont val="Arial"/>
        <family val="2"/>
      </rPr>
      <t>Current year activity will be recorded in a later step.</t>
    </r>
  </si>
  <si>
    <t>Please note that the numbers in this column will not be included in the reconciliation from modified to full accrual.</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</si>
  <si>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</si>
  <si>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t>Loss on disposal of assets (or transfer out)</t>
  </si>
  <si>
    <t>*  This amount will become the reconciling amount to be entered in Section C, steps 1 &amp; 2 for the next year. In subsequent years the amount for Section C becomes cumulative, with year 1's balance added to year 2 etc. over time.</t>
  </si>
  <si>
    <t>Accum. Depreciation - Buildings</t>
  </si>
  <si>
    <t>-- Computed --</t>
  </si>
  <si>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</si>
  <si>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</si>
  <si>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</si>
  <si>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</si>
  <si>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</si>
  <si>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t>What was discount on the new debt?</t>
  </si>
  <si>
    <t>What was the premium on the new debt?</t>
  </si>
  <si>
    <t>Payments to Escrow Agent:</t>
  </si>
  <si>
    <t xml:space="preserve">Indicate the function to which the expenditures in 1 above apply. </t>
  </si>
  <si>
    <t>Cultural and recreational</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</si>
  <si>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</si>
  <si>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Charges for services</t>
  </si>
  <si>
    <t>Amount</t>
  </si>
  <si>
    <t>Restricted intergovernmental</t>
  </si>
  <si>
    <t>Sales &amp; Services</t>
  </si>
  <si>
    <t>Debit</t>
  </si>
  <si>
    <t>Credit</t>
  </si>
  <si>
    <t>Total revenue to be reclassified</t>
  </si>
  <si>
    <t>*</t>
  </si>
  <si>
    <t>1.</t>
  </si>
  <si>
    <t>2.</t>
  </si>
  <si>
    <t>3.</t>
  </si>
  <si>
    <t>Working Column</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</si>
  <si>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</si>
  <si>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transfers, creates the entries for recording the current portion of long-term liabilities, and records internal service funds for which business-type activities are the predominant user.</t>
    </r>
  </si>
  <si>
    <r>
      <t>Specific Instructions</t>
    </r>
    <r>
      <rPr>
        <sz val="10"/>
        <rFont val="Arial"/>
        <family val="2"/>
      </rPr>
      <t xml:space="preserve"> - </t>
    </r>
    <r>
      <rPr>
        <sz val="9"/>
        <rFont val="Arial"/>
        <family val="2"/>
      </rPr>
      <t>continued</t>
    </r>
  </si>
  <si>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</si>
  <si>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r>
      <t>Miscellaneous general revenue [</t>
    </r>
    <r>
      <rPr>
        <i/>
        <sz val="10"/>
        <rFont val="Arial"/>
        <family val="2"/>
      </rPr>
      <t xml:space="preserve">gain (loss) on sale] </t>
    </r>
    <r>
      <rPr>
        <sz val="12"/>
        <rFont val="Wingdings 2"/>
        <family val="1"/>
        <charset val="2"/>
      </rPr>
      <t xml:space="preserve"> k</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</si>
  <si>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</si>
  <si>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t>Special items are assumed to be gains and posted as such. If a loss results then the amount posted will be a debit.</t>
  </si>
  <si>
    <r>
      <t xml:space="preserve">Miscellaneous general revenue </t>
    </r>
    <r>
      <rPr>
        <sz val="8"/>
        <color indexed="10"/>
        <rFont val="Arial"/>
        <family val="2"/>
      </rPr>
      <t>(gain or loss on sale)</t>
    </r>
  </si>
  <si>
    <r>
      <t xml:space="preserve">Miscellaneous revenue  </t>
    </r>
    <r>
      <rPr>
        <i/>
        <sz val="10"/>
        <rFont val="Arial"/>
        <family val="2"/>
      </rPr>
      <t>(</t>
    </r>
    <r>
      <rPr>
        <sz val="8"/>
        <color indexed="10"/>
        <rFont val="Arial"/>
        <family val="2"/>
      </rPr>
      <t>fund statements)</t>
    </r>
  </si>
  <si>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</si>
  <si>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</si>
  <si>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</si>
  <si>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</si>
  <si>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</si>
  <si>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</si>
  <si>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</si>
  <si>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</si>
  <si>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</si>
  <si>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</si>
  <si>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</si>
  <si>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Other program 1-capital grants &amp; contributions</t>
  </si>
  <si>
    <t>lines to which entries are posted.</t>
  </si>
  <si>
    <t>A.</t>
  </si>
  <si>
    <t>B.</t>
  </si>
  <si>
    <t>4.</t>
  </si>
  <si>
    <t>5.</t>
  </si>
  <si>
    <t xml:space="preserve">Unearned revenue  </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</si>
  <si>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</si>
  <si>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Education - Charges for services</t>
  </si>
  <si>
    <t>Education - Operating grants and contributions</t>
  </si>
  <si>
    <t>Education - Capital grants and contributions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</si>
  <si>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</si>
  <si>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</si>
  <si>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</si>
  <si>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</si>
  <si>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</si>
  <si>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</si>
  <si>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</si>
  <si>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</si>
  <si>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r>
      <t xml:space="preserve">Special Assessments - No new asset on unit's books -  </t>
    </r>
    <r>
      <rPr>
        <b/>
        <sz val="9"/>
        <rFont val="Arial"/>
        <family val="2"/>
      </rPr>
      <t>(Miscellaneous revenue for Modified Accrual)
                                                                                                 (Program revenue - charge for service for Full Accrual)</t>
    </r>
  </si>
  <si>
    <t>Other long-term debt #1</t>
  </si>
  <si>
    <t>Restricted for Economic Development</t>
  </si>
  <si>
    <t>Restricted for Other restrictions #1</t>
  </si>
  <si>
    <t>Restricted for Other restrictions #2</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</si>
  <si>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</si>
  <si>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</si>
  <si>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</si>
  <si>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</si>
  <si>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</si>
  <si>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</si>
  <si>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</si>
  <si>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</si>
  <si>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</si>
  <si>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</si>
  <si>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</si>
  <si>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</si>
  <si>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</si>
  <si>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</si>
  <si>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</si>
  <si>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</si>
  <si>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t>What is the amount of interfund receivables and payables between governmental funds in the "due to/from account"?  This is the amount only between governmental funds. Do not include any due to/due froms between governmental and enterprise funds.</t>
  </si>
  <si>
    <t>Fire District</t>
  </si>
  <si>
    <t>School Capital Project</t>
  </si>
  <si>
    <t>Other Non-Major #2</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</si>
  <si>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</si>
  <si>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</si>
  <si>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</si>
  <si>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</si>
  <si>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 xml:space="preserve">OFS - Transfers in </t>
  </si>
  <si>
    <r>
      <t xml:space="preserve">OFS - Installment purchase/COPS </t>
    </r>
    <r>
      <rPr>
        <sz val="8"/>
        <color indexed="10"/>
        <rFont val="Arial"/>
        <family val="2"/>
      </rPr>
      <t>(proceeds)</t>
    </r>
  </si>
  <si>
    <t>It is assumed that the balance at the beginning of the year for construction in progress for projects that were completed during the year has been reclassified to the appropriate category.</t>
  </si>
  <si>
    <t>Entry prepared assuming that Special Assessments were charged appropriately to program revenue in worksheet A.</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</si>
  <si>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</si>
  <si>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</si>
  <si>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</si>
  <si>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</si>
  <si>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</si>
  <si>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</si>
  <si>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</si>
  <si>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</si>
  <si>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</si>
  <si>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</si>
  <si>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</si>
  <si>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</si>
  <si>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</si>
  <si>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</si>
  <si>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</si>
  <si>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</si>
  <si>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t>Public safety expenditures</t>
  </si>
  <si>
    <t>Transportation expenditures</t>
  </si>
  <si>
    <t>Environmental protection expenditures</t>
  </si>
  <si>
    <t>Culture and recreation expenditures</t>
  </si>
  <si>
    <t>Business-type Activities Adjustments:</t>
  </si>
  <si>
    <t>Water and sewer expenses</t>
  </si>
  <si>
    <t>Electric expenses</t>
  </si>
  <si>
    <t>Charges to external customers</t>
  </si>
  <si>
    <t>Intangible Asset - Advance Funding of Pension - (net negative pension obligation. -  Net pension liability found on Worksheet J.)</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</si>
  <si>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</si>
  <si>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</si>
  <si>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</si>
  <si>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</si>
  <si>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</si>
  <si>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</si>
  <si>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Final Entry to Conversion Worksheet for sales, disposals, donations to the unit of capital assets and asset impairment loss:   [Entry F.1, 2, 3 &amp; 4]</t>
  </si>
  <si>
    <t>F.4</t>
  </si>
  <si>
    <t>OFS - Insurance recovery</t>
  </si>
  <si>
    <t>Extraordinary gain/ioss</t>
  </si>
  <si>
    <t>Total of F.1, F.2, F.3 and F.4</t>
  </si>
  <si>
    <t>--------------------     Asset  impairment Loss  Entry     --------------------</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</si>
  <si>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</si>
  <si>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</si>
  <si>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</si>
  <si>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</si>
  <si>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</si>
  <si>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</si>
  <si>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</si>
  <si>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</si>
  <si>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</si>
  <si>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</si>
  <si>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</si>
  <si>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</si>
  <si>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Must be manually posted to business type worksheet elsewhere on the website.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</si>
  <si>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</si>
  <si>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</si>
  <si>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</si>
  <si>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these columns to the appropriate accounts. Be especially aware of extraordinary and special items that have not been handled elsewhere in the workbook.</t>
  </si>
  <si>
    <t xml:space="preserve">In addition to the elimination and consolidation entries made below, it may be necessary to record manual entries in the "Other Miscellaneous Entries As Needed" column. These would be conversion or reclassification entries that are unique for your unit which have not been previously handled throughout the workbook. This is especially true of any special or extraordinary revenue or expense items. The special and extraordinary item accounts are at the end of the trial balance in the Conversion Worksheet. Remember that any manual entries posted to these columns must have balanced debits and credits.  </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</si>
  <si>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</si>
  <si>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What is the amount of other long-term debt #1 that will be due and payable within one year?</t>
  </si>
  <si>
    <t>What is the amount of other long-term debt #2 that will be due and payable within one year?</t>
  </si>
  <si>
    <t xml:space="preserve">What is the amount of Bonds payable that will be due and payable within one year? </t>
  </si>
  <si>
    <t>What is the amount of notes payable that will be due and payable within one year?</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</si>
  <si>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</si>
  <si>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</si>
  <si>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</si>
  <si>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</si>
  <si>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</si>
  <si>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</si>
  <si>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</si>
  <si>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</si>
  <si>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</si>
  <si>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t>COPs payable - current</t>
  </si>
  <si>
    <t>Bonds payable - current</t>
  </si>
  <si>
    <t>Notes payable - current</t>
  </si>
  <si>
    <t>Capital leases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</si>
  <si>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</si>
  <si>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</si>
  <si>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</si>
  <si>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</si>
  <si>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</si>
  <si>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</si>
  <si>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</si>
  <si>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</si>
  <si>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</si>
  <si>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t>Sales that qualify as a "special item" for statement presentation:*</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</si>
  <si>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</si>
  <si>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</si>
  <si>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</si>
  <si>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</si>
  <si>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</si>
  <si>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</si>
  <si>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</si>
  <si>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</si>
  <si>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</si>
  <si>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</si>
  <si>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</si>
  <si>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</si>
  <si>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</si>
  <si>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</si>
  <si>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</si>
  <si>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</si>
  <si>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</si>
  <si>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</si>
  <si>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</si>
  <si>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</si>
  <si>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</si>
  <si>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</si>
  <si>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</si>
  <si>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</si>
  <si>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</si>
  <si>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</si>
  <si>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</si>
  <si>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</si>
  <si>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</si>
  <si>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</si>
  <si>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Units may elect to amortize the discount or premium on bonds and the deferred charge (loss) on refunding using the straight-line method or the effective interest rate amortization method.</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</si>
  <si>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</si>
  <si>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</si>
  <si>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</si>
  <si>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</si>
  <si>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</si>
  <si>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t xml:space="preserve">What is the original cost at the beginning of the year for assets sold during current year? </t>
  </si>
  <si>
    <t>What is the amount of claims payable that will be due and payable within one year?</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</si>
  <si>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</si>
  <si>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t>Internal balances *</t>
  </si>
  <si>
    <t>From fund Statement of Revenues, Expenses, and</t>
  </si>
  <si>
    <t>Beginning fund balance from fund statement</t>
  </si>
  <si>
    <t>Sales and services</t>
  </si>
  <si>
    <t>F.</t>
  </si>
  <si>
    <t>G.</t>
  </si>
  <si>
    <t>Other taxes and licenses</t>
  </si>
  <si>
    <t>Intergovernmental - restricted</t>
  </si>
  <si>
    <t>Intergovernmental - unrestricted</t>
  </si>
  <si>
    <t>Other revenue 1</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</si>
  <si>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</si>
  <si>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</si>
  <si>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</si>
  <si>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</si>
  <si>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</si>
  <si>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</si>
  <si>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</si>
  <si>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</si>
  <si>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</si>
  <si>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</si>
  <si>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</si>
  <si>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</si>
  <si>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</si>
  <si>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</si>
  <si>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</si>
  <si>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</si>
  <si>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r>
      <t xml:space="preserve">What was the amount of capital outlay to be capitalized by function in all governmental funds? </t>
    </r>
    <r>
      <rPr>
        <b/>
        <i/>
        <sz val="10"/>
        <color indexed="10"/>
        <rFont val="Arial"/>
        <family val="2"/>
      </rPr>
      <t xml:space="preserve"> This includes expenditures related to impairment losses.</t>
    </r>
  </si>
  <si>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</si>
  <si>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</si>
  <si>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</si>
  <si>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r>
      <t xml:space="preserve">Piped Natural Gas Tax  </t>
    </r>
    <r>
      <rPr>
        <b/>
        <sz val="9"/>
        <rFont val="Arial"/>
        <family val="2"/>
      </rPr>
      <t xml:space="preserve"> (Unrestricted intergovernmental for Modified Accrual  --  Unrestricted - General for Full Accrual)</t>
    </r>
  </si>
  <si>
    <t>Cultural and Recreation</t>
  </si>
  <si>
    <t>What is (or was) the restoration cost ? (Amount would have been included in the capital outlay entry - Tab E - if spent in the same fiscal year.)</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</si>
  <si>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</si>
  <si>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</si>
  <si>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</si>
  <si>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</si>
  <si>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</si>
  <si>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</si>
  <si>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</si>
  <si>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</si>
  <si>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</si>
  <si>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</si>
  <si>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</si>
  <si>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</si>
  <si>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Equipment and Furniture</t>
  </si>
  <si>
    <t>Vehicles and Motorized Equipment</t>
  </si>
  <si>
    <t>Indicate insurance recovery amount if received in this fiscal year?</t>
  </si>
  <si>
    <t>Other financing source - insurance recovery</t>
  </si>
  <si>
    <t>Net Gain / loss on insurance recovery</t>
  </si>
  <si>
    <t>Asset Impariment Loss - continued</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</si>
  <si>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</si>
  <si>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</si>
  <si>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</si>
  <si>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</si>
  <si>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Adjust Debt Service Expenditures Under Modified Accrual to Full Accrual</t>
  </si>
  <si>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</si>
  <si>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</si>
  <si>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</si>
  <si>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</si>
  <si>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</si>
  <si>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</si>
  <si>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</si>
  <si>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</si>
  <si>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</si>
  <si>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t>Other debt not issued for capital, including hospital debt</t>
  </si>
  <si>
    <t>Register of Deeds</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</si>
  <si>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</si>
  <si>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</si>
  <si>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What are the accrued investment earnings at the end of the current year?</t>
  </si>
  <si>
    <t>Indicate by amount the appropriate full accrual revenue classification. The sum of amounts in step 3 must equal the amount in step 2.</t>
  </si>
  <si>
    <t>What was the amount of the net negative pension obligation at the beginning of the year. If multiple benefit plans are involved enter the sum of all plans.</t>
  </si>
  <si>
    <t>Intangible asset - advance funding of pension</t>
  </si>
  <si>
    <t>Proceeds of New Debt:</t>
  </si>
  <si>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</si>
  <si>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</si>
  <si>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</si>
  <si>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</si>
  <si>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</si>
  <si>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</si>
  <si>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</si>
  <si>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</si>
  <si>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</si>
  <si>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</si>
  <si>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</si>
  <si>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</si>
  <si>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t>Extraordinary item - revenue</t>
  </si>
  <si>
    <r>
      <t>Miscellaneous……………………</t>
    </r>
    <r>
      <rPr>
        <sz val="8"/>
        <color indexed="10"/>
        <rFont val="Arial"/>
        <family val="2"/>
      </rPr>
      <t>(Typically general)</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</si>
  <si>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</si>
  <si>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Revenues are reclassified from the summary levels in the fund statements to the classification required for the Statement of Activities in Worksheet A. A separate worksheet on the website is available to assist with this allocation.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</si>
  <si>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</si>
  <si>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</si>
  <si>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</si>
  <si>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</si>
  <si>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</si>
  <si>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</si>
  <si>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</si>
  <si>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</si>
  <si>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</si>
  <si>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</si>
  <si>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</si>
  <si>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</si>
  <si>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</si>
  <si>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</si>
  <si>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</si>
  <si>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</si>
  <si>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</si>
  <si>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</si>
  <si>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</si>
  <si>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</si>
  <si>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</si>
  <si>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</si>
  <si>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</si>
  <si>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Construction in progress</t>
  </si>
  <si>
    <t>Record permanent balance sheet accounts.</t>
  </si>
  <si>
    <t>Enter unallocated amounts</t>
  </si>
  <si>
    <t xml:space="preserve">Interest expense </t>
  </si>
  <si>
    <t xml:space="preserve">As previously stated, revenues that result in the ownership of a capital asset are classified as capital. If no capital asset results, the revenue should be classified as operating. </t>
  </si>
  <si>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</si>
  <si>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</si>
  <si>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</si>
  <si>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</si>
  <si>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</si>
  <si>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</si>
  <si>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</si>
  <si>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</si>
  <si>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</si>
  <si>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Net change for the year</t>
  </si>
  <si>
    <t>Net Change amount</t>
  </si>
  <si>
    <t>Net Change Amount</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</si>
  <si>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</si>
  <si>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</si>
  <si>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</si>
  <si>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</si>
  <si>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</si>
  <si>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t>Review the governmental funds to determine the amount of interest paid under modified accrual. Also estimate the amount of accrued interest payable at the beginning of the year and for the end of the year under the full accrual basis of accounting.</t>
  </si>
  <si>
    <t>What was the amount of the pension obligation at the end of the year. If multiple benefit plans are involved enter the sum of all plans.</t>
  </si>
  <si>
    <t>Accum. Depreciation - Vehicles + Mot. Equip</t>
  </si>
  <si>
    <t>Fund Equity - Beginning</t>
  </si>
  <si>
    <r>
      <t xml:space="preserve">Miscellaneous revenue </t>
    </r>
    <r>
      <rPr>
        <sz val="8"/>
        <color indexed="10"/>
        <rFont val="Arial"/>
        <family val="2"/>
      </rPr>
      <t>- not program specific</t>
    </r>
  </si>
  <si>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</si>
  <si>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</si>
  <si>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Accumulated depreciation - Other asset class #1</t>
  </si>
  <si>
    <t>Accumulated depreciation - Other asset class #2</t>
  </si>
  <si>
    <t>6.</t>
  </si>
  <si>
    <t>Entry A.1</t>
  </si>
  <si>
    <t>Entry A.2</t>
  </si>
  <si>
    <t xml:space="preserve">Debit </t>
  </si>
  <si>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</si>
  <si>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</si>
  <si>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</si>
  <si>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</si>
  <si>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</si>
  <si>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</si>
  <si>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</si>
  <si>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</si>
  <si>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</si>
  <si>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 xml:space="preserve">    Unamortized liabilities related to capital debt</t>
  </si>
  <si>
    <r>
      <t xml:space="preserve">What is the fair value of </t>
    </r>
    <r>
      <rPr>
        <u/>
        <sz val="10"/>
        <rFont val="Arial"/>
        <family val="2"/>
      </rPr>
      <t>all</t>
    </r>
    <r>
      <rPr>
        <sz val="10"/>
        <rFont val="Arial"/>
        <family val="2"/>
      </rPr>
      <t xml:space="preserve"> the assets donated to the unit?  Enter the amounts in the appropriate asset class.</t>
    </r>
  </si>
  <si>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</si>
  <si>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</si>
  <si>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</si>
  <si>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</si>
  <si>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</si>
  <si>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</si>
  <si>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</si>
  <si>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</si>
  <si>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</si>
  <si>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 xml:space="preserve">General government </t>
  </si>
  <si>
    <t>L.8</t>
  </si>
  <si>
    <t>Human services - capital grants &amp; contributions</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</si>
  <si>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</si>
  <si>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</si>
  <si>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</si>
  <si>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</si>
  <si>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</si>
  <si>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</si>
  <si>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School debt for assets to which the county does not hold title</t>
  </si>
  <si>
    <t>Community college debt for assets to which the county does not hold title</t>
  </si>
  <si>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</si>
  <si>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</si>
  <si>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</si>
  <si>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</si>
  <si>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</si>
  <si>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</si>
  <si>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t>Liabilities payable from restricted assets</t>
  </si>
  <si>
    <t>Compensated absences payable</t>
  </si>
  <si>
    <t>Operating Accounts - Revenues</t>
  </si>
  <si>
    <t>General Government</t>
  </si>
  <si>
    <t>Charges for Services</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</si>
  <si>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</si>
  <si>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</si>
  <si>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</si>
  <si>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</si>
  <si>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</si>
  <si>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</si>
  <si>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</si>
  <si>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</si>
  <si>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</si>
  <si>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</si>
  <si>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</si>
  <si>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</si>
  <si>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r>
      <t xml:space="preserve">Ending balance for claims &amp; judgments for the current year. </t>
    </r>
    <r>
      <rPr>
        <sz val="8"/>
        <color indexed="10"/>
        <rFont val="Arial"/>
        <family val="2"/>
      </rPr>
      <t>- calculated</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</si>
  <si>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</si>
  <si>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Investment earnings*</t>
  </si>
  <si>
    <t xml:space="preserve">   Accrued vacation/Compensated absences</t>
  </si>
  <si>
    <t xml:space="preserve">   Claims and judgments</t>
  </si>
  <si>
    <t xml:space="preserve">   Bonds, notes and loans payable</t>
  </si>
  <si>
    <t xml:space="preserve">    Entries must net to zero.</t>
  </si>
  <si>
    <t>Expenditures for capital outlay where title is held by other parties must be reclassified as a functional expenditure. A prime example of this situation is the expenditure for school construction where the Board of Education holds title to the property. In Section E, indicate the amount of capital outlay that must be reclassified and indicate the function to which it should be charged.</t>
  </si>
  <si>
    <t>Complete explanations and instructions are presented on each of the worksheets following the Conversion Worksheet. A brief synopsis is presented below.</t>
  </si>
  <si>
    <t>Cultural and recreation - operating grants &amp; contributions</t>
  </si>
  <si>
    <t>Current year collections</t>
  </si>
  <si>
    <r>
      <t xml:space="preserve">Misc. Rev. </t>
    </r>
    <r>
      <rPr>
        <sz val="8"/>
        <color indexed="10"/>
        <rFont val="Arial"/>
        <family val="2"/>
      </rPr>
      <t>not program specific</t>
    </r>
  </si>
  <si>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</si>
  <si>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</si>
  <si>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b/>
        <u/>
        <sz val="9"/>
        <color indexed="10"/>
        <rFont val="Arial"/>
        <family val="2"/>
      </rPr>
      <t>delete</t>
    </r>
    <r>
      <rPr>
        <sz val="9"/>
        <color indexed="10"/>
        <rFont val="Arial"/>
        <family val="2"/>
      </rPr>
      <t xml:space="preserve"> them here. </t>
    </r>
  </si>
  <si>
    <t>General government - Capital grants and contributions</t>
  </si>
  <si>
    <t>Public safety - Charges for services</t>
  </si>
  <si>
    <t>Public safety - Operating grants and contributions</t>
  </si>
  <si>
    <t>What is the face amount of the new debt issued?</t>
  </si>
  <si>
    <t>What is the current year annual amortization for discounts?</t>
  </si>
  <si>
    <t>What is the current year annual amortization for premiums?</t>
  </si>
  <si>
    <t>Bond issuance costs</t>
  </si>
  <si>
    <t>Advance refunding escrow</t>
  </si>
  <si>
    <t>What was the payment to the escrow agent to defease old debt?</t>
  </si>
  <si>
    <t>7.</t>
  </si>
  <si>
    <t>Unamortized
Discount =</t>
  </si>
  <si>
    <t>Unamortized
Premium =</t>
  </si>
  <si>
    <t>Were there any additional payments to the escrow agent charged to debt service?</t>
  </si>
  <si>
    <t xml:space="preserve">Deferred Charge - refunding </t>
  </si>
  <si>
    <t>OFU - Payment to escrow agent</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</si>
  <si>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</si>
  <si>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</si>
  <si>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</si>
  <si>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</si>
  <si>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</si>
  <si>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</si>
  <si>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</si>
  <si>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</si>
  <si>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</si>
  <si>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</si>
  <si>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V &amp; W in the main Conversion Worksheet.)</t>
    </r>
  </si>
  <si>
    <t>Working</t>
  </si>
  <si>
    <t>Subtotal</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</si>
  <si>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</si>
  <si>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</si>
  <si>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</si>
  <si>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</si>
  <si>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r>
      <t xml:space="preserve">What is the amount of compensated absences that will be due and payable within one year?    </t>
    </r>
    <r>
      <rPr>
        <sz val="8"/>
        <color indexed="10"/>
        <rFont val="Arial"/>
        <family val="2"/>
      </rPr>
      <t>(Use of the</t>
    </r>
    <r>
      <rPr>
        <sz val="10"/>
        <rFont val="Arial"/>
        <family val="2"/>
      </rPr>
      <t xml:space="preserve"> </t>
    </r>
    <r>
      <rPr>
        <sz val="8"/>
        <color indexed="10"/>
        <rFont val="Arial"/>
        <family val="2"/>
      </rPr>
      <t>FIFO assumption will be based on average leave taken over the years. Typically, use of the LIFO method will not have a current portion.)</t>
    </r>
  </si>
  <si>
    <t xml:space="preserve">  Vehicles and other motorized equipment</t>
  </si>
  <si>
    <t xml:space="preserve">  Infrastructure</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</si>
  <si>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</si>
  <si>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</si>
  <si>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</si>
  <si>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</si>
  <si>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</si>
  <si>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</si>
  <si>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</si>
  <si>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</si>
  <si>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</si>
  <si>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</si>
  <si>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</si>
  <si>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</si>
  <si>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</si>
  <si>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</si>
  <si>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</si>
  <si>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</si>
  <si>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</si>
  <si>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</si>
  <si>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</si>
  <si>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</si>
  <si>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</si>
  <si>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</si>
  <si>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</si>
  <si>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</si>
  <si>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</si>
  <si>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t>Public Safety</t>
  </si>
  <si>
    <t>Transportation</t>
  </si>
  <si>
    <t xml:space="preserve">Enter the amount of the new levy in the function below where the proceeds will be/have been expended. The sum below must equal the amount in step 2. </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</si>
  <si>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</si>
  <si>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</si>
  <si>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</si>
  <si>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</si>
  <si>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</si>
  <si>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</si>
  <si>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</si>
  <si>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</si>
  <si>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</si>
  <si>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</si>
  <si>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</si>
  <si>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</si>
  <si>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</si>
  <si>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</si>
  <si>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</si>
  <si>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</si>
  <si>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</si>
  <si>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</si>
  <si>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</si>
  <si>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</si>
  <si>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</si>
  <si>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</si>
  <si>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</si>
  <si>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</si>
  <si>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</si>
  <si>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</si>
  <si>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Public safety</t>
  </si>
  <si>
    <r>
      <t xml:space="preserve">OFS - Bonds issued </t>
    </r>
    <r>
      <rPr>
        <sz val="8"/>
        <color indexed="10"/>
        <rFont val="Arial"/>
        <family val="2"/>
      </rPr>
      <t>(proceeds)</t>
    </r>
  </si>
  <si>
    <t xml:space="preserve">OFS - Premiums on debt issued </t>
  </si>
  <si>
    <t>OFU - Discounts on debt issued</t>
  </si>
  <si>
    <t>OFU - Payments to escrow agent</t>
  </si>
  <si>
    <t>Retiring/scrapping or donating assets is a matter of removing those amounts from the capital asset accounts including removing the related accumulated depreciation. Enter amounts by asset class in section C.</t>
  </si>
  <si>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</si>
  <si>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</si>
  <si>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</si>
  <si>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</si>
  <si>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</si>
  <si>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</si>
  <si>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</si>
  <si>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</si>
  <si>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</si>
  <si>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</si>
  <si>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</si>
  <si>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Debt service - interest and fees</t>
  </si>
  <si>
    <t>Other Misc Entries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</si>
  <si>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</si>
  <si>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Computer Software</t>
  </si>
  <si>
    <t>Accum. Depreciation - computer software</t>
  </si>
  <si>
    <t>Accum Depreciation - asset class 1</t>
  </si>
  <si>
    <t>Restricted for Stabilization by State Statute</t>
  </si>
  <si>
    <t>Stabilization by State statute</t>
  </si>
  <si>
    <t>Restricted for Stabilization by State statute</t>
  </si>
  <si>
    <t>Other Non-Major #3</t>
  </si>
  <si>
    <t>Reserved for Stabilization of State Statute</t>
  </si>
  <si>
    <t>Emergency Telephone System and Fire District Special Revenue Funds *</t>
  </si>
  <si>
    <t>Northwest Capital Projects Fund *, **</t>
  </si>
  <si>
    <t>**</t>
  </si>
  <si>
    <r>
      <t xml:space="preserve">Receivables </t>
    </r>
    <r>
      <rPr>
        <b/>
        <sz val="10"/>
        <color indexed="10"/>
        <rFont val="Arial"/>
        <family val="2"/>
      </rPr>
      <t>*</t>
    </r>
  </si>
  <si>
    <r>
      <t xml:space="preserve">Payables </t>
    </r>
    <r>
      <rPr>
        <b/>
        <sz val="10"/>
        <color indexed="10"/>
        <rFont val="Arial"/>
        <family val="2"/>
      </rPr>
      <t>**</t>
    </r>
  </si>
  <si>
    <t>Deferred Outflows of Resources</t>
  </si>
  <si>
    <t>Unavailable revenue</t>
  </si>
  <si>
    <t>Unavailable revenue (ad valorem tax) - "beginning of year"</t>
  </si>
  <si>
    <t>Unavailable revenue (ad valorem tax) - "end of year"</t>
  </si>
  <si>
    <t>Unavailable Revenues*</t>
  </si>
  <si>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</si>
  <si>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t>Net Investment in Capital Assets</t>
  </si>
  <si>
    <t>Less Net Investment in Capital Assets</t>
  </si>
  <si>
    <t>Net investment in capital assets</t>
  </si>
  <si>
    <t>Receivables offset by unavailable revenues should not be included in the Receivable column.</t>
  </si>
  <si>
    <t>Calculation of Net Position-Governmental Activities</t>
  </si>
  <si>
    <t>Calculation of Net Position</t>
  </si>
  <si>
    <t>Total Net Position</t>
  </si>
  <si>
    <t>Less Restricted Net Position</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</si>
  <si>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</si>
  <si>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 xml:space="preserve">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</si>
  <si>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entered into Section J. below.</t>
    </r>
  </si>
  <si>
    <r>
      <t xml:space="preserve">What is the amount of receivables -"due from other funds" due to the governmental activities from business type activities? </t>
    </r>
    <r>
      <rPr>
        <sz val="8"/>
        <color indexed="10"/>
        <rFont val="Arial"/>
        <family val="2"/>
      </rPr>
      <t>Go to the conversion worksheet and look at the balance in the Statement of Net Position column for this account. Enter the amount (less any portion for fiduciary funds) in the box to the right.</t>
    </r>
  </si>
  <si>
    <t>Net position - unrestricted</t>
  </si>
  <si>
    <r>
      <t xml:space="preserve">Reclassify fund balance to net position.    </t>
    </r>
    <r>
      <rPr>
        <b/>
        <sz val="8"/>
        <color indexed="10"/>
        <rFont val="Arial"/>
        <family val="2"/>
      </rPr>
      <t xml:space="preserve"> (See worksheet M for assistance with computation of this entry.) </t>
    </r>
  </si>
  <si>
    <r>
      <t>Total net position</t>
    </r>
    <r>
      <rPr>
        <sz val="10"/>
        <rFont val="Arial"/>
        <family val="2"/>
      </rPr>
      <t xml:space="preserve"> ……….  </t>
    </r>
    <r>
      <rPr>
        <sz val="8"/>
        <rFont val="Arial"/>
        <family val="2"/>
      </rPr>
      <t>(from entries above)</t>
    </r>
  </si>
  <si>
    <t xml:space="preserve">Classifies net position and maps to the Statement of Net Position Column </t>
  </si>
  <si>
    <t>Determine the proportionate participation of each function by matching the charge for service with the functional category and determine which activity primarily benefits from the internal service fund - governmental or business-type in Step A. If business type activity is determined as the primary beneficiary, please delete data from this form and enter it in the business-type worksheet provided on the website.</t>
  </si>
  <si>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</si>
  <si>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</si>
  <si>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</si>
  <si>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</si>
  <si>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</si>
  <si>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</si>
  <si>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</si>
  <si>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</si>
  <si>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</si>
  <si>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</si>
  <si>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business-type activities.</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</si>
  <si>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affected for the changes is the function in which the unit accounts for the landfill. </t>
  </si>
  <si>
    <t>What is the current year annual amortization for prepaid insurance costs?</t>
  </si>
  <si>
    <t>Amortize deferred charges and prepaid insurance costs for the current year.</t>
  </si>
  <si>
    <t>Deferred Charges - prepaid insurance cost</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</si>
  <si>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</si>
  <si>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 below.</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</si>
  <si>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then any items purchased costing less than that amount would remain as an expenditure with no addition made to the various capital asset accounts. Only those items above the unit's capitalization threshold would be adjusted and reported as capital assets in the government-wide statement of net position.  </t>
  </si>
  <si>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</si>
  <si>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t>Net Position</t>
  </si>
  <si>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</si>
  <si>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Grants that can be considered either operating or capital at the recipient's discretion are classified as operating grants.</t>
    </r>
  </si>
  <si>
    <t>What was the amount in unavailable tax receipts at the beginning of the year?  -  (Exclude prepaid taxes.)
What was the amount of accrued interest receivable on tax receipts at the beginning of the year?</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</si>
  <si>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from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</si>
  <si>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</si>
  <si>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</si>
  <si>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</si>
  <si>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</si>
  <si>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alcoholic beverage tax included in unavailable revenue utilizing the modified accrual basis of accounting at the end of the </t>
    </r>
    <r>
      <rPr>
        <u/>
        <sz val="10"/>
        <rFont val="Arial"/>
        <family val="2"/>
      </rPr>
      <t>prior year</t>
    </r>
    <r>
      <rPr>
        <sz val="10"/>
        <rFont val="Arial"/>
        <family val="2"/>
      </rPr>
      <t>.</t>
    </r>
  </si>
  <si>
    <r>
      <t xml:space="preserve">Indicate the amount of alcoholic beverage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</si>
  <si>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</si>
  <si>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</si>
  <si>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</si>
  <si>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</si>
  <si>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</si>
  <si>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</si>
  <si>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Franchise Utilities Tax   </t>
    </r>
    <r>
      <rPr>
        <b/>
        <sz val="9"/>
        <rFont val="Arial"/>
        <family val="2"/>
      </rPr>
      <t>(Unrestricted governmental for Modified Accrual  --  Unrestricted - General for Full Accrual)</t>
    </r>
    <r>
      <rPr>
        <b/>
        <sz val="10"/>
        <rFont val="Arial"/>
        <family val="2"/>
      </rPr>
      <t xml:space="preserve">    </t>
    </r>
  </si>
  <si>
    <r>
      <t xml:space="preserve">Indicate the amount of franchise utilities tax included in unavailable revenue utilizing the modified accrual basis of accounting at the end of the </t>
    </r>
    <r>
      <rPr>
        <u/>
        <sz val="10"/>
        <rFont val="Arial"/>
        <family val="2"/>
      </rPr>
      <t>prior year</t>
    </r>
    <r>
      <rPr>
        <sz val="10"/>
        <rFont val="Arial"/>
        <family val="2"/>
      </rPr>
      <t>.</t>
    </r>
  </si>
  <si>
    <r>
      <t xml:space="preserve">Indicate the amount of franchise utilities tax included in unavailable revenue utilizing the modified accrual basis of accounting at the end of the </t>
    </r>
    <r>
      <rPr>
        <u/>
        <sz val="10"/>
        <rFont val="Arial"/>
        <family val="2"/>
      </rPr>
      <t>current year</t>
    </r>
    <r>
      <rPr>
        <sz val="10"/>
        <rFont val="Arial"/>
        <family val="2"/>
      </rPr>
      <t>.</t>
    </r>
  </si>
  <si>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</si>
  <si>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Review the accounts for deferred charges from refunding and prepaid insurance cost and any discounts or premiums that must be amortized over the life of the debt. Indicate the amount for the annual expense.</t>
  </si>
  <si>
    <t>Prepaid</t>
  </si>
  <si>
    <t xml:space="preserve"> Insurance</t>
  </si>
  <si>
    <t>Debt service - prepaid insurance cost</t>
  </si>
  <si>
    <t>Prepaid insurance costs</t>
  </si>
  <si>
    <t>Debt service - prepaid insurance costs</t>
  </si>
  <si>
    <t>Deferred Charges - Prepaid insurance cost</t>
  </si>
  <si>
    <r>
      <t>Prepaid expenses  -</t>
    </r>
    <r>
      <rPr>
        <sz val="10"/>
        <rFont val="Arial"/>
        <family val="2"/>
      </rPr>
      <t xml:space="preserve"> if recorded at the fund level using the purchases method.  This does not include prepaid insurance costs associated with bond refundings.  </t>
    </r>
  </si>
  <si>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</si>
  <si>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</si>
  <si>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</si>
  <si>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Unamortized Prepaid Insurance Cost =</t>
  </si>
  <si>
    <t>What was the amount of any unamortized discount, premium or prepaid insurance cost on the old debt?</t>
  </si>
  <si>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</si>
  <si>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</si>
  <si>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amount in unavailable tax receipts at the end of the year?  -  (Exclude prepaid taxes.)
What was the amount of accrued interest receivable on tax receipts at the end of the year?</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</si>
  <si>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</si>
  <si>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All bond issuance costs, other than prepaid insurance, are to be expensed.  The unit's permanent accounts will need to be adjusted to properly reflect next year's beginning balances for debt related accounts.</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</si>
  <si>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</si>
  <si>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</si>
  <si>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</si>
  <si>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t>From fund Statement of Net position at end of year</t>
  </si>
  <si>
    <t>Unrestricted Net Position</t>
  </si>
  <si>
    <t>Change in Net Position</t>
  </si>
  <si>
    <t>Proof totals for Net Position</t>
  </si>
  <si>
    <t xml:space="preserve">     Change in net position</t>
  </si>
  <si>
    <t xml:space="preserve">     Reclassification to net position</t>
  </si>
  <si>
    <t>Deferred Inflows of Resources</t>
  </si>
  <si>
    <t>Unavailable revenue (previously non-cash deferred revenue). Unearned revenues ( from cash receipts) typically found below</t>
  </si>
  <si>
    <t>Capital asset data pulled from the St. of Net Position Column in Conversion Worksheet</t>
  </si>
  <si>
    <t>Payables are included in the payables column up to the amount that will not make row for Restricted Net Position negative</t>
  </si>
  <si>
    <t>Deferred Outflows Of Resources</t>
  </si>
  <si>
    <t>Deferred Inflows Of Resources</t>
  </si>
  <si>
    <t>Pension Expense</t>
  </si>
  <si>
    <t>Agency Number</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</si>
  <si>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</si>
  <si>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</si>
  <si>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</si>
  <si>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</si>
  <si>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</si>
  <si>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</si>
  <si>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</si>
  <si>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</si>
  <si>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</si>
  <si>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</si>
  <si>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</si>
  <si>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</si>
  <si>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</si>
  <si>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</si>
  <si>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</si>
  <si>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</si>
  <si>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</si>
  <si>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Toe River District Health Department </t>
  </si>
  <si>
    <t>Appalachian District Health Department</t>
  </si>
  <si>
    <t>Alamance County</t>
  </si>
  <si>
    <t>Burlington, City Of</t>
  </si>
  <si>
    <t>Mebane, Town Of</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</si>
  <si>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</si>
  <si>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</si>
  <si>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</si>
  <si>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</si>
  <si>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</si>
  <si>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</si>
  <si>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</si>
  <si>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</si>
  <si>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</si>
  <si>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</si>
  <si>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</si>
  <si>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</si>
  <si>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</si>
  <si>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</si>
  <si>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</si>
  <si>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</si>
  <si>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</si>
  <si>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</si>
  <si>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</si>
  <si>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</si>
  <si>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</si>
  <si>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</si>
  <si>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</si>
  <si>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</si>
  <si>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</si>
  <si>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</si>
  <si>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</si>
  <si>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</si>
  <si>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</si>
  <si>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</si>
  <si>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</si>
  <si>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</si>
  <si>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</si>
  <si>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</si>
  <si>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</si>
  <si>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</si>
  <si>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</si>
  <si>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</si>
  <si>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</si>
  <si>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</si>
  <si>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</si>
  <si>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</si>
  <si>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</si>
  <si>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</si>
  <si>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</si>
  <si>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</si>
  <si>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</si>
  <si>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</si>
  <si>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</si>
  <si>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</si>
  <si>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</si>
  <si>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</si>
  <si>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</si>
  <si>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</si>
  <si>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</si>
  <si>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</si>
  <si>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</si>
  <si>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</si>
  <si>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</si>
  <si>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</si>
  <si>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</si>
  <si>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</si>
  <si>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</si>
  <si>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</si>
  <si>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</si>
  <si>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</si>
  <si>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</si>
  <si>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</si>
  <si>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</si>
  <si>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</si>
  <si>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</si>
  <si>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</si>
  <si>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</si>
  <si>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</si>
  <si>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</si>
  <si>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</si>
  <si>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</si>
  <si>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</si>
  <si>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</si>
  <si>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</si>
  <si>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</si>
  <si>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</si>
  <si>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</si>
  <si>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</si>
  <si>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</si>
  <si>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</si>
  <si>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</si>
  <si>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</si>
  <si>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</si>
  <si>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</si>
  <si>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</si>
  <si>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</si>
  <si>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</si>
  <si>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</si>
  <si>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</si>
  <si>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</si>
  <si>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</si>
  <si>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</si>
  <si>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</si>
  <si>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</si>
  <si>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</si>
  <si>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</si>
  <si>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</si>
  <si>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</si>
  <si>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</si>
  <si>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</si>
  <si>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</si>
  <si>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</si>
  <si>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</si>
  <si>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</si>
  <si>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</si>
  <si>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</si>
  <si>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</si>
  <si>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</si>
  <si>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</si>
  <si>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</si>
  <si>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</si>
  <si>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</si>
  <si>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</si>
  <si>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</si>
  <si>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</si>
  <si>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</si>
  <si>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</si>
  <si>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</si>
  <si>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</si>
  <si>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</si>
  <si>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</si>
  <si>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</si>
  <si>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</si>
  <si>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</si>
  <si>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</si>
  <si>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</si>
  <si>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</si>
  <si>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</si>
  <si>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</si>
  <si>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</si>
  <si>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</si>
  <si>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</si>
  <si>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</si>
  <si>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</si>
  <si>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</si>
  <si>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</si>
  <si>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</si>
  <si>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</si>
  <si>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</si>
  <si>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</si>
  <si>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</si>
  <si>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</si>
  <si>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</si>
  <si>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</si>
  <si>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</si>
  <si>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</si>
  <si>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</si>
  <si>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</si>
  <si>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</si>
  <si>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</si>
  <si>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</si>
  <si>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</si>
  <si>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</si>
  <si>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</si>
  <si>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</si>
  <si>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</si>
  <si>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</si>
  <si>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</si>
  <si>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</si>
  <si>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</si>
  <si>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</si>
  <si>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</si>
  <si>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</si>
  <si>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</si>
  <si>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</si>
  <si>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</si>
  <si>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</si>
  <si>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</si>
  <si>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</si>
  <si>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</si>
  <si>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</si>
  <si>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</si>
  <si>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</si>
  <si>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</si>
  <si>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</si>
  <si>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</si>
  <si>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</si>
  <si>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</si>
  <si>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</si>
  <si>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</si>
  <si>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</si>
  <si>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</si>
  <si>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</si>
  <si>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</si>
  <si>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</si>
  <si>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</si>
  <si>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</si>
  <si>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</si>
  <si>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</si>
  <si>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</si>
  <si>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</si>
  <si>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</si>
  <si>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</si>
  <si>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</si>
  <si>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</si>
  <si>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</si>
  <si>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</si>
  <si>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</si>
  <si>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</si>
  <si>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</si>
  <si>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</si>
  <si>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</si>
  <si>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</si>
  <si>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</si>
  <si>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</si>
  <si>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</si>
  <si>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</si>
  <si>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</si>
  <si>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</si>
  <si>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</si>
  <si>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</si>
  <si>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</si>
  <si>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</si>
  <si>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</si>
  <si>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</si>
  <si>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</si>
  <si>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</si>
  <si>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</si>
  <si>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</si>
  <si>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</si>
  <si>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</si>
  <si>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</si>
  <si>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</si>
  <si>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</si>
  <si>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</si>
  <si>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</si>
  <si>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</si>
  <si>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</si>
  <si>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</si>
  <si>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</si>
  <si>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</si>
  <si>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</si>
  <si>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</si>
  <si>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</si>
  <si>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</si>
  <si>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</si>
  <si>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</si>
  <si>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</si>
  <si>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</si>
  <si>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</si>
  <si>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</si>
  <si>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</si>
  <si>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</si>
  <si>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</si>
  <si>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</si>
  <si>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</si>
  <si>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</si>
  <si>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</si>
  <si>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</si>
  <si>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</si>
  <si>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</si>
  <si>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</si>
  <si>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</si>
  <si>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</si>
  <si>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</si>
  <si>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</si>
  <si>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</si>
  <si>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</si>
  <si>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</si>
  <si>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</si>
  <si>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</si>
  <si>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</si>
  <si>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</si>
  <si>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</si>
  <si>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</si>
  <si>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</si>
  <si>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</si>
  <si>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</si>
  <si>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</si>
  <si>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</si>
  <si>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</si>
  <si>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</si>
  <si>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</si>
  <si>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</si>
  <si>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</si>
  <si>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</si>
  <si>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</si>
  <si>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</si>
  <si>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</si>
  <si>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</si>
  <si>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</si>
  <si>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</si>
  <si>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</si>
  <si>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</si>
  <si>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</si>
  <si>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</si>
  <si>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</si>
  <si>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</si>
  <si>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Winston-Salem, City Of</t>
  </si>
  <si>
    <t>Winston-Salem Housing Authority</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</si>
  <si>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</si>
  <si>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</si>
  <si>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</si>
  <si>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</si>
  <si>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</si>
  <si>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</si>
  <si>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</si>
  <si>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</si>
  <si>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</si>
  <si>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</si>
  <si>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</si>
  <si>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</si>
  <si>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</si>
  <si>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</si>
  <si>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</si>
  <si>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</si>
  <si>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</si>
  <si>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</si>
  <si>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</si>
  <si>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</si>
  <si>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</si>
  <si>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</si>
  <si>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</si>
  <si>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</si>
  <si>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</si>
  <si>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</si>
  <si>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</si>
  <si>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</si>
  <si>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</si>
  <si>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</si>
  <si>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</si>
  <si>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</si>
  <si>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</si>
  <si>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</si>
  <si>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</si>
  <si>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</si>
  <si>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</si>
  <si>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</si>
  <si>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</si>
  <si>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</si>
  <si>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</si>
  <si>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</si>
  <si>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</si>
  <si>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</si>
  <si>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</si>
  <si>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</si>
  <si>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</si>
  <si>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</si>
  <si>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</si>
  <si>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</si>
  <si>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</si>
  <si>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</si>
  <si>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</si>
  <si>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</si>
  <si>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</si>
  <si>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</si>
  <si>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</si>
  <si>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</si>
  <si>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</si>
  <si>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</si>
  <si>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</si>
  <si>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</si>
  <si>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</si>
  <si>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</si>
  <si>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</si>
  <si>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</si>
  <si>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</si>
  <si>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</si>
  <si>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</si>
  <si>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</si>
  <si>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</si>
  <si>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</si>
  <si>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</si>
  <si>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</si>
  <si>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</si>
  <si>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</si>
  <si>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</si>
  <si>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</si>
  <si>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</si>
  <si>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</si>
  <si>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</si>
  <si>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</si>
  <si>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</si>
  <si>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</si>
  <si>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</si>
  <si>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</si>
  <si>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</si>
  <si>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</si>
  <si>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</si>
  <si>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</si>
  <si>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</si>
  <si>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</si>
  <si>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</si>
  <si>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</si>
  <si>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</si>
  <si>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</si>
  <si>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</si>
  <si>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</si>
  <si>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</si>
  <si>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</si>
  <si>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</si>
  <si>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</si>
  <si>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</si>
  <si>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</si>
  <si>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</si>
  <si>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</si>
  <si>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</si>
  <si>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</si>
  <si>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</si>
  <si>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</si>
  <si>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</si>
  <si>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</si>
  <si>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</si>
  <si>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</si>
  <si>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</si>
  <si>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</si>
  <si>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</si>
  <si>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</si>
  <si>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</si>
  <si>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</si>
  <si>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</si>
  <si>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</si>
  <si>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</si>
  <si>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</si>
  <si>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</si>
  <si>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</si>
  <si>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</si>
  <si>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</si>
  <si>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</si>
  <si>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</si>
  <si>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</si>
  <si>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</si>
  <si>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</si>
  <si>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</si>
  <si>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</si>
  <si>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</si>
  <si>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</si>
  <si>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</si>
  <si>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</si>
  <si>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Johnston County</t>
  </si>
  <si>
    <t>Benson Housing Authority</t>
  </si>
  <si>
    <t>Johnston County A.B.C. Board</t>
  </si>
  <si>
    <t>Johnston County Public Library</t>
  </si>
  <si>
    <t>Archer Lodge, Town Of</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</si>
  <si>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</si>
  <si>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</si>
  <si>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</si>
  <si>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</si>
  <si>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</si>
  <si>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</si>
  <si>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</si>
  <si>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</si>
  <si>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</si>
  <si>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</si>
  <si>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</si>
  <si>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</si>
  <si>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</si>
  <si>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</si>
  <si>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</si>
  <si>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</si>
  <si>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</si>
  <si>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</si>
  <si>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</si>
  <si>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</si>
  <si>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</si>
  <si>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</si>
  <si>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</si>
  <si>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</si>
  <si>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</si>
  <si>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</si>
  <si>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</si>
  <si>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</si>
  <si>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</si>
  <si>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</si>
  <si>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</si>
  <si>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</si>
  <si>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</si>
  <si>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</si>
  <si>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</si>
  <si>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</si>
  <si>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</si>
  <si>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</si>
  <si>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</si>
  <si>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</si>
  <si>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</si>
  <si>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</si>
  <si>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</si>
  <si>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</si>
  <si>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</si>
  <si>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</si>
  <si>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</si>
  <si>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</si>
  <si>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</si>
  <si>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</si>
  <si>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</si>
  <si>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</si>
  <si>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</si>
  <si>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</si>
  <si>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</si>
  <si>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</si>
  <si>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</si>
  <si>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</si>
  <si>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</si>
  <si>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</si>
  <si>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</si>
  <si>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</si>
  <si>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</si>
  <si>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</si>
  <si>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</si>
  <si>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</si>
  <si>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</si>
  <si>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</si>
  <si>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</si>
  <si>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</si>
  <si>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</si>
  <si>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</si>
  <si>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</si>
  <si>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</si>
  <si>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</si>
  <si>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</si>
  <si>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</si>
  <si>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</si>
  <si>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</si>
  <si>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</si>
  <si>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</si>
  <si>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</si>
  <si>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</si>
  <si>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</si>
  <si>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</si>
  <si>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</si>
  <si>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</si>
  <si>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</si>
  <si>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</si>
  <si>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</si>
  <si>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</si>
  <si>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</si>
  <si>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</si>
  <si>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</si>
  <si>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</si>
  <si>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</si>
  <si>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</si>
  <si>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</si>
  <si>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</si>
  <si>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</si>
  <si>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</si>
  <si>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</si>
  <si>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</si>
  <si>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</si>
  <si>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</si>
  <si>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</si>
  <si>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</si>
  <si>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</si>
  <si>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</si>
  <si>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</si>
  <si>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</si>
  <si>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</si>
  <si>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</si>
  <si>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</si>
  <si>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</si>
  <si>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</si>
  <si>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</si>
  <si>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</si>
  <si>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</si>
  <si>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</si>
  <si>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</si>
  <si>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</si>
  <si>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</si>
  <si>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</si>
  <si>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</si>
  <si>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</si>
  <si>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</si>
  <si>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</si>
  <si>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</si>
  <si>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</si>
  <si>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</si>
  <si>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</si>
  <si>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</si>
  <si>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</si>
  <si>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</si>
  <si>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</si>
  <si>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</si>
  <si>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</si>
  <si>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</si>
  <si>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</si>
  <si>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</si>
  <si>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</si>
  <si>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</si>
  <si>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</si>
  <si>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</si>
  <si>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</si>
  <si>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</si>
  <si>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</si>
  <si>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</si>
  <si>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</si>
  <si>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</si>
  <si>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</si>
  <si>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</si>
  <si>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</si>
  <si>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</si>
  <si>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</si>
  <si>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</si>
  <si>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</si>
  <si>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</si>
  <si>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</si>
  <si>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</si>
  <si>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</si>
  <si>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</si>
  <si>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</si>
  <si>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</si>
  <si>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</si>
  <si>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</si>
  <si>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</si>
  <si>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</si>
  <si>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</si>
  <si>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</si>
  <si>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</si>
  <si>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</si>
  <si>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</si>
  <si>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</si>
  <si>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</si>
  <si>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</si>
  <si>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</si>
  <si>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</si>
  <si>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</si>
  <si>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</si>
  <si>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</si>
  <si>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</si>
  <si>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</si>
  <si>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</si>
  <si>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</si>
  <si>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</si>
  <si>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</si>
  <si>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</si>
  <si>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</si>
  <si>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</si>
  <si>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</si>
  <si>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</si>
  <si>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</si>
  <si>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</si>
  <si>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</si>
  <si>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</si>
  <si>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</si>
  <si>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</si>
  <si>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</si>
  <si>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</si>
  <si>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</si>
  <si>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</si>
  <si>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</si>
  <si>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</si>
  <si>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</si>
  <si>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</si>
  <si>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</si>
  <si>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</si>
  <si>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</si>
  <si>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</si>
  <si>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</si>
  <si>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</si>
  <si>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</si>
  <si>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</si>
  <si>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</si>
  <si>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</si>
  <si>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</si>
  <si>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</si>
  <si>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</si>
  <si>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</si>
  <si>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</si>
  <si>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</si>
  <si>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</si>
  <si>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</si>
  <si>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</si>
  <si>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</si>
  <si>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</si>
  <si>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</si>
  <si>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</si>
  <si>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</si>
  <si>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</si>
  <si>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</si>
  <si>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</si>
  <si>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</si>
  <si>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</si>
  <si>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</si>
  <si>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</si>
  <si>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</si>
  <si>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</si>
  <si>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</si>
  <si>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</si>
  <si>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</si>
  <si>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</si>
  <si>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</si>
  <si>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</si>
  <si>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</si>
  <si>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</si>
  <si>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</si>
  <si>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</si>
  <si>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</si>
  <si>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</si>
  <si>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</si>
  <si>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</si>
  <si>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</si>
  <si>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</si>
  <si>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</si>
  <si>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</si>
  <si>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</si>
  <si>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</si>
  <si>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</si>
  <si>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</si>
  <si>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</si>
  <si>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</si>
  <si>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</si>
  <si>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</si>
  <si>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</si>
  <si>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</si>
  <si>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</si>
  <si>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</si>
  <si>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</si>
  <si>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</si>
  <si>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</si>
  <si>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</si>
  <si>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</si>
  <si>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</si>
  <si>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</si>
  <si>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</si>
  <si>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</si>
  <si>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</si>
  <si>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</si>
  <si>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</si>
  <si>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</si>
  <si>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</si>
  <si>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</si>
  <si>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</si>
  <si>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</si>
  <si>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</si>
  <si>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</si>
  <si>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</si>
  <si>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</si>
  <si>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</si>
  <si>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</si>
  <si>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</si>
  <si>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</si>
  <si>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</si>
  <si>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</si>
  <si>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</si>
  <si>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</si>
  <si>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</si>
  <si>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</si>
  <si>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</si>
  <si>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</si>
  <si>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</si>
  <si>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</si>
  <si>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</si>
  <si>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</si>
  <si>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</si>
  <si>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</si>
  <si>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</si>
  <si>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</si>
  <si>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</si>
  <si>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</si>
  <si>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</si>
  <si>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</si>
  <si>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</si>
  <si>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</si>
  <si>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</si>
  <si>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</si>
  <si>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</si>
  <si>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</si>
  <si>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</si>
  <si>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</si>
  <si>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</si>
  <si>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</si>
  <si>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</si>
  <si>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</si>
  <si>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</si>
  <si>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</si>
  <si>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</si>
  <si>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</si>
  <si>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</si>
  <si>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</si>
  <si>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</si>
  <si>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</si>
  <si>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</si>
  <si>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</si>
  <si>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</si>
  <si>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</si>
  <si>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</si>
  <si>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</si>
  <si>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</si>
  <si>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</si>
  <si>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</si>
  <si>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</si>
  <si>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</si>
  <si>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</si>
  <si>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</si>
  <si>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</si>
  <si>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</si>
  <si>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</si>
  <si>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</si>
  <si>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</si>
  <si>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</si>
  <si>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</si>
  <si>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</si>
  <si>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</si>
  <si>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</si>
  <si>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</si>
  <si>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</si>
  <si>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</si>
  <si>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</si>
  <si>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</si>
  <si>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</si>
  <si>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</si>
  <si>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</si>
  <si>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</si>
  <si>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</si>
  <si>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</si>
  <si>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</si>
  <si>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</si>
  <si>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</si>
  <si>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</si>
  <si>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</si>
  <si>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</si>
  <si>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</si>
  <si>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</si>
  <si>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</si>
  <si>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</si>
  <si>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</si>
  <si>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</si>
  <si>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</si>
  <si>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</si>
  <si>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</si>
  <si>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</si>
  <si>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</si>
  <si>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</si>
  <si>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</si>
  <si>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</si>
  <si>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</si>
  <si>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</si>
  <si>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</si>
  <si>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</si>
  <si>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</si>
  <si>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</si>
  <si>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</si>
  <si>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</si>
  <si>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</si>
  <si>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</si>
  <si>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</si>
  <si>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</si>
  <si>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</si>
  <si>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</si>
  <si>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</si>
  <si>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</si>
  <si>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</si>
  <si>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</si>
  <si>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</si>
  <si>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</si>
  <si>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</si>
  <si>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</si>
  <si>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</si>
  <si>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</si>
  <si>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</si>
  <si>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</si>
  <si>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</si>
  <si>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GASB 68 Entries - LGERS</t>
  </si>
  <si>
    <t>Agency Name (select from drop-down list)</t>
  </si>
  <si>
    <t>Net Pension Liability</t>
  </si>
  <si>
    <t>debit</t>
  </si>
  <si>
    <t>credit</t>
  </si>
  <si>
    <t>Deferred Outflow - Measurement Period Contributions</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</si>
  <si>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</si>
  <si>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</si>
  <si>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County Name</t>
  </si>
  <si>
    <t>GASB 68 Entries - ROD</t>
  </si>
  <si>
    <t>Select your county from the drop down list in the highlighted cell.</t>
  </si>
  <si>
    <r>
      <t xml:space="preserve">Entry for Conversion worksheet to record proportionate share of net pensions liability, pension expense, and deferred outflows and deferred inflows of resources related to pensions.  (Entry </t>
    </r>
    <r>
      <rPr>
        <b/>
        <sz val="10"/>
        <rFont val="Times New Roman"/>
        <family val="1"/>
      </rPr>
      <t>N2</t>
    </r>
    <r>
      <rPr>
        <b/>
        <sz val="10"/>
        <rFont val="Arial"/>
        <family val="2"/>
      </rPr>
      <t>)</t>
    </r>
  </si>
  <si>
    <t>GASB 68 Entries - FRSWPF</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</si>
  <si>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</si>
  <si>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</si>
  <si>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N3</t>
    </r>
    <r>
      <rPr>
        <b/>
        <sz val="10"/>
        <rFont val="Arial"/>
        <family val="2"/>
      </rPr>
      <t>)</t>
    </r>
  </si>
  <si>
    <t>Pensions - Current Year Contributions</t>
  </si>
  <si>
    <t>Deferred Outflows for LGERS pension contributions made during the year.</t>
  </si>
  <si>
    <t>What is the allocation percentage for governmental activities?</t>
  </si>
  <si>
    <t>Deferred Outflows for ROD pension contributions made during the year.</t>
  </si>
  <si>
    <t>Deferred outflows - pensions</t>
  </si>
  <si>
    <t>N.1</t>
  </si>
  <si>
    <t>N.2</t>
  </si>
  <si>
    <t>N.3</t>
  </si>
  <si>
    <t>Enterprise Funds - pension allocation percentage</t>
  </si>
  <si>
    <t>Total (should = 100%)</t>
  </si>
  <si>
    <t>General Government allocation percentage</t>
  </si>
  <si>
    <t>Public Safety allocation percentage</t>
  </si>
  <si>
    <t>Transportation allocation percentage</t>
  </si>
  <si>
    <t>Economic and Physical Development allocation percentage</t>
  </si>
  <si>
    <t>Enviromental Protection allocation percentage</t>
  </si>
  <si>
    <t>Human Services allocation percentage</t>
  </si>
  <si>
    <t>Cultural and Recreation allocation percentage</t>
  </si>
  <si>
    <t>Education allocation percentage</t>
  </si>
  <si>
    <t>Other program 1 allocation percentage</t>
  </si>
  <si>
    <t>(percentages entered in this section should be percentages of the whole government, not percentages of the Governmental Activities)</t>
  </si>
  <si>
    <t>Total (should = Governmental Activities Allocation)</t>
  </si>
  <si>
    <t>Pension Expense - Governmental Activities</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</si>
  <si>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</si>
  <si>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</si>
  <si>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</si>
  <si>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</si>
  <si>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</si>
  <si>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</si>
  <si>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Working Subtotal</t>
  </si>
  <si>
    <t>Work Section for Conversion entry N1</t>
  </si>
  <si>
    <t>Work Section for Conversion entry N2</t>
  </si>
  <si>
    <t>Enter the appropriate allocations</t>
  </si>
  <si>
    <t>Entry to reclassify out of pension expense and into deferred outflows - pensions</t>
  </si>
  <si>
    <t>From J</t>
  </si>
  <si>
    <t>Enter the number of your FRSWPF plan eligible employees for the current fiscal year</t>
  </si>
  <si>
    <t>Current fiscal year FRSWPF eligible employees</t>
  </si>
  <si>
    <t>Current fiscal year FRSWPF pension expense per eligible employee</t>
  </si>
  <si>
    <t>K. 1-3</t>
  </si>
  <si>
    <t xml:space="preserve">Contributions made to the LGERS pension plan on the full accrual basis subsequent to the measurement date are presented as deferred outflows of resources.  The contributions made for the current fiscal year should be allocated among all applicable functions or departments.  </t>
  </si>
  <si>
    <t>What is the amount of contributions made to LGERS for the curernt fiscal year?</t>
  </si>
  <si>
    <t>What is the amount of contributions made to ROD in the current fiscal year?</t>
  </si>
  <si>
    <t xml:space="preserve">What is the addition to the LEO net pension obligation for the year?   </t>
  </si>
  <si>
    <t>Mebane</t>
  </si>
  <si>
    <t>Additional Agency Name (if applicable)</t>
  </si>
  <si>
    <t>No additional agency chosen</t>
  </si>
  <si>
    <t>Current Proportional Share</t>
  </si>
  <si>
    <t>Prior Proportional Share</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</si>
  <si>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</si>
  <si>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</si>
  <si>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</si>
  <si>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</si>
  <si>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</si>
  <si>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</si>
  <si>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</si>
  <si>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</si>
  <si>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Net Pension Asset</t>
  </si>
  <si>
    <t>Deferred Outlfow - Net Difference Between Projected and Actual Investment Earnings on Plan Investments - All Years</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</si>
  <si>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</si>
  <si>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</si>
  <si>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</si>
  <si>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</si>
  <si>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</si>
  <si>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</si>
  <si>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</si>
  <si>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</si>
  <si>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</si>
  <si>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</si>
  <si>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</si>
  <si>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</si>
  <si>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</si>
  <si>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</si>
  <si>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</si>
  <si>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</si>
  <si>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</si>
  <si>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</si>
  <si>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</si>
  <si>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</si>
  <si>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</si>
  <si>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</si>
  <si>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</si>
  <si>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</si>
  <si>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</si>
  <si>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</si>
  <si>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</si>
  <si>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</si>
  <si>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</si>
  <si>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</si>
  <si>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</si>
  <si>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</si>
  <si>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</si>
  <si>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</si>
  <si>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</si>
  <si>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</si>
  <si>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</si>
  <si>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</si>
  <si>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</si>
  <si>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</si>
  <si>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</si>
  <si>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</si>
  <si>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Springs</t>
  </si>
  <si>
    <t>Bolton</t>
  </si>
  <si>
    <t>Boone</t>
  </si>
  <si>
    <t>Boonville</t>
  </si>
  <si>
    <t>Brevard</t>
  </si>
  <si>
    <t>Bridgeton</t>
  </si>
  <si>
    <t>Broadway</t>
  </si>
  <si>
    <t>Brookford</t>
  </si>
  <si>
    <t>Brunswick</t>
  </si>
  <si>
    <t>Bryson City</t>
  </si>
  <si>
    <t>Bunn</t>
  </si>
  <si>
    <t>Burgaw</t>
  </si>
  <si>
    <t>Burlington</t>
  </si>
  <si>
    <t>Burnsville</t>
  </si>
  <si>
    <t>Butner</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</si>
  <si>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</si>
  <si>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</si>
  <si>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</si>
  <si>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</si>
  <si>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</si>
  <si>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</si>
  <si>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</si>
  <si>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</si>
  <si>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</si>
  <si>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</si>
  <si>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</si>
  <si>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</si>
  <si>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</si>
  <si>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</si>
  <si>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</si>
  <si>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</si>
  <si>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</si>
  <si>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</si>
  <si>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</si>
  <si>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</si>
  <si>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</si>
  <si>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</si>
  <si>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</si>
  <si>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</si>
  <si>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</si>
  <si>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</si>
  <si>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</si>
  <si>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</si>
  <si>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</si>
  <si>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</si>
  <si>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</si>
  <si>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</si>
  <si>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</si>
  <si>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</si>
  <si>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</si>
  <si>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</si>
  <si>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</si>
  <si>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</si>
  <si>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</si>
  <si>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</si>
  <si>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</si>
  <si>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</si>
  <si>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</si>
  <si>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</si>
  <si>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</si>
  <si>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</si>
  <si>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</si>
  <si>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</si>
  <si>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</si>
  <si>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</si>
  <si>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</si>
  <si>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</si>
  <si>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</si>
  <si>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</si>
  <si>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</si>
  <si>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</si>
  <si>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</si>
  <si>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</si>
  <si>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</si>
  <si>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</si>
  <si>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</si>
  <si>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Emerald Isle</t>
  </si>
  <si>
    <t>Enfield</t>
  </si>
  <si>
    <t>Erwin</t>
  </si>
  <si>
    <t>Fair Bluff</t>
  </si>
  <si>
    <t>Fairmont</t>
  </si>
  <si>
    <t>Faison</t>
  </si>
  <si>
    <t>Faith</t>
  </si>
  <si>
    <t>Falcon</t>
  </si>
  <si>
    <t>Farmville</t>
  </si>
  <si>
    <t>Fayetteville</t>
  </si>
  <si>
    <t>Flat Rock</t>
  </si>
  <si>
    <t>Fletcher</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</si>
  <si>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</si>
  <si>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</si>
  <si>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</si>
  <si>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</si>
  <si>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</si>
  <si>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</si>
  <si>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</si>
  <si>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</si>
  <si>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</si>
  <si>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</si>
  <si>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</si>
  <si>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</si>
  <si>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</si>
  <si>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</si>
  <si>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</si>
  <si>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</si>
  <si>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</si>
  <si>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</si>
  <si>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</si>
  <si>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</si>
  <si>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</si>
  <si>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</si>
  <si>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</si>
  <si>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</si>
  <si>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</si>
  <si>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</si>
  <si>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</si>
  <si>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</si>
  <si>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</si>
  <si>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</si>
  <si>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</si>
  <si>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</si>
  <si>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</si>
  <si>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Highlands</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</si>
  <si>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</si>
  <si>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</si>
  <si>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</si>
  <si>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</si>
  <si>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</si>
  <si>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</si>
  <si>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</si>
  <si>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</si>
  <si>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</si>
  <si>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</si>
  <si>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</si>
  <si>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</si>
  <si>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</si>
  <si>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</si>
  <si>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</si>
  <si>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</si>
  <si>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</si>
  <si>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</si>
  <si>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</si>
  <si>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</si>
  <si>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</si>
  <si>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</si>
  <si>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</si>
  <si>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Kinston</t>
  </si>
  <si>
    <t>Kitty Hawk</t>
  </si>
  <si>
    <t>Knightdale</t>
  </si>
  <si>
    <t>Kure Beach</t>
  </si>
  <si>
    <t>Lagrange</t>
  </si>
  <si>
    <t>Lake Lure</t>
  </si>
  <si>
    <t>Landis</t>
  </si>
  <si>
    <t>Laurel Park</t>
  </si>
  <si>
    <t>Laurinburg</t>
  </si>
  <si>
    <t>Lawndale</t>
  </si>
  <si>
    <t>Leland</t>
  </si>
  <si>
    <t>Lenoir</t>
  </si>
  <si>
    <t>Lewisville</t>
  </si>
  <si>
    <t>Lexington</t>
  </si>
  <si>
    <t>Liberty</t>
  </si>
  <si>
    <t>Lilesville</t>
  </si>
  <si>
    <t>Lillington</t>
  </si>
  <si>
    <t>Lincolnton</t>
  </si>
  <si>
    <t>Linden</t>
  </si>
  <si>
    <t>Littleton</t>
  </si>
  <si>
    <t>Locust</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</si>
  <si>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</si>
  <si>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</si>
  <si>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</si>
  <si>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</si>
  <si>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</si>
  <si>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</si>
  <si>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</si>
  <si>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</si>
  <si>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</si>
  <si>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</si>
  <si>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</si>
  <si>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</si>
  <si>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</si>
  <si>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</si>
  <si>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</si>
  <si>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</si>
  <si>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</si>
  <si>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</si>
  <si>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</si>
  <si>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</si>
  <si>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</si>
  <si>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</si>
  <si>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</si>
  <si>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</si>
  <si>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</si>
  <si>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</si>
  <si>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</si>
  <si>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</si>
  <si>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</si>
  <si>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</si>
  <si>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</si>
  <si>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</si>
  <si>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</si>
  <si>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</si>
  <si>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</si>
  <si>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</si>
  <si>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Gilead</t>
  </si>
  <si>
    <t>Mount Olive</t>
  </si>
  <si>
    <t>Mount Pleasant</t>
  </si>
  <si>
    <t>Murfreesboro</t>
  </si>
  <si>
    <t>Murphy</t>
  </si>
  <si>
    <t>Nags Head</t>
  </si>
  <si>
    <t>Nashville</t>
  </si>
  <si>
    <t>Navassa</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</si>
  <si>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</si>
  <si>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</si>
  <si>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</si>
  <si>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</si>
  <si>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</si>
  <si>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</si>
  <si>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</si>
  <si>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</si>
  <si>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</si>
  <si>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</si>
  <si>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</si>
  <si>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</si>
  <si>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</si>
  <si>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</si>
  <si>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</si>
  <si>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</si>
  <si>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</si>
  <si>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</si>
  <si>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</si>
  <si>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</si>
  <si>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</si>
  <si>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</si>
  <si>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</si>
  <si>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</si>
  <si>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</si>
  <si>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</si>
  <si>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</si>
  <si>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</si>
  <si>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</si>
  <si>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</si>
  <si>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</si>
  <si>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</si>
  <si>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</si>
  <si>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</si>
  <si>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</si>
  <si>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</si>
  <si>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</si>
  <si>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</si>
  <si>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</si>
  <si>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</si>
  <si>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</si>
  <si>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</si>
  <si>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</si>
  <si>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</si>
  <si>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Robbins</t>
  </si>
  <si>
    <t>Robbinsville</t>
  </si>
  <si>
    <t>Robersonville</t>
  </si>
  <si>
    <t>Rockingham</t>
  </si>
  <si>
    <t>Rockwell</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</si>
  <si>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</si>
  <si>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</si>
  <si>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</si>
  <si>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</si>
  <si>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</si>
  <si>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</si>
  <si>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</si>
  <si>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</si>
  <si>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</si>
  <si>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</si>
  <si>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</si>
  <si>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</si>
  <si>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</si>
  <si>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</si>
  <si>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</si>
  <si>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</si>
  <si>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</si>
  <si>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</si>
  <si>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</si>
  <si>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</si>
  <si>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</si>
  <si>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</si>
  <si>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</si>
  <si>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</si>
  <si>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</si>
  <si>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</si>
  <si>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</si>
  <si>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</si>
  <si>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</si>
  <si>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</si>
  <si>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</si>
  <si>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</si>
  <si>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</si>
  <si>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</si>
  <si>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</si>
  <si>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</si>
  <si>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</si>
  <si>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</si>
  <si>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</si>
  <si>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</si>
  <si>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</si>
  <si>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</si>
  <si>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</si>
  <si>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</si>
  <si>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</si>
  <si>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</si>
  <si>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</si>
  <si>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</si>
  <si>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</si>
  <si>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</si>
  <si>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</si>
  <si>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</si>
  <si>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</si>
  <si>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</si>
  <si>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</si>
  <si>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</si>
  <si>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</si>
  <si>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</si>
  <si>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</si>
  <si>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</si>
  <si>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</si>
  <si>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</si>
  <si>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</si>
  <si>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</si>
  <si>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</si>
  <si>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</si>
  <si>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</si>
  <si>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</si>
  <si>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</si>
  <si>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</si>
  <si>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</si>
  <si>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</si>
  <si>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</si>
  <si>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</si>
  <si>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</si>
  <si>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</si>
  <si>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</si>
  <si>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</si>
  <si>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</si>
  <si>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</si>
  <si>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</si>
  <si>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</si>
  <si>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</si>
  <si>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</si>
  <si>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</si>
  <si>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</si>
  <si>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</si>
  <si>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</si>
  <si>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</si>
  <si>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</si>
  <si>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</si>
  <si>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</si>
  <si>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</si>
  <si>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</si>
  <si>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</si>
  <si>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</si>
  <si>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</si>
  <si>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Windsor</t>
  </si>
  <si>
    <t>Winfall</t>
  </si>
  <si>
    <t>Wingate</t>
  </si>
  <si>
    <t>Winston-Salem</t>
  </si>
  <si>
    <t>Winterville</t>
  </si>
  <si>
    <t>Winton</t>
  </si>
  <si>
    <t>Woodfin</t>
  </si>
  <si>
    <t>Woodland</t>
  </si>
  <si>
    <t>Wrightsville Beach</t>
  </si>
  <si>
    <t>Yadkinville</t>
  </si>
  <si>
    <t>Yanceyville</t>
  </si>
  <si>
    <t>Youngsville</t>
  </si>
  <si>
    <t>Zebulon</t>
  </si>
  <si>
    <t>YADKIN</t>
  </si>
  <si>
    <t>COUNTY</t>
  </si>
  <si>
    <t>CY Contributions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</si>
  <si>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</si>
  <si>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</si>
  <si>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</si>
  <si>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</si>
  <si>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</si>
  <si>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</si>
  <si>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</si>
  <si>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</si>
  <si>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</si>
  <si>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</si>
  <si>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</si>
  <si>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</si>
  <si>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</si>
  <si>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</si>
  <si>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</si>
  <si>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</si>
  <si>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</si>
  <si>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</si>
  <si>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</si>
  <si>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</si>
  <si>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</si>
  <si>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</si>
  <si>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</si>
  <si>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</si>
  <si>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</si>
  <si>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</si>
  <si>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</si>
  <si>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</si>
  <si>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</si>
  <si>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</si>
  <si>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</si>
  <si>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</si>
  <si>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</si>
  <si>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</si>
  <si>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</si>
  <si>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</si>
  <si>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</si>
  <si>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</si>
  <si>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</si>
  <si>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</si>
  <si>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</si>
  <si>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</si>
  <si>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</si>
  <si>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 CO</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</si>
  <si>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</si>
  <si>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</si>
  <si>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</si>
  <si>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</si>
  <si>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</si>
  <si>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</si>
  <si>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</si>
  <si>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</si>
  <si>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</si>
  <si>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</si>
  <si>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</si>
  <si>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</si>
  <si>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</si>
  <si>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</si>
  <si>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</si>
  <si>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</si>
  <si>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</si>
  <si>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</si>
  <si>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</si>
  <si>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</si>
  <si>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</si>
  <si>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</si>
  <si>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</si>
  <si>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</si>
  <si>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</si>
  <si>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</si>
  <si>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</si>
  <si>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</si>
  <si>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</si>
  <si>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</si>
  <si>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</si>
  <si>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</si>
  <si>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</si>
  <si>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</si>
  <si>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</si>
  <si>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</si>
  <si>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</si>
  <si>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</si>
  <si>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</si>
  <si>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</si>
  <si>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</si>
  <si>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</si>
  <si>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</si>
  <si>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</si>
  <si>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</si>
  <si>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</si>
  <si>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</si>
  <si>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</si>
  <si>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</si>
  <si>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</si>
  <si>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</si>
  <si>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</si>
  <si>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</si>
  <si>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</si>
  <si>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YANCEY</t>
  </si>
  <si>
    <t>Net pension asset - LGERS</t>
  </si>
  <si>
    <t>Net pension asset - ROD</t>
  </si>
  <si>
    <t>Net pension liability - LGERS</t>
  </si>
  <si>
    <t>Net pension obligation - LEO</t>
  </si>
  <si>
    <t>Deferred outflows - pensions - ROD</t>
  </si>
  <si>
    <t>Deferred outflows - pensions - LGERS</t>
  </si>
  <si>
    <t>Adjustment to Beginning Fund Equity for Pension Accts</t>
  </si>
  <si>
    <t>Capital Assets, Long-term Debt</t>
  </si>
  <si>
    <t>Carolina County</t>
  </si>
  <si>
    <t>9xxxy</t>
  </si>
  <si>
    <t>CAROLINA COUNTY</t>
  </si>
  <si>
    <t>Net Pension obligation (LEO)</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</si>
  <si>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</si>
  <si>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</si>
  <si>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</si>
  <si>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</si>
  <si>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</si>
  <si>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</si>
  <si>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</si>
  <si>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</si>
  <si>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</si>
  <si>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</si>
  <si>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</si>
  <si>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</si>
  <si>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</si>
  <si>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</si>
  <si>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</si>
  <si>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</si>
  <si>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</si>
  <si>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</si>
  <si>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</si>
  <si>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</si>
  <si>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</si>
  <si>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</si>
  <si>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</si>
  <si>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</si>
  <si>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</si>
  <si>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</si>
  <si>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</si>
  <si>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</si>
  <si>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</si>
  <si>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</si>
  <si>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</si>
  <si>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</si>
  <si>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</si>
  <si>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</si>
  <si>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</si>
  <si>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</si>
  <si>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</si>
  <si>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</si>
  <si>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</si>
  <si>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</si>
  <si>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</si>
  <si>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</si>
  <si>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</si>
  <si>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</si>
  <si>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</si>
  <si>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</si>
  <si>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</si>
  <si>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</si>
  <si>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</si>
  <si>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</si>
  <si>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</si>
  <si>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</si>
  <si>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</si>
  <si>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</si>
  <si>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</si>
  <si>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</si>
  <si>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</si>
  <si>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</si>
  <si>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</si>
  <si>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</si>
  <si>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</si>
  <si>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</si>
  <si>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</si>
  <si>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</si>
  <si>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</si>
  <si>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</si>
  <si>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</si>
  <si>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</si>
  <si>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</si>
  <si>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</si>
  <si>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</si>
  <si>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</si>
  <si>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</si>
  <si>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</si>
  <si>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</si>
  <si>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</si>
  <si>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</si>
  <si>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</si>
  <si>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</si>
  <si>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</si>
  <si>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</si>
  <si>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</si>
  <si>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</si>
  <si>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</si>
  <si>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</si>
  <si>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</si>
  <si>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</si>
  <si>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</si>
  <si>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</si>
  <si>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</si>
  <si>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</si>
  <si>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</si>
  <si>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</si>
  <si>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</si>
  <si>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</si>
  <si>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</si>
  <si>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</si>
  <si>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</si>
  <si>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</si>
  <si>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</si>
  <si>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</si>
  <si>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</si>
  <si>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</si>
  <si>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</si>
  <si>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</si>
  <si>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</si>
  <si>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</si>
  <si>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</si>
  <si>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</si>
  <si>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</si>
  <si>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</si>
  <si>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</si>
  <si>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</si>
  <si>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</si>
  <si>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</si>
  <si>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</si>
  <si>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</si>
  <si>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</si>
  <si>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</si>
  <si>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</si>
  <si>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</si>
  <si>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</si>
  <si>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</si>
  <si>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</si>
  <si>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</si>
  <si>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</si>
  <si>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</si>
  <si>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</si>
  <si>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</si>
  <si>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</si>
  <si>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</si>
  <si>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</si>
  <si>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</si>
  <si>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</si>
  <si>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</si>
  <si>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</si>
  <si>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</si>
  <si>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</si>
  <si>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</si>
  <si>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</si>
  <si>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</si>
  <si>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</si>
  <si>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</si>
  <si>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</si>
  <si>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</si>
  <si>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</si>
  <si>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</si>
  <si>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</si>
  <si>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</si>
  <si>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</si>
  <si>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</si>
  <si>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</si>
  <si>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</si>
  <si>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</si>
  <si>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</si>
  <si>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</si>
  <si>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</si>
  <si>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</si>
  <si>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</si>
  <si>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</si>
  <si>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</si>
  <si>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</si>
  <si>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</si>
  <si>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</si>
  <si>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</si>
  <si>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</si>
  <si>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</si>
  <si>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</si>
  <si>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</si>
  <si>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</si>
  <si>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</si>
  <si>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</si>
  <si>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</si>
  <si>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</si>
  <si>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</si>
  <si>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</si>
  <si>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</si>
  <si>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</si>
  <si>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</si>
  <si>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</si>
  <si>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</si>
  <si>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</si>
  <si>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</si>
  <si>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</si>
  <si>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</si>
  <si>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</si>
  <si>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</si>
  <si>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</si>
  <si>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</si>
  <si>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</si>
  <si>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</si>
  <si>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</si>
  <si>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</si>
  <si>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</si>
  <si>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</si>
  <si>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</si>
  <si>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</si>
  <si>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</si>
  <si>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</si>
  <si>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</si>
  <si>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</si>
  <si>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</si>
  <si>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</si>
  <si>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</si>
  <si>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</si>
  <si>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</si>
  <si>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</si>
  <si>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</si>
  <si>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</si>
  <si>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</si>
  <si>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</si>
  <si>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</si>
  <si>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</si>
  <si>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</si>
  <si>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</si>
  <si>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</si>
  <si>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</si>
  <si>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</si>
  <si>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</si>
  <si>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</si>
  <si>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</si>
  <si>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</si>
  <si>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</si>
  <si>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</si>
  <si>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</si>
  <si>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</si>
  <si>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</si>
  <si>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</si>
  <si>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</si>
  <si>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</si>
  <si>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</si>
  <si>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</si>
  <si>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</si>
  <si>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</si>
  <si>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</si>
  <si>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</si>
  <si>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</si>
  <si>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</si>
  <si>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</si>
  <si>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</si>
  <si>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</si>
  <si>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</si>
  <si>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</si>
  <si>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</si>
  <si>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</si>
  <si>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</si>
  <si>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</si>
  <si>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</si>
  <si>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</si>
  <si>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</si>
  <si>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</si>
  <si>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</si>
  <si>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</si>
  <si>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</si>
  <si>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</si>
  <si>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</si>
  <si>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</si>
  <si>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</si>
  <si>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</si>
  <si>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</si>
  <si>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</si>
  <si>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</si>
  <si>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</si>
  <si>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</si>
  <si>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</si>
  <si>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</si>
  <si>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</si>
  <si>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</si>
  <si>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</si>
  <si>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</si>
  <si>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</si>
  <si>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</si>
  <si>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</si>
  <si>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</si>
  <si>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</si>
  <si>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</si>
  <si>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</si>
  <si>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</si>
  <si>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</si>
  <si>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</si>
  <si>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</si>
  <si>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</si>
  <si>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</si>
  <si>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</si>
  <si>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</si>
  <si>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</si>
  <si>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</si>
  <si>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</si>
  <si>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</si>
  <si>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</si>
  <si>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</si>
  <si>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</si>
  <si>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</si>
  <si>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</si>
  <si>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</si>
  <si>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</si>
  <si>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</si>
  <si>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</si>
  <si>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</si>
  <si>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</si>
  <si>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</si>
  <si>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</si>
  <si>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</si>
  <si>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</si>
  <si>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</si>
  <si>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</si>
  <si>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</si>
  <si>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</si>
  <si>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</si>
  <si>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</si>
  <si>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</si>
  <si>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</si>
  <si>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</si>
  <si>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</si>
  <si>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</si>
  <si>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</si>
  <si>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</si>
  <si>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</si>
  <si>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</si>
  <si>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</si>
  <si>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</si>
  <si>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</si>
  <si>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</si>
  <si>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</si>
  <si>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</si>
  <si>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</si>
  <si>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</si>
  <si>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</si>
  <si>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</si>
  <si>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</si>
  <si>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</si>
  <si>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</si>
  <si>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</si>
  <si>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</si>
  <si>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</si>
  <si>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</si>
  <si>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</si>
  <si>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</si>
  <si>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</si>
  <si>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</si>
  <si>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</si>
  <si>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</si>
  <si>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</si>
  <si>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</si>
  <si>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</si>
  <si>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</si>
  <si>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</si>
  <si>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</si>
  <si>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</si>
  <si>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</si>
  <si>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</si>
  <si>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</si>
  <si>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</si>
  <si>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</si>
  <si>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</si>
  <si>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</si>
  <si>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</si>
  <si>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</si>
  <si>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</si>
  <si>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</si>
  <si>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</si>
  <si>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</si>
  <si>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</si>
  <si>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</si>
  <si>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</si>
  <si>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</si>
  <si>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</si>
  <si>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</si>
  <si>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</si>
  <si>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</si>
  <si>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</si>
  <si>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</si>
  <si>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</si>
  <si>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</si>
  <si>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</si>
  <si>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</si>
  <si>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</si>
  <si>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</si>
  <si>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</si>
  <si>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</si>
  <si>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</si>
  <si>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</si>
  <si>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</si>
  <si>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</si>
  <si>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</si>
  <si>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</si>
  <si>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</si>
  <si>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</si>
  <si>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</si>
  <si>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</si>
  <si>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</si>
  <si>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</si>
  <si>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</si>
  <si>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</si>
  <si>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</si>
  <si>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</si>
  <si>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</si>
  <si>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</si>
  <si>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</si>
  <si>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</si>
  <si>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</si>
  <si>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</si>
  <si>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</si>
  <si>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</si>
  <si>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</si>
  <si>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</si>
  <si>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</si>
  <si>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</si>
  <si>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</si>
  <si>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</si>
  <si>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</si>
  <si>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</si>
  <si>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</si>
  <si>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</si>
  <si>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</si>
  <si>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</si>
  <si>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</si>
  <si>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</si>
  <si>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</si>
  <si>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</si>
  <si>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</si>
  <si>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</si>
  <si>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</si>
  <si>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</si>
  <si>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</si>
  <si>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</si>
  <si>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</si>
  <si>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</si>
  <si>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</si>
  <si>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</si>
  <si>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</si>
  <si>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</si>
  <si>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</si>
  <si>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</si>
  <si>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</si>
  <si>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</si>
  <si>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</si>
  <si>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</si>
  <si>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</si>
  <si>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</si>
  <si>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</si>
  <si>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</si>
  <si>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</si>
  <si>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</si>
  <si>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</si>
  <si>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</si>
  <si>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</si>
  <si>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</si>
  <si>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</si>
  <si>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</si>
  <si>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</si>
  <si>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</si>
  <si>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</si>
  <si>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</si>
  <si>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</si>
  <si>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</si>
  <si>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</si>
  <si>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</si>
  <si>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</si>
  <si>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</si>
  <si>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</si>
  <si>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</si>
  <si>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</si>
  <si>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</si>
  <si>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</si>
  <si>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</si>
  <si>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</si>
  <si>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</si>
  <si>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</si>
  <si>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</si>
  <si>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</si>
  <si>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</si>
  <si>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</si>
  <si>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</si>
  <si>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</si>
  <si>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</si>
  <si>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</si>
  <si>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</si>
  <si>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</si>
  <si>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</si>
  <si>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</si>
  <si>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</si>
  <si>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</si>
  <si>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</si>
  <si>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</si>
  <si>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</si>
  <si>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</si>
  <si>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</si>
  <si>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</si>
  <si>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</si>
  <si>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</si>
  <si>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</si>
  <si>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</si>
  <si>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</si>
  <si>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</si>
  <si>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</si>
  <si>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</si>
  <si>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</si>
  <si>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</si>
  <si>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</si>
  <si>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</si>
  <si>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</si>
  <si>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</si>
  <si>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</si>
  <si>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</si>
  <si>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</si>
  <si>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</si>
  <si>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</si>
  <si>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</si>
  <si>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</si>
  <si>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</si>
  <si>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</si>
  <si>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</si>
  <si>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</si>
  <si>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</si>
  <si>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</si>
  <si>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</si>
  <si>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</si>
  <si>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</si>
  <si>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</si>
  <si>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</si>
  <si>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</si>
  <si>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</si>
  <si>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</si>
  <si>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</si>
  <si>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</si>
  <si>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</si>
  <si>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</si>
  <si>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</si>
  <si>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</si>
  <si>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</si>
  <si>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</si>
  <si>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</si>
  <si>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</si>
  <si>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</si>
  <si>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</si>
  <si>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</si>
  <si>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</si>
  <si>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</si>
  <si>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</si>
  <si>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</si>
  <si>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</si>
  <si>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</si>
  <si>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</si>
  <si>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</si>
  <si>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</si>
  <si>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</si>
  <si>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</si>
  <si>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</si>
  <si>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</si>
  <si>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</si>
  <si>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</si>
  <si>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</si>
  <si>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</si>
  <si>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</si>
  <si>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</si>
  <si>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</si>
  <si>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</si>
  <si>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</si>
  <si>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</si>
  <si>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</si>
  <si>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</si>
  <si>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</si>
  <si>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</si>
  <si>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</si>
  <si>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</si>
  <si>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</si>
  <si>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</si>
  <si>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</si>
  <si>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</si>
  <si>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</si>
  <si>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</si>
  <si>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</si>
  <si>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</si>
  <si>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</si>
  <si>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</si>
  <si>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</si>
  <si>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</si>
  <si>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</si>
  <si>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</si>
  <si>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</si>
  <si>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</si>
  <si>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</si>
  <si>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</si>
  <si>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</si>
  <si>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</si>
  <si>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</si>
  <si>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</si>
  <si>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</si>
  <si>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</si>
  <si>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</si>
  <si>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</si>
  <si>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</si>
  <si>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</si>
  <si>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</si>
  <si>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</si>
  <si>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</si>
  <si>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</si>
  <si>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</si>
  <si>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</si>
  <si>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</si>
  <si>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</si>
  <si>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</si>
  <si>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</si>
  <si>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</si>
  <si>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</si>
  <si>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</si>
  <si>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</si>
  <si>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</si>
  <si>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</si>
  <si>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</si>
  <si>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</si>
  <si>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</si>
  <si>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</si>
  <si>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</si>
  <si>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</si>
  <si>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</si>
  <si>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</si>
  <si>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</si>
  <si>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</si>
  <si>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</si>
  <si>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</si>
  <si>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</si>
  <si>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</si>
  <si>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</si>
  <si>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</si>
  <si>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</si>
  <si>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</si>
  <si>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</si>
  <si>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</si>
  <si>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</si>
  <si>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</si>
  <si>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</si>
  <si>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</si>
  <si>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</si>
  <si>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</si>
  <si>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</si>
  <si>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</si>
  <si>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</si>
  <si>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</si>
  <si>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</si>
  <si>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</si>
  <si>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</si>
  <si>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</si>
  <si>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</si>
  <si>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</si>
  <si>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</si>
  <si>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</si>
  <si>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</si>
  <si>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</si>
  <si>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</si>
  <si>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</si>
  <si>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</si>
  <si>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</si>
  <si>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</si>
  <si>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</si>
  <si>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</si>
  <si>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</si>
  <si>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</si>
  <si>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</si>
  <si>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</si>
  <si>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</si>
  <si>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</si>
  <si>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</si>
  <si>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</si>
  <si>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</si>
  <si>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</si>
  <si>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</si>
  <si>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</si>
  <si>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</si>
  <si>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</si>
  <si>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</si>
  <si>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</si>
  <si>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</si>
  <si>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</si>
  <si>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</si>
  <si>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</si>
  <si>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</si>
  <si>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</si>
  <si>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</si>
  <si>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</si>
  <si>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</si>
  <si>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</si>
  <si>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</si>
  <si>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</si>
  <si>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</si>
  <si>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</si>
  <si>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</si>
  <si>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</si>
  <si>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</si>
  <si>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</si>
  <si>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</si>
  <si>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</si>
  <si>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</si>
  <si>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</si>
  <si>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</si>
  <si>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</si>
  <si>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</si>
  <si>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</si>
  <si>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</si>
  <si>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</si>
  <si>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</si>
  <si>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</si>
  <si>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</si>
  <si>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</si>
  <si>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</si>
  <si>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</si>
  <si>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</si>
  <si>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</si>
  <si>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</si>
  <si>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</si>
  <si>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</si>
  <si>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</si>
  <si>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</si>
  <si>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</si>
  <si>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</si>
  <si>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</si>
  <si>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</si>
  <si>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</si>
  <si>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</si>
  <si>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</si>
  <si>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</si>
  <si>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</si>
  <si>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</si>
  <si>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</si>
  <si>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</si>
  <si>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</si>
  <si>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</si>
  <si>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</si>
  <si>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</si>
  <si>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</si>
  <si>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</si>
  <si>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</si>
  <si>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</si>
  <si>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</si>
  <si>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</si>
  <si>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</si>
  <si>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</si>
  <si>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</si>
  <si>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</si>
  <si>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</si>
  <si>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</si>
  <si>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</si>
  <si>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</si>
  <si>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</si>
  <si>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</si>
  <si>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</si>
  <si>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</si>
  <si>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</si>
  <si>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</si>
  <si>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</si>
  <si>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</si>
  <si>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</si>
  <si>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</si>
  <si>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</si>
  <si>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</si>
  <si>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</si>
  <si>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</si>
  <si>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</si>
  <si>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</si>
  <si>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</si>
  <si>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</si>
  <si>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</si>
  <si>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</si>
  <si>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</si>
  <si>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</si>
  <si>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</si>
  <si>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</si>
  <si>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</si>
  <si>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</si>
  <si>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</si>
  <si>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</si>
  <si>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</si>
  <si>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</si>
  <si>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</si>
  <si>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</si>
  <si>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</si>
  <si>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</si>
  <si>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</si>
  <si>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</si>
  <si>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</si>
  <si>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</si>
  <si>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</si>
  <si>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</si>
  <si>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</si>
  <si>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</si>
  <si>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</si>
  <si>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</si>
  <si>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</si>
  <si>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</si>
  <si>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</si>
  <si>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</si>
  <si>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</si>
  <si>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</si>
  <si>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</si>
  <si>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</si>
  <si>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</si>
  <si>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</si>
  <si>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</si>
  <si>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</si>
  <si>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</si>
  <si>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</si>
  <si>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</si>
  <si>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</si>
  <si>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</si>
  <si>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</si>
  <si>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</si>
  <si>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</si>
  <si>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</si>
  <si>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</si>
  <si>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</si>
  <si>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</si>
  <si>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</si>
  <si>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</si>
  <si>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</si>
  <si>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</si>
  <si>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</si>
  <si>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</si>
  <si>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</si>
  <si>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</si>
  <si>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</si>
  <si>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</si>
  <si>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</si>
  <si>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</si>
  <si>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</si>
  <si>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</si>
  <si>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</si>
  <si>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</si>
  <si>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</si>
  <si>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</si>
  <si>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</si>
  <si>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</si>
  <si>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</si>
  <si>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</si>
  <si>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</si>
  <si>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</si>
  <si>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</si>
  <si>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</si>
  <si>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</si>
  <si>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</si>
  <si>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</si>
  <si>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</si>
  <si>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</si>
  <si>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</si>
  <si>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</si>
  <si>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</si>
  <si>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</si>
  <si>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</si>
  <si>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</si>
  <si>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</si>
  <si>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</si>
  <si>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</si>
  <si>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</si>
  <si>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</si>
  <si>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</si>
  <si>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</si>
  <si>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</si>
  <si>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</si>
  <si>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</si>
  <si>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</si>
  <si>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</si>
  <si>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</si>
  <si>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</si>
  <si>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</si>
  <si>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</si>
  <si>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</si>
  <si>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</si>
  <si>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</si>
  <si>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</si>
  <si>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</si>
  <si>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</si>
  <si>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</si>
  <si>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</si>
  <si>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</si>
  <si>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</si>
  <si>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</si>
  <si>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</si>
  <si>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</si>
  <si>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</si>
  <si>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</si>
  <si>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</si>
  <si>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</si>
  <si>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</si>
  <si>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</si>
  <si>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</si>
  <si>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</si>
  <si>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</si>
  <si>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</si>
  <si>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</si>
  <si>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</si>
  <si>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</si>
  <si>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</si>
  <si>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</si>
  <si>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</si>
  <si>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</si>
  <si>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</si>
  <si>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</si>
  <si>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</si>
  <si>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</si>
  <si>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</si>
  <si>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</si>
  <si>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</si>
  <si>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</si>
  <si>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</si>
  <si>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</si>
  <si>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</si>
  <si>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</si>
  <si>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</si>
  <si>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</si>
  <si>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</si>
  <si>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</si>
  <si>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</si>
  <si>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</si>
  <si>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</si>
  <si>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</si>
  <si>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</si>
  <si>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</si>
  <si>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</si>
  <si>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</si>
  <si>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</si>
  <si>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</si>
  <si>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</si>
  <si>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To select your agency from the drop down list, click in cell C13 and choose your unit name.</t>
  </si>
  <si>
    <t>Total Plan - FYE 2017</t>
  </si>
  <si>
    <t>Beginning DO(DI) for Earnings</t>
  </si>
  <si>
    <t>Beginning NPL</t>
  </si>
  <si>
    <t>Ending NPL</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</si>
  <si>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</si>
  <si>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</si>
  <si>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</si>
  <si>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</si>
  <si>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</si>
  <si>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</si>
  <si>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</si>
  <si>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</si>
  <si>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</si>
  <si>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</si>
  <si>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</si>
  <si>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</si>
  <si>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</si>
  <si>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</si>
  <si>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</si>
  <si>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</si>
  <si>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</si>
  <si>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</si>
  <si>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</si>
  <si>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</si>
  <si>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</si>
  <si>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</si>
  <si>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</si>
  <si>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</si>
  <si>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</si>
  <si>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</si>
  <si>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</si>
  <si>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Total pension liability - LEO</t>
  </si>
  <si>
    <t>Net Pension Asset BOY</t>
  </si>
  <si>
    <t>Net Pension Asset EOY</t>
  </si>
  <si>
    <t>Net Pension Liability(Asset) BOY</t>
  </si>
  <si>
    <t>Net Pension Liability(Asset) EOY</t>
  </si>
  <si>
    <t>Beginning NPA</t>
  </si>
  <si>
    <t>Ending NPA</t>
  </si>
  <si>
    <t>Pension Expense - Human Resources</t>
  </si>
  <si>
    <t>Pension Expense - Education</t>
  </si>
  <si>
    <t>GASB 73 Entries - LEO</t>
  </si>
  <si>
    <t>Enter amounts below from the actuarial report.</t>
  </si>
  <si>
    <t>Total Pension Liability - Beginning of Year</t>
  </si>
  <si>
    <t>Total Pension Liability - End of Year</t>
  </si>
  <si>
    <t>From "Reconciliation of Total Pension Liability" table in Actuary Report</t>
  </si>
  <si>
    <t>From "Pension Expense" table in Actuary Report</t>
  </si>
  <si>
    <t>From "Amortization of the Change due to the Difference between Expected and Actual Experience" table in Actuary Report</t>
  </si>
  <si>
    <t>From "Amortization of the Change due to Assumption Changes" table in Actuary Report</t>
  </si>
  <si>
    <t>Enter amounts below per your financial records</t>
  </si>
  <si>
    <t>Ending total pension liability</t>
  </si>
  <si>
    <t>Deferred outflows of resources - Difference b/w Expected and Actual Experience BEG ($0 in year 1)</t>
  </si>
  <si>
    <t>Deferred outflows of resources - Difference b/w Expected and Actual Experience END</t>
  </si>
  <si>
    <t>Deferred inflows of resources - Difference b/w Expected and Actual Experience BEG ($0 in year 1)</t>
  </si>
  <si>
    <t>Deferred inflows of resources - Difference b/w Expected and Actual Experience END</t>
  </si>
  <si>
    <t>Deferred outflows of resources - Change of Assumptions BEG ($0 in year 1)</t>
  </si>
  <si>
    <t>Deferred outflows of resources - Change of Assumptions END</t>
  </si>
  <si>
    <t>Deferred inflows of resources - Change of Assumptions BEG ($0 in year 1)</t>
  </si>
  <si>
    <t>Deferred inflows of resources - Change of Assumptions END</t>
  </si>
  <si>
    <t>Deferred outflows of resources - Employer benefit payments for the measurement period (in year 1, record to Fund Balance Restatement)</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</si>
  <si>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</si>
  <si>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</si>
  <si>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</si>
  <si>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</si>
  <si>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</si>
  <si>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Entry for Conversion worksheet to record total pension liability, pension expense, and deferred outflows and deferred inflows of resources related to pensions.  (Entry O1)</t>
  </si>
  <si>
    <t>Deferred Outflow - Benefit Payments and Administrative Costs subsequent to the measurement date</t>
  </si>
  <si>
    <t>Work Section for Conversion entry O1</t>
  </si>
  <si>
    <t>O.1</t>
  </si>
  <si>
    <t>Amount to reclassify out of pension contributions - governmental activities and into deferred outflows - pensions</t>
  </si>
  <si>
    <t>GASB 75 Entries - OPEB</t>
  </si>
  <si>
    <t>From prior year.  Should be $0 in year 1 of GASB 75 implementation.</t>
  </si>
  <si>
    <t>OPEB Expense</t>
  </si>
  <si>
    <t>Ending total OPEB liability</t>
  </si>
  <si>
    <t>Deferred outflows of resources -OPEB administration costs subsequent to the measurement date thru FYE</t>
  </si>
  <si>
    <t>(Note:  Percentages entered in the section below should equal the Governmental Activities allocation percentage in Cell D13.)</t>
  </si>
  <si>
    <t>General Government OPEB contributions/benefit payments</t>
  </si>
  <si>
    <t>Public Safety OPEB contributions/benefit payment</t>
  </si>
  <si>
    <t>Transportation OPEB contributions/benefit payment</t>
  </si>
  <si>
    <t>Economic and Physical Development OPEB contributions/benefit payment</t>
  </si>
  <si>
    <t>Enviromental Protection  OPEB contributions/benefit payment</t>
  </si>
  <si>
    <t>Human Services OPEB contributions/benefit payment</t>
  </si>
  <si>
    <t>Cultural and Recreation OPEB contributions/benefit payment</t>
  </si>
  <si>
    <t>Education OPEB contributions/benefit payment</t>
  </si>
  <si>
    <t>Other program 1 OPEB contributions/benefit payment</t>
  </si>
  <si>
    <t>Total (should = Governmental Activities Allocation Above)</t>
  </si>
  <si>
    <t>Deferred inflows of resources - Earnings BEG ($0 in year 1)</t>
  </si>
  <si>
    <t>Deferred outflows of resources - Earnings BEG ($0 in year 1)</t>
  </si>
  <si>
    <t>Deferred inflows of resources - Earnings END</t>
  </si>
  <si>
    <t>Deferred outflows of resources - Earnings END</t>
  </si>
  <si>
    <t>General Government OPEB Administration costs</t>
  </si>
  <si>
    <t>Public Safety OPEB Administration costs</t>
  </si>
  <si>
    <t>Transportation OPEB Administration costs</t>
  </si>
  <si>
    <t>Economic and Physical Development OPEB Administration costs</t>
  </si>
  <si>
    <t>Environmental Protection OPEB Administration costs</t>
  </si>
  <si>
    <t>Human Services OPEB Administration costs</t>
  </si>
  <si>
    <t>Cultural andReceation OPEB Administration costs</t>
  </si>
  <si>
    <t>Eduucation OPEB Administration costs</t>
  </si>
  <si>
    <t>Other program 1 OPEB Administration costs</t>
  </si>
  <si>
    <t xml:space="preserve">1. Determine the appropriate allocations for your government based upon your OPEB plan.  Percentages used here are for illustrative purposes ONLY. </t>
  </si>
  <si>
    <t>Allocation of OPEB Expenses, Current year Contributions/Benefits Paid, and Administrative Costs</t>
  </si>
  <si>
    <t>Note:  May need to allocate if have more than one Enterprise Fund.</t>
  </si>
  <si>
    <t>OPEB administration costs incurred subsequent to the measurement date through the end of your FYE (i.e. June 30, 2018)</t>
  </si>
  <si>
    <t>Beginning total OPEB liability (in year 1, record to Net Position Restatement)</t>
  </si>
  <si>
    <t>Deferred Outflow - Difference between projected and actual investment earnings</t>
  </si>
  <si>
    <t>Deferred Inflow - Difference between projected and actual investment earnings</t>
  </si>
  <si>
    <t>Prior year Outflow/(Inflow) Deferred Balance - Difference b/w Expected and Actual Experience</t>
  </si>
  <si>
    <t>Prior year Outflow/(Inflow) Deferred Balance - Assumption Changes</t>
  </si>
  <si>
    <t>Prior year Outflow/(Inflow) Deferred Balance - Investments Earnings</t>
  </si>
  <si>
    <t>OPEB Expense (includes administrative expenses)</t>
  </si>
  <si>
    <t>Deferred Outflow - Administrative Costs made subsequent to the measurement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</si>
  <si>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</si>
  <si>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</si>
  <si>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</si>
  <si>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</si>
  <si>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</si>
  <si>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</si>
  <si>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</si>
  <si>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</si>
  <si>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</si>
  <si>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</si>
  <si>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</si>
  <si>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</si>
  <si>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</si>
  <si>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</si>
  <si>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</si>
  <si>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</si>
  <si>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</si>
  <si>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</si>
  <si>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</si>
  <si>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</si>
  <si>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</si>
  <si>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</si>
  <si>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</si>
  <si>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</si>
  <si>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</si>
  <si>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</si>
  <si>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</si>
  <si>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</si>
  <si>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</si>
  <si>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</si>
  <si>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</si>
  <si>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</si>
  <si>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</si>
  <si>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</si>
  <si>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</si>
  <si>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</si>
  <si>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</si>
  <si>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</si>
  <si>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</si>
  <si>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</si>
  <si>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</si>
  <si>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</si>
  <si>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</si>
  <si>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</si>
  <si>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</si>
  <si>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</si>
  <si>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</si>
  <si>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</si>
  <si>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</si>
  <si>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</si>
  <si>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</si>
  <si>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</si>
  <si>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</si>
  <si>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</si>
  <si>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</si>
  <si>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</si>
  <si>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</si>
  <si>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</si>
  <si>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</si>
  <si>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</si>
  <si>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</si>
  <si>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</si>
  <si>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</si>
  <si>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</si>
  <si>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</si>
  <si>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</si>
  <si>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</si>
  <si>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</si>
  <si>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</si>
  <si>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</si>
  <si>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</si>
  <si>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</si>
  <si>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</si>
  <si>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</si>
  <si>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</si>
  <si>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</si>
  <si>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</si>
  <si>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</si>
  <si>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</si>
  <si>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</si>
  <si>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</si>
  <si>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</si>
  <si>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</si>
  <si>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</si>
  <si>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</si>
  <si>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</si>
  <si>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</si>
  <si>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</si>
  <si>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</si>
  <si>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</si>
  <si>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</si>
  <si>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</si>
  <si>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</si>
  <si>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</si>
  <si>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</si>
  <si>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</si>
  <si>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</si>
  <si>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</si>
  <si>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</si>
  <si>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</si>
  <si>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</si>
  <si>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</si>
  <si>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</si>
  <si>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</si>
  <si>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</si>
  <si>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</si>
  <si>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</si>
  <si>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</si>
  <si>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</si>
  <si>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</si>
  <si>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</si>
  <si>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</si>
  <si>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</si>
  <si>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</si>
  <si>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</si>
  <si>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</si>
  <si>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</si>
  <si>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</si>
  <si>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</si>
  <si>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</si>
  <si>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</si>
  <si>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</si>
  <si>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</si>
  <si>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</si>
  <si>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</si>
  <si>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</si>
  <si>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</si>
  <si>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</si>
  <si>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</si>
  <si>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</si>
  <si>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</si>
  <si>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</si>
  <si>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</si>
  <si>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</si>
  <si>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</si>
  <si>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</si>
  <si>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</si>
  <si>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</si>
  <si>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</si>
  <si>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</si>
  <si>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</si>
  <si>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</si>
  <si>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</si>
  <si>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</si>
  <si>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</si>
  <si>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</si>
  <si>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</si>
  <si>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</si>
  <si>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</si>
  <si>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</si>
  <si>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</si>
  <si>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</si>
  <si>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</si>
  <si>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</si>
  <si>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</si>
  <si>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</si>
  <si>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</si>
  <si>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</si>
  <si>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</si>
  <si>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</si>
  <si>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</si>
  <si>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</si>
  <si>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</si>
  <si>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</si>
  <si>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</si>
  <si>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</si>
  <si>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</si>
  <si>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</si>
  <si>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</si>
  <si>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</si>
  <si>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</si>
  <si>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</si>
  <si>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</si>
  <si>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</si>
  <si>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</si>
  <si>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</si>
  <si>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</si>
  <si>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</si>
  <si>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</si>
  <si>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</si>
  <si>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</si>
  <si>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</si>
  <si>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</si>
  <si>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</si>
  <si>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</si>
  <si>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</si>
  <si>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</si>
  <si>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</si>
  <si>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</si>
  <si>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</si>
  <si>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</si>
  <si>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</si>
  <si>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</si>
  <si>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</si>
  <si>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</si>
  <si>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</si>
  <si>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</si>
  <si>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</si>
  <si>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</si>
  <si>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</si>
  <si>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</si>
  <si>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</si>
  <si>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</si>
  <si>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</si>
  <si>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</si>
  <si>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</si>
  <si>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</si>
  <si>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</si>
  <si>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</si>
  <si>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</si>
  <si>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</si>
  <si>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</si>
  <si>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</si>
  <si>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</si>
  <si>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</si>
  <si>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</si>
  <si>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</si>
  <si>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</si>
  <si>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</si>
  <si>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</si>
  <si>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</si>
  <si>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</si>
  <si>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</si>
  <si>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</si>
  <si>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</si>
  <si>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</si>
  <si>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</si>
  <si>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</si>
  <si>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</si>
  <si>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</si>
  <si>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</si>
  <si>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</si>
  <si>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</si>
  <si>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</si>
  <si>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</si>
  <si>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</si>
  <si>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</si>
  <si>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</si>
  <si>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</si>
  <si>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</si>
  <si>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</si>
  <si>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</si>
  <si>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</si>
  <si>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</si>
  <si>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</si>
  <si>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</si>
  <si>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</si>
  <si>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</si>
  <si>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</si>
  <si>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</si>
  <si>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</si>
  <si>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</si>
  <si>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</si>
  <si>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</si>
  <si>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</si>
  <si>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</si>
  <si>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</si>
  <si>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</si>
  <si>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</si>
  <si>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</si>
  <si>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</si>
  <si>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</si>
  <si>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</si>
  <si>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</si>
  <si>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</si>
  <si>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</si>
  <si>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</si>
  <si>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</si>
  <si>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</si>
  <si>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</si>
  <si>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</si>
  <si>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</si>
  <si>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</si>
  <si>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</si>
  <si>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</si>
  <si>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</si>
  <si>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</si>
  <si>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</si>
  <si>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</si>
  <si>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</si>
  <si>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</si>
  <si>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</si>
  <si>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</si>
  <si>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</si>
  <si>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</si>
  <si>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</si>
  <si>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</si>
  <si>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</si>
  <si>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</si>
  <si>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</si>
  <si>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</si>
  <si>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</si>
  <si>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</si>
  <si>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</si>
  <si>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Contributions to plan</t>
  </si>
  <si>
    <t xml:space="preserve">                   -    </t>
  </si>
  <si>
    <t>Public Safety OPEB Expense</t>
  </si>
  <si>
    <t>Transportation OPEB Expense</t>
  </si>
  <si>
    <t>Economic and Physical Development OPEB Expense</t>
  </si>
  <si>
    <t>Environmental Protection OPEB Expense</t>
  </si>
  <si>
    <t>Cultural and Recreation OPEB Expense</t>
  </si>
  <si>
    <t>Education OPEB Expense</t>
  </si>
  <si>
    <t>Other program 1 OPEB Expense</t>
  </si>
  <si>
    <t>Employer contributions for Measurement Period</t>
  </si>
  <si>
    <t>Current year Outflow/(Inflow) Deferred Balance - Difference b/w Expected and Actual Experience</t>
  </si>
  <si>
    <t>Current year Outflow/(Inflow) Deferred Balance - Assumption Changes</t>
  </si>
  <si>
    <t>Current year Outflow/(Inflow) Deferred Balance - Investments Earnings</t>
  </si>
  <si>
    <t>Enter amounts below per your financial records.  [Note:   Entries reclassify governmental activities portion of current year activitity out of OPEB contributions and administrative costs into Deferred Outflows - OPEB]</t>
  </si>
  <si>
    <t>.</t>
  </si>
  <si>
    <t>Recognition period - 3.00 years</t>
  </si>
  <si>
    <t xml:space="preserve">Total Benefit Payments </t>
  </si>
  <si>
    <t>Net OPEB obligation</t>
  </si>
  <si>
    <t>As part of GASB 73 implementation, the beginning balance of the LEO net pension obligation will be restated in the fiscal year.  See tab O for GASB 73 entries for the LEO pension plan.</t>
  </si>
  <si>
    <r>
      <t xml:space="preserve">What was the amount of the net OPEB obligation at the end of the year? If multiple benefit plans are involved enter the sum of all plans. </t>
    </r>
    <r>
      <rPr>
        <sz val="8"/>
        <color indexed="10"/>
        <rFont val="Arial"/>
        <family val="2"/>
      </rPr>
      <t>Only include the portion related to Governmental Funds.</t>
    </r>
  </si>
  <si>
    <t>Change in OPEB obligation during the year</t>
  </si>
  <si>
    <t>Note:  The number entered below should not include volunteers.  The number entered below should also exclude employees who were not eligible to participate in the FRSWPF plan during FY 2018.</t>
  </si>
  <si>
    <t>Education OPEB Administration costs</t>
  </si>
  <si>
    <t>Entries from Worksheets B - J, N1-N3, O, and P</t>
  </si>
  <si>
    <t>OPEB - Current Year Contributions</t>
  </si>
  <si>
    <t>2017 Ending Net OPEB</t>
  </si>
  <si>
    <t>*Carolina County's ending</t>
  </si>
  <si>
    <t>Percentage to Reduce  Actuarial Numbers</t>
  </si>
  <si>
    <t>Beaufort Co Schools' Share</t>
  </si>
  <si>
    <t>from RHBF 2017 Report</t>
  </si>
  <si>
    <t>Reduction rate</t>
  </si>
  <si>
    <t>Total OPEB Liability</t>
  </si>
  <si>
    <t>Service Cost</t>
  </si>
  <si>
    <t>Interest</t>
  </si>
  <si>
    <t>Change of benefit terms</t>
  </si>
  <si>
    <t>Differences between expected and actual experience</t>
  </si>
  <si>
    <t>Changes of Assumptions</t>
  </si>
  <si>
    <t>Benefit payments, including refunds of member contrib.</t>
  </si>
  <si>
    <t>Net change in total OPEB liability</t>
  </si>
  <si>
    <t>Total OPEB Liability, Beg</t>
  </si>
  <si>
    <t>Total OPEB Liability, End</t>
  </si>
  <si>
    <t>Plan fiduciary net position</t>
  </si>
  <si>
    <t>Contributions</t>
  </si>
  <si>
    <t>Net investment income</t>
  </si>
  <si>
    <t>Benefit payments</t>
  </si>
  <si>
    <t>Administrative expense</t>
  </si>
  <si>
    <t>Net change in plan fiduciary net position</t>
  </si>
  <si>
    <t>Plan fiduciary net position - beginning</t>
  </si>
  <si>
    <t>Plan fiduciary net position - ending</t>
  </si>
  <si>
    <t>County's net OPEB liability - ending</t>
  </si>
  <si>
    <t>Plan fiduciary net position as a percentage of the total OPEB liability</t>
  </si>
  <si>
    <t>Covered payroll</t>
  </si>
  <si>
    <t>County's net OPEB liability as a percentage of covered payroll</t>
  </si>
  <si>
    <t>Restatement of 2017 Illustrative per RHBF Valuation Report</t>
  </si>
  <si>
    <t>OPEB DI Schedule</t>
  </si>
  <si>
    <t>Pensions - Change in Proportion and Differences in Employer Contributions and Proportionate Share of Contributions</t>
  </si>
  <si>
    <r>
      <t xml:space="preserve">What is the net OPEB obligation for the year for the Total Governmental Funds portion?   </t>
    </r>
    <r>
      <rPr>
        <sz val="8"/>
        <color indexed="10"/>
        <rFont val="Arial"/>
        <family val="2"/>
      </rPr>
      <t>Please refer to Memorandum #2010-1 for a journal entry overview.</t>
    </r>
  </si>
  <si>
    <t>As part of GASB 75 implementation, the total net OPEB obligation balance will be included in the restatement in the fiscal year.  See tab P.1 - P.3 for GASB 75 entries for the OPEB plan.</t>
  </si>
  <si>
    <t>Human Services OPEB Expense</t>
  </si>
  <si>
    <t>Cultural and Receation OPEB Administration costs</t>
  </si>
  <si>
    <t>General Government OPEB Expense</t>
  </si>
  <si>
    <t>Register of Deeds' pension plan (for ROD asset)</t>
  </si>
  <si>
    <t xml:space="preserve">Pensions - Change in Proportion and Differences in Employer Contributions and Proportionate Share of Contributions </t>
  </si>
  <si>
    <t>OPEB - Differences Between Actual and Expected Experience</t>
  </si>
  <si>
    <t>Pensions - Differences Between Actual and Expected Experience</t>
  </si>
  <si>
    <t>Pensions - Changes in Assumptions</t>
  </si>
  <si>
    <t>OPEB - Changes in Assumptions</t>
  </si>
  <si>
    <t>Pensions - Net Difference Between Actual and Expected Earnings on Plan Investments</t>
  </si>
  <si>
    <t>P.1</t>
  </si>
  <si>
    <t>P.2</t>
  </si>
  <si>
    <t>P.3</t>
  </si>
  <si>
    <t>OPEB - Difference between projected and actual investment earnings</t>
  </si>
  <si>
    <t>OPEB  - Changes in Assumptions</t>
  </si>
  <si>
    <t>OPEB  - Differences Between Actual and Expected Experience</t>
  </si>
  <si>
    <t>and Beginning Pension &amp; OPEB Accounts</t>
  </si>
  <si>
    <r>
      <t xml:space="preserve">Note 3 - Some Data must be </t>
    </r>
    <r>
      <rPr>
        <b/>
        <sz val="8"/>
        <rFont val="Arial"/>
        <family val="2"/>
      </rPr>
      <t>Entered</t>
    </r>
    <r>
      <rPr>
        <sz val="8"/>
        <rFont val="Arial"/>
        <family val="2"/>
      </rPr>
      <t xml:space="preserve"> below to the proper accounts. Cells related to pension and OPEB are linked to other worksheets.</t>
    </r>
  </si>
  <si>
    <t>General Government OPEB benefit payments</t>
  </si>
  <si>
    <t>Public Safety OPEB benefit payment</t>
  </si>
  <si>
    <t>Transportation OPEB benefit payment</t>
  </si>
  <si>
    <t>Economic and Physical Development OPEB benefit payment</t>
  </si>
  <si>
    <t>Enviromental Protection OPEB benefit payment</t>
  </si>
  <si>
    <t>Human Services OPEB benefit payment</t>
  </si>
  <si>
    <t>Cultural and Recreation OPEB benefit payment</t>
  </si>
  <si>
    <t>Education OPEB benefit payment</t>
  </si>
  <si>
    <t>Other program 1 OPEB benefit payment</t>
  </si>
  <si>
    <t xml:space="preserve"> LEOSSA administration costs that were recorded as a deferred outflows of resources for contributions subsequent to the measurement date in your prior year's audited financial statements</t>
  </si>
  <si>
    <t xml:space="preserve"> LEOSSA administration costs that were made between the prior fiscal year end and the current year's measurement date</t>
  </si>
  <si>
    <t xml:space="preserve">Deferred outflows of resources - Employer benefit payments for the measurement period </t>
  </si>
  <si>
    <t xml:space="preserve">From prior year.  </t>
  </si>
  <si>
    <t xml:space="preserve">From prior year. </t>
  </si>
  <si>
    <t>Ending (Inflow)/Outflow Deferred Balance - Difference b/w Expected and Actual Experience</t>
  </si>
  <si>
    <t>Ending (Inflow)/Outflow Deferred Balance - Assumption Changes</t>
  </si>
  <si>
    <t>Beginning (Inflow)/Outflow Deferred Balance - Difference b/w Expected and Actual Experience</t>
  </si>
  <si>
    <t>Deferred outflows of resources - administration costs for the measurement period</t>
  </si>
  <si>
    <t>Benefit payments paid from prior fiscal year end to measurement date</t>
  </si>
  <si>
    <t>Administration costs paid from prior fiscal year end to measurement date</t>
  </si>
  <si>
    <t xml:space="preserve">Beginning total pension liability </t>
  </si>
  <si>
    <t>Adjustment to Beginning Fund Equity for LEOSSA</t>
  </si>
  <si>
    <t>Ending Total Pension Liability</t>
  </si>
  <si>
    <t>Beginning Total Pension Liability</t>
  </si>
  <si>
    <t xml:space="preserve">Please read descriptions carefully.  Depending on the measurement date, you may not have to fill out all cells. </t>
  </si>
  <si>
    <t>Employer benefit payments that were recorded as a deferred outflows of resources for contributions subsequent to the measurement date in your prior year's audited financial statements</t>
  </si>
  <si>
    <t>Employer benefit payments that were made between the prior fiscal year end and the current year's measurement date</t>
  </si>
  <si>
    <t>Net OPEB Liability  (Asset)- Beginning of Year</t>
  </si>
  <si>
    <t>Net OPEB Liability (Asset) - End of Year</t>
  </si>
  <si>
    <t xml:space="preserve">Enter amounts below from the actuarial report. </t>
  </si>
  <si>
    <t xml:space="preserve">Deferred Outflows - Benefit Payments and Administrative Costs for the measurement period </t>
  </si>
  <si>
    <t>Ending Net OPEB Liability</t>
  </si>
  <si>
    <t>OPEB administrative expense only</t>
  </si>
  <si>
    <t>Deferred Outflow - Benefit Contributions subsequent to the measurement date</t>
  </si>
  <si>
    <t>Beginning (Inflow)/Outflow Deferred Balance - Assumption Changes</t>
  </si>
  <si>
    <t>Employer contributions made subsequent to the measurement date through the end of your FYE (i.e. June 30, 2018)</t>
  </si>
  <si>
    <t xml:space="preserve">This worksheet prepares the journal entry to record the entity's Net OPEB liability  OPEB expense, and deferrals for the OPEB plan in accordance with GASB 75.  This is the implementation year for GASB 75 and, as a result, the worksheet will include an entry to restate the beginning net position for the beginning GASB 75 net OPEB liability, measurement period contributions, and measurement period administrative costs. See worksheet J. for the prior year's net OPEB obligation for OPEB under the old standard.
</t>
  </si>
  <si>
    <t xml:space="preserve">This worksheet prepares the journal entry to record the entity's Net OPEB liability  OPEB expense, and deferrals for the OPEB plan in accordance with GASB 75.  This is the implementation year for GASB 75 and, as a result, the worksheet will include an entry to restate the beginning net position for the beginning GASB 75 net OPEB liability, measurement periodcontributions, and measurement period administrative costs. See worksheet J. for the prior year's net OPEB obligation for OPEB under the old standard.
</t>
  </si>
  <si>
    <t xml:space="preserve">This worksheet prepares the journal entry to record the entity's total pension liability, pension expense, deferred outflows, and deferred inflows of the Law Enforcement Officers Pension Plan (LEO) in accordance with GASB 73. 
</t>
  </si>
  <si>
    <t>Administrative costs</t>
  </si>
  <si>
    <t>Admin costs made subsequent to the measurement date</t>
  </si>
  <si>
    <t>Enterprise Funds - OPEB allocation percentage</t>
  </si>
  <si>
    <t>Entry for Conversion worksheet to record net OPEB liability, OPEB expense, and deferred outflows and deferred inflows of resources related to OPEB.</t>
  </si>
  <si>
    <t>Adjustment to Beginning Fund Equity for OPEB #1</t>
  </si>
  <si>
    <t>Adjustment to Beginning Fund Equity for OPEB #2</t>
  </si>
  <si>
    <t>Adjustment to Beginning Fund Equity for OPEB #3</t>
  </si>
  <si>
    <t>Net OPEB liability - #1</t>
  </si>
  <si>
    <t>Net OPEB liability - #2</t>
  </si>
  <si>
    <t>Net OPEB liability - #3</t>
  </si>
  <si>
    <t>Measurement date 6/30/2018</t>
  </si>
  <si>
    <t/>
  </si>
  <si>
    <t>County</t>
  </si>
  <si>
    <t>Net Pension Liability (Asset)</t>
  </si>
  <si>
    <t>Net Difference Between Projected and Actual Investments Earnings on Plan Investments</t>
  </si>
  <si>
    <t>2.75% Sensitivity</t>
  </si>
  <si>
    <t>4.75% Sensitivity</t>
  </si>
  <si>
    <t>NO AGENCY CHOSEN</t>
  </si>
  <si>
    <t>2018 Contributions</t>
  </si>
  <si>
    <t>HAYWOOD</t>
  </si>
  <si>
    <t>Total Plan - FYE 2018</t>
  </si>
  <si>
    <t>Total Plan - FYE 2019</t>
  </si>
  <si>
    <t>Enter the amount of contributions subsequent to the measurement date that you recorded as a deferred outflow of resources in your June 30, 2018 financial statement for ROD</t>
  </si>
  <si>
    <t>measurement date 6/30/2018</t>
  </si>
  <si>
    <t>measurement date 6/30/2017</t>
  </si>
  <si>
    <t>Enter the amount of contributions subsequent to the measurement date that you recorded as a deferred outflow of resources in your June 30, 2018 financial statement for LGERS</t>
  </si>
  <si>
    <t>OPEB administration costs incurred subsequent to the measurement date through the end of your FYE (i.e. June 30, 2019)</t>
  </si>
  <si>
    <t>Employer contributions made subsequent to the measurement date through the end of your FYE (i.e. June 30, 2019)</t>
  </si>
  <si>
    <t>Representative Payee Fund</t>
  </si>
  <si>
    <t>Deed of Trust Fund</t>
  </si>
  <si>
    <t>Fines and Forfeitures Fund</t>
  </si>
  <si>
    <t>Health Services</t>
  </si>
  <si>
    <t>School Capital Projects Fund; assumed all cash on hand is unspent sales tax revenue. * Plus Fines and Forfeitures Fund</t>
  </si>
  <si>
    <t>Lease receivable</t>
  </si>
  <si>
    <t>Leases</t>
  </si>
  <si>
    <t>GASB 87 leases - current</t>
  </si>
  <si>
    <t>GASB 87 leases payable</t>
  </si>
  <si>
    <t xml:space="preserve">Adjust Capital Outlay Expenditures for GASB 87 Leases to Full Accrual </t>
  </si>
  <si>
    <r>
      <t xml:space="preserve">Note:  These entries are only applicable to leases as defined in GASB 87.  Further, these entries are only applicable to such leases where the government is the lessee.  All GASB 87 </t>
    </r>
    <r>
      <rPr>
        <b/>
        <sz val="10"/>
        <rFont val="Arial"/>
        <family val="2"/>
      </rPr>
      <t>lessor</t>
    </r>
    <r>
      <rPr>
        <sz val="10"/>
        <rFont val="Arial"/>
        <family val="2"/>
      </rPr>
      <t xml:space="preserve"> type entries for full accrual statements are the same as those made in modified accrual financial statements, therefore</t>
    </r>
    <r>
      <rPr>
        <b/>
        <sz val="10"/>
        <rFont val="Arial"/>
        <family val="2"/>
      </rPr>
      <t xml:space="preserve"> there is no need for conversion entries for lessor type leases.</t>
    </r>
  </si>
  <si>
    <t>Expenditures recorded under the modified accrual basis of accounting for the acquisition of lease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</si>
  <si>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t>Also included are entries to record the amortization of lease assets.  Note that there are no conversion entries for variable rental expense payments as such payments are recorded the same in both types of financial statements (modified and full accrual).</t>
  </si>
  <si>
    <r>
      <t xml:space="preserve">What was the amount of capital outlay for right-to-use leased assets to be capitalized by function in all governmental funds?  </t>
    </r>
    <r>
      <rPr>
        <b/>
        <i/>
        <sz val="10"/>
        <color indexed="10"/>
        <rFont val="Arial"/>
        <family val="2"/>
      </rPr>
      <t>This amount is the same as the initial lease asset acquired during the fiscal year.</t>
    </r>
  </si>
  <si>
    <t>`</t>
  </si>
  <si>
    <t>Journal entry for conversion worksheet to capitalize right-to-use leased assets and record lease liability.   [Entry Q.1]</t>
  </si>
  <si>
    <t>Q.1</t>
  </si>
  <si>
    <t>Enter information below for your GASB 87 lessee leases</t>
  </si>
  <si>
    <t>1) What is the amount of lease asset amortization expense by functional area for the FY?</t>
  </si>
  <si>
    <t>Journal entry for conversion worksheet to amortize lease asset.   [Entry Q.2]</t>
  </si>
  <si>
    <t>Q.2</t>
  </si>
  <si>
    <t>GASB 87 leases</t>
  </si>
  <si>
    <r>
      <t xml:space="preserve">OFS - GASB 87 leases </t>
    </r>
    <r>
      <rPr>
        <sz val="8"/>
        <color indexed="10"/>
        <rFont val="Arial"/>
        <family val="2"/>
      </rPr>
      <t>(proceeds)</t>
    </r>
  </si>
  <si>
    <r>
      <t xml:space="preserve">GASB 87 leases </t>
    </r>
    <r>
      <rPr>
        <sz val="8"/>
        <color indexed="10"/>
        <rFont val="Arial"/>
        <family val="2"/>
      </rPr>
      <t xml:space="preserve"> - liability</t>
    </r>
  </si>
  <si>
    <t xml:space="preserve">What is the amount of GASB 87 lease liabilities that will be due and payable within one year? </t>
  </si>
  <si>
    <t>America Rescue Plan Fund</t>
  </si>
  <si>
    <t>Right to use lease assets</t>
  </si>
  <si>
    <t>Accumulated amortization - right to use lease assets</t>
  </si>
  <si>
    <t>Right to use IT subscription assets</t>
  </si>
  <si>
    <t>Accumulated amortization - right to use IT subscription assets</t>
  </si>
  <si>
    <t>IT subscriptions (GASB 96) - current</t>
  </si>
  <si>
    <t>IT subscriptions (GASB 96) payable</t>
  </si>
  <si>
    <t>R.1</t>
  </si>
  <si>
    <t>R.2</t>
  </si>
  <si>
    <t xml:space="preserve">OFS - IT subscriptions (GASB 96) </t>
  </si>
  <si>
    <r>
      <rPr>
        <b/>
        <sz val="10"/>
        <rFont val="Arial"/>
        <family val="2"/>
      </rPr>
      <t>Note to Preparer:</t>
    </r>
    <r>
      <rPr>
        <sz val="10"/>
        <rFont val="Arial"/>
        <family val="2"/>
      </rPr>
      <t xml:space="preserve">
Please note that the amounts in the pension and OPEB tabs were not changed from the amounts in the prior fiscal year. </t>
    </r>
    <r>
      <rPr>
        <b/>
        <sz val="10"/>
        <rFont val="Arial"/>
        <family val="2"/>
      </rPr>
      <t>This worksheet is for illustrative purposes only for Carolina County</t>
    </r>
    <r>
      <rPr>
        <sz val="10"/>
        <rFont val="Arial"/>
        <family val="2"/>
      </rPr>
      <t xml:space="preserve"> with current year information are available on the NC DST website.</t>
    </r>
  </si>
  <si>
    <t xml:space="preserve">When you have worked through all the other worksheets (A-R), this sheet will have your government-wide numbers for the governmental activities column of the Statement of Net Position and the Statement of Activities. You may change fund titles as you see fit but if you unprotect the sheet and add lines or columns, formulas will be effected. Please do not do so unless you have strong Excel skills. Some "other" asset and "other" liability accounts have been added to handle the case where you need another account. These titles can be changed but should then be used consistently throughout the workbook. </t>
  </si>
  <si>
    <r>
      <t xml:space="preserve">Depreciation: </t>
    </r>
    <r>
      <rPr>
        <sz val="10"/>
        <rFont val="Arial"/>
        <family val="2"/>
      </rPr>
      <t>records depreciation expense for all asset classes by program/function and records unallocated amounts. Amortization expense of Right to use assets for Leases and IT subsciptions is recorded on tabs Q and R, repectively. Those tabs also adjust accumulated amortization, a contra account to the related Right to use asset.</t>
    </r>
  </si>
  <si>
    <r>
      <t xml:space="preserve">Capital Outlay: </t>
    </r>
    <r>
      <rPr>
        <sz val="10"/>
        <rFont val="Arial"/>
        <family val="2"/>
      </rPr>
      <t>converts capital outlay expenditures for items above the capitalization threshold (other than the outlays related to leases and IT Subscriptions) to the proper asset class and reduces respective program/function expenditures. The capital outlays for Leases and IT Subscriptions are converted on tabs Q and R, respectively.</t>
    </r>
  </si>
  <si>
    <t>Note that the beginning asset and liability balances related to pensions, including deferred inflows and outflows, have been mapped to the Capital Assets, Long-term Debt and Beginning Pension Balances columns AL and AM (Conversion Worksheet tab) from the N tabs.  Cell C17 on tab N.1 and C16 on N.2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</si>
  <si>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r>
      <rPr>
        <b/>
        <sz val="10"/>
        <rFont val="Arial"/>
        <family val="2"/>
      </rPr>
      <t>Other Capital Asset Entries:</t>
    </r>
    <r>
      <rPr>
        <sz val="10"/>
        <rFont val="Arial"/>
        <family val="2"/>
      </rPr>
      <t xml:space="preserve"> addresses all other capital asset entries, sales, trades, retirements, donations, etc. and generates the correct entry to asset classes, programs/functions, and revenue or expenditure accounts.  Please be aware that any reductions that result from a change in capitalization threshold should be recorded with the beginning capital asset numbers in columns AL and AM of the conversion worksheet.</t>
    </r>
  </si>
  <si>
    <r>
      <t xml:space="preserve">GASB 68 LGERS: </t>
    </r>
    <r>
      <rPr>
        <sz val="10"/>
        <rFont val="Arial"/>
        <family val="2"/>
      </rPr>
      <t>provides pension amounts for LGERS cost-sharing plan</t>
    </r>
  </si>
  <si>
    <r>
      <t xml:space="preserve">GASB 68 ROD: </t>
    </r>
    <r>
      <rPr>
        <sz val="10"/>
        <rFont val="Arial"/>
        <family val="2"/>
      </rPr>
      <t>provides pension amounts for ROD cost-sharing plan</t>
    </r>
  </si>
  <si>
    <r>
      <t xml:space="preserve">GASB 68 FRSWPF: </t>
    </r>
    <r>
      <rPr>
        <sz val="10"/>
        <rFont val="Arial"/>
        <family val="2"/>
      </rPr>
      <t>provides pension amounts for FRSWP cost-sharing plan</t>
    </r>
  </si>
  <si>
    <t>O.</t>
  </si>
  <si>
    <r>
      <t xml:space="preserve">GASB 68 LEO: </t>
    </r>
    <r>
      <rPr>
        <sz val="10"/>
        <rFont val="Arial"/>
        <family val="2"/>
      </rPr>
      <t>provides pension amounts for LEOSSA single-employer plan</t>
    </r>
  </si>
  <si>
    <r>
      <t xml:space="preserve">GASB 75 OPEB: </t>
    </r>
    <r>
      <rPr>
        <sz val="10"/>
        <rFont val="Arial"/>
        <family val="2"/>
      </rPr>
      <t>provides pension amounts for single-employer OPEB plan with no trust</t>
    </r>
  </si>
  <si>
    <t>P1.</t>
  </si>
  <si>
    <t>P2.</t>
  </si>
  <si>
    <t>P3.</t>
  </si>
  <si>
    <r>
      <t>GASB 87 Leases:</t>
    </r>
    <r>
      <rPr>
        <sz val="10"/>
        <rFont val="Arial"/>
        <family val="2"/>
      </rPr>
      <t xml:space="preserve"> converts capital outlay expenditures related to agreements that meet the definition of a lease from GASB 87 (provided they are above the capitaliaztion threshold) to the proper asset class and reduces respective program/function expenditures. Also, records the amortization expense by function/program for the Right to use asset and adjusts the accumulated amortization, a contra account to the related Right to use aset.</t>
    </r>
  </si>
  <si>
    <r>
      <t>GASB 96 IT Subscriptions:</t>
    </r>
    <r>
      <rPr>
        <sz val="10"/>
        <rFont val="Arial"/>
        <family val="2"/>
      </rPr>
      <t xml:space="preserve"> converts capital outlay expenditures related to agreements that meet the definition of an IT Subscription from GASB 96 (provided they are above the capitaliaztion threshold) to the proper asset class and reduces respective program/function expenditures. Also, records the amortization expense by function/program for the Right to use asset and adjusts accumulated amortization, a contra account to the related Right to use asset.</t>
    </r>
  </si>
  <si>
    <t>Q.</t>
  </si>
  <si>
    <t>R.</t>
  </si>
  <si>
    <t xml:space="preserve">Adjust Capital Outlay Expenditures for GASB 96 IT Subscriptions to Full Accrual </t>
  </si>
  <si>
    <t xml:space="preserve">Note:  These entries are only applicable to IT subscriptions that meet the definition in GASB 96.  Further, these entries are only applicable to such agreements where the government is acquring the IT Subscription.  </t>
  </si>
  <si>
    <t>Expenditures recorded under the modified accrual basis of accounting for the acquisition of IT subscription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</si>
  <si>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t>Also included are entries to record the amortization of IT subscription assets.  Note that there are no conversion entries for variable payments as such payments are recorded the same in both types of financial statements (modified and full accrual).</t>
  </si>
  <si>
    <r>
      <t xml:space="preserve">What was the amount of capital outlay for right-to-use IT subscription assets to be capitalized by function in all governmental funds?  </t>
    </r>
    <r>
      <rPr>
        <b/>
        <i/>
        <sz val="10"/>
        <color indexed="10"/>
        <rFont val="Arial"/>
        <family val="2"/>
      </rPr>
      <t>This amount is generally the same as the initial IT subscription asset acquired during the fiscal year.</t>
    </r>
  </si>
  <si>
    <t>Enter information below for your GASB 96 IT subscriptions</t>
  </si>
  <si>
    <t>1) What is the amount of IT subscription asset amortization expense by functional area for the FY?</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</si>
  <si>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the DST website.</t>
  </si>
  <si>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ACFRs the capital asset schedules required for that publication should give you helpful information about classifying your capital assets by function. </t>
  </si>
  <si>
    <t>IT subscriptions (GASB 96)</t>
  </si>
  <si>
    <t>Leases payable (GASB 87)</t>
  </si>
  <si>
    <t>OFS - IT subscriptions (GASSB 96)</t>
  </si>
  <si>
    <t>Leases (GASB 87)</t>
  </si>
  <si>
    <t>What was the amount of Nonspendable Fund Balance for Inventory at the end of the prior year?</t>
  </si>
  <si>
    <r>
      <t xml:space="preserve">What was the amount of Nonspendable Fund Balance for inventory </t>
    </r>
    <r>
      <rPr>
        <sz val="10"/>
        <rFont val="Arial"/>
        <family val="2"/>
      </rPr>
      <t>at the end of the current year?</t>
    </r>
  </si>
  <si>
    <t>What is the amount of GASB 96 IT subscription liabilities that will be due and payable within one year?</t>
  </si>
  <si>
    <t>Computer Equipment</t>
  </si>
  <si>
    <t>Accum. Depreciation - Computer Equipment</t>
  </si>
  <si>
    <t>Computer equipment</t>
  </si>
  <si>
    <t>Computer software</t>
  </si>
  <si>
    <t>Accumulated depreciation - Computer Equipment</t>
  </si>
  <si>
    <t>Accumulated depreciation - Equipment &amp; Furniture</t>
  </si>
  <si>
    <t>Equipment &amp;</t>
  </si>
  <si>
    <t>Computer</t>
  </si>
  <si>
    <t>Accumulated depreciation - Computer equipment</t>
  </si>
  <si>
    <t>Journal entry for conversion worksheet to capitalize right-to-use IT subscription assets.   [Entry R.1]</t>
  </si>
  <si>
    <t>Journal entry for conversion worksheet to amortize IT subscription asset.   [Entry R.2]</t>
  </si>
  <si>
    <t>R1.</t>
  </si>
  <si>
    <t xml:space="preserve">  Right to use lease assets</t>
  </si>
  <si>
    <t xml:space="preserve">  Right to use IT subscription assets</t>
  </si>
  <si>
    <t xml:space="preserve">  Computer equipment</t>
  </si>
  <si>
    <t xml:space="preserve">  Computer software</t>
  </si>
  <si>
    <t>x</t>
  </si>
  <si>
    <t>Restricted for Health Services</t>
  </si>
  <si>
    <t>IT subscriptions</t>
  </si>
  <si>
    <t>IT subscriptions - current</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</si>
  <si>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tab " J. Other Liability &amp; Expenses" for accounting for current year contributions to the LGERS plan.
</t>
  </si>
  <si>
    <t xml:space="preserve">This worksheet prepares the journal entry to record the entity's proportionate share of the net pension liability, pension expense, and deferred outflows of the Registers of Deeds' Supplemental Pension Fund (ROD) in accordance with GASB 68, with the exception of the accounting for current year contributions to the ROD plan.  See tab "J. Other Liabilty&amp; Expenses" for accounting for current year contributions to the ROD plan.
</t>
  </si>
  <si>
    <t>Right-to-use IT subscription asset accumulated amortization</t>
  </si>
  <si>
    <t>Right-to-use lease assets</t>
  </si>
  <si>
    <t>Right-to-use lease assets accumulated amortization</t>
  </si>
  <si>
    <t>Right-to-use IT subscription asset</t>
  </si>
  <si>
    <t>Unexpended proceeds of debt</t>
  </si>
  <si>
    <t xml:space="preserve">  Total debt, gross (this should include short-term debt, if any)</t>
  </si>
  <si>
    <t>Capital-related payables (e.g., retainage payable, acccounts payable related to capital projects)</t>
  </si>
  <si>
    <t xml:space="preserve">Less debt that does not qualify as capital-related: </t>
  </si>
  <si>
    <t>Employer benefit payments made subsequent to the measurement date (obtain date from your actuarial report) through the end of your FYE (i.e. June 30, 2023)</t>
  </si>
  <si>
    <t>LEOSSA administration costs incurred subsequent to the measurement date (obtain from your actuarial report) through the end of your FYE (i.e. June 30, 2023)</t>
  </si>
  <si>
    <t>Restricted for Register of Deeds' pension plan</t>
  </si>
  <si>
    <t>Restricted for Opioid Settlement</t>
  </si>
  <si>
    <r>
      <t>Opioid settlement revenues  .</t>
    </r>
    <r>
      <rPr>
        <sz val="8"/>
        <color indexed="10"/>
        <rFont val="Arial"/>
        <family val="2"/>
      </rPr>
      <t>(Charges for services)</t>
    </r>
  </si>
  <si>
    <t>Health and Human Services</t>
  </si>
  <si>
    <t>Opioid settlement funds</t>
  </si>
  <si>
    <t>Health and human services - Charges for services</t>
  </si>
  <si>
    <t>Health and human services - Operating grants and contributions</t>
  </si>
  <si>
    <t>Health and Human services - Capital grants and contributions</t>
  </si>
  <si>
    <t xml:space="preserve">Health and Human services </t>
  </si>
  <si>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 Also, indicate by amount the appropriate full accrual revenue classification.</t>
    </r>
    <r>
      <rPr>
        <sz val="10"/>
        <rFont val="Arial"/>
        <family val="2"/>
      </rPr>
      <t xml:space="preserve"> Adjustments for unavailable revenues related to the Opioid Settlement are addressed in this section.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</si>
  <si>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 Be careful not to duplicate unavailable revenues that have been handled in previous entries. Adjustments for unavailable revenues related to the Opioid Settlement are addressed in this section.</t>
    </r>
  </si>
  <si>
    <t>Special assessments unavailable revenues</t>
  </si>
  <si>
    <t>Special assessments unavailable revenue</t>
  </si>
  <si>
    <t>Special Assessments unavailable revenue</t>
  </si>
  <si>
    <t>Health and Human services - charge for service</t>
  </si>
  <si>
    <t>Opioid Settlement Funds</t>
  </si>
  <si>
    <t>Opioid Fund</t>
  </si>
  <si>
    <t>Other Non-Major #1</t>
  </si>
  <si>
    <t>this is the change</t>
  </si>
  <si>
    <t>ARPA</t>
  </si>
  <si>
    <t>added</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</si>
  <si>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 Use the totals of compensated absences (vacation &amp; sick) per GASB 101 and DST Memorandum 2025-05.</t>
    </r>
    <r>
      <rPr>
        <b/>
        <sz val="10"/>
        <rFont val="Arial"/>
        <family val="2"/>
      </rPr>
      <t xml:space="preserve"> The Practical Expediate Approach can be entered under Method 2.</t>
    </r>
  </si>
  <si>
    <t>y</t>
  </si>
  <si>
    <t>z</t>
  </si>
  <si>
    <t>a</t>
  </si>
  <si>
    <t>b</t>
  </si>
  <si>
    <t>c</t>
  </si>
  <si>
    <t>d</t>
  </si>
  <si>
    <t>e</t>
  </si>
  <si>
    <t>XX</t>
  </si>
  <si>
    <t>debt</t>
  </si>
  <si>
    <t>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</si>
</sst>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_(* #,##0.0000_);_(* \(#,##0.0000\);_(* &quot;-&quot;??_);_(@_)"/>
    <numFmt numFmtId="173" formatCode="_(* #,##0.0000000000_);_(* \(#,##0.0000000000\);_(* &quot;-&quot;??_);_(@_)"/>
    <numFmt numFmtId="174" formatCode="0.0000000%"/>
    <numFmt numFmtId="175" formatCode="_(* #,##0.00000_);_(* \(#,##0.00000\);_(* &quot;-&quot;??_);_(@_)"/>
    <numFmt numFmtId="176" formatCode="_(* #,##0.0000000_);_(* \(#,##0.0000000\);_(* &quot;-&quot;??_);_(@_)"/>
    <numFmt numFmtId="177" formatCode="0.000000"/>
  </numFmts>
  <fonts count="8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sz val="11"/>
      <name val="Times New Roman"/>
      <family val="1"/>
    </font>
    <font>
      <b/>
      <u/>
      <sz val="10"/>
      <name val="Arial"/>
      <family val="2"/>
    </font>
    <font>
      <sz val="10"/>
      <color indexed="10"/>
      <name val="Arial"/>
      <family val="2"/>
    </font>
    <font>
      <sz val="10"/>
      <color indexed="10"/>
      <name val="Times New Roman"/>
      <family val="1"/>
    </font>
    <font>
      <b/>
      <sz val="10"/>
      <color indexed="14"/>
      <name val="Arial"/>
      <family val="2"/>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sz val="10"/>
      <name val="Wingdings"/>
      <charset val="2"/>
    </font>
    <font>
      <b/>
      <u/>
      <sz val="9"/>
      <color indexed="10"/>
      <name val="Arial"/>
      <family val="2"/>
    </font>
    <font>
      <sz val="8"/>
      <color indexed="10"/>
      <name val="Arial"/>
      <family val="2"/>
    </font>
    <font>
      <b/>
      <i/>
      <sz val="10"/>
      <color indexed="10"/>
      <name val="Arial"/>
      <family val="2"/>
    </font>
    <font>
      <sz val="10"/>
      <name val="Arial"/>
      <family val="2"/>
    </font>
    <font>
      <b/>
      <sz val="11"/>
      <color theme="1"/>
      <name val="Calibri"/>
      <family val="2"/>
      <scheme val="minor"/>
    </font>
    <font>
      <sz val="12"/>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b/>
      <sz val="10"/>
      <color rgb="FFFF0000"/>
      <name val="Arial"/>
      <family val="2"/>
    </font>
    <font>
      <b/>
      <sz val="11"/>
      <color rgb="FFFF0000"/>
      <name val="Calibri"/>
      <family val="2"/>
      <scheme val="minor"/>
    </font>
    <font>
      <sz val="11"/>
      <name val="Calibri"/>
      <family val="2"/>
      <scheme val="minor"/>
    </font>
    <font>
      <b/>
      <sz val="11"/>
      <name val="Calibri"/>
      <family val="2"/>
      <scheme val="minor"/>
    </font>
    <font>
      <sz val="11"/>
      <color theme="1"/>
      <name val="Arial"/>
      <family val="2"/>
    </font>
    <font>
      <sz val="10"/>
      <color theme="1"/>
      <name val="Arial"/>
      <family val="2"/>
    </font>
    <font>
      <sz val="11"/>
      <name val="Calibri"/>
      <family val="2"/>
    </font>
    <font>
      <b/>
      <sz val="11"/>
      <name val="Calibri"/>
      <family val="2"/>
    </font>
    <font>
      <b/>
      <sz val="12"/>
      <color theme="1"/>
      <name val="Calibri"/>
      <family val="2"/>
      <scheme val="minor"/>
    </font>
    <font>
      <b/>
      <sz val="9"/>
      <color indexed="81"/>
      <name val="Tahoma"/>
      <family val="2"/>
    </font>
    <font>
      <sz val="9"/>
      <color indexed="81"/>
      <name val="Tahoma"/>
      <family val="2"/>
    </font>
    <font>
      <b/>
      <sz val="10"/>
      <color theme="1"/>
      <name val="Arial"/>
      <family val="2"/>
    </font>
  </fonts>
  <fills count="2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51"/>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CCFFF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0000"/>
        <bgColor indexed="64"/>
      </patternFill>
    </fill>
  </fills>
  <borders count="52">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
      <left/>
      <right style="thick">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s>
  <cellStyleXfs count="28">
    <xf numFmtId="0" fontId="0"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2" fillId="0" borderId="0"/>
    <xf numFmtId="0" fontId="1" fillId="0" borderId="0"/>
  </cellStyleXfs>
  <cellXfs count="1290">
    <xf numFmtId="0" fontId="0" fillId="0" borderId="0" xfId="0"/>
    <xf numFmtId="165" fontId="11" fillId="0" borderId="0" xfId="1" applyNumberFormat="1"/>
    <xf numFmtId="0" fontId="12" fillId="0" borderId="0" xfId="0" applyFont="1"/>
    <xf numFmtId="0" fontId="0" fillId="0" borderId="1" xfId="0" applyBorder="1" applyAlignment="1">
      <alignment horizontal="center"/>
    </xf>
    <xf numFmtId="0" fontId="13" fillId="0" borderId="0" xfId="0" applyFont="1"/>
    <xf numFmtId="165" fontId="0" fillId="0" borderId="0" xfId="0" applyNumberFormat="1"/>
    <xf numFmtId="0" fontId="14" fillId="0" borderId="0" xfId="0" applyFont="1"/>
    <xf numFmtId="0" fontId="0" fillId="0" borderId="2" xfId="0" applyBorder="1"/>
    <xf numFmtId="0" fontId="0" fillId="0" borderId="1" xfId="0" applyBorder="1"/>
    <xf numFmtId="165" fontId="0" fillId="0" borderId="2" xfId="0" applyNumberFormat="1" applyBorder="1"/>
    <xf numFmtId="165" fontId="11" fillId="0" borderId="0" xfId="1" applyNumberFormat="1" applyBorder="1"/>
    <xf numFmtId="165" fontId="0" fillId="2" borderId="0" xfId="0" applyNumberFormat="1" applyFill="1"/>
    <xf numFmtId="0" fontId="0" fillId="0" borderId="3" xfId="0" applyBorder="1"/>
    <xf numFmtId="0" fontId="0" fillId="0" borderId="4" xfId="0" applyBorder="1"/>
    <xf numFmtId="0" fontId="0" fillId="0" borderId="0" xfId="0" applyAlignment="1">
      <alignment horizontal="right"/>
    </xf>
    <xf numFmtId="165" fontId="0" fillId="0" borderId="5" xfId="0" applyNumberFormat="1" applyBorder="1"/>
    <xf numFmtId="0" fontId="0" fillId="0" borderId="6" xfId="0" applyBorder="1"/>
    <xf numFmtId="0" fontId="0" fillId="3" borderId="7" xfId="0" applyFill="1" applyBorder="1"/>
    <xf numFmtId="0" fontId="0" fillId="3" borderId="7" xfId="0" applyFill="1"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165" fontId="11" fillId="0" borderId="0" xfId="1" applyNumberFormat="1" applyFill="1" applyBorder="1"/>
    <xf numFmtId="0" fontId="0" fillId="0" borderId="0" xfId="0" applyAlignment="1">
      <alignment wrapText="1"/>
    </xf>
    <xf numFmtId="165" fontId="0" fillId="0" borderId="0" xfId="1" applyNumberFormat="1" applyFont="1"/>
    <xf numFmtId="165" fontId="0" fillId="0" borderId="5" xfId="1" applyNumberFormat="1" applyFont="1" applyBorder="1"/>
    <xf numFmtId="0" fontId="13" fillId="0" borderId="0" xfId="0" applyFont="1" applyAlignment="1">
      <alignment horizontal="center"/>
    </xf>
    <xf numFmtId="0" fontId="0" fillId="0" borderId="0" xfId="0" quotePrefix="1"/>
    <xf numFmtId="0" fontId="0" fillId="0" borderId="0" xfId="0" quotePrefix="1" applyAlignment="1">
      <alignment wrapText="1"/>
    </xf>
    <xf numFmtId="0" fontId="13" fillId="0" borderId="0" xfId="0" quotePrefix="1" applyFont="1" applyAlignment="1">
      <alignment wrapText="1"/>
    </xf>
    <xf numFmtId="0" fontId="20" fillId="0" borderId="0" xfId="0" applyFont="1"/>
    <xf numFmtId="0" fontId="22" fillId="0" borderId="0" xfId="0" applyFont="1"/>
    <xf numFmtId="0" fontId="0" fillId="0" borderId="0" xfId="0" applyAlignment="1">
      <alignment horizontal="center"/>
    </xf>
    <xf numFmtId="165" fontId="0" fillId="0" borderId="0" xfId="1" applyNumberFormat="1" applyFont="1" applyFill="1" applyBorder="1"/>
    <xf numFmtId="165" fontId="0" fillId="0" borderId="0" xfId="1" applyNumberFormat="1" applyFont="1" applyBorder="1"/>
    <xf numFmtId="0" fontId="13" fillId="0" borderId="1" xfId="0" applyFont="1" applyBorder="1" applyAlignment="1">
      <alignment horizontal="center"/>
    </xf>
    <xf numFmtId="0" fontId="24" fillId="0" borderId="0" xfId="0" applyFont="1" applyAlignment="1">
      <alignment horizontal="left"/>
    </xf>
    <xf numFmtId="0" fontId="21" fillId="0" borderId="0" xfId="0" applyFont="1"/>
    <xf numFmtId="0" fontId="27" fillId="0" borderId="0" xfId="0" applyFont="1"/>
    <xf numFmtId="166" fontId="0" fillId="0" borderId="0" xfId="2" applyNumberFormat="1" applyFont="1" applyBorder="1"/>
    <xf numFmtId="166" fontId="11" fillId="0" borderId="0" xfId="2" applyNumberFormat="1" applyBorder="1"/>
    <xf numFmtId="0" fontId="28" fillId="0" borderId="0" xfId="0" applyFont="1"/>
    <xf numFmtId="166" fontId="0" fillId="0" borderId="1" xfId="2" applyNumberFormat="1" applyFont="1" applyBorder="1" applyAlignment="1">
      <alignment horizontal="center"/>
    </xf>
    <xf numFmtId="0" fontId="19" fillId="0" borderId="0" xfId="0" applyFont="1" applyAlignment="1">
      <alignment horizontal="center"/>
    </xf>
    <xf numFmtId="165" fontId="28" fillId="0" borderId="0" xfId="1" applyNumberFormat="1" applyFont="1" applyBorder="1"/>
    <xf numFmtId="0" fontId="13" fillId="0" borderId="0" xfId="0" quotePrefix="1" applyFont="1"/>
    <xf numFmtId="165" fontId="16" fillId="0" borderId="0" xfId="1" applyNumberFormat="1" applyFont="1" applyAlignment="1">
      <alignment horizontal="center"/>
    </xf>
    <xf numFmtId="165" fontId="0" fillId="0" borderId="7" xfId="1" applyNumberFormat="1" applyFont="1" applyBorder="1"/>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165" fontId="0" fillId="2" borderId="7" xfId="1" applyNumberFormat="1" applyFont="1" applyFill="1" applyBorder="1"/>
    <xf numFmtId="0" fontId="0" fillId="2" borderId="7" xfId="0" applyFill="1" applyBorder="1"/>
    <xf numFmtId="165" fontId="0" fillId="2" borderId="5" xfId="1" applyNumberFormat="1" applyFont="1" applyFill="1" applyBorder="1"/>
    <xf numFmtId="0" fontId="0" fillId="2" borderId="5" xfId="0" applyFill="1" applyBorder="1"/>
    <xf numFmtId="165" fontId="16" fillId="0" borderId="0" xfId="1" applyNumberFormat="1" applyFont="1" applyFill="1" applyAlignment="1">
      <alignment horizontal="center"/>
    </xf>
    <xf numFmtId="0" fontId="0" fillId="2" borderId="0" xfId="0" applyFill="1"/>
    <xf numFmtId="165" fontId="0" fillId="2" borderId="5" xfId="0" applyNumberFormat="1" applyFill="1" applyBorder="1"/>
    <xf numFmtId="166" fontId="0" fillId="2" borderId="5" xfId="2" applyNumberFormat="1" applyFont="1" applyFill="1" applyBorder="1"/>
    <xf numFmtId="165" fontId="16" fillId="0" borderId="0" xfId="1" applyNumberFormat="1" applyFont="1" applyFill="1" applyBorder="1" applyAlignment="1">
      <alignment horizontal="center"/>
    </xf>
    <xf numFmtId="165" fontId="0" fillId="2" borderId="0" xfId="1" applyNumberFormat="1" applyFont="1" applyFill="1"/>
    <xf numFmtId="165" fontId="11" fillId="2" borderId="0" xfId="1" applyNumberFormat="1" applyFill="1"/>
    <xf numFmtId="166" fontId="11" fillId="2" borderId="5" xfId="2" applyNumberFormat="1" applyFill="1" applyBorder="1"/>
    <xf numFmtId="165" fontId="0" fillId="2" borderId="15" xfId="1" applyNumberFormat="1" applyFont="1" applyFill="1" applyBorder="1"/>
    <xf numFmtId="165" fontId="0" fillId="2" borderId="15" xfId="0" applyNumberFormat="1" applyFill="1" applyBorder="1"/>
    <xf numFmtId="166" fontId="11" fillId="0" borderId="0" xfId="2" applyNumberFormat="1" applyFill="1" applyBorder="1"/>
    <xf numFmtId="0" fontId="0" fillId="0" borderId="1" xfId="0" applyBorder="1" applyAlignment="1">
      <alignment horizontal="center" wrapText="1"/>
    </xf>
    <xf numFmtId="0" fontId="24" fillId="0" borderId="0" xfId="0" applyFont="1"/>
    <xf numFmtId="165" fontId="11" fillId="2" borderId="15" xfId="1" applyNumberFormat="1" applyFill="1" applyBorder="1"/>
    <xf numFmtId="165" fontId="11" fillId="2" borderId="5" xfId="1" applyNumberFormat="1" applyFill="1" applyBorder="1"/>
    <xf numFmtId="165" fontId="11" fillId="0" borderId="0" xfId="1" applyNumberFormat="1" applyFill="1"/>
    <xf numFmtId="165" fontId="0" fillId="0" borderId="0" xfId="1" applyNumberFormat="1" applyFont="1" applyFill="1"/>
    <xf numFmtId="0" fontId="0" fillId="2" borderId="16" xfId="0" applyFill="1" applyBorder="1" applyAlignment="1">
      <alignment horizontal="center"/>
    </xf>
    <xf numFmtId="0" fontId="0" fillId="2" borderId="13" xfId="0" applyFill="1" applyBorder="1" applyAlignment="1">
      <alignment horizontal="center"/>
    </xf>
    <xf numFmtId="0" fontId="0" fillId="2" borderId="1" xfId="0" applyFill="1" applyBorder="1" applyAlignment="1">
      <alignment horizontal="center"/>
    </xf>
    <xf numFmtId="165" fontId="28" fillId="0" borderId="0" xfId="1" applyNumberFormat="1" applyFont="1" applyFill="1" applyBorder="1"/>
    <xf numFmtId="0" fontId="21" fillId="2" borderId="14" xfId="0" applyFont="1" applyFill="1" applyBorder="1" applyAlignment="1">
      <alignment horizontal="center"/>
    </xf>
    <xf numFmtId="0" fontId="15" fillId="2" borderId="14" xfId="0" applyFont="1" applyFill="1" applyBorder="1" applyAlignment="1">
      <alignment horizontal="center"/>
    </xf>
    <xf numFmtId="0" fontId="21" fillId="2" borderId="13" xfId="0" applyFont="1" applyFill="1" applyBorder="1" applyAlignment="1">
      <alignment horizontal="center"/>
    </xf>
    <xf numFmtId="0" fontId="21" fillId="0" borderId="0" xfId="0" applyFont="1" applyAlignment="1">
      <alignment horizontal="right"/>
    </xf>
    <xf numFmtId="165" fontId="11" fillId="0" borderId="0" xfId="1" applyNumberFormat="1" applyAlignment="1">
      <alignment horizontal="center"/>
    </xf>
    <xf numFmtId="0" fontId="0" fillId="0" borderId="5" xfId="0" applyBorder="1"/>
    <xf numFmtId="0" fontId="0" fillId="4" borderId="0" xfId="0" applyFill="1"/>
    <xf numFmtId="165" fontId="11" fillId="0" borderId="1" xfId="1" applyNumberFormat="1" applyBorder="1" applyAlignment="1">
      <alignment horizontal="center"/>
    </xf>
    <xf numFmtId="165" fontId="11" fillId="0" borderId="14" xfId="1" applyNumberFormat="1" applyFont="1" applyBorder="1" applyAlignment="1">
      <alignment horizontal="center"/>
    </xf>
    <xf numFmtId="165" fontId="0" fillId="0" borderId="17" xfId="1" applyNumberFormat="1" applyFont="1" applyBorder="1"/>
    <xf numFmtId="165" fontId="0" fillId="0" borderId="2" xfId="1" applyNumberFormat="1" applyFont="1" applyBorder="1"/>
    <xf numFmtId="165" fontId="0" fillId="0" borderId="18" xfId="0" applyNumberFormat="1" applyBorder="1"/>
    <xf numFmtId="165" fontId="11" fillId="0" borderId="1" xfId="1" applyNumberFormat="1" applyFill="1" applyBorder="1"/>
    <xf numFmtId="0" fontId="13" fillId="2" borderId="0" xfId="0" applyFont="1" applyFill="1" applyAlignment="1">
      <alignment horizontal="center"/>
    </xf>
    <xf numFmtId="165" fontId="13" fillId="2" borderId="0" xfId="0" applyNumberFormat="1" applyFont="1" applyFill="1" applyAlignment="1">
      <alignment horizontal="center"/>
    </xf>
    <xf numFmtId="0" fontId="33" fillId="0" borderId="0" xfId="0" applyFont="1"/>
    <xf numFmtId="0" fontId="23" fillId="0" borderId="0" xfId="0" applyFont="1"/>
    <xf numFmtId="0" fontId="28" fillId="0" borderId="0" xfId="0" applyFont="1" applyAlignment="1">
      <alignment wrapText="1"/>
    </xf>
    <xf numFmtId="0" fontId="15" fillId="0" borderId="13" xfId="0" applyFont="1" applyBorder="1" applyAlignment="1">
      <alignment horizontal="center"/>
    </xf>
    <xf numFmtId="0" fontId="15" fillId="0" borderId="14" xfId="0" applyFont="1" applyBorder="1" applyAlignment="1">
      <alignment horizontal="center"/>
    </xf>
    <xf numFmtId="0" fontId="0" fillId="0" borderId="17" xfId="0" applyBorder="1"/>
    <xf numFmtId="0" fontId="0" fillId="0" borderId="13" xfId="0" applyBorder="1"/>
    <xf numFmtId="0" fontId="0" fillId="0" borderId="19" xfId="0" applyBorder="1"/>
    <xf numFmtId="165" fontId="0" fillId="0" borderId="20" xfId="0" applyNumberFormat="1" applyBorder="1"/>
    <xf numFmtId="0" fontId="0" fillId="0" borderId="14" xfId="0" applyBorder="1"/>
    <xf numFmtId="165" fontId="11" fillId="0" borderId="2" xfId="1" applyNumberFormat="1" applyFill="1" applyBorder="1"/>
    <xf numFmtId="165" fontId="11" fillId="0" borderId="13" xfId="1" applyNumberFormat="1" applyFill="1" applyBorder="1"/>
    <xf numFmtId="165" fontId="0" fillId="0" borderId="21" xfId="0" applyNumberFormat="1" applyBorder="1"/>
    <xf numFmtId="166" fontId="11" fillId="0" borderId="0" xfId="2" applyNumberFormat="1" applyFill="1"/>
    <xf numFmtId="0" fontId="24" fillId="0" borderId="0" xfId="0" applyFont="1" applyAlignment="1">
      <alignment horizontal="right"/>
    </xf>
    <xf numFmtId="0" fontId="36" fillId="0" borderId="0" xfId="0" applyFont="1" applyAlignment="1">
      <alignment wrapText="1"/>
    </xf>
    <xf numFmtId="0" fontId="36" fillId="0" borderId="1" xfId="0" applyFont="1" applyBorder="1" applyAlignment="1">
      <alignment horizontal="center" wrapText="1"/>
    </xf>
    <xf numFmtId="0" fontId="37" fillId="0" borderId="0" xfId="0" applyFont="1" applyAlignment="1">
      <alignment horizontal="center" wrapText="1"/>
    </xf>
    <xf numFmtId="0" fontId="39" fillId="0" borderId="0" xfId="0" applyFont="1" applyAlignment="1">
      <alignment horizontal="center" wrapText="1"/>
    </xf>
    <xf numFmtId="166" fontId="38" fillId="0" borderId="0" xfId="2" applyNumberFormat="1" applyFont="1" applyFill="1" applyBorder="1" applyAlignment="1">
      <alignment wrapText="1"/>
    </xf>
    <xf numFmtId="0" fontId="36" fillId="0" borderId="0" xfId="0" applyFo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8" fillId="0" borderId="0" xfId="0" applyFont="1" applyAlignment="1">
      <alignment wrapText="1"/>
    </xf>
    <xf numFmtId="165" fontId="11" fillId="2" borderId="7" xfId="1" applyNumberFormat="1" applyFill="1" applyBorder="1"/>
    <xf numFmtId="165" fontId="15" fillId="0" borderId="0" xfId="1" applyNumberFormat="1" applyFont="1" applyBorder="1"/>
    <xf numFmtId="165" fontId="11" fillId="0" borderId="0" xfId="1" applyNumberFormat="1" applyFont="1" applyBorder="1" applyAlignment="1">
      <alignment horizontal="center"/>
    </xf>
    <xf numFmtId="165" fontId="11" fillId="0" borderId="0" xfId="1" applyNumberFormat="1" applyFill="1" applyBorder="1" applyAlignment="1">
      <alignment horizontal="center"/>
    </xf>
    <xf numFmtId="165" fontId="11" fillId="0" borderId="0" xfId="1" applyNumberFormat="1" applyFont="1" applyFill="1" applyBorder="1" applyAlignment="1">
      <alignment horizontal="center"/>
    </xf>
    <xf numFmtId="165" fontId="11" fillId="0" borderId="1" xfId="1" applyNumberFormat="1" applyFont="1" applyBorder="1" applyAlignment="1">
      <alignment horizontal="center"/>
    </xf>
    <xf numFmtId="165" fontId="11" fillId="0" borderId="1" xfId="1" applyNumberFormat="1" applyFont="1" applyFill="1" applyBorder="1" applyAlignment="1">
      <alignment horizontal="center"/>
    </xf>
    <xf numFmtId="0" fontId="44" fillId="0" borderId="0" xfId="0" applyFont="1"/>
    <xf numFmtId="0" fontId="14" fillId="0" borderId="0" xfId="0" applyFont="1" applyAlignment="1">
      <alignment wrapText="1"/>
    </xf>
    <xf numFmtId="165" fontId="11" fillId="0" borderId="0" xfId="1" applyNumberFormat="1" applyBorder="1" applyAlignment="1">
      <alignment horizontal="center"/>
    </xf>
    <xf numFmtId="0" fontId="41" fillId="0" borderId="0" xfId="0" applyFont="1"/>
    <xf numFmtId="0" fontId="15" fillId="0" borderId="0" xfId="0" applyFont="1" applyAlignment="1">
      <alignment horizontal="left" wrapText="1"/>
    </xf>
    <xf numFmtId="0" fontId="13" fillId="0" borderId="0" xfId="0" applyFont="1" applyAlignment="1">
      <alignment horizontal="left"/>
    </xf>
    <xf numFmtId="9" fontId="11" fillId="0" borderId="0" xfId="3"/>
    <xf numFmtId="9" fontId="11" fillId="0" borderId="1" xfId="3" applyBorder="1" applyAlignment="1">
      <alignment horizontal="center"/>
    </xf>
    <xf numFmtId="9" fontId="11"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1" fillId="0" borderId="0" xfId="3" applyFont="1"/>
    <xf numFmtId="165" fontId="11" fillId="0" borderId="0" xfId="1" applyNumberFormat="1" applyFont="1" applyBorder="1"/>
    <xf numFmtId="9" fontId="11" fillId="0" borderId="0" xfId="3" applyBorder="1"/>
    <xf numFmtId="0" fontId="0" fillId="0" borderId="0" xfId="0" applyAlignment="1">
      <alignment horizontal="left" indent="4"/>
    </xf>
    <xf numFmtId="165" fontId="15" fillId="0" borderId="0" xfId="1" applyNumberFormat="1" applyFont="1" applyBorder="1" applyAlignment="1">
      <alignment horizontal="center"/>
    </xf>
    <xf numFmtId="165" fontId="15" fillId="0" borderId="0" xfId="1" applyNumberFormat="1" applyFont="1" applyFill="1" applyBorder="1" applyAlignment="1">
      <alignment horizontal="center"/>
    </xf>
    <xf numFmtId="165" fontId="15" fillId="0" borderId="0" xfId="1" applyNumberFormat="1" applyFont="1"/>
    <xf numFmtId="0" fontId="15" fillId="0" borderId="0" xfId="0" applyFont="1" applyAlignment="1">
      <alignment horizontal="center" wrapText="1"/>
    </xf>
    <xf numFmtId="0" fontId="13" fillId="0" borderId="0" xfId="0" applyFont="1" applyAlignment="1">
      <alignment horizontal="left" wrapText="1"/>
    </xf>
    <xf numFmtId="0" fontId="15" fillId="0" borderId="1" xfId="0" applyFont="1" applyBorder="1" applyAlignment="1">
      <alignment horizontal="center" wrapText="1"/>
    </xf>
    <xf numFmtId="41" fontId="0" fillId="0" borderId="0" xfId="0" applyNumberFormat="1" applyAlignment="1">
      <alignment horizontal="center"/>
    </xf>
    <xf numFmtId="42" fontId="0" fillId="0" borderId="0" xfId="0" applyNumberFormat="1" applyAlignment="1">
      <alignment horizontal="center"/>
    </xf>
    <xf numFmtId="166" fontId="11" fillId="2" borderId="7" xfId="2" applyNumberFormat="1" applyFill="1" applyBorder="1"/>
    <xf numFmtId="9" fontId="24" fillId="0" borderId="0" xfId="3" applyFont="1" applyFill="1" applyBorder="1"/>
    <xf numFmtId="166" fontId="11" fillId="2" borderId="15" xfId="2" applyNumberFormat="1" applyFill="1" applyBorder="1"/>
    <xf numFmtId="165" fontId="13" fillId="2" borderId="22" xfId="1" applyNumberFormat="1" applyFont="1" applyFill="1" applyBorder="1" applyAlignment="1">
      <alignment horizontal="center"/>
    </xf>
    <xf numFmtId="0" fontId="16" fillId="0" borderId="0" xfId="0" applyFont="1" applyAlignment="1">
      <alignment wrapText="1"/>
    </xf>
    <xf numFmtId="9" fontId="14" fillId="0" borderId="0" xfId="3" applyFont="1" applyBorder="1" applyAlignment="1">
      <alignment horizontal="left" wrapText="1"/>
    </xf>
    <xf numFmtId="9" fontId="14" fillId="0" borderId="0" xfId="3" applyFont="1" applyFill="1" applyBorder="1" applyAlignment="1">
      <alignment horizontal="left" wrapText="1"/>
    </xf>
    <xf numFmtId="0" fontId="46" fillId="0" borderId="0" xfId="0" applyFont="1"/>
    <xf numFmtId="9" fontId="12" fillId="0" borderId="0" xfId="3" applyFont="1"/>
    <xf numFmtId="0" fontId="42" fillId="0" borderId="0" xfId="0" applyFont="1"/>
    <xf numFmtId="0" fontId="21" fillId="0" borderId="0" xfId="0" applyFont="1" applyAlignment="1">
      <alignment horizontal="center" wrapText="1"/>
    </xf>
    <xf numFmtId="0" fontId="15" fillId="0" borderId="0" xfId="0" applyFont="1"/>
    <xf numFmtId="165" fontId="0" fillId="2" borderId="1" xfId="0" applyNumberFormat="1" applyFill="1" applyBorder="1"/>
    <xf numFmtId="0" fontId="15" fillId="0" borderId="0" xfId="0" quotePrefix="1" applyFont="1"/>
    <xf numFmtId="165" fontId="14" fillId="0" borderId="0" xfId="1" applyNumberFormat="1" applyFont="1" applyBorder="1" applyAlignment="1">
      <alignment wrapText="1"/>
    </xf>
    <xf numFmtId="0" fontId="0" fillId="0" borderId="19" xfId="0" applyBorder="1" applyAlignment="1">
      <alignment horizontal="center"/>
    </xf>
    <xf numFmtId="165" fontId="24" fillId="0" borderId="0" xfId="1" applyNumberFormat="1" applyFont="1" applyBorder="1" applyAlignment="1">
      <alignment horizontal="left"/>
    </xf>
    <xf numFmtId="165" fontId="24" fillId="0" borderId="0" xfId="1" applyNumberFormat="1" applyFont="1" applyBorder="1" applyAlignment="1">
      <alignment horizontal="right"/>
    </xf>
    <xf numFmtId="0" fontId="13" fillId="2" borderId="23" xfId="0" applyFont="1" applyFill="1" applyBorder="1"/>
    <xf numFmtId="0" fontId="13" fillId="2" borderId="7" xfId="0" applyFont="1" applyFill="1" applyBorder="1"/>
    <xf numFmtId="0" fontId="13" fillId="2" borderId="24" xfId="0" applyFont="1" applyFill="1" applyBorder="1"/>
    <xf numFmtId="165" fontId="11" fillId="2" borderId="1" xfId="1" applyNumberFormat="1" applyFill="1" applyBorder="1"/>
    <xf numFmtId="165" fontId="11" fillId="4" borderId="0" xfId="1" applyNumberFormat="1" applyFill="1"/>
    <xf numFmtId="0" fontId="19" fillId="4" borderId="0" xfId="0" applyFont="1" applyFill="1"/>
    <xf numFmtId="0" fontId="0" fillId="0" borderId="2" xfId="0" applyBorder="1" applyAlignment="1">
      <alignment horizontal="center"/>
    </xf>
    <xf numFmtId="0" fontId="0" fillId="0" borderId="20" xfId="0" applyBorder="1" applyAlignment="1">
      <alignment horizontal="center"/>
    </xf>
    <xf numFmtId="0" fontId="0" fillId="2" borderId="25" xfId="0" applyFill="1" applyBorder="1" applyAlignment="1">
      <alignment horizontal="center"/>
    </xf>
    <xf numFmtId="0" fontId="0" fillId="2" borderId="0" xfId="0" applyFill="1" applyAlignment="1">
      <alignment horizontal="center"/>
    </xf>
    <xf numFmtId="0" fontId="0" fillId="0" borderId="7" xfId="0" applyBorder="1"/>
    <xf numFmtId="165" fontId="11" fillId="0" borderId="7" xfId="1" applyNumberFormat="1" applyFill="1" applyBorder="1"/>
    <xf numFmtId="41" fontId="11" fillId="0" borderId="0" xfId="2" applyNumberFormat="1" applyFill="1"/>
    <xf numFmtId="42" fontId="0" fillId="2" borderId="0" xfId="0" applyNumberFormat="1" applyFill="1" applyAlignment="1">
      <alignment horizontal="center"/>
    </xf>
    <xf numFmtId="165" fontId="14" fillId="0" borderId="0" xfId="1" applyNumberFormat="1" applyFont="1" applyBorder="1" applyAlignment="1">
      <alignment horizontal="right" wrapText="1"/>
    </xf>
    <xf numFmtId="165" fontId="24" fillId="0" borderId="0" xfId="1" applyNumberFormat="1" applyFont="1" applyBorder="1" applyAlignment="1"/>
    <xf numFmtId="0" fontId="40"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1" fillId="0" borderId="1" xfId="1" applyNumberFormat="1" applyBorder="1"/>
    <xf numFmtId="9" fontId="14" fillId="0" borderId="0" xfId="3" applyFont="1"/>
    <xf numFmtId="41" fontId="0" fillId="2" borderId="5" xfId="0" applyNumberFormat="1" applyFill="1" applyBorder="1"/>
    <xf numFmtId="165" fontId="14" fillId="0" borderId="0" xfId="1" applyNumberFormat="1" applyFont="1"/>
    <xf numFmtId="9" fontId="24" fillId="0" borderId="0" xfId="3" applyFont="1" applyFill="1" applyBorder="1" applyAlignment="1">
      <alignment horizontal="left"/>
    </xf>
    <xf numFmtId="165" fontId="16" fillId="0" borderId="0" xfId="1" applyNumberFormat="1" applyFont="1" applyAlignment="1">
      <alignment wrapText="1"/>
    </xf>
    <xf numFmtId="165" fontId="49" fillId="0" borderId="0" xfId="1" applyNumberFormat="1" applyFont="1"/>
    <xf numFmtId="165" fontId="12" fillId="0" borderId="0" xfId="1" applyNumberFormat="1" applyFont="1" applyBorder="1"/>
    <xf numFmtId="0" fontId="50" fillId="0" borderId="0" xfId="0" applyFont="1"/>
    <xf numFmtId="0" fontId="37" fillId="0" borderId="0" xfId="0" applyFont="1"/>
    <xf numFmtId="165" fontId="15" fillId="2" borderId="0" xfId="0" applyNumberFormat="1" applyFont="1" applyFill="1" applyAlignment="1">
      <alignment horizontal="center"/>
    </xf>
    <xf numFmtId="165" fontId="0" fillId="2" borderId="5" xfId="1" applyNumberFormat="1" applyFont="1" applyFill="1" applyBorder="1" applyAlignment="1">
      <alignment horizontal="left" indent="2"/>
    </xf>
    <xf numFmtId="165" fontId="24" fillId="0" borderId="0" xfId="1" applyNumberFormat="1" applyFont="1" applyBorder="1" applyAlignment="1">
      <alignment horizontal="center"/>
    </xf>
    <xf numFmtId="165" fontId="11" fillId="0" borderId="1" xfId="1" applyNumberFormat="1" applyFont="1" applyBorder="1"/>
    <xf numFmtId="165" fontId="36" fillId="0" borderId="1" xfId="1" applyNumberFormat="1" applyFont="1" applyBorder="1"/>
    <xf numFmtId="0" fontId="15" fillId="0" borderId="0" xfId="0" applyFont="1" applyAlignment="1">
      <alignment horizontal="center"/>
    </xf>
    <xf numFmtId="165" fontId="52" fillId="0" borderId="0" xfId="1" applyNumberFormat="1" applyFont="1" applyBorder="1" applyAlignment="1">
      <alignment horizontal="center"/>
    </xf>
    <xf numFmtId="0" fontId="53" fillId="0" borderId="0" xfId="0" applyFont="1"/>
    <xf numFmtId="165" fontId="21" fillId="0" borderId="0" xfId="1" applyNumberFormat="1" applyFont="1" applyFill="1"/>
    <xf numFmtId="0" fontId="0" fillId="5" borderId="6" xfId="0" applyFill="1" applyBorder="1"/>
    <xf numFmtId="0" fontId="0" fillId="5" borderId="0" xfId="0" applyFill="1"/>
    <xf numFmtId="0" fontId="15" fillId="5" borderId="0" xfId="0" applyFont="1" applyFill="1"/>
    <xf numFmtId="165" fontId="0" fillId="2" borderId="0" xfId="1" applyNumberFormat="1" applyFont="1" applyFill="1" applyBorder="1"/>
    <xf numFmtId="165" fontId="11" fillId="2" borderId="0" xfId="1" applyNumberFormat="1" applyFont="1" applyFill="1"/>
    <xf numFmtId="0" fontId="0" fillId="0" borderId="26" xfId="0" applyBorder="1"/>
    <xf numFmtId="0" fontId="13" fillId="5" borderId="6" xfId="0" applyFont="1" applyFill="1" applyBorder="1"/>
    <xf numFmtId="0" fontId="12" fillId="0" borderId="6" xfId="0" applyFont="1" applyBorder="1"/>
    <xf numFmtId="0" fontId="0" fillId="0" borderId="27" xfId="0" applyBorder="1" applyAlignment="1">
      <alignment horizontal="center"/>
    </xf>
    <xf numFmtId="0" fontId="0" fillId="3" borderId="12" xfId="0" applyFill="1" applyBorder="1" applyAlignment="1">
      <alignment horizontal="center"/>
    </xf>
    <xf numFmtId="0" fontId="0" fillId="3" borderId="25" xfId="0" applyFill="1" applyBorder="1" applyAlignment="1">
      <alignment horizontal="center"/>
    </xf>
    <xf numFmtId="0" fontId="0" fillId="3" borderId="16" xfId="0" applyFill="1" applyBorder="1" applyAlignment="1">
      <alignment horizontal="center"/>
    </xf>
    <xf numFmtId="0" fontId="0" fillId="3" borderId="0" xfId="0" applyFill="1"/>
    <xf numFmtId="165" fontId="0" fillId="3" borderId="0" xfId="0" applyNumberFormat="1" applyFill="1"/>
    <xf numFmtId="165" fontId="0" fillId="3" borderId="5" xfId="0" applyNumberFormat="1" applyFill="1" applyBorder="1"/>
    <xf numFmtId="165" fontId="0" fillId="0" borderId="2" xfId="1" applyNumberFormat="1" applyFont="1" applyFill="1" applyBorder="1"/>
    <xf numFmtId="165" fontId="0" fillId="0" borderId="13" xfId="1" applyNumberFormat="1" applyFont="1" applyFill="1" applyBorder="1"/>
    <xf numFmtId="0" fontId="14" fillId="0" borderId="0" xfId="0" applyFont="1" applyAlignment="1">
      <alignment textRotation="90"/>
    </xf>
    <xf numFmtId="0" fontId="13" fillId="3" borderId="28" xfId="0" applyFont="1" applyFill="1" applyBorder="1"/>
    <xf numFmtId="0" fontId="14" fillId="5" borderId="0" xfId="0" applyFont="1" applyFill="1"/>
    <xf numFmtId="0" fontId="13" fillId="0" borderId="8" xfId="0" applyFont="1" applyBorder="1"/>
    <xf numFmtId="0" fontId="13" fillId="5" borderId="0" xfId="0" applyFont="1" applyFill="1"/>
    <xf numFmtId="0" fontId="0" fillId="0" borderId="29" xfId="0" applyBorder="1"/>
    <xf numFmtId="0" fontId="13" fillId="0" borderId="0" xfId="0" applyFont="1" applyAlignment="1">
      <alignment wrapText="1"/>
    </xf>
    <xf numFmtId="165" fontId="0" fillId="2" borderId="18" xfId="1" applyNumberFormat="1" applyFont="1" applyFill="1" applyBorder="1"/>
    <xf numFmtId="165" fontId="0" fillId="2" borderId="1" xfId="1" applyNumberFormat="1" applyFont="1" applyFill="1" applyBorder="1"/>
    <xf numFmtId="0" fontId="12" fillId="0" borderId="0" xfId="0" applyFont="1" applyAlignment="1">
      <alignment horizontal="center"/>
    </xf>
    <xf numFmtId="0" fontId="55" fillId="0" borderId="0" xfId="0" applyFont="1" applyAlignment="1">
      <alignment horizontal="center"/>
    </xf>
    <xf numFmtId="0" fontId="56" fillId="0" borderId="0" xfId="0" applyFont="1" applyAlignment="1">
      <alignment horizontal="center"/>
    </xf>
    <xf numFmtId="0" fontId="14" fillId="0" borderId="0" xfId="0" applyFont="1" applyAlignment="1">
      <alignment horizontal="center" wrapText="1"/>
    </xf>
    <xf numFmtId="0" fontId="57" fillId="0" borderId="0" xfId="0" applyFont="1"/>
    <xf numFmtId="165" fontId="0" fillId="2" borderId="21" xfId="1" applyNumberFormat="1" applyFont="1" applyFill="1" applyBorder="1"/>
    <xf numFmtId="165" fontId="0" fillId="0" borderId="1" xfId="1" applyNumberFormat="1" applyFont="1" applyFill="1" applyBorder="1"/>
    <xf numFmtId="165" fontId="11" fillId="2" borderId="0" xfId="1" applyNumberFormat="1" applyFill="1" applyAlignment="1">
      <alignment horizontal="right"/>
    </xf>
    <xf numFmtId="0" fontId="13" fillId="0" borderId="12" xfId="0" applyFont="1" applyBorder="1" applyAlignment="1">
      <alignment horizontal="center"/>
    </xf>
    <xf numFmtId="0" fontId="13" fillId="0" borderId="19" xfId="0" applyFont="1" applyBorder="1" applyAlignment="1">
      <alignment horizontal="center"/>
    </xf>
    <xf numFmtId="0" fontId="0" fillId="0" borderId="30" xfId="0" applyBorder="1"/>
    <xf numFmtId="0" fontId="0" fillId="0" borderId="25" xfId="0" applyBorder="1"/>
    <xf numFmtId="0" fontId="13" fillId="0" borderId="16" xfId="0" applyFont="1" applyBorder="1"/>
    <xf numFmtId="0" fontId="15" fillId="0" borderId="25" xfId="0" applyFont="1" applyBorder="1" applyAlignment="1">
      <alignment horizontal="left"/>
    </xf>
    <xf numFmtId="0" fontId="60" fillId="0" borderId="0" xfId="0" applyFont="1"/>
    <xf numFmtId="0" fontId="15" fillId="0" borderId="16" xfId="0" applyFont="1" applyBorder="1" applyAlignment="1">
      <alignment horizontal="left"/>
    </xf>
    <xf numFmtId="0" fontId="13" fillId="0" borderId="30" xfId="0" applyFont="1" applyBorder="1" applyAlignment="1">
      <alignment horizontal="center"/>
    </xf>
    <xf numFmtId="0" fontId="13" fillId="0" borderId="25" xfId="0" applyFont="1" applyBorder="1" applyAlignment="1">
      <alignment horizontal="center"/>
    </xf>
    <xf numFmtId="0" fontId="13" fillId="0" borderId="16" xfId="0" applyFont="1" applyBorder="1" applyAlignment="1">
      <alignment horizontal="left"/>
    </xf>
    <xf numFmtId="0" fontId="13" fillId="0" borderId="16" xfId="0" applyFont="1" applyBorder="1" applyAlignment="1">
      <alignment horizontal="center"/>
    </xf>
    <xf numFmtId="0" fontId="13" fillId="0" borderId="25" xfId="0" applyFont="1" applyBorder="1" applyAlignment="1">
      <alignment horizontal="left"/>
    </xf>
    <xf numFmtId="0" fontId="0" fillId="0" borderId="16" xfId="0" applyBorder="1"/>
    <xf numFmtId="0" fontId="0" fillId="0" borderId="22" xfId="0" applyBorder="1"/>
    <xf numFmtId="0" fontId="0" fillId="0" borderId="12" xfId="0" applyBorder="1"/>
    <xf numFmtId="0" fontId="0" fillId="0" borderId="0" xfId="0" applyAlignment="1">
      <alignment horizontal="centerContinuous"/>
    </xf>
    <xf numFmtId="0" fontId="13" fillId="0" borderId="30" xfId="0" applyFont="1" applyBorder="1" applyAlignment="1">
      <alignment wrapText="1"/>
    </xf>
    <xf numFmtId="0" fontId="13" fillId="0" borderId="20" xfId="0" applyFont="1" applyBorder="1" applyAlignment="1">
      <alignment horizontal="center"/>
    </xf>
    <xf numFmtId="0" fontId="13" fillId="0" borderId="14" xfId="0" applyFont="1" applyBorder="1" applyAlignment="1">
      <alignment horizontal="center"/>
    </xf>
    <xf numFmtId="0" fontId="0" fillId="0" borderId="25" xfId="0" applyBorder="1" applyAlignment="1">
      <alignment wrapText="1"/>
    </xf>
    <xf numFmtId="0" fontId="13" fillId="0" borderId="25" xfId="0" applyFont="1" applyBorder="1"/>
    <xf numFmtId="0" fontId="0" fillId="0" borderId="16"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9" fillId="0" borderId="0" xfId="0" applyFont="1" applyAlignment="1">
      <alignment horizontal="center"/>
    </xf>
    <xf numFmtId="0" fontId="31" fillId="0" borderId="0" xfId="0" applyFont="1" applyAlignment="1">
      <alignment horizontal="centerContinuous"/>
    </xf>
    <xf numFmtId="0" fontId="49" fillId="5" borderId="0" xfId="0" applyFont="1" applyFill="1" applyAlignment="1">
      <alignment wrapText="1"/>
    </xf>
    <xf numFmtId="0" fontId="45" fillId="0" borderId="0" xfId="0" applyFont="1"/>
    <xf numFmtId="0" fontId="14" fillId="0" borderId="0" xfId="0" applyFont="1" applyAlignment="1">
      <alignment horizontal="left" indent="1"/>
    </xf>
    <xf numFmtId="0" fontId="13" fillId="0" borderId="25" xfId="0" applyFont="1" applyBorder="1" applyAlignment="1">
      <alignment wrapText="1"/>
    </xf>
    <xf numFmtId="38" fontId="0" fillId="0" borderId="1" xfId="0" applyNumberFormat="1" applyBorder="1" applyAlignment="1">
      <alignment horizontal="center"/>
    </xf>
    <xf numFmtId="38" fontId="0" fillId="2" borderId="0" xfId="0" applyNumberFormat="1" applyFill="1"/>
    <xf numFmtId="38" fontId="0" fillId="2" borderId="12" xfId="0" applyNumberFormat="1" applyFill="1" applyBorder="1"/>
    <xf numFmtId="38" fontId="0" fillId="2" borderId="1" xfId="0" applyNumberFormat="1" applyFill="1" applyBorder="1"/>
    <xf numFmtId="38" fontId="0" fillId="2" borderId="31" xfId="0" applyNumberFormat="1" applyFill="1" applyBorder="1"/>
    <xf numFmtId="0" fontId="13" fillId="0" borderId="1" xfId="0" applyFont="1" applyBorder="1"/>
    <xf numFmtId="0" fontId="0" fillId="0" borderId="0" xfId="0" applyAlignment="1">
      <alignment horizontal="left" wrapText="1" indent="4"/>
    </xf>
    <xf numFmtId="165" fontId="11" fillId="2" borderId="5" xfId="1" applyNumberFormat="1" applyFont="1" applyFill="1" applyBorder="1"/>
    <xf numFmtId="38" fontId="0" fillId="2" borderId="32" xfId="0" applyNumberFormat="1" applyFill="1" applyBorder="1"/>
    <xf numFmtId="165" fontId="11" fillId="2" borderId="5" xfId="1" applyNumberFormat="1" applyFill="1" applyBorder="1" applyAlignment="1">
      <alignment horizontal="left" indent="2"/>
    </xf>
    <xf numFmtId="0" fontId="13" fillId="3" borderId="0" xfId="0" applyFont="1" applyFill="1" applyAlignment="1">
      <alignment horizontal="center"/>
    </xf>
    <xf numFmtId="0" fontId="31" fillId="0" borderId="0" xfId="0" applyFont="1" applyAlignment="1">
      <alignment horizontal="center"/>
    </xf>
    <xf numFmtId="0" fontId="0" fillId="0" borderId="0" xfId="0" applyProtection="1">
      <protection locked="0"/>
    </xf>
    <xf numFmtId="165" fontId="0" fillId="0" borderId="0" xfId="1" applyNumberFormat="1" applyFont="1" applyBorder="1" applyProtection="1">
      <protection locked="0"/>
    </xf>
    <xf numFmtId="165" fontId="11" fillId="0" borderId="0" xfId="1" applyNumberFormat="1" applyBorder="1" applyProtection="1">
      <protection locked="0"/>
    </xf>
    <xf numFmtId="165" fontId="0" fillId="0" borderId="0" xfId="1" applyNumberFormat="1" applyFont="1" applyFill="1" applyBorder="1" applyProtection="1">
      <protection locked="0"/>
    </xf>
    <xf numFmtId="165" fontId="11" fillId="0" borderId="0" xfId="1" applyNumberFormat="1" applyFill="1" applyBorder="1" applyProtection="1">
      <protection locked="0"/>
    </xf>
    <xf numFmtId="165" fontId="0" fillId="6" borderId="0" xfId="1" applyNumberFormat="1" applyFont="1" applyFill="1" applyBorder="1" applyProtection="1">
      <protection locked="0"/>
    </xf>
    <xf numFmtId="0" fontId="0" fillId="6" borderId="0" xfId="0" applyFill="1" applyProtection="1">
      <protection locked="0"/>
    </xf>
    <xf numFmtId="165" fontId="0" fillId="6" borderId="0" xfId="1" applyNumberFormat="1" applyFont="1" applyFill="1" applyProtection="1">
      <protection locked="0"/>
    </xf>
    <xf numFmtId="165" fontId="0" fillId="6" borderId="0" xfId="1" quotePrefix="1" applyNumberFormat="1" applyFont="1" applyFill="1" applyProtection="1">
      <protection locked="0"/>
    </xf>
    <xf numFmtId="165" fontId="16" fillId="0" borderId="0" xfId="1" applyNumberFormat="1" applyFont="1" applyFill="1" applyBorder="1" applyAlignment="1" applyProtection="1">
      <alignment horizontal="center"/>
      <protection locked="0"/>
    </xf>
    <xf numFmtId="166" fontId="0" fillId="6" borderId="0" xfId="2" applyNumberFormat="1" applyFont="1" applyFill="1" applyProtection="1">
      <protection locked="0"/>
    </xf>
    <xf numFmtId="165" fontId="11" fillId="0" borderId="0" xfId="1" applyNumberFormat="1" applyProtection="1">
      <protection locked="0"/>
    </xf>
    <xf numFmtId="165" fontId="11" fillId="6" borderId="0" xfId="1" applyNumberFormat="1" applyFill="1" applyProtection="1">
      <protection locked="0"/>
    </xf>
    <xf numFmtId="41" fontId="11" fillId="6" borderId="0" xfId="2" applyNumberFormat="1" applyFill="1" applyProtection="1">
      <protection locked="0"/>
    </xf>
    <xf numFmtId="41" fontId="11" fillId="0" borderId="0" xfId="2" applyNumberFormat="1" applyFill="1" applyProtection="1">
      <protection locked="0"/>
    </xf>
    <xf numFmtId="41" fontId="0" fillId="6" borderId="0" xfId="0" applyNumberFormat="1" applyFill="1" applyProtection="1">
      <protection locked="0"/>
    </xf>
    <xf numFmtId="165" fontId="0" fillId="6" borderId="1" xfId="1" applyNumberFormat="1" applyFont="1" applyFill="1" applyBorder="1" applyProtection="1">
      <protection locked="0"/>
    </xf>
    <xf numFmtId="165" fontId="0" fillId="0" borderId="0" xfId="1" applyNumberFormat="1" applyFont="1" applyProtection="1">
      <protection locked="0"/>
    </xf>
    <xf numFmtId="165" fontId="11" fillId="6" borderId="0" xfId="1" applyNumberFormat="1" applyFill="1" applyBorder="1" applyProtection="1">
      <protection locked="0"/>
    </xf>
    <xf numFmtId="165" fontId="0" fillId="6" borderId="0" xfId="0" applyNumberFormat="1" applyFill="1" applyProtection="1">
      <protection locked="0"/>
    </xf>
    <xf numFmtId="165" fontId="0" fillId="0" borderId="0" xfId="0" applyNumberFormat="1" applyProtection="1">
      <protection locked="0"/>
    </xf>
    <xf numFmtId="165" fontId="11" fillId="6" borderId="1" xfId="1" applyNumberFormat="1" applyFill="1" applyBorder="1" applyProtection="1">
      <protection locked="0"/>
    </xf>
    <xf numFmtId="165" fontId="0" fillId="6" borderId="2" xfId="1" applyNumberFormat="1" applyFont="1" applyFill="1" applyBorder="1" applyProtection="1">
      <protection locked="0"/>
    </xf>
    <xf numFmtId="165" fontId="0" fillId="6" borderId="13" xfId="1" applyNumberFormat="1" applyFont="1" applyFill="1" applyBorder="1" applyProtection="1">
      <protection locked="0"/>
    </xf>
    <xf numFmtId="165" fontId="15" fillId="6" borderId="0" xfId="1" applyNumberFormat="1" applyFont="1" applyFill="1" applyBorder="1" applyProtection="1">
      <protection locked="0"/>
    </xf>
    <xf numFmtId="165" fontId="15" fillId="0" borderId="0" xfId="1" applyNumberFormat="1" applyFont="1" applyFill="1" applyBorder="1" applyProtection="1">
      <protection locked="0"/>
    </xf>
    <xf numFmtId="166" fontId="11" fillId="6" borderId="0" xfId="2" applyNumberFormat="1" applyFill="1" applyProtection="1">
      <protection locked="0"/>
    </xf>
    <xf numFmtId="165" fontId="11" fillId="6" borderId="0" xfId="1" applyNumberFormat="1" applyFont="1" applyFill="1" applyProtection="1">
      <protection locked="0"/>
    </xf>
    <xf numFmtId="165" fontId="0" fillId="6" borderId="0" xfId="1" applyNumberFormat="1" applyFont="1" applyFill="1" applyBorder="1" applyAlignment="1" applyProtection="1">
      <alignment horizontal="center"/>
      <protection locked="0"/>
    </xf>
    <xf numFmtId="165" fontId="11" fillId="6" borderId="0" xfId="1" applyNumberFormat="1" applyFill="1" applyBorder="1" applyAlignment="1" applyProtection="1">
      <alignment horizontal="center"/>
      <protection locked="0"/>
    </xf>
    <xf numFmtId="164" fontId="0" fillId="6" borderId="0" xfId="1" applyNumberFormat="1" applyFont="1" applyFill="1" applyProtection="1">
      <protection locked="0"/>
    </xf>
    <xf numFmtId="0" fontId="13" fillId="3" borderId="30" xfId="0" applyFont="1" applyFill="1" applyBorder="1" applyAlignment="1">
      <alignment horizontal="center"/>
    </xf>
    <xf numFmtId="0" fontId="13" fillId="3" borderId="25" xfId="0" applyFont="1" applyFill="1" applyBorder="1" applyAlignment="1">
      <alignment horizontal="center"/>
    </xf>
    <xf numFmtId="0" fontId="13" fillId="3" borderId="16" xfId="0" applyFont="1" applyFill="1" applyBorder="1" applyAlignment="1">
      <alignment horizontal="center"/>
    </xf>
    <xf numFmtId="0" fontId="13" fillId="3" borderId="1" xfId="0" applyFont="1" applyFill="1" applyBorder="1" applyAlignment="1">
      <alignment horizontal="center"/>
    </xf>
    <xf numFmtId="0" fontId="0" fillId="6" borderId="22" xfId="0" applyFill="1" applyBorder="1"/>
    <xf numFmtId="0" fontId="13" fillId="5" borderId="0" xfId="0" applyFont="1" applyFill="1" applyProtection="1">
      <protection locked="0"/>
    </xf>
    <xf numFmtId="0" fontId="13" fillId="0" borderId="0" xfId="0" applyFont="1" applyProtection="1">
      <protection locked="0"/>
    </xf>
    <xf numFmtId="0" fontId="36" fillId="0" borderId="0" xfId="0" applyFont="1" applyProtection="1">
      <protection locked="0"/>
    </xf>
    <xf numFmtId="0" fontId="13" fillId="0" borderId="0" xfId="0" applyFont="1" applyAlignment="1" applyProtection="1">
      <alignment horizontal="center"/>
      <protection locked="0"/>
    </xf>
    <xf numFmtId="0" fontId="13" fillId="0" borderId="1" xfId="0" applyFont="1" applyBorder="1" applyAlignment="1" applyProtection="1">
      <alignment horizontal="center"/>
      <protection locked="0"/>
    </xf>
    <xf numFmtId="0" fontId="39"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5" fillId="0" borderId="25" xfId="0" applyFont="1" applyBorder="1" applyAlignment="1" applyProtection="1">
      <alignment horizontal="left"/>
      <protection locked="0"/>
    </xf>
    <xf numFmtId="0" fontId="0" fillId="0" borderId="0" xfId="0" applyAlignment="1" applyProtection="1">
      <alignment wrapText="1"/>
      <protection locked="0"/>
    </xf>
    <xf numFmtId="165" fontId="0" fillId="6" borderId="16" xfId="1" applyNumberFormat="1" applyFont="1" applyFill="1" applyBorder="1" applyProtection="1">
      <protection locked="0"/>
    </xf>
    <xf numFmtId="165" fontId="0" fillId="6" borderId="22" xfId="1" applyNumberFormat="1" applyFont="1" applyFill="1" applyBorder="1" applyProtection="1">
      <protection locked="0"/>
    </xf>
    <xf numFmtId="165" fontId="36" fillId="2" borderId="30" xfId="1" applyNumberFormat="1" applyFont="1" applyFill="1" applyBorder="1"/>
    <xf numFmtId="165" fontId="15" fillId="2" borderId="25" xfId="1" applyNumberFormat="1" applyFont="1" applyFill="1" applyBorder="1"/>
    <xf numFmtId="165" fontId="15" fillId="2" borderId="16" xfId="1" applyNumberFormat="1" applyFont="1" applyFill="1" applyBorder="1"/>
    <xf numFmtId="0" fontId="13" fillId="0" borderId="0" xfId="0" applyFont="1" applyAlignment="1">
      <alignment horizontal="left" wrapText="1" indent="1"/>
    </xf>
    <xf numFmtId="0" fontId="13" fillId="0" borderId="6" xfId="0" applyFont="1" applyBorder="1"/>
    <xf numFmtId="0" fontId="0" fillId="3" borderId="33" xfId="0" applyFill="1" applyBorder="1"/>
    <xf numFmtId="165" fontId="11" fillId="0" borderId="0" xfId="1" applyNumberFormat="1" applyFont="1" applyAlignment="1">
      <alignment horizontal="center"/>
    </xf>
    <xf numFmtId="165" fontId="15" fillId="0" borderId="0" xfId="1" applyNumberFormat="1" applyFont="1" applyAlignment="1">
      <alignment horizontal="center"/>
    </xf>
    <xf numFmtId="0" fontId="0" fillId="0" borderId="0" xfId="0" applyAlignment="1">
      <alignment horizontal="left" wrapText="1" indent="1"/>
    </xf>
    <xf numFmtId="38" fontId="0" fillId="6" borderId="0" xfId="0" applyNumberFormat="1" applyFill="1" applyProtection="1">
      <protection locked="0"/>
    </xf>
    <xf numFmtId="0" fontId="49" fillId="0" borderId="0" xfId="0" applyFont="1" applyAlignment="1">
      <alignment wrapText="1"/>
    </xf>
    <xf numFmtId="165" fontId="15" fillId="0" borderId="1" xfId="1" applyNumberFormat="1" applyFont="1" applyBorder="1" applyAlignment="1">
      <alignment horizontal="center"/>
    </xf>
    <xf numFmtId="0" fontId="0" fillId="7" borderId="0" xfId="0" applyFill="1"/>
    <xf numFmtId="165" fontId="0" fillId="7" borderId="0" xfId="0" applyNumberFormat="1" applyFill="1"/>
    <xf numFmtId="165" fontId="0" fillId="7" borderId="0" xfId="1" applyNumberFormat="1" applyFont="1" applyFill="1"/>
    <xf numFmtId="0" fontId="13" fillId="7" borderId="0" xfId="0" applyFont="1" applyFill="1"/>
    <xf numFmtId="0" fontId="36" fillId="7" borderId="0" xfId="0" applyFont="1" applyFill="1"/>
    <xf numFmtId="0" fontId="42" fillId="3" borderId="30" xfId="0" quotePrefix="1" applyFont="1" applyFill="1" applyBorder="1" applyAlignment="1">
      <alignment horizontal="center"/>
    </xf>
    <xf numFmtId="0" fontId="31" fillId="3" borderId="30" xfId="0" quotePrefix="1" applyFont="1" applyFill="1" applyBorder="1" applyAlignment="1">
      <alignment horizontal="center"/>
    </xf>
    <xf numFmtId="0" fontId="31" fillId="3" borderId="12" xfId="0" quotePrefix="1" applyFont="1" applyFill="1" applyBorder="1" applyAlignment="1">
      <alignment horizontal="center"/>
    </xf>
    <xf numFmtId="0" fontId="0" fillId="8" borderId="22" xfId="0" applyFill="1" applyBorder="1"/>
    <xf numFmtId="165" fontId="0" fillId="8" borderId="16" xfId="1" applyNumberFormat="1" applyFont="1" applyFill="1" applyBorder="1"/>
    <xf numFmtId="38" fontId="0" fillId="8" borderId="34" xfId="0" applyNumberFormat="1" applyFill="1" applyBorder="1"/>
    <xf numFmtId="38" fontId="0" fillId="8" borderId="7" xfId="0" applyNumberFormat="1" applyFill="1" applyBorder="1"/>
    <xf numFmtId="165" fontId="0" fillId="8" borderId="5" xfId="1" applyNumberFormat="1" applyFont="1" applyFill="1" applyBorder="1" applyAlignment="1">
      <alignment wrapText="1"/>
    </xf>
    <xf numFmtId="38" fontId="0" fillId="0" borderId="0" xfId="0" applyNumberFormat="1" applyProtection="1">
      <protection locked="0"/>
    </xf>
    <xf numFmtId="0" fontId="15" fillId="0" borderId="16" xfId="0" applyFont="1" applyBorder="1" applyAlignment="1">
      <alignment horizontal="left" indent="2"/>
    </xf>
    <xf numFmtId="0" fontId="63" fillId="0" borderId="0" xfId="0" applyFont="1"/>
    <xf numFmtId="165" fontId="14" fillId="0" borderId="0" xfId="1" applyNumberFormat="1" applyFont="1" applyFill="1" applyBorder="1" applyAlignment="1">
      <alignment wrapText="1"/>
    </xf>
    <xf numFmtId="165" fontId="0" fillId="0" borderId="0" xfId="1" applyNumberFormat="1" applyFont="1" applyFill="1" applyProtection="1">
      <protection locked="0"/>
    </xf>
    <xf numFmtId="0" fontId="16" fillId="0" borderId="0" xfId="0" applyFont="1"/>
    <xf numFmtId="0" fontId="31" fillId="4" borderId="7" xfId="0" applyFont="1" applyFill="1" applyBorder="1"/>
    <xf numFmtId="0" fontId="31" fillId="4" borderId="24" xfId="0" applyFont="1" applyFill="1" applyBorder="1"/>
    <xf numFmtId="165" fontId="14" fillId="0" borderId="0" xfId="1" applyNumberFormat="1" applyFont="1" applyAlignment="1">
      <alignment wrapText="1"/>
    </xf>
    <xf numFmtId="0" fontId="0" fillId="0" borderId="0" xfId="0" quotePrefix="1" applyAlignment="1">
      <alignment horizontal="center"/>
    </xf>
    <xf numFmtId="165" fontId="0" fillId="0" borderId="0" xfId="1" applyNumberFormat="1" applyFont="1" applyAlignment="1">
      <alignment horizontal="left" indent="1"/>
    </xf>
    <xf numFmtId="165" fontId="0" fillId="0" borderId="0" xfId="1" applyNumberFormat="1" applyFont="1" applyAlignment="1">
      <alignment horizontal="right" wrapText="1"/>
    </xf>
    <xf numFmtId="41" fontId="0" fillId="2" borderId="7" xfId="1" applyNumberFormat="1" applyFont="1" applyFill="1" applyBorder="1"/>
    <xf numFmtId="41" fontId="0" fillId="2" borderId="7" xfId="0" applyNumberFormat="1" applyFill="1" applyBorder="1"/>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xf numFmtId="0" fontId="0" fillId="0" borderId="0" xfId="0" applyAlignment="1">
      <alignment horizontal="left" wrapText="1"/>
    </xf>
    <xf numFmtId="0" fontId="65" fillId="0" borderId="0" xfId="0" applyFont="1" applyAlignment="1">
      <alignment wrapText="1"/>
    </xf>
    <xf numFmtId="41" fontId="0" fillId="0" borderId="7" xfId="0" applyNumberFormat="1" applyBorder="1"/>
    <xf numFmtId="165" fontId="0" fillId="0" borderId="0" xfId="1" applyNumberFormat="1" applyFont="1" applyFill="1" applyProtection="1"/>
    <xf numFmtId="41" fontId="13" fillId="6" borderId="35" xfId="1" applyNumberFormat="1" applyFont="1" applyFill="1" applyBorder="1" applyAlignment="1">
      <alignment horizontal="center"/>
    </xf>
    <xf numFmtId="41" fontId="13" fillId="6" borderId="35" xfId="0" applyNumberFormat="1" applyFont="1" applyFill="1" applyBorder="1" applyAlignment="1">
      <alignment horizontal="center"/>
    </xf>
    <xf numFmtId="41" fontId="16" fillId="6" borderId="4" xfId="1" applyNumberFormat="1" applyFont="1" applyFill="1" applyBorder="1" applyAlignment="1"/>
    <xf numFmtId="41" fontId="16" fillId="6" borderId="4" xfId="0" applyNumberFormat="1" applyFont="1" applyFill="1" applyBorder="1"/>
    <xf numFmtId="41" fontId="13" fillId="3" borderId="11" xfId="0" applyNumberFormat="1" applyFont="1" applyFill="1" applyBorder="1" applyAlignment="1">
      <alignment horizontal="center"/>
    </xf>
    <xf numFmtId="41" fontId="0" fillId="3" borderId="9" xfId="0" applyNumberFormat="1" applyFill="1" applyBorder="1"/>
    <xf numFmtId="41" fontId="16" fillId="2" borderId="11" xfId="0" applyNumberFormat="1" applyFont="1" applyFill="1" applyBorder="1"/>
    <xf numFmtId="41" fontId="0" fillId="2" borderId="9" xfId="0" applyNumberFormat="1" applyFill="1" applyBorder="1"/>
    <xf numFmtId="41" fontId="49" fillId="6" borderId="4" xfId="0" applyNumberFormat="1" applyFont="1" applyFill="1" applyBorder="1" applyAlignment="1">
      <alignment horizontal="centerContinuous"/>
    </xf>
    <xf numFmtId="41" fontId="0" fillId="2" borderId="4" xfId="0" applyNumberFormat="1" applyFill="1" applyBorder="1"/>
    <xf numFmtId="41" fontId="0" fillId="2" borderId="9" xfId="1" applyNumberFormat="1" applyFont="1" applyFill="1" applyBorder="1"/>
    <xf numFmtId="41" fontId="11" fillId="6" borderId="26" xfId="1" applyNumberFormat="1" applyFill="1" applyBorder="1"/>
    <xf numFmtId="41" fontId="11" fillId="6" borderId="3" xfId="1" applyNumberFormat="1" applyFill="1" applyBorder="1"/>
    <xf numFmtId="41" fontId="0" fillId="6" borderId="3" xfId="0" applyNumberFormat="1" applyFill="1" applyBorder="1"/>
    <xf numFmtId="41" fontId="0" fillId="6" borderId="10" xfId="0" applyNumberFormat="1" applyFill="1" applyBorder="1"/>
    <xf numFmtId="41" fontId="0" fillId="6" borderId="0" xfId="0" applyNumberFormat="1" applyFill="1"/>
    <xf numFmtId="41" fontId="0" fillId="6" borderId="0" xfId="1" applyNumberFormat="1" applyFont="1" applyFill="1" applyBorder="1"/>
    <xf numFmtId="41" fontId="49" fillId="6" borderId="3" xfId="0" applyNumberFormat="1" applyFont="1" applyFill="1" applyBorder="1" applyAlignment="1">
      <alignment horizontal="centerContinuous"/>
    </xf>
    <xf numFmtId="41" fontId="0" fillId="2" borderId="26" xfId="1" applyNumberFormat="1" applyFont="1" applyFill="1" applyBorder="1"/>
    <xf numFmtId="41" fontId="16" fillId="2" borderId="10" xfId="1" applyNumberFormat="1" applyFont="1" applyFill="1" applyBorder="1" applyAlignment="1">
      <alignment horizontal="centerContinuous"/>
    </xf>
    <xf numFmtId="41" fontId="0" fillId="2" borderId="0" xfId="0" applyNumberFormat="1" applyFill="1"/>
    <xf numFmtId="41" fontId="0" fillId="2" borderId="0" xfId="1" applyNumberFormat="1" applyFont="1" applyFill="1" applyBorder="1"/>
    <xf numFmtId="41" fontId="0" fillId="2" borderId="10" xfId="1" applyNumberFormat="1" applyFont="1" applyFill="1" applyBorder="1"/>
    <xf numFmtId="41" fontId="36" fillId="3" borderId="11" xfId="0" applyNumberFormat="1" applyFont="1" applyFill="1" applyBorder="1" applyAlignment="1">
      <alignment horizontal="center"/>
    </xf>
    <xf numFmtId="41" fontId="0" fillId="3" borderId="4" xfId="1" applyNumberFormat="1" applyFont="1" applyFill="1" applyBorder="1"/>
    <xf numFmtId="41" fontId="0" fillId="3" borderId="4" xfId="0" applyNumberFormat="1" applyFill="1" applyBorder="1"/>
    <xf numFmtId="41" fontId="36" fillId="3" borderId="4" xfId="0" applyNumberFormat="1" applyFont="1" applyFill="1" applyBorder="1" applyAlignment="1">
      <alignment horizontal="center"/>
    </xf>
    <xf numFmtId="41" fontId="0" fillId="3" borderId="9" xfId="1" applyNumberFormat="1" applyFont="1" applyFill="1" applyBorder="1"/>
    <xf numFmtId="41" fontId="13" fillId="6" borderId="0" xfId="0" applyNumberFormat="1" applyFont="1" applyFill="1" applyAlignment="1">
      <alignment horizontal="centerContinuous"/>
    </xf>
    <xf numFmtId="41" fontId="13" fillId="6" borderId="9" xfId="0" applyNumberFormat="1" applyFont="1" applyFill="1" applyBorder="1" applyAlignment="1">
      <alignment horizontal="centerContinuous"/>
    </xf>
    <xf numFmtId="41" fontId="13" fillId="3" borderId="0" xfId="1" applyNumberFormat="1" applyFont="1" applyFill="1" applyBorder="1" applyAlignment="1">
      <alignment horizontal="center"/>
    </xf>
    <xf numFmtId="41" fontId="13" fillId="6" borderId="6" xfId="0" applyNumberFormat="1" applyFont="1" applyFill="1" applyBorder="1" applyAlignment="1">
      <alignment horizontal="centerContinuous"/>
    </xf>
    <xf numFmtId="41" fontId="11" fillId="0" borderId="26" xfId="1" applyNumberFormat="1" applyFont="1" applyBorder="1" applyAlignment="1">
      <alignment horizontal="center"/>
    </xf>
    <xf numFmtId="41" fontId="11" fillId="0" borderId="3" xfId="1" applyNumberFormat="1" applyFont="1" applyBorder="1" applyAlignment="1">
      <alignment horizontal="center"/>
    </xf>
    <xf numFmtId="41" fontId="0" fillId="0" borderId="36" xfId="0" applyNumberFormat="1" applyBorder="1" applyAlignment="1">
      <alignment horizontal="center"/>
    </xf>
    <xf numFmtId="41" fontId="0" fillId="0" borderId="37" xfId="0" applyNumberFormat="1" applyBorder="1" applyAlignment="1">
      <alignment horizontal="center"/>
    </xf>
    <xf numFmtId="41" fontId="0" fillId="0" borderId="10" xfId="0" applyNumberFormat="1" applyBorder="1" applyAlignment="1">
      <alignment horizontal="center"/>
    </xf>
    <xf numFmtId="41" fontId="0" fillId="3" borderId="26" xfId="0" applyNumberFormat="1" applyFill="1" applyBorder="1" applyAlignment="1">
      <alignment horizontal="center"/>
    </xf>
    <xf numFmtId="41" fontId="0" fillId="3" borderId="10" xfId="0" applyNumberFormat="1" applyFill="1" applyBorder="1" applyAlignment="1">
      <alignment horizontal="center"/>
    </xf>
    <xf numFmtId="41" fontId="13" fillId="3" borderId="26" xfId="0" applyNumberFormat="1" applyFont="1" applyFill="1" applyBorder="1" applyAlignment="1">
      <alignment horizontal="center"/>
    </xf>
    <xf numFmtId="41" fontId="13" fillId="3" borderId="10" xfId="0" applyNumberFormat="1" applyFont="1" applyFill="1" applyBorder="1" applyAlignment="1">
      <alignment horizontal="center"/>
    </xf>
    <xf numFmtId="41" fontId="13" fillId="6" borderId="3" xfId="0" applyNumberFormat="1" applyFont="1" applyFill="1" applyBorder="1" applyAlignment="1">
      <alignment horizontal="center"/>
    </xf>
    <xf numFmtId="41" fontId="13" fillId="6" borderId="10" xfId="0" applyNumberFormat="1" applyFont="1" applyFill="1" applyBorder="1" applyAlignment="1">
      <alignment horizontal="center"/>
    </xf>
    <xf numFmtId="41" fontId="36" fillId="3" borderId="26" xfId="0" applyNumberFormat="1" applyFont="1" applyFill="1" applyBorder="1" applyAlignment="1">
      <alignment horizontal="center"/>
    </xf>
    <xf numFmtId="41" fontId="13" fillId="3" borderId="3" xfId="1" applyNumberFormat="1" applyFont="1" applyFill="1" applyBorder="1" applyAlignment="1">
      <alignment horizontal="center"/>
    </xf>
    <xf numFmtId="41" fontId="13" fillId="3" borderId="3" xfId="0" applyNumberFormat="1" applyFont="1" applyFill="1" applyBorder="1" applyAlignment="1">
      <alignment horizontal="center"/>
    </xf>
    <xf numFmtId="41" fontId="36" fillId="3" borderId="3" xfId="0" applyNumberFormat="1" applyFont="1" applyFill="1" applyBorder="1" applyAlignment="1">
      <alignment horizontal="center"/>
    </xf>
    <xf numFmtId="41" fontId="13" fillId="3" borderId="10" xfId="1" applyNumberFormat="1" applyFont="1" applyFill="1" applyBorder="1" applyAlignment="1">
      <alignment horizontal="center"/>
    </xf>
    <xf numFmtId="41" fontId="13" fillId="6" borderId="3" xfId="1" applyNumberFormat="1" applyFont="1" applyFill="1" applyBorder="1" applyAlignment="1">
      <alignment horizontal="center"/>
    </xf>
    <xf numFmtId="41" fontId="13" fillId="6" borderId="10" xfId="1" applyNumberFormat="1" applyFont="1" applyFill="1" applyBorder="1" applyAlignment="1">
      <alignment horizontal="center"/>
    </xf>
    <xf numFmtId="41" fontId="13" fillId="3" borderId="26" xfId="1" applyNumberFormat="1" applyFont="1" applyFill="1" applyBorder="1" applyAlignment="1">
      <alignment horizontal="center"/>
    </xf>
    <xf numFmtId="41" fontId="15" fillId="0" borderId="11" xfId="1" applyNumberFormat="1" applyFont="1" applyBorder="1" applyAlignment="1">
      <alignment horizontal="center"/>
    </xf>
    <xf numFmtId="41" fontId="15" fillId="0" borderId="9" xfId="1" applyNumberFormat="1" applyFont="1" applyBorder="1" applyAlignment="1">
      <alignment horizontal="center"/>
    </xf>
    <xf numFmtId="41" fontId="0" fillId="0" borderId="4" xfId="0" applyNumberFormat="1" applyBorder="1"/>
    <xf numFmtId="41" fontId="0" fillId="0" borderId="9" xfId="0" applyNumberFormat="1" applyBorder="1"/>
    <xf numFmtId="41" fontId="0" fillId="0" borderId="0" xfId="1" applyNumberFormat="1" applyFont="1" applyBorder="1"/>
    <xf numFmtId="41" fontId="0" fillId="0" borderId="2" xfId="0" applyNumberFormat="1" applyBorder="1"/>
    <xf numFmtId="41" fontId="0" fillId="0" borderId="8" xfId="0" applyNumberFormat="1" applyBorder="1"/>
    <xf numFmtId="41" fontId="0" fillId="0" borderId="11" xfId="0" applyNumberFormat="1" applyBorder="1"/>
    <xf numFmtId="41" fontId="36" fillId="0" borderId="4" xfId="0" applyNumberFormat="1" applyFont="1" applyBorder="1" applyAlignment="1">
      <alignment horizontal="center"/>
    </xf>
    <xf numFmtId="41" fontId="0" fillId="0" borderId="4" xfId="1" applyNumberFormat="1" applyFont="1" applyBorder="1"/>
    <xf numFmtId="41" fontId="36" fillId="0" borderId="11" xfId="0" applyNumberFormat="1" applyFont="1" applyBorder="1" applyAlignment="1">
      <alignment horizontal="center"/>
    </xf>
    <xf numFmtId="41" fontId="0" fillId="6" borderId="9" xfId="0" applyNumberFormat="1" applyFill="1" applyBorder="1" applyProtection="1">
      <protection locked="0"/>
    </xf>
    <xf numFmtId="41" fontId="0" fillId="0" borderId="9" xfId="1" applyNumberFormat="1" applyFont="1" applyBorder="1"/>
    <xf numFmtId="41" fontId="15" fillId="0" borderId="8" xfId="1" applyNumberFormat="1" applyFont="1" applyBorder="1" applyAlignment="1" applyProtection="1">
      <alignment horizontal="center"/>
      <protection locked="0"/>
    </xf>
    <xf numFmtId="41" fontId="15" fillId="0" borderId="6" xfId="1" applyNumberFormat="1" applyFont="1" applyBorder="1" applyAlignment="1" applyProtection="1">
      <alignment horizontal="center"/>
      <protection locked="0"/>
    </xf>
    <xf numFmtId="41" fontId="0" fillId="0" borderId="0" xfId="0" applyNumberFormat="1" applyProtection="1">
      <protection locked="0"/>
    </xf>
    <xf numFmtId="41" fontId="0" fillId="0" borderId="6" xfId="0" applyNumberFormat="1" applyBorder="1" applyProtection="1">
      <protection locked="0"/>
    </xf>
    <xf numFmtId="41" fontId="0" fillId="0" borderId="0" xfId="1" applyNumberFormat="1" applyFont="1" applyBorder="1" applyProtection="1">
      <protection locked="0"/>
    </xf>
    <xf numFmtId="41" fontId="0" fillId="0" borderId="6" xfId="0" applyNumberFormat="1" applyBorder="1"/>
    <xf numFmtId="41" fontId="36" fillId="0" borderId="0" xfId="0" applyNumberFormat="1" applyFont="1" applyAlignment="1">
      <alignment horizontal="center"/>
    </xf>
    <xf numFmtId="41" fontId="36" fillId="0" borderId="8" xfId="0" applyNumberFormat="1" applyFont="1" applyBorder="1" applyAlignment="1">
      <alignment horizontal="center"/>
    </xf>
    <xf numFmtId="41" fontId="0" fillId="0" borderId="6" xfId="1" applyNumberFormat="1" applyFont="1" applyBorder="1"/>
    <xf numFmtId="41" fontId="0" fillId="6" borderId="0" xfId="1" applyNumberFormat="1" applyFont="1" applyFill="1" applyBorder="1" applyProtection="1">
      <protection locked="0"/>
    </xf>
    <xf numFmtId="41" fontId="0" fillId="6" borderId="6" xfId="1" applyNumberFormat="1" applyFont="1" applyFill="1" applyBorder="1" applyProtection="1">
      <protection locked="0"/>
    </xf>
    <xf numFmtId="41" fontId="11" fillId="0" borderId="8" xfId="1" applyNumberFormat="1" applyBorder="1" applyProtection="1">
      <protection locked="0"/>
    </xf>
    <xf numFmtId="41" fontId="11" fillId="0" borderId="6" xfId="1" applyNumberFormat="1" applyBorder="1" applyProtection="1">
      <protection locked="0"/>
    </xf>
    <xf numFmtId="41" fontId="0" fillId="0" borderId="0" xfId="1" applyNumberFormat="1" applyFont="1" applyFill="1" applyBorder="1" applyProtection="1">
      <protection locked="0"/>
    </xf>
    <xf numFmtId="41" fontId="16" fillId="0" borderId="0" xfId="0" applyNumberFormat="1" applyFont="1" applyAlignment="1">
      <alignment horizontal="center"/>
    </xf>
    <xf numFmtId="41" fontId="11" fillId="0" borderId="8" xfId="1" applyNumberFormat="1" applyFill="1" applyBorder="1" applyProtection="1">
      <protection locked="0"/>
    </xf>
    <xf numFmtId="41" fontId="11" fillId="0" borderId="6" xfId="1" applyNumberFormat="1" applyFill="1" applyBorder="1" applyProtection="1">
      <protection locked="0"/>
    </xf>
    <xf numFmtId="41" fontId="0" fillId="0" borderId="6" xfId="1" applyNumberFormat="1" applyFont="1" applyFill="1" applyBorder="1"/>
    <xf numFmtId="41" fontId="11" fillId="5" borderId="8" xfId="1" applyNumberFormat="1" applyFill="1" applyBorder="1" applyProtection="1">
      <protection locked="0"/>
    </xf>
    <xf numFmtId="41" fontId="11" fillId="5" borderId="6" xfId="1" applyNumberFormat="1" applyFill="1" applyBorder="1" applyProtection="1">
      <protection locked="0"/>
    </xf>
    <xf numFmtId="41" fontId="0" fillId="5" borderId="0" xfId="0" applyNumberFormat="1" applyFill="1" applyProtection="1">
      <protection locked="0"/>
    </xf>
    <xf numFmtId="41" fontId="0" fillId="5" borderId="6" xfId="0" applyNumberFormat="1" applyFill="1" applyBorder="1" applyProtection="1">
      <protection locked="0"/>
    </xf>
    <xf numFmtId="41" fontId="0" fillId="5" borderId="0" xfId="1" applyNumberFormat="1" applyFont="1" applyFill="1" applyBorder="1" applyProtection="1">
      <protection locked="0"/>
    </xf>
    <xf numFmtId="41" fontId="0" fillId="5" borderId="2" xfId="0" applyNumberFormat="1" applyFill="1" applyBorder="1"/>
    <xf numFmtId="41" fontId="0" fillId="5" borderId="0" xfId="0" applyNumberFormat="1" applyFill="1"/>
    <xf numFmtId="41" fontId="0" fillId="5" borderId="8" xfId="0" applyNumberFormat="1" applyFill="1" applyBorder="1"/>
    <xf numFmtId="41" fontId="0" fillId="5" borderId="6" xfId="0" applyNumberFormat="1" applyFill="1" applyBorder="1"/>
    <xf numFmtId="41" fontId="36" fillId="5" borderId="0" xfId="0" applyNumberFormat="1" applyFont="1" applyFill="1" applyAlignment="1">
      <alignment horizontal="center"/>
    </xf>
    <xf numFmtId="41" fontId="0" fillId="5" borderId="0" xfId="1" applyNumberFormat="1" applyFont="1" applyFill="1" applyBorder="1"/>
    <xf numFmtId="41" fontId="36" fillId="5" borderId="8" xfId="0" applyNumberFormat="1" applyFont="1" applyFill="1" applyBorder="1" applyAlignment="1">
      <alignment horizontal="center"/>
    </xf>
    <xf numFmtId="41" fontId="0" fillId="5" borderId="6" xfId="1" applyNumberFormat="1" applyFont="1" applyFill="1" applyBorder="1"/>
    <xf numFmtId="41" fontId="16" fillId="5" borderId="8" xfId="0" applyNumberFormat="1" applyFont="1" applyFill="1" applyBorder="1" applyAlignment="1">
      <alignment horizontal="center"/>
    </xf>
    <xf numFmtId="41" fontId="16" fillId="5" borderId="0" xfId="0" applyNumberFormat="1" applyFont="1" applyFill="1" applyAlignment="1">
      <alignment horizontal="center"/>
    </xf>
    <xf numFmtId="41" fontId="0" fillId="6" borderId="8" xfId="1" applyNumberFormat="1" applyFont="1" applyFill="1" applyBorder="1" applyProtection="1">
      <protection locked="0"/>
    </xf>
    <xf numFmtId="41" fontId="48" fillId="0" borderId="0" xfId="0" applyNumberFormat="1" applyFont="1" applyAlignment="1">
      <alignment horizontal="center"/>
    </xf>
    <xf numFmtId="41" fontId="16" fillId="0" borderId="8" xfId="0" applyNumberFormat="1" applyFont="1" applyBorder="1" applyAlignment="1">
      <alignment horizontal="center"/>
    </xf>
    <xf numFmtId="41" fontId="0" fillId="5" borderId="0" xfId="1" applyNumberFormat="1" applyFont="1" applyFill="1"/>
    <xf numFmtId="41" fontId="16" fillId="0" borderId="0" xfId="0" applyNumberFormat="1" applyFont="1"/>
    <xf numFmtId="41" fontId="0" fillId="0" borderId="6" xfId="1" applyNumberFormat="1" applyFont="1" applyFill="1" applyBorder="1" applyProtection="1">
      <protection locked="0"/>
    </xf>
    <xf numFmtId="41" fontId="48" fillId="5" borderId="0" xfId="0" applyNumberFormat="1" applyFont="1" applyFill="1" applyAlignment="1">
      <alignment horizontal="center"/>
    </xf>
    <xf numFmtId="41" fontId="11" fillId="5" borderId="0" xfId="1" applyNumberFormat="1" applyFill="1" applyBorder="1" applyProtection="1">
      <protection locked="0"/>
    </xf>
    <xf numFmtId="41" fontId="11" fillId="0" borderId="0" xfId="1" applyNumberFormat="1" applyBorder="1" applyProtection="1">
      <protection locked="0"/>
    </xf>
    <xf numFmtId="41" fontId="0" fillId="0" borderId="0" xfId="1" applyNumberFormat="1" applyFont="1"/>
    <xf numFmtId="41" fontId="0" fillId="7" borderId="7" xfId="1" applyNumberFormat="1" applyFont="1" applyFill="1" applyBorder="1"/>
    <xf numFmtId="41" fontId="0" fillId="7" borderId="33" xfId="1" applyNumberFormat="1" applyFont="1" applyFill="1" applyBorder="1"/>
    <xf numFmtId="41" fontId="0" fillId="0" borderId="8" xfId="1" applyNumberFormat="1" applyFont="1" applyFill="1" applyBorder="1"/>
    <xf numFmtId="41" fontId="58" fillId="0" borderId="6" xfId="0" applyNumberFormat="1" applyFont="1" applyBorder="1"/>
    <xf numFmtId="41" fontId="0" fillId="0" borderId="8" xfId="1" applyNumberFormat="1" applyFont="1" applyBorder="1"/>
    <xf numFmtId="41" fontId="0" fillId="5" borderId="8" xfId="1" applyNumberFormat="1" applyFont="1" applyFill="1" applyBorder="1"/>
    <xf numFmtId="41" fontId="15" fillId="0" borderId="6" xfId="0" applyNumberFormat="1" applyFont="1" applyBorder="1" applyProtection="1">
      <protection locked="0"/>
    </xf>
    <xf numFmtId="41" fontId="15" fillId="0" borderId="0" xfId="0" applyNumberFormat="1" applyFont="1" applyProtection="1">
      <protection locked="0"/>
    </xf>
    <xf numFmtId="41" fontId="0" fillId="0" borderId="0" xfId="1" applyNumberFormat="1" applyFont="1" applyFill="1"/>
    <xf numFmtId="41" fontId="11" fillId="0" borderId="8" xfId="1" applyNumberFormat="1" applyFill="1" applyBorder="1" applyProtection="1"/>
    <xf numFmtId="41" fontId="11" fillId="0" borderId="6" xfId="1" applyNumberFormat="1" applyFill="1" applyBorder="1" applyProtection="1"/>
    <xf numFmtId="41" fontId="0" fillId="0" borderId="0" xfId="1" applyNumberFormat="1" applyFont="1" applyFill="1" applyBorder="1" applyProtection="1"/>
    <xf numFmtId="41" fontId="0" fillId="0" borderId="6" xfId="1" applyNumberFormat="1" applyFont="1" applyFill="1" applyBorder="1" applyProtection="1"/>
    <xf numFmtId="41" fontId="0" fillId="0" borderId="8" xfId="1" applyNumberFormat="1" applyFont="1" applyFill="1" applyBorder="1" applyProtection="1"/>
    <xf numFmtId="41" fontId="11" fillId="7" borderId="38" xfId="1" applyNumberFormat="1" applyFill="1" applyBorder="1"/>
    <xf numFmtId="41" fontId="11" fillId="7" borderId="39" xfId="1" applyNumberFormat="1" applyFill="1" applyBorder="1"/>
    <xf numFmtId="41" fontId="11" fillId="7" borderId="5" xfId="1" applyNumberFormat="1" applyFill="1" applyBorder="1"/>
    <xf numFmtId="41" fontId="0" fillId="7" borderId="18" xfId="0" applyNumberFormat="1" applyFill="1" applyBorder="1"/>
    <xf numFmtId="41" fontId="0" fillId="7" borderId="38" xfId="0" applyNumberFormat="1" applyFill="1" applyBorder="1"/>
    <xf numFmtId="41" fontId="0" fillId="7" borderId="39" xfId="0" applyNumberFormat="1" applyFill="1" applyBorder="1"/>
    <xf numFmtId="41" fontId="0" fillId="7" borderId="5" xfId="1" applyNumberFormat="1" applyFont="1" applyFill="1" applyBorder="1"/>
    <xf numFmtId="41" fontId="0" fillId="7" borderId="39" xfId="1" applyNumberFormat="1" applyFont="1" applyFill="1" applyBorder="1"/>
    <xf numFmtId="41" fontId="11" fillId="0" borderId="8" xfId="1" applyNumberFormat="1" applyBorder="1"/>
    <xf numFmtId="41" fontId="11" fillId="0" borderId="6" xfId="1" applyNumberFormat="1" applyBorder="1"/>
    <xf numFmtId="41" fontId="11" fillId="0" borderId="0" xfId="1" applyNumberFormat="1" applyBorder="1"/>
    <xf numFmtId="41" fontId="0" fillId="2" borderId="8" xfId="0" applyNumberFormat="1" applyFill="1" applyBorder="1"/>
    <xf numFmtId="41" fontId="0" fillId="2" borderId="6" xfId="0" applyNumberFormat="1" applyFill="1" applyBorder="1"/>
    <xf numFmtId="41" fontId="11" fillId="0" borderId="26" xfId="1" applyNumberFormat="1" applyBorder="1"/>
    <xf numFmtId="41" fontId="11" fillId="0" borderId="10" xfId="1" applyNumberFormat="1" applyBorder="1"/>
    <xf numFmtId="41" fontId="11" fillId="0" borderId="3" xfId="1" applyNumberFormat="1" applyBorder="1"/>
    <xf numFmtId="41" fontId="0" fillId="0" borderId="3" xfId="1" applyNumberFormat="1" applyFont="1" applyBorder="1"/>
    <xf numFmtId="41" fontId="0" fillId="0" borderId="3" xfId="0" applyNumberFormat="1" applyBorder="1"/>
    <xf numFmtId="41" fontId="0" fillId="0" borderId="36" xfId="0" applyNumberFormat="1" applyBorder="1"/>
    <xf numFmtId="41" fontId="0" fillId="0" borderId="26" xfId="0" applyNumberFormat="1" applyBorder="1"/>
    <xf numFmtId="41" fontId="0" fillId="0" borderId="10" xfId="0" applyNumberFormat="1" applyBorder="1"/>
    <xf numFmtId="41" fontId="36" fillId="0" borderId="3" xfId="0" applyNumberFormat="1" applyFont="1" applyBorder="1" applyAlignment="1">
      <alignment horizontal="center"/>
    </xf>
    <xf numFmtId="41" fontId="36" fillId="0" borderId="26" xfId="0" applyNumberFormat="1" applyFont="1" applyBorder="1" applyAlignment="1">
      <alignment horizontal="center"/>
    </xf>
    <xf numFmtId="41" fontId="0" fillId="0" borderId="3" xfId="1" applyNumberFormat="1" applyFont="1" applyFill="1" applyBorder="1"/>
    <xf numFmtId="41" fontId="0" fillId="0" borderId="10" xfId="1" applyNumberFormat="1" applyFont="1" applyBorder="1"/>
    <xf numFmtId="41" fontId="11" fillId="0" borderId="0" xfId="1" applyNumberFormat="1"/>
    <xf numFmtId="41" fontId="21" fillId="0" borderId="0" xfId="1" applyNumberFormat="1" applyFont="1"/>
    <xf numFmtId="41" fontId="21" fillId="0" borderId="0" xfId="0" applyNumberFormat="1" applyFont="1"/>
    <xf numFmtId="41" fontId="32" fillId="0" borderId="0" xfId="0" applyNumberFormat="1" applyFont="1" applyAlignment="1">
      <alignment horizontal="center"/>
    </xf>
    <xf numFmtId="41" fontId="21" fillId="0" borderId="0" xfId="1" applyNumberFormat="1" applyFont="1" applyBorder="1"/>
    <xf numFmtId="41" fontId="21" fillId="0" borderId="0" xfId="1" applyNumberFormat="1" applyFont="1" applyFill="1" applyBorder="1"/>
    <xf numFmtId="41" fontId="13" fillId="0" borderId="0" xfId="1" applyNumberFormat="1" applyFont="1" applyFill="1" applyBorder="1"/>
    <xf numFmtId="41" fontId="12" fillId="0" borderId="0" xfId="1" applyNumberFormat="1" applyFont="1"/>
    <xf numFmtId="41" fontId="33" fillId="0" borderId="0" xfId="1" applyNumberFormat="1" applyFont="1"/>
    <xf numFmtId="41" fontId="33" fillId="0" borderId="0" xfId="0" applyNumberFormat="1" applyFont="1"/>
    <xf numFmtId="41" fontId="50" fillId="0" borderId="0" xfId="0" applyNumberFormat="1" applyFont="1" applyAlignment="1">
      <alignment horizontal="center"/>
    </xf>
    <xf numFmtId="41" fontId="0" fillId="0" borderId="0" xfId="1" applyNumberFormat="1" applyFont="1" applyAlignment="1">
      <alignment wrapText="1"/>
    </xf>
    <xf numFmtId="41" fontId="0" fillId="0" borderId="0" xfId="0" applyNumberFormat="1" applyAlignment="1">
      <alignment wrapText="1"/>
    </xf>
    <xf numFmtId="41" fontId="21" fillId="0" borderId="0" xfId="1" applyNumberFormat="1" applyFont="1" applyFill="1"/>
    <xf numFmtId="167" fontId="11" fillId="2" borderId="0" xfId="3" applyNumberFormat="1" applyFill="1" applyAlignment="1">
      <alignment horizontal="right"/>
    </xf>
    <xf numFmtId="167" fontId="0" fillId="2" borderId="5" xfId="0" applyNumberFormat="1" applyFill="1" applyBorder="1"/>
    <xf numFmtId="0" fontId="0" fillId="0" borderId="0" xfId="0" quotePrefix="1" applyAlignment="1">
      <alignment vertical="top"/>
    </xf>
    <xf numFmtId="165" fontId="15" fillId="2" borderId="5" xfId="1" applyNumberFormat="1" applyFont="1" applyFill="1" applyBorder="1" applyProtection="1">
      <protection locked="0"/>
    </xf>
    <xf numFmtId="0" fontId="15" fillId="5" borderId="0" xfId="0" applyFont="1" applyFill="1" applyProtection="1">
      <protection locked="0"/>
    </xf>
    <xf numFmtId="0" fontId="15" fillId="0" borderId="0" xfId="0" applyFont="1" applyProtection="1">
      <protection locked="0"/>
    </xf>
    <xf numFmtId="0" fontId="24" fillId="0" borderId="0" xfId="0" applyFont="1" applyAlignment="1">
      <alignment horizontal="right" vertical="top"/>
    </xf>
    <xf numFmtId="0" fontId="69" fillId="0" borderId="0" xfId="0" applyFont="1" applyAlignment="1">
      <alignment horizontal="right" vertical="top"/>
    </xf>
    <xf numFmtId="0" fontId="15" fillId="0" borderId="0" xfId="0" applyFont="1" applyAlignment="1">
      <alignment wrapText="1"/>
    </xf>
    <xf numFmtId="41" fontId="67" fillId="0" borderId="0" xfId="1" applyNumberFormat="1" applyFont="1" applyFill="1" applyBorder="1" applyProtection="1">
      <protection locked="0"/>
    </xf>
    <xf numFmtId="41" fontId="67" fillId="0" borderId="0" xfId="1" applyNumberFormat="1" applyFont="1" applyFill="1" applyBorder="1"/>
    <xf numFmtId="41" fontId="67" fillId="0" borderId="6" xfId="1" applyNumberFormat="1" applyFont="1" applyFill="1" applyBorder="1"/>
    <xf numFmtId="0" fontId="0" fillId="9" borderId="0" xfId="0" applyFill="1"/>
    <xf numFmtId="41" fontId="11" fillId="9" borderId="8" xfId="1" applyNumberFormat="1" applyFill="1" applyBorder="1" applyProtection="1">
      <protection locked="0"/>
    </xf>
    <xf numFmtId="41" fontId="11" fillId="9" borderId="6" xfId="1" applyNumberFormat="1" applyFill="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41" fontId="67" fillId="9" borderId="0" xfId="1" applyNumberFormat="1" applyFont="1" applyFill="1" applyBorder="1" applyProtection="1">
      <protection locked="0"/>
    </xf>
    <xf numFmtId="41" fontId="0" fillId="9" borderId="2" xfId="0" applyNumberFormat="1" applyFill="1" applyBorder="1"/>
    <xf numFmtId="41" fontId="0" fillId="9" borderId="0" xfId="0" applyNumberFormat="1" applyFill="1"/>
    <xf numFmtId="41" fontId="0" fillId="9" borderId="8" xfId="0" applyNumberFormat="1" applyFill="1" applyBorder="1"/>
    <xf numFmtId="41" fontId="0" fillId="9" borderId="6" xfId="0" applyNumberFormat="1" applyFill="1" applyBorder="1"/>
    <xf numFmtId="41" fontId="36" fillId="9" borderId="0" xfId="0" applyNumberFormat="1" applyFont="1" applyFill="1" applyAlignment="1">
      <alignment horizontal="center"/>
    </xf>
    <xf numFmtId="41" fontId="67" fillId="9" borderId="0" xfId="1" applyNumberFormat="1" applyFont="1" applyFill="1" applyBorder="1"/>
    <xf numFmtId="41" fontId="36" fillId="9" borderId="8" xfId="0" applyNumberFormat="1" applyFont="1" applyFill="1" applyBorder="1" applyAlignment="1">
      <alignment horizontal="center"/>
    </xf>
    <xf numFmtId="41" fontId="67" fillId="9" borderId="6" xfId="1" applyNumberFormat="1" applyFont="1" applyFill="1" applyBorder="1"/>
    <xf numFmtId="165" fontId="14" fillId="0" borderId="0" xfId="1" applyNumberFormat="1" applyFont="1" applyBorder="1" applyAlignment="1">
      <alignment horizontal="center" wrapText="1"/>
    </xf>
    <xf numFmtId="165" fontId="14" fillId="0" borderId="1" xfId="1" applyNumberFormat="1" applyFont="1" applyBorder="1" applyAlignment="1">
      <alignment wrapText="1"/>
    </xf>
    <xf numFmtId="0" fontId="68" fillId="0" borderId="1" xfId="0" applyFont="1" applyBorder="1" applyAlignment="1">
      <alignment horizontal="centerContinuous"/>
    </xf>
    <xf numFmtId="0" fontId="70" fillId="0" borderId="0" xfId="0" applyFont="1" applyAlignment="1">
      <alignment horizontal="center" wrapText="1"/>
    </xf>
    <xf numFmtId="0" fontId="13" fillId="0" borderId="0" xfId="0" applyFont="1" applyAlignment="1">
      <alignment horizontal="right"/>
    </xf>
    <xf numFmtId="0" fontId="73" fillId="2" borderId="22" xfId="0" applyFont="1" applyFill="1" applyBorder="1"/>
    <xf numFmtId="0" fontId="69" fillId="0" borderId="0" xfId="0" applyFont="1"/>
    <xf numFmtId="0" fontId="0" fillId="0" borderId="20" xfId="0" applyBorder="1"/>
    <xf numFmtId="43" fontId="0" fillId="0" borderId="0" xfId="1" applyFont="1" applyFill="1" applyBorder="1"/>
    <xf numFmtId="0" fontId="0" fillId="0" borderId="0" xfId="0" applyAlignment="1">
      <alignment vertical="top"/>
    </xf>
    <xf numFmtId="43" fontId="0" fillId="0" borderId="0" xfId="1" applyFont="1"/>
    <xf numFmtId="0" fontId="13" fillId="0" borderId="0" xfId="0" applyFont="1" applyAlignment="1">
      <alignment horizontal="right" vertical="top"/>
    </xf>
    <xf numFmtId="43" fontId="15" fillId="0" borderId="0" xfId="1" applyFont="1" applyAlignment="1">
      <alignment horizontal="center"/>
    </xf>
    <xf numFmtId="43" fontId="0" fillId="0" borderId="0" xfId="0" applyNumberFormat="1"/>
    <xf numFmtId="165" fontId="11" fillId="2" borderId="5" xfId="1" applyNumberFormat="1" applyFill="1" applyBorder="1" applyAlignment="1">
      <alignment horizontal="right"/>
    </xf>
    <xf numFmtId="0" fontId="74" fillId="0" borderId="0" xfId="0" applyFont="1" applyAlignment="1">
      <alignment horizontal="center"/>
    </xf>
    <xf numFmtId="43" fontId="74" fillId="0" borderId="0" xfId="1" applyFont="1"/>
    <xf numFmtId="43" fontId="74" fillId="0" borderId="0" xfId="0" applyNumberFormat="1" applyFont="1"/>
    <xf numFmtId="0" fontId="11" fillId="0" borderId="0" xfId="0" applyFont="1" applyAlignment="1">
      <alignment horizontal="left"/>
    </xf>
    <xf numFmtId="0" fontId="11" fillId="0" borderId="0" xfId="0" applyFont="1"/>
    <xf numFmtId="44" fontId="0" fillId="0" borderId="0" xfId="2" applyFont="1"/>
    <xf numFmtId="0" fontId="11" fillId="0" borderId="0" xfId="0" applyFont="1" applyAlignment="1">
      <alignment horizontal="center"/>
    </xf>
    <xf numFmtId="165" fontId="11" fillId="10" borderId="0" xfId="1" applyNumberFormat="1" applyFill="1" applyBorder="1" applyProtection="1">
      <protection locked="0"/>
    </xf>
    <xf numFmtId="9" fontId="11" fillId="6" borderId="0" xfId="3" applyFill="1" applyBorder="1" applyProtection="1">
      <protection locked="0"/>
    </xf>
    <xf numFmtId="0" fontId="11" fillId="0" borderId="13" xfId="0" applyFont="1" applyBorder="1" applyAlignment="1">
      <alignment horizontal="center"/>
    </xf>
    <xf numFmtId="0" fontId="11" fillId="0" borderId="14" xfId="0" applyFont="1" applyBorder="1" applyAlignment="1">
      <alignment horizontal="center"/>
    </xf>
    <xf numFmtId="0" fontId="75" fillId="0" borderId="0" xfId="0" applyFont="1" applyAlignment="1">
      <alignment horizontal="left"/>
    </xf>
    <xf numFmtId="10" fontId="13" fillId="0" borderId="0" xfId="3" applyNumberFormat="1" applyFont="1" applyFill="1" applyBorder="1" applyAlignment="1">
      <alignment horizontal="center"/>
    </xf>
    <xf numFmtId="0" fontId="0" fillId="9" borderId="0" xfId="0" applyFill="1" applyAlignment="1">
      <alignment wrapText="1"/>
    </xf>
    <xf numFmtId="0" fontId="73" fillId="0" borderId="0" xfId="0" applyFont="1"/>
    <xf numFmtId="0" fontId="11" fillId="0" borderId="0" xfId="0" applyFont="1" applyAlignment="1">
      <alignment wrapText="1"/>
    </xf>
    <xf numFmtId="0" fontId="19" fillId="0" borderId="0" xfId="0" applyFont="1"/>
    <xf numFmtId="0" fontId="19" fillId="0" borderId="0" xfId="0" applyFont="1" applyAlignment="1">
      <alignment horizontal="left" vertical="center"/>
    </xf>
    <xf numFmtId="0" fontId="19" fillId="0" borderId="17" xfId="0" applyFont="1" applyBorder="1" applyAlignment="1">
      <alignment horizontal="left" vertical="center"/>
    </xf>
    <xf numFmtId="43" fontId="11" fillId="0" borderId="13" xfId="1" applyFont="1" applyFill="1" applyBorder="1" applyAlignment="1">
      <alignment horizontal="center"/>
    </xf>
    <xf numFmtId="0" fontId="19" fillId="0" borderId="12" xfId="0" applyFont="1" applyBorder="1" applyAlignment="1">
      <alignment horizontal="left" vertical="center"/>
    </xf>
    <xf numFmtId="0" fontId="0" fillId="3" borderId="30" xfId="0" applyFill="1" applyBorder="1" applyAlignment="1">
      <alignment horizontal="center"/>
    </xf>
    <xf numFmtId="165" fontId="0" fillId="3" borderId="25" xfId="1" applyNumberFormat="1" applyFont="1" applyFill="1" applyBorder="1" applyAlignment="1">
      <alignment horizontal="center"/>
    </xf>
    <xf numFmtId="165" fontId="0" fillId="3" borderId="22" xfId="1" applyNumberFormat="1" applyFont="1" applyFill="1" applyBorder="1" applyAlignment="1">
      <alignment horizontal="center"/>
    </xf>
    <xf numFmtId="165" fontId="0" fillId="0" borderId="20" xfId="1" applyNumberFormat="1" applyFont="1" applyBorder="1"/>
    <xf numFmtId="165" fontId="0" fillId="0" borderId="23" xfId="0" applyNumberFormat="1" applyBorder="1"/>
    <xf numFmtId="165" fontId="0" fillId="0" borderId="24" xfId="0" applyNumberFormat="1" applyBorder="1"/>
    <xf numFmtId="9" fontId="11" fillId="0" borderId="0" xfId="3" applyFill="1" applyBorder="1" applyProtection="1">
      <protection locked="0"/>
    </xf>
    <xf numFmtId="0" fontId="13" fillId="0" borderId="2" xfId="0" applyFont="1" applyBorder="1" applyAlignment="1">
      <alignment horizontal="left"/>
    </xf>
    <xf numFmtId="0" fontId="13" fillId="0" borderId="20" xfId="0" applyFont="1" applyBorder="1" applyAlignment="1">
      <alignment horizontal="left"/>
    </xf>
    <xf numFmtId="0" fontId="75" fillId="0" borderId="2" xfId="0" applyFont="1" applyBorder="1" applyAlignment="1">
      <alignment horizontal="left"/>
    </xf>
    <xf numFmtId="0" fontId="13" fillId="0" borderId="2" xfId="0" applyFont="1" applyBorder="1"/>
    <xf numFmtId="0" fontId="73" fillId="0" borderId="2" xfId="0" applyFont="1" applyBorder="1"/>
    <xf numFmtId="0" fontId="75" fillId="0" borderId="13" xfId="0" applyFont="1" applyBorder="1" applyAlignment="1">
      <alignment horizontal="left"/>
    </xf>
    <xf numFmtId="10" fontId="13" fillId="0" borderId="1" xfId="3" applyNumberFormat="1" applyFont="1" applyFill="1" applyBorder="1" applyAlignment="1">
      <alignment horizontal="center"/>
    </xf>
    <xf numFmtId="0" fontId="13" fillId="0" borderId="1" xfId="0" applyFont="1" applyBorder="1" applyAlignment="1">
      <alignment horizontal="left"/>
    </xf>
    <xf numFmtId="0" fontId="11" fillId="0" borderId="0" xfId="0" applyFont="1" applyAlignment="1">
      <alignment horizontal="left" wrapText="1" indent="1"/>
    </xf>
    <xf numFmtId="0" fontId="11" fillId="0" borderId="0" xfId="0" applyFont="1" applyAlignment="1">
      <alignment horizontal="left" indent="1"/>
    </xf>
    <xf numFmtId="0" fontId="11" fillId="0" borderId="0" xfId="0" applyFont="1" applyAlignment="1">
      <alignment vertical="top" wrapText="1"/>
    </xf>
    <xf numFmtId="0" fontId="15" fillId="11" borderId="0" xfId="0" applyFont="1" applyFill="1" applyAlignment="1">
      <alignment wrapText="1"/>
    </xf>
    <xf numFmtId="0" fontId="11" fillId="0" borderId="0" xfId="0" quotePrefix="1" applyFont="1"/>
    <xf numFmtId="10" fontId="13" fillId="12" borderId="0" xfId="3" applyNumberFormat="1" applyFont="1" applyFill="1" applyBorder="1" applyAlignment="1" applyProtection="1">
      <alignment horizontal="center"/>
      <protection locked="0"/>
    </xf>
    <xf numFmtId="0" fontId="0" fillId="12" borderId="0" xfId="0" applyFill="1" applyAlignment="1" applyProtection="1">
      <alignment horizontal="right"/>
      <protection locked="0"/>
    </xf>
    <xf numFmtId="0" fontId="0" fillId="12" borderId="0" xfId="0" applyFill="1" applyProtection="1">
      <protection locked="0"/>
    </xf>
    <xf numFmtId="0" fontId="73" fillId="2" borderId="22" xfId="0" applyFont="1" applyFill="1" applyBorder="1" applyAlignment="1">
      <alignment wrapText="1"/>
    </xf>
    <xf numFmtId="171" fontId="0" fillId="0" borderId="0" xfId="4" applyNumberFormat="1" applyFont="1"/>
    <xf numFmtId="165" fontId="0" fillId="0" borderId="0" xfId="5" applyNumberFormat="1" applyFont="1" applyAlignment="1">
      <alignment horizontal="left"/>
    </xf>
    <xf numFmtId="165" fontId="0" fillId="0" borderId="0" xfId="5" applyNumberFormat="1" applyFont="1"/>
    <xf numFmtId="0" fontId="68" fillId="0" borderId="0" xfId="0" applyFont="1" applyAlignment="1">
      <alignment horizontal="center"/>
    </xf>
    <xf numFmtId="43" fontId="0" fillId="0" borderId="0" xfId="5" applyFont="1"/>
    <xf numFmtId="2" fontId="0" fillId="0" borderId="0" xfId="0" applyNumberFormat="1"/>
    <xf numFmtId="43" fontId="11" fillId="0" borderId="0" xfId="1" applyFont="1" applyAlignment="1">
      <alignment horizontal="center"/>
    </xf>
    <xf numFmtId="43" fontId="11" fillId="0" borderId="2" xfId="1" applyFont="1" applyFill="1" applyBorder="1"/>
    <xf numFmtId="43" fontId="11" fillId="0" borderId="0" xfId="1" applyFont="1" applyFill="1" applyBorder="1"/>
    <xf numFmtId="165" fontId="11" fillId="0" borderId="19" xfId="1" applyNumberFormat="1" applyFont="1" applyBorder="1"/>
    <xf numFmtId="165" fontId="11" fillId="0" borderId="20" xfId="1" applyNumberFormat="1" applyFont="1" applyBorder="1"/>
    <xf numFmtId="165" fontId="11" fillId="0" borderId="2" xfId="1" applyNumberFormat="1" applyFont="1" applyFill="1" applyBorder="1"/>
    <xf numFmtId="10" fontId="0" fillId="0" borderId="0" xfId="0" applyNumberFormat="1"/>
    <xf numFmtId="0" fontId="78" fillId="0" borderId="0" xfId="6" applyFont="1" applyAlignment="1">
      <alignment horizontal="left"/>
    </xf>
    <xf numFmtId="0" fontId="78" fillId="0" borderId="0" xfId="7" applyFont="1" applyAlignment="1">
      <alignment horizontal="left"/>
    </xf>
    <xf numFmtId="165" fontId="0" fillId="0" borderId="0" xfId="9" applyNumberFormat="1" applyFont="1"/>
    <xf numFmtId="14" fontId="0" fillId="0" borderId="0" xfId="0" applyNumberFormat="1"/>
    <xf numFmtId="171" fontId="0" fillId="0" borderId="0" xfId="8" applyNumberFormat="1" applyFont="1"/>
    <xf numFmtId="0" fontId="11" fillId="5" borderId="0" xfId="0" applyFont="1" applyFill="1" applyAlignment="1">
      <alignment wrapText="1"/>
    </xf>
    <xf numFmtId="41" fontId="11" fillId="5" borderId="0" xfId="1" applyNumberFormat="1" applyFont="1" applyFill="1" applyBorder="1"/>
    <xf numFmtId="165" fontId="0" fillId="12" borderId="0" xfId="1" applyNumberFormat="1" applyFont="1" applyFill="1" applyBorder="1" applyProtection="1">
      <protection locked="0"/>
    </xf>
    <xf numFmtId="0" fontId="68" fillId="0" borderId="0" xfId="10" applyFont="1"/>
    <xf numFmtId="0" fontId="8" fillId="0" borderId="0" xfId="10"/>
    <xf numFmtId="0" fontId="68" fillId="0" borderId="1" xfId="10" applyFont="1" applyBorder="1" applyAlignment="1">
      <alignment horizontal="centerContinuous"/>
    </xf>
    <xf numFmtId="0" fontId="70" fillId="0" borderId="0" xfId="10" applyFont="1" applyAlignment="1">
      <alignment horizontal="center" wrapText="1"/>
    </xf>
    <xf numFmtId="0" fontId="71" fillId="0" borderId="0" xfId="10" applyFont="1" applyAlignment="1">
      <alignment horizontal="left" wrapText="1"/>
    </xf>
    <xf numFmtId="0" fontId="78" fillId="0" borderId="0" xfId="10" applyFont="1" applyAlignment="1">
      <alignment horizontal="center"/>
    </xf>
    <xf numFmtId="0" fontId="78" fillId="0" borderId="0" xfId="10" applyFont="1" applyAlignment="1">
      <alignment horizontal="left"/>
    </xf>
    <xf numFmtId="171" fontId="78" fillId="0" borderId="0" xfId="11" applyNumberFormat="1" applyFont="1" applyFill="1"/>
    <xf numFmtId="165" fontId="78" fillId="0" borderId="0" xfId="12" applyNumberFormat="1" applyFont="1" applyFill="1"/>
    <xf numFmtId="170" fontId="78" fillId="0" borderId="0" xfId="10" applyNumberFormat="1" applyFont="1"/>
    <xf numFmtId="165" fontId="78" fillId="0" borderId="0" xfId="10" applyNumberFormat="1" applyFont="1"/>
    <xf numFmtId="171" fontId="0" fillId="0" borderId="0" xfId="11" applyNumberFormat="1" applyFont="1" applyFill="1"/>
    <xf numFmtId="165" fontId="0" fillId="0" borderId="0" xfId="12" applyNumberFormat="1" applyFont="1" applyFill="1"/>
    <xf numFmtId="170" fontId="8" fillId="0" borderId="0" xfId="10" applyNumberFormat="1"/>
    <xf numFmtId="165" fontId="8" fillId="0" borderId="0" xfId="10" applyNumberFormat="1"/>
    <xf numFmtId="0" fontId="78" fillId="0" borderId="0" xfId="10" applyFont="1"/>
    <xf numFmtId="171" fontId="8" fillId="0" borderId="0" xfId="11" applyNumberFormat="1" applyFont="1" applyFill="1"/>
    <xf numFmtId="165" fontId="8" fillId="0" borderId="0" xfId="12" applyNumberFormat="1" applyFont="1" applyFill="1"/>
    <xf numFmtId="170" fontId="8" fillId="0" borderId="0" xfId="12" applyNumberFormat="1" applyFont="1" applyFill="1" applyAlignment="1">
      <alignment horizontal="left"/>
    </xf>
    <xf numFmtId="0" fontId="78" fillId="0" borderId="0" xfId="13" applyFont="1" applyAlignment="1">
      <alignment horizontal="center"/>
    </xf>
    <xf numFmtId="0" fontId="78" fillId="0" borderId="0" xfId="13" applyFont="1" applyAlignment="1">
      <alignment horizontal="left"/>
    </xf>
    <xf numFmtId="0" fontId="79" fillId="0" borderId="0" xfId="10" applyFont="1" applyAlignment="1">
      <alignment horizontal="left"/>
    </xf>
    <xf numFmtId="171" fontId="68" fillId="0" borderId="0" xfId="11" applyNumberFormat="1" applyFont="1" applyFill="1"/>
    <xf numFmtId="165" fontId="68" fillId="0" borderId="0" xfId="12" applyNumberFormat="1" applyFont="1" applyFill="1"/>
    <xf numFmtId="0" fontId="77" fillId="0" borderId="0" xfId="10" applyFont="1" applyAlignment="1">
      <alignment horizontal="center"/>
    </xf>
    <xf numFmtId="0" fontId="68" fillId="0" borderId="0" xfId="10" applyFont="1" applyAlignment="1">
      <alignment horizontal="center"/>
    </xf>
    <xf numFmtId="0" fontId="77" fillId="0" borderId="0" xfId="10" applyFont="1" applyAlignment="1">
      <alignment horizontal="right"/>
    </xf>
    <xf numFmtId="0" fontId="8" fillId="0" borderId="0" xfId="10" applyAlignment="1">
      <alignment horizontal="center"/>
    </xf>
    <xf numFmtId="43" fontId="68" fillId="0" borderId="0" xfId="0" applyNumberFormat="1" applyFont="1"/>
    <xf numFmtId="0" fontId="68" fillId="0" borderId="0" xfId="0" applyFont="1"/>
    <xf numFmtId="165" fontId="0" fillId="0" borderId="0" xfId="0" applyNumberFormat="1" applyAlignment="1">
      <alignment horizontal="center"/>
    </xf>
    <xf numFmtId="0" fontId="0" fillId="0" borderId="0" xfId="0" applyAlignment="1">
      <alignment horizontal="right" wrapText="1"/>
    </xf>
    <xf numFmtId="0" fontId="68" fillId="0" borderId="0" xfId="0" applyFont="1" applyAlignment="1">
      <alignment horizontal="center" wrapText="1"/>
    </xf>
    <xf numFmtId="165" fontId="11" fillId="0" borderId="17" xfId="1" applyNumberFormat="1" applyFont="1" applyBorder="1"/>
    <xf numFmtId="165" fontId="11" fillId="0" borderId="0" xfId="1" applyNumberFormat="1" applyFont="1" applyFill="1" applyBorder="1"/>
    <xf numFmtId="165" fontId="0" fillId="0" borderId="0" xfId="0" applyNumberFormat="1" applyAlignment="1">
      <alignment horizontal="right" wrapText="1"/>
    </xf>
    <xf numFmtId="0" fontId="8" fillId="0" borderId="0" xfId="13"/>
    <xf numFmtId="0" fontId="68" fillId="0" borderId="1" xfId="13" applyFont="1" applyBorder="1" applyAlignment="1">
      <alignment horizontal="centerContinuous"/>
    </xf>
    <xf numFmtId="0" fontId="70" fillId="0" borderId="0" xfId="13" applyFont="1" applyAlignment="1">
      <alignment horizontal="center" wrapText="1"/>
    </xf>
    <xf numFmtId="172" fontId="0" fillId="0" borderId="0" xfId="12" applyNumberFormat="1" applyFont="1" applyFill="1"/>
    <xf numFmtId="170" fontId="8" fillId="0" borderId="0" xfId="13" applyNumberFormat="1"/>
    <xf numFmtId="165" fontId="8" fillId="0" borderId="0" xfId="13" applyNumberFormat="1"/>
    <xf numFmtId="0" fontId="68" fillId="0" borderId="0" xfId="13" applyFont="1"/>
    <xf numFmtId="165" fontId="68" fillId="0" borderId="0" xfId="13" applyNumberFormat="1" applyFont="1"/>
    <xf numFmtId="43" fontId="68" fillId="0" borderId="0" xfId="13" applyNumberFormat="1" applyFont="1"/>
    <xf numFmtId="165" fontId="0" fillId="0" borderId="0" xfId="12" applyNumberFormat="1" applyFont="1" applyFill="1" applyBorder="1"/>
    <xf numFmtId="165" fontId="0" fillId="0" borderId="0" xfId="9" applyNumberFormat="1" applyFont="1" applyFill="1" applyBorder="1"/>
    <xf numFmtId="43" fontId="0" fillId="0" borderId="0" xfId="9" applyFont="1" applyFill="1" applyBorder="1"/>
    <xf numFmtId="165" fontId="0" fillId="3" borderId="20" xfId="1" applyNumberFormat="1" applyFont="1" applyFill="1" applyBorder="1" applyAlignment="1">
      <alignment horizontal="center"/>
    </xf>
    <xf numFmtId="165" fontId="11" fillId="0" borderId="20" xfId="1" applyNumberFormat="1" applyFont="1" applyFill="1" applyBorder="1"/>
    <xf numFmtId="0" fontId="80" fillId="0" borderId="0" xfId="14" applyFont="1"/>
    <xf numFmtId="165" fontId="11" fillId="0" borderId="0" xfId="15" applyNumberFormat="1" applyFont="1"/>
    <xf numFmtId="165" fontId="11" fillId="0" borderId="0" xfId="1" applyNumberFormat="1" applyFont="1"/>
    <xf numFmtId="165" fontId="11" fillId="0" borderId="12" xfId="15" applyNumberFormat="1" applyFont="1" applyBorder="1"/>
    <xf numFmtId="165" fontId="11" fillId="0" borderId="0" xfId="15" applyNumberFormat="1" applyFont="1" applyFill="1"/>
    <xf numFmtId="165" fontId="11" fillId="2" borderId="0" xfId="1" applyNumberFormat="1" applyFont="1" applyFill="1" applyAlignment="1">
      <alignment horizontal="right"/>
    </xf>
    <xf numFmtId="43" fontId="11" fillId="0" borderId="0" xfId="1" applyFont="1"/>
    <xf numFmtId="165" fontId="11" fillId="2" borderId="5" xfId="1" applyNumberFormat="1" applyFont="1" applyFill="1" applyBorder="1" applyAlignment="1">
      <alignment horizontal="right"/>
    </xf>
    <xf numFmtId="0" fontId="11" fillId="3" borderId="30" xfId="0" applyFont="1" applyFill="1" applyBorder="1" applyAlignment="1">
      <alignment horizontal="center"/>
    </xf>
    <xf numFmtId="0" fontId="11" fillId="3" borderId="25" xfId="0" applyFont="1" applyFill="1" applyBorder="1" applyAlignment="1">
      <alignment horizontal="center"/>
    </xf>
    <xf numFmtId="0" fontId="11" fillId="0" borderId="2" xfId="0" applyFont="1" applyBorder="1" applyAlignment="1">
      <alignment horizontal="center"/>
    </xf>
    <xf numFmtId="0" fontId="11" fillId="0" borderId="20" xfId="0" applyFont="1" applyBorder="1" applyAlignment="1">
      <alignment horizontal="center"/>
    </xf>
    <xf numFmtId="0" fontId="11" fillId="3" borderId="16" xfId="0" applyFont="1" applyFill="1" applyBorder="1" applyAlignment="1">
      <alignment horizontal="center"/>
    </xf>
    <xf numFmtId="165" fontId="11" fillId="3" borderId="25" xfId="1" applyNumberFormat="1" applyFont="1" applyFill="1" applyBorder="1" applyAlignment="1">
      <alignment horizontal="center"/>
    </xf>
    <xf numFmtId="165" fontId="11" fillId="0" borderId="2" xfId="1" applyNumberFormat="1" applyFont="1" applyBorder="1"/>
    <xf numFmtId="165" fontId="11" fillId="0" borderId="23" xfId="0" applyNumberFormat="1" applyFont="1" applyBorder="1"/>
    <xf numFmtId="165" fontId="11" fillId="0" borderId="24" xfId="0" applyNumberFormat="1" applyFont="1" applyBorder="1"/>
    <xf numFmtId="165" fontId="11" fillId="3" borderId="22" xfId="1" applyNumberFormat="1" applyFont="1" applyFill="1" applyBorder="1" applyAlignment="1">
      <alignment horizontal="center"/>
    </xf>
    <xf numFmtId="41" fontId="0" fillId="9" borderId="0" xfId="1" applyNumberFormat="1" applyFont="1" applyFill="1" applyBorder="1"/>
    <xf numFmtId="41" fontId="0" fillId="9" borderId="6" xfId="1" applyNumberFormat="1" applyFont="1" applyFill="1" applyBorder="1"/>
    <xf numFmtId="41" fontId="0" fillId="14" borderId="0" xfId="1" applyNumberFormat="1" applyFont="1" applyFill="1" applyBorder="1"/>
    <xf numFmtId="41" fontId="0" fillId="14" borderId="8" xfId="0" applyNumberFormat="1" applyFill="1" applyBorder="1"/>
    <xf numFmtId="41" fontId="0" fillId="14" borderId="6" xfId="0" applyNumberFormat="1" applyFill="1" applyBorder="1"/>
    <xf numFmtId="41" fontId="0" fillId="14" borderId="6" xfId="1" applyNumberFormat="1" applyFont="1" applyFill="1" applyBorder="1"/>
    <xf numFmtId="0" fontId="0" fillId="14" borderId="0" xfId="0" applyFill="1"/>
    <xf numFmtId="41" fontId="11" fillId="14" borderId="8" xfId="1" applyNumberFormat="1" applyFill="1" applyBorder="1" applyProtection="1">
      <protection locked="0"/>
    </xf>
    <xf numFmtId="41" fontId="11" fillId="14" borderId="6" xfId="1" applyNumberFormat="1" applyFill="1" applyBorder="1" applyProtection="1">
      <protection locked="0"/>
    </xf>
    <xf numFmtId="41" fontId="0" fillId="14" borderId="0" xfId="0" applyNumberFormat="1" applyFill="1" applyProtection="1">
      <protection locked="0"/>
    </xf>
    <xf numFmtId="41" fontId="0" fillId="14" borderId="6" xfId="0" applyNumberFormat="1" applyFill="1" applyBorder="1" applyProtection="1">
      <protection locked="0"/>
    </xf>
    <xf numFmtId="41" fontId="67" fillId="14" borderId="0" xfId="1" applyNumberFormat="1" applyFont="1" applyFill="1" applyBorder="1" applyProtection="1">
      <protection locked="0"/>
    </xf>
    <xf numFmtId="41" fontId="0" fillId="14" borderId="2" xfId="0" applyNumberFormat="1" applyFill="1" applyBorder="1"/>
    <xf numFmtId="41" fontId="0" fillId="14" borderId="0" xfId="0" applyNumberFormat="1" applyFill="1"/>
    <xf numFmtId="41" fontId="36" fillId="14" borderId="0" xfId="0" applyNumberFormat="1" applyFont="1" applyFill="1" applyAlignment="1">
      <alignment horizontal="center"/>
    </xf>
    <xf numFmtId="41" fontId="67" fillId="14" borderId="0" xfId="1" applyNumberFormat="1" applyFont="1" applyFill="1" applyBorder="1"/>
    <xf numFmtId="41" fontId="16" fillId="14" borderId="8" xfId="0" applyNumberFormat="1" applyFont="1" applyFill="1" applyBorder="1" applyAlignment="1">
      <alignment horizontal="center"/>
    </xf>
    <xf numFmtId="41" fontId="67" fillId="14" borderId="6" xfId="1" applyNumberFormat="1" applyFont="1" applyFill="1" applyBorder="1"/>
    <xf numFmtId="0" fontId="0" fillId="14" borderId="0" xfId="0" applyFill="1" applyAlignment="1">
      <alignment wrapText="1"/>
    </xf>
    <xf numFmtId="41" fontId="36" fillId="11" borderId="0" xfId="0" applyNumberFormat="1" applyFont="1" applyFill="1" applyAlignment="1">
      <alignment horizontal="center"/>
    </xf>
    <xf numFmtId="165" fontId="15" fillId="0" borderId="0" xfId="1" applyNumberFormat="1" applyFont="1" applyFill="1" applyBorder="1" applyAlignment="1" applyProtection="1">
      <protection locked="0"/>
    </xf>
    <xf numFmtId="165" fontId="24" fillId="0" borderId="0" xfId="1" applyNumberFormat="1" applyFont="1" applyFill="1" applyBorder="1" applyAlignment="1">
      <alignment horizontal="left"/>
    </xf>
    <xf numFmtId="165" fontId="15" fillId="0" borderId="0" xfId="0" applyNumberFormat="1" applyFont="1"/>
    <xf numFmtId="165" fontId="11" fillId="0" borderId="0" xfId="15" applyNumberFormat="1" applyFont="1" applyBorder="1"/>
    <xf numFmtId="0" fontId="11" fillId="0" borderId="0" xfId="0" applyFont="1" applyProtection="1">
      <protection locked="0"/>
    </xf>
    <xf numFmtId="43" fontId="11" fillId="0" borderId="25" xfId="1" applyFont="1" applyFill="1" applyBorder="1"/>
    <xf numFmtId="165" fontId="11" fillId="0" borderId="16" xfId="1" applyNumberFormat="1" applyFont="1" applyFill="1" applyBorder="1" applyAlignment="1">
      <alignment horizontal="center"/>
    </xf>
    <xf numFmtId="0" fontId="11" fillId="0" borderId="0" xfId="16"/>
    <xf numFmtId="0" fontId="13" fillId="0" borderId="0" xfId="16" applyFont="1" applyAlignment="1">
      <alignment horizontal="right"/>
    </xf>
    <xf numFmtId="0" fontId="11" fillId="0" borderId="0" xfId="16" applyAlignment="1">
      <alignment horizontal="center"/>
    </xf>
    <xf numFmtId="0" fontId="13" fillId="0" borderId="0" xfId="16" applyFont="1" applyAlignment="1">
      <alignment horizontal="left"/>
    </xf>
    <xf numFmtId="0" fontId="75" fillId="0" borderId="0" xfId="16" applyFont="1" applyAlignment="1">
      <alignment horizontal="left"/>
    </xf>
    <xf numFmtId="0" fontId="13" fillId="0" borderId="0" xfId="16" applyFont="1"/>
    <xf numFmtId="0" fontId="73" fillId="0" borderId="0" xfId="16" applyFont="1"/>
    <xf numFmtId="0" fontId="80" fillId="0" borderId="0" xfId="17" applyFont="1"/>
    <xf numFmtId="165" fontId="11" fillId="0" borderId="0" xfId="18" applyNumberFormat="1" applyFont="1"/>
    <xf numFmtId="0" fontId="80" fillId="0" borderId="0" xfId="17" applyFont="1" applyAlignment="1">
      <alignment wrapText="1"/>
    </xf>
    <xf numFmtId="0" fontId="11" fillId="0" borderId="0" xfId="16" applyAlignment="1">
      <alignment wrapText="1"/>
    </xf>
    <xf numFmtId="0" fontId="73" fillId="2" borderId="22" xfId="16" applyFont="1" applyFill="1" applyBorder="1" applyAlignment="1">
      <alignment wrapText="1"/>
    </xf>
    <xf numFmtId="0" fontId="11" fillId="0" borderId="0" xfId="16" applyAlignment="1">
      <alignment horizontal="left" wrapText="1"/>
    </xf>
    <xf numFmtId="165" fontId="11" fillId="0" borderId="0" xfId="16" applyNumberFormat="1"/>
    <xf numFmtId="43" fontId="11" fillId="0" borderId="0" xfId="16" applyNumberFormat="1"/>
    <xf numFmtId="165" fontId="80" fillId="0" borderId="0" xfId="17" applyNumberFormat="1" applyFont="1"/>
    <xf numFmtId="165" fontId="11" fillId="0" borderId="0" xfId="18" applyNumberFormat="1" applyFont="1" applyFill="1"/>
    <xf numFmtId="0" fontId="13" fillId="0" borderId="0" xfId="16" applyFont="1" applyAlignment="1">
      <alignment horizontal="right" vertical="top"/>
    </xf>
    <xf numFmtId="0" fontId="13" fillId="2" borderId="24" xfId="16" applyFont="1" applyFill="1" applyBorder="1" applyAlignment="1">
      <alignment horizontal="left"/>
    </xf>
    <xf numFmtId="0" fontId="19" fillId="4" borderId="0" xfId="16" applyFont="1" applyFill="1" applyAlignment="1">
      <alignment horizontal="left" vertical="center"/>
    </xf>
    <xf numFmtId="0" fontId="19" fillId="0" borderId="0" xfId="16" applyFont="1" applyAlignment="1">
      <alignment horizontal="left" vertical="center"/>
    </xf>
    <xf numFmtId="0" fontId="11" fillId="0" borderId="17" xfId="16" applyBorder="1"/>
    <xf numFmtId="0" fontId="11" fillId="0" borderId="30" xfId="16" applyBorder="1"/>
    <xf numFmtId="0" fontId="11" fillId="3" borderId="30" xfId="16" applyFill="1" applyBorder="1" applyAlignment="1">
      <alignment horizontal="center"/>
    </xf>
    <xf numFmtId="0" fontId="11" fillId="3" borderId="25" xfId="16" applyFill="1" applyBorder="1" applyAlignment="1">
      <alignment horizontal="center"/>
    </xf>
    <xf numFmtId="0" fontId="11" fillId="0" borderId="2" xfId="16" applyBorder="1" applyAlignment="1">
      <alignment horizontal="center"/>
    </xf>
    <xf numFmtId="0" fontId="11" fillId="0" borderId="20" xfId="16" applyBorder="1" applyAlignment="1">
      <alignment horizontal="center"/>
    </xf>
    <xf numFmtId="0" fontId="11" fillId="3" borderId="16" xfId="16" applyFill="1" applyBorder="1" applyAlignment="1">
      <alignment horizontal="center"/>
    </xf>
    <xf numFmtId="0" fontId="11" fillId="0" borderId="13" xfId="16" applyBorder="1" applyAlignment="1">
      <alignment horizontal="center"/>
    </xf>
    <xf numFmtId="0" fontId="11" fillId="0" borderId="14" xfId="16" applyBorder="1" applyAlignment="1">
      <alignment horizontal="center"/>
    </xf>
    <xf numFmtId="165" fontId="11" fillId="0" borderId="23" xfId="16" applyNumberFormat="1" applyBorder="1"/>
    <xf numFmtId="165" fontId="11" fillId="0" borderId="24" xfId="16" applyNumberFormat="1" applyBorder="1"/>
    <xf numFmtId="0" fontId="41" fillId="0" borderId="0" xfId="16" applyFont="1"/>
    <xf numFmtId="173" fontId="0" fillId="0" borderId="0" xfId="0" applyNumberFormat="1"/>
    <xf numFmtId="0" fontId="81" fillId="0" borderId="0" xfId="17" applyFont="1"/>
    <xf numFmtId="43" fontId="80" fillId="0" borderId="0" xfId="17" applyNumberFormat="1" applyFont="1"/>
    <xf numFmtId="165" fontId="14" fillId="0" borderId="0" xfId="1" applyNumberFormat="1" applyFont="1" applyBorder="1" applyAlignment="1">
      <alignment horizontal="left" vertical="top"/>
    </xf>
    <xf numFmtId="0" fontId="13" fillId="2" borderId="7" xfId="16" applyFont="1" applyFill="1" applyBorder="1" applyAlignment="1">
      <alignment horizontal="left"/>
    </xf>
    <xf numFmtId="0" fontId="78" fillId="0" borderId="0" xfId="19" applyFont="1"/>
    <xf numFmtId="0" fontId="78" fillId="15" borderId="0" xfId="19" applyFont="1" applyFill="1"/>
    <xf numFmtId="0" fontId="79" fillId="0" borderId="1" xfId="19" applyFont="1" applyBorder="1" applyAlignment="1">
      <alignment horizontal="centerContinuous"/>
    </xf>
    <xf numFmtId="0" fontId="79" fillId="15" borderId="1" xfId="19" applyFont="1" applyFill="1" applyBorder="1" applyAlignment="1">
      <alignment horizontal="centerContinuous"/>
    </xf>
    <xf numFmtId="0" fontId="79" fillId="0" borderId="0" xfId="19" applyFont="1" applyAlignment="1">
      <alignment horizontal="center" wrapText="1"/>
    </xf>
    <xf numFmtId="0" fontId="79" fillId="15" borderId="0" xfId="19" applyFont="1" applyFill="1" applyAlignment="1">
      <alignment horizontal="center" wrapText="1"/>
    </xf>
    <xf numFmtId="0" fontId="70" fillId="0" borderId="0" xfId="19" applyFont="1" applyAlignment="1">
      <alignment horizontal="center" wrapText="1"/>
    </xf>
    <xf numFmtId="0" fontId="71" fillId="0" borderId="0" xfId="19" applyFont="1" applyAlignment="1">
      <alignment horizontal="left" wrapText="1"/>
    </xf>
    <xf numFmtId="0" fontId="78" fillId="0" borderId="0" xfId="19" applyFont="1" applyAlignment="1">
      <alignment horizontal="center"/>
    </xf>
    <xf numFmtId="0" fontId="78" fillId="0" borderId="0" xfId="19" applyFont="1" applyAlignment="1">
      <alignment horizontal="left"/>
    </xf>
    <xf numFmtId="171" fontId="78" fillId="0" borderId="0" xfId="20" applyNumberFormat="1" applyFont="1" applyFill="1"/>
    <xf numFmtId="165" fontId="78" fillId="0" borderId="0" xfId="21" applyNumberFormat="1" applyFont="1" applyFill="1"/>
    <xf numFmtId="170" fontId="78" fillId="0" borderId="0" xfId="19" applyNumberFormat="1" applyFont="1"/>
    <xf numFmtId="170" fontId="78" fillId="15" borderId="0" xfId="19" applyNumberFormat="1" applyFont="1" applyFill="1"/>
    <xf numFmtId="165" fontId="78" fillId="0" borderId="0" xfId="19" applyNumberFormat="1" applyFont="1"/>
    <xf numFmtId="174" fontId="78" fillId="0" borderId="0" xfId="20" applyNumberFormat="1" applyFont="1" applyFill="1"/>
    <xf numFmtId="0" fontId="79" fillId="0" borderId="0" xfId="19" applyFont="1" applyAlignment="1">
      <alignment horizontal="center"/>
    </xf>
    <xf numFmtId="0" fontId="79" fillId="0" borderId="0" xfId="19" applyFont="1" applyAlignment="1">
      <alignment horizontal="left"/>
    </xf>
    <xf numFmtId="171" fontId="79" fillId="0" borderId="0" xfId="20" applyNumberFormat="1" applyFont="1" applyFill="1"/>
    <xf numFmtId="165" fontId="79" fillId="0" borderId="0" xfId="21" applyNumberFormat="1" applyFont="1" applyFill="1"/>
    <xf numFmtId="170" fontId="79" fillId="0" borderId="0" xfId="19" applyNumberFormat="1" applyFont="1"/>
    <xf numFmtId="170" fontId="79" fillId="15" borderId="0" xfId="19" applyNumberFormat="1" applyFont="1" applyFill="1"/>
    <xf numFmtId="0" fontId="79" fillId="0" borderId="0" xfId="19" applyFont="1"/>
    <xf numFmtId="0" fontId="5" fillId="0" borderId="0" xfId="19"/>
    <xf numFmtId="49" fontId="78" fillId="0" borderId="0" xfId="19" applyNumberFormat="1" applyFont="1" applyAlignment="1">
      <alignment horizontal="left"/>
    </xf>
    <xf numFmtId="41" fontId="78" fillId="0" borderId="0" xfId="19" applyNumberFormat="1" applyFont="1"/>
    <xf numFmtId="41" fontId="79" fillId="0" borderId="0" xfId="19" applyNumberFormat="1" applyFont="1" applyAlignment="1">
      <alignment horizontal="center" wrapText="1"/>
    </xf>
    <xf numFmtId="41" fontId="79" fillId="0" borderId="0" xfId="20" applyNumberFormat="1" applyFont="1" applyFill="1"/>
    <xf numFmtId="0" fontId="82" fillId="0" borderId="0" xfId="0" applyFont="1" applyAlignment="1">
      <alignment horizontal="center"/>
    </xf>
    <xf numFmtId="0" fontId="82" fillId="0" borderId="0" xfId="0" applyFont="1" applyAlignment="1">
      <alignment horizontal="left"/>
    </xf>
    <xf numFmtId="171" fontId="82" fillId="0" borderId="0" xfId="0" applyNumberFormat="1" applyFont="1"/>
    <xf numFmtId="41" fontId="83" fillId="0" borderId="0" xfId="0" applyNumberFormat="1" applyFont="1" applyAlignment="1">
      <alignment horizontal="center" wrapText="1"/>
    </xf>
    <xf numFmtId="165" fontId="82" fillId="0" borderId="0" xfId="0" applyNumberFormat="1" applyFont="1"/>
    <xf numFmtId="170" fontId="82" fillId="0" borderId="0" xfId="0" applyNumberFormat="1" applyFont="1"/>
    <xf numFmtId="170" fontId="82" fillId="16" borderId="0" xfId="0" applyNumberFormat="1" applyFont="1" applyFill="1"/>
    <xf numFmtId="165" fontId="11" fillId="0" borderId="1" xfId="16" applyNumberFormat="1" applyBorder="1"/>
    <xf numFmtId="165" fontId="11" fillId="0" borderId="12" xfId="18" applyNumberFormat="1" applyFont="1" applyFill="1" applyBorder="1"/>
    <xf numFmtId="165" fontId="11" fillId="0" borderId="0" xfId="18" applyNumberFormat="1" applyFont="1" applyFill="1" applyBorder="1"/>
    <xf numFmtId="0" fontId="11" fillId="0" borderId="0" xfId="16" quotePrefix="1"/>
    <xf numFmtId="165" fontId="14" fillId="0" borderId="0" xfId="1" applyNumberFormat="1" applyFont="1" applyFill="1" applyBorder="1" applyAlignment="1">
      <alignment vertical="top"/>
    </xf>
    <xf numFmtId="165" fontId="78" fillId="0" borderId="0" xfId="1" applyNumberFormat="1" applyFont="1" applyFill="1"/>
    <xf numFmtId="165" fontId="79" fillId="0" borderId="0" xfId="1" applyNumberFormat="1" applyFont="1" applyFill="1" applyBorder="1" applyAlignment="1">
      <alignment horizontal="center" wrapText="1"/>
    </xf>
    <xf numFmtId="165" fontId="83" fillId="0" borderId="0" xfId="1" applyNumberFormat="1" applyFont="1" applyAlignment="1">
      <alignment horizontal="center" wrapText="1"/>
    </xf>
    <xf numFmtId="165" fontId="79" fillId="0" borderId="0" xfId="1" applyNumberFormat="1" applyFont="1" applyFill="1"/>
    <xf numFmtId="41" fontId="78" fillId="0" borderId="0" xfId="19" applyNumberFormat="1" applyFont="1" applyAlignment="1">
      <alignment horizontal="center" wrapText="1"/>
    </xf>
    <xf numFmtId="43" fontId="70" fillId="0" borderId="0" xfId="1" applyFont="1" applyFill="1" applyBorder="1" applyAlignment="1">
      <alignment horizontal="center" wrapText="1"/>
    </xf>
    <xf numFmtId="0" fontId="78" fillId="0" borderId="0" xfId="0" applyFont="1"/>
    <xf numFmtId="0" fontId="79" fillId="0" borderId="1" xfId="0" applyFont="1" applyBorder="1" applyAlignment="1">
      <alignment horizontal="centerContinuous"/>
    </xf>
    <xf numFmtId="0" fontId="79" fillId="0" borderId="0" xfId="0" applyFont="1" applyAlignment="1">
      <alignment horizontal="center" wrapText="1"/>
    </xf>
    <xf numFmtId="171" fontId="78" fillId="0" borderId="0" xfId="3" applyNumberFormat="1" applyFont="1" applyFill="1"/>
    <xf numFmtId="170" fontId="78" fillId="0" borderId="0" xfId="0" applyNumberFormat="1" applyFont="1"/>
    <xf numFmtId="165" fontId="78" fillId="0" borderId="0" xfId="0" applyNumberFormat="1" applyFont="1"/>
    <xf numFmtId="0" fontId="78" fillId="0" borderId="0" xfId="0" applyFont="1" applyAlignment="1">
      <alignment horizontal="left"/>
    </xf>
    <xf numFmtId="0" fontId="79" fillId="0" borderId="0" xfId="0" applyFont="1"/>
    <xf numFmtId="165" fontId="70" fillId="0" borderId="0" xfId="0" applyNumberFormat="1" applyFont="1" applyAlignment="1">
      <alignment horizontal="center" wrapText="1"/>
    </xf>
    <xf numFmtId="165" fontId="11" fillId="0" borderId="0" xfId="0" applyNumberFormat="1" applyFont="1"/>
    <xf numFmtId="43" fontId="11" fillId="0" borderId="0" xfId="0" applyNumberFormat="1" applyFont="1"/>
    <xf numFmtId="165" fontId="80" fillId="0" borderId="0" xfId="14" applyNumberFormat="1" applyFont="1"/>
    <xf numFmtId="41" fontId="0" fillId="12" borderId="0" xfId="1" applyNumberFormat="1" applyFont="1" applyFill="1" applyBorder="1" applyProtection="1">
      <protection locked="0"/>
    </xf>
    <xf numFmtId="41" fontId="0" fillId="12" borderId="6" xfId="1" applyNumberFormat="1" applyFont="1" applyFill="1" applyBorder="1" applyProtection="1">
      <protection locked="0"/>
    </xf>
    <xf numFmtId="41" fontId="0" fillId="11" borderId="0" xfId="1" applyNumberFormat="1" applyFont="1" applyFill="1"/>
    <xf numFmtId="165" fontId="11" fillId="6" borderId="0" xfId="1" applyNumberFormat="1" applyFont="1" applyFill="1" applyBorder="1" applyProtection="1">
      <protection locked="0"/>
    </xf>
    <xf numFmtId="41" fontId="0" fillId="17" borderId="0" xfId="1" applyNumberFormat="1" applyFont="1" applyFill="1" applyBorder="1"/>
    <xf numFmtId="165" fontId="11" fillId="2" borderId="15" xfId="0" applyNumberFormat="1" applyFont="1" applyFill="1" applyBorder="1"/>
    <xf numFmtId="41" fontId="0" fillId="12" borderId="8" xfId="1" applyNumberFormat="1" applyFont="1" applyFill="1" applyBorder="1" applyProtection="1">
      <protection locked="0"/>
    </xf>
    <xf numFmtId="0" fontId="0" fillId="0" borderId="0" xfId="0" applyAlignment="1">
      <alignment vertical="top" wrapText="1"/>
    </xf>
    <xf numFmtId="0" fontId="19" fillId="4" borderId="0" xfId="0" applyFont="1" applyFill="1" applyAlignment="1">
      <alignment horizontal="left"/>
    </xf>
    <xf numFmtId="10" fontId="0" fillId="0" borderId="0" xfId="3" applyNumberFormat="1" applyFont="1" applyBorder="1"/>
    <xf numFmtId="0" fontId="0" fillId="18" borderId="0" xfId="0" applyFill="1" applyAlignment="1">
      <alignment horizontal="center"/>
    </xf>
    <xf numFmtId="0" fontId="0" fillId="18" borderId="0" xfId="0" applyFill="1"/>
    <xf numFmtId="165" fontId="0" fillId="18" borderId="0" xfId="1" applyNumberFormat="1" applyFont="1" applyFill="1" applyBorder="1"/>
    <xf numFmtId="165" fontId="0" fillId="18" borderId="0" xfId="0" applyNumberFormat="1" applyFill="1"/>
    <xf numFmtId="43" fontId="0" fillId="0" borderId="0" xfId="1" applyFont="1" applyBorder="1"/>
    <xf numFmtId="43" fontId="0" fillId="0" borderId="20" xfId="1" applyFont="1" applyBorder="1"/>
    <xf numFmtId="165" fontId="0" fillId="0" borderId="1" xfId="0" applyNumberFormat="1" applyBorder="1"/>
    <xf numFmtId="0" fontId="11" fillId="14" borderId="0" xfId="0" applyFont="1" applyFill="1"/>
    <xf numFmtId="0" fontId="11" fillId="14" borderId="0" xfId="0" applyFont="1" applyFill="1" applyAlignment="1">
      <alignment wrapText="1"/>
    </xf>
    <xf numFmtId="0" fontId="11" fillId="9" borderId="0" xfId="0" applyFont="1" applyFill="1" applyAlignment="1">
      <alignment wrapText="1"/>
    </xf>
    <xf numFmtId="0" fontId="68" fillId="0" borderId="0" xfId="22" applyFont="1"/>
    <xf numFmtId="165" fontId="0" fillId="0" borderId="0" xfId="23" applyNumberFormat="1" applyFont="1"/>
    <xf numFmtId="0" fontId="4" fillId="0" borderId="0" xfId="22"/>
    <xf numFmtId="175" fontId="0" fillId="0" borderId="0" xfId="23" applyNumberFormat="1" applyFont="1"/>
    <xf numFmtId="0" fontId="68" fillId="20" borderId="0" xfId="22" applyFont="1" applyFill="1"/>
    <xf numFmtId="165" fontId="0" fillId="20" borderId="0" xfId="23" applyNumberFormat="1" applyFont="1" applyFill="1"/>
    <xf numFmtId="0" fontId="4" fillId="20" borderId="0" xfId="22" applyFill="1"/>
    <xf numFmtId="43" fontId="0" fillId="0" borderId="0" xfId="23" applyFont="1"/>
    <xf numFmtId="165" fontId="4" fillId="0" borderId="0" xfId="22" applyNumberFormat="1"/>
    <xf numFmtId="10" fontId="0" fillId="20" borderId="0" xfId="24" applyNumberFormat="1" applyFont="1" applyFill="1"/>
    <xf numFmtId="0" fontId="68" fillId="19" borderId="0" xfId="22" applyFont="1" applyFill="1" applyAlignment="1">
      <alignment horizontal="left"/>
    </xf>
    <xf numFmtId="165" fontId="0" fillId="19" borderId="0" xfId="23" applyNumberFormat="1" applyFont="1" applyFill="1"/>
    <xf numFmtId="0" fontId="68" fillId="19" borderId="0" xfId="22" applyFont="1" applyFill="1"/>
    <xf numFmtId="0" fontId="4" fillId="19" borderId="0" xfId="22" applyFill="1"/>
    <xf numFmtId="41" fontId="0" fillId="0" borderId="0" xfId="25" applyNumberFormat="1" applyFont="1"/>
    <xf numFmtId="43" fontId="4" fillId="0" borderId="0" xfId="22" applyNumberFormat="1"/>
    <xf numFmtId="41" fontId="0" fillId="0" borderId="0" xfId="25" applyNumberFormat="1" applyFont="1" applyBorder="1"/>
    <xf numFmtId="165" fontId="0" fillId="19" borderId="1" xfId="23" applyNumberFormat="1" applyFont="1" applyFill="1" applyBorder="1"/>
    <xf numFmtId="165" fontId="0" fillId="19" borderId="7" xfId="23" applyNumberFormat="1" applyFont="1" applyFill="1" applyBorder="1"/>
    <xf numFmtId="165" fontId="0" fillId="0" borderId="0" xfId="23" applyNumberFormat="1" applyFont="1" applyBorder="1"/>
    <xf numFmtId="165" fontId="0" fillId="19" borderId="15" xfId="23" applyNumberFormat="1" applyFont="1" applyFill="1" applyBorder="1"/>
    <xf numFmtId="41" fontId="0" fillId="0" borderId="0" xfId="25" applyNumberFormat="1" applyFont="1" applyFill="1" applyBorder="1"/>
    <xf numFmtId="41" fontId="11" fillId="0" borderId="0" xfId="22" applyNumberFormat="1" applyFont="1"/>
    <xf numFmtId="165" fontId="0" fillId="19" borderId="5" xfId="23" applyNumberFormat="1" applyFont="1" applyFill="1" applyBorder="1"/>
    <xf numFmtId="41" fontId="4" fillId="0" borderId="0" xfId="22" applyNumberFormat="1"/>
    <xf numFmtId="10" fontId="0" fillId="19" borderId="0" xfId="24" applyNumberFormat="1" applyFont="1" applyFill="1"/>
    <xf numFmtId="10" fontId="0" fillId="0" borderId="0" xfId="24" applyNumberFormat="1" applyFont="1" applyBorder="1"/>
    <xf numFmtId="3" fontId="4" fillId="0" borderId="0" xfId="22" applyNumberFormat="1"/>
    <xf numFmtId="10" fontId="0" fillId="0" borderId="0" xfId="24" applyNumberFormat="1" applyFont="1"/>
    <xf numFmtId="0" fontId="80" fillId="0" borderId="0" xfId="17" applyFont="1" applyAlignment="1">
      <alignment horizontal="left" vertical="top" wrapText="1"/>
    </xf>
    <xf numFmtId="41" fontId="0" fillId="11" borderId="0" xfId="1" applyNumberFormat="1" applyFont="1" applyFill="1" applyBorder="1"/>
    <xf numFmtId="41" fontId="0" fillId="11" borderId="6" xfId="1" applyNumberFormat="1" applyFont="1" applyFill="1" applyBorder="1"/>
    <xf numFmtId="0" fontId="0" fillId="11" borderId="8" xfId="0" applyFill="1" applyBorder="1"/>
    <xf numFmtId="0" fontId="0" fillId="11" borderId="0" xfId="0" applyFill="1"/>
    <xf numFmtId="41" fontId="11" fillId="11" borderId="8" xfId="1" applyNumberFormat="1" applyFill="1" applyBorder="1" applyProtection="1">
      <protection locked="0"/>
    </xf>
    <xf numFmtId="41" fontId="11" fillId="11" borderId="6" xfId="1" applyNumberFormat="1" applyFill="1" applyBorder="1" applyProtection="1">
      <protection locked="0"/>
    </xf>
    <xf numFmtId="41" fontId="0" fillId="11" borderId="0" xfId="0" applyNumberFormat="1" applyFill="1" applyProtection="1">
      <protection locked="0"/>
    </xf>
    <xf numFmtId="41" fontId="0" fillId="11" borderId="6" xfId="0" applyNumberFormat="1" applyFill="1" applyBorder="1" applyProtection="1">
      <protection locked="0"/>
    </xf>
    <xf numFmtId="41" fontId="0" fillId="11" borderId="0" xfId="1" applyNumberFormat="1" applyFont="1" applyFill="1" applyBorder="1" applyProtection="1">
      <protection locked="0"/>
    </xf>
    <xf numFmtId="41" fontId="0" fillId="11" borderId="0" xfId="0" applyNumberFormat="1" applyFill="1"/>
    <xf numFmtId="41" fontId="0" fillId="11" borderId="8" xfId="0" applyNumberFormat="1" applyFill="1" applyBorder="1"/>
    <xf numFmtId="41" fontId="0" fillId="11" borderId="6" xfId="0" applyNumberFormat="1" applyFill="1" applyBorder="1"/>
    <xf numFmtId="41" fontId="36" fillId="11" borderId="8" xfId="0" applyNumberFormat="1" applyFont="1" applyFill="1" applyBorder="1" applyAlignment="1">
      <alignment horizontal="center"/>
    </xf>
    <xf numFmtId="41" fontId="16" fillId="11" borderId="0" xfId="0" applyNumberFormat="1" applyFont="1" applyFill="1" applyAlignment="1">
      <alignment horizontal="center"/>
    </xf>
    <xf numFmtId="41" fontId="0" fillId="11" borderId="8" xfId="1" applyNumberFormat="1" applyFont="1" applyFill="1" applyBorder="1" applyProtection="1">
      <protection locked="0"/>
    </xf>
    <xf numFmtId="41" fontId="0" fillId="11" borderId="6" xfId="1" applyNumberFormat="1" applyFont="1" applyFill="1" applyBorder="1" applyProtection="1">
      <protection locked="0"/>
    </xf>
    <xf numFmtId="41" fontId="0" fillId="11" borderId="8" xfId="1" applyNumberFormat="1" applyFont="1" applyFill="1" applyBorder="1"/>
    <xf numFmtId="41" fontId="11" fillId="11" borderId="8" xfId="1" applyNumberFormat="1" applyFont="1" applyFill="1" applyBorder="1" applyProtection="1">
      <protection locked="0"/>
    </xf>
    <xf numFmtId="41" fontId="16" fillId="11" borderId="8" xfId="0" applyNumberFormat="1" applyFont="1" applyFill="1" applyBorder="1" applyAlignment="1">
      <alignment horizontal="center"/>
    </xf>
    <xf numFmtId="41" fontId="11" fillId="7" borderId="47" xfId="1" applyNumberFormat="1" applyFill="1" applyBorder="1"/>
    <xf numFmtId="41" fontId="0" fillId="7" borderId="48" xfId="0" applyNumberFormat="1" applyFill="1" applyBorder="1"/>
    <xf numFmtId="41" fontId="0" fillId="7" borderId="49" xfId="0" applyNumberFormat="1" applyFill="1" applyBorder="1"/>
    <xf numFmtId="41" fontId="0" fillId="7" borderId="50" xfId="0" applyNumberFormat="1" applyFill="1" applyBorder="1"/>
    <xf numFmtId="41" fontId="0" fillId="7" borderId="51" xfId="0" applyNumberFormat="1" applyFill="1" applyBorder="1"/>
    <xf numFmtId="41" fontId="11" fillId="0" borderId="0" xfId="1" applyNumberFormat="1" applyFont="1" applyFill="1"/>
    <xf numFmtId="0" fontId="13" fillId="2" borderId="23" xfId="16" applyFont="1" applyFill="1" applyBorder="1" applyAlignment="1">
      <alignment horizontal="left"/>
    </xf>
    <xf numFmtId="165" fontId="11" fillId="3" borderId="20" xfId="1" applyNumberFormat="1" applyFont="1" applyFill="1" applyBorder="1" applyAlignment="1">
      <alignment horizontal="center"/>
    </xf>
    <xf numFmtId="165" fontId="11" fillId="0" borderId="13" xfId="1" applyNumberFormat="1" applyFont="1" applyFill="1" applyBorder="1"/>
    <xf numFmtId="165" fontId="11" fillId="0" borderId="14" xfId="1" applyNumberFormat="1" applyFont="1" applyBorder="1"/>
    <xf numFmtId="41" fontId="16" fillId="14" borderId="0" xfId="0" applyNumberFormat="1" applyFont="1" applyFill="1" applyAlignment="1">
      <alignment horizontal="center"/>
    </xf>
    <xf numFmtId="41" fontId="11" fillId="0" borderId="0" xfId="1" applyNumberFormat="1" applyFill="1" applyBorder="1" applyProtection="1">
      <protection locked="0"/>
    </xf>
    <xf numFmtId="165" fontId="11" fillId="12" borderId="0" xfId="18" applyNumberFormat="1" applyFont="1" applyFill="1" applyProtection="1">
      <protection locked="0"/>
    </xf>
    <xf numFmtId="165" fontId="11" fillId="12" borderId="0" xfId="1" applyNumberFormat="1" applyFont="1" applyFill="1" applyProtection="1">
      <protection locked="0"/>
    </xf>
    <xf numFmtId="165" fontId="11" fillId="12" borderId="0" xfId="15" applyNumberFormat="1" applyFont="1" applyFill="1" applyProtection="1">
      <protection locked="0"/>
    </xf>
    <xf numFmtId="165" fontId="0" fillId="0" borderId="1" xfId="1" applyNumberFormat="1" applyFont="1" applyFill="1" applyBorder="1" applyProtection="1">
      <protection locked="0"/>
    </xf>
    <xf numFmtId="10" fontId="13" fillId="0" borderId="0" xfId="3" applyNumberFormat="1" applyFont="1" applyFill="1" applyBorder="1" applyAlignment="1" applyProtection="1">
      <alignment horizontal="center"/>
    </xf>
    <xf numFmtId="165" fontId="78" fillId="0" borderId="0" xfId="1" applyNumberFormat="1" applyFont="1" applyFill="1" applyBorder="1" applyAlignment="1">
      <alignment horizontal="center" wrapText="1"/>
    </xf>
    <xf numFmtId="171" fontId="0" fillId="0" borderId="0" xfId="3" applyNumberFormat="1" applyFont="1"/>
    <xf numFmtId="166" fontId="0" fillId="0" borderId="0" xfId="0" applyNumberFormat="1"/>
    <xf numFmtId="171" fontId="78" fillId="0" borderId="0" xfId="0" applyNumberFormat="1" applyFont="1"/>
    <xf numFmtId="171" fontId="79" fillId="0" borderId="0" xfId="0" applyNumberFormat="1" applyFont="1"/>
    <xf numFmtId="176" fontId="79" fillId="0" borderId="0" xfId="0" applyNumberFormat="1" applyFont="1"/>
    <xf numFmtId="165" fontId="79" fillId="0" borderId="0" xfId="0" applyNumberFormat="1" applyFont="1"/>
    <xf numFmtId="43" fontId="79" fillId="0" borderId="0" xfId="0" applyNumberFormat="1" applyFont="1"/>
    <xf numFmtId="0" fontId="78" fillId="0" borderId="0" xfId="0" applyFont="1" applyAlignment="1">
      <alignment horizontal="center"/>
    </xf>
    <xf numFmtId="0" fontId="79" fillId="0" borderId="0" xfId="0" quotePrefix="1" applyFont="1" applyAlignment="1">
      <alignment horizontal="center"/>
    </xf>
    <xf numFmtId="0" fontId="79" fillId="0" borderId="0" xfId="0" applyFont="1" applyAlignment="1">
      <alignment horizontal="center"/>
    </xf>
    <xf numFmtId="0" fontId="84" fillId="0" borderId="0" xfId="0" applyFont="1"/>
    <xf numFmtId="43" fontId="0" fillId="0" borderId="5" xfId="1" applyFont="1" applyBorder="1"/>
    <xf numFmtId="0" fontId="71" fillId="0" borderId="0" xfId="0" applyFont="1" applyAlignment="1">
      <alignment horizontal="left" vertical="center" wrapText="1"/>
    </xf>
    <xf numFmtId="0" fontId="68" fillId="0" borderId="0" xfId="0" applyFont="1" applyAlignment="1">
      <alignment horizontal="center" vertical="center"/>
    </xf>
    <xf numFmtId="0" fontId="0" fillId="0" borderId="0" xfId="0" applyAlignment="1">
      <alignment vertical="center"/>
    </xf>
    <xf numFmtId="41" fontId="73" fillId="0" borderId="0" xfId="0" applyNumberFormat="1" applyFont="1"/>
    <xf numFmtId="41" fontId="73" fillId="0" borderId="0" xfId="1" applyNumberFormat="1" applyFont="1"/>
    <xf numFmtId="0" fontId="81" fillId="0" borderId="0" xfId="0" applyFont="1"/>
    <xf numFmtId="41" fontId="81" fillId="0" borderId="0" xfId="0" applyNumberFormat="1" applyFont="1"/>
    <xf numFmtId="165" fontId="81" fillId="0" borderId="0" xfId="1" applyNumberFormat="1" applyFont="1"/>
    <xf numFmtId="165" fontId="81" fillId="0" borderId="0" xfId="1" applyNumberFormat="1" applyFont="1" applyFill="1"/>
    <xf numFmtId="165" fontId="81" fillId="0" borderId="0" xfId="0" applyNumberFormat="1" applyFont="1"/>
    <xf numFmtId="41" fontId="81" fillId="0" borderId="0" xfId="1" applyNumberFormat="1" applyFont="1" applyBorder="1"/>
    <xf numFmtId="43" fontId="81" fillId="0" borderId="0" xfId="1" applyFont="1"/>
    <xf numFmtId="165" fontId="87" fillId="0" borderId="0" xfId="0" applyNumberFormat="1" applyFont="1"/>
    <xf numFmtId="0" fontId="81" fillId="0" borderId="8" xfId="0" applyFont="1" applyBorder="1"/>
    <xf numFmtId="43" fontId="81" fillId="0" borderId="0" xfId="0" applyNumberFormat="1" applyFont="1"/>
    <xf numFmtId="165" fontId="81" fillId="0" borderId="0" xfId="1" applyNumberFormat="1" applyFont="1" applyBorder="1"/>
    <xf numFmtId="165" fontId="81" fillId="0" borderId="0" xfId="1" applyNumberFormat="1" applyFont="1" applyFill="1" applyBorder="1"/>
    <xf numFmtId="165" fontId="81" fillId="0" borderId="0" xfId="1" applyNumberFormat="1" applyFont="1" applyFill="1" applyProtection="1"/>
    <xf numFmtId="165" fontId="76" fillId="0" borderId="0" xfId="1" applyNumberFormat="1" applyFont="1"/>
    <xf numFmtId="0" fontId="11" fillId="0" borderId="8" xfId="0" applyFont="1" applyBorder="1"/>
    <xf numFmtId="41" fontId="11" fillId="0" borderId="8" xfId="1" applyNumberFormat="1" applyFont="1" applyBorder="1" applyProtection="1">
      <protection locked="0"/>
    </xf>
    <xf numFmtId="41" fontId="11" fillId="0" borderId="6" xfId="1" applyNumberFormat="1" applyFont="1" applyBorder="1" applyProtection="1">
      <protection locked="0"/>
    </xf>
    <xf numFmtId="41" fontId="11" fillId="0" borderId="0" xfId="0" applyNumberFormat="1" applyFont="1" applyProtection="1">
      <protection locked="0"/>
    </xf>
    <xf numFmtId="41" fontId="11" fillId="0" borderId="0" xfId="1" applyNumberFormat="1" applyFont="1" applyBorder="1" applyProtection="1">
      <protection locked="0"/>
    </xf>
    <xf numFmtId="41" fontId="11" fillId="0" borderId="0" xfId="0" applyNumberFormat="1" applyFont="1"/>
    <xf numFmtId="41" fontId="11" fillId="0" borderId="8" xfId="0" applyNumberFormat="1" applyFont="1" applyBorder="1"/>
    <xf numFmtId="41" fontId="11" fillId="0" borderId="6" xfId="0" applyNumberFormat="1" applyFont="1" applyBorder="1"/>
    <xf numFmtId="41" fontId="11" fillId="0" borderId="0" xfId="1" applyNumberFormat="1" applyFont="1" applyBorder="1"/>
    <xf numFmtId="41" fontId="11" fillId="0" borderId="0" xfId="1" applyNumberFormat="1" applyFont="1"/>
    <xf numFmtId="41" fontId="11" fillId="0" borderId="6" xfId="1" applyNumberFormat="1" applyFont="1" applyFill="1" applyBorder="1"/>
    <xf numFmtId="41" fontId="11" fillId="6" borderId="0" xfId="1" applyNumberFormat="1" applyFont="1" applyFill="1" applyBorder="1" applyProtection="1">
      <protection locked="0"/>
    </xf>
    <xf numFmtId="41" fontId="11" fillId="6" borderId="6" xfId="1" applyNumberFormat="1" applyFont="1" applyFill="1" applyBorder="1" applyProtection="1">
      <protection locked="0"/>
    </xf>
    <xf numFmtId="41" fontId="11" fillId="2" borderId="0" xfId="1" applyNumberFormat="1" applyFont="1" applyFill="1" applyBorder="1"/>
    <xf numFmtId="41" fontId="11" fillId="0" borderId="6" xfId="1" applyNumberFormat="1" applyFont="1" applyBorder="1"/>
    <xf numFmtId="165" fontId="73" fillId="0" borderId="0" xfId="1" applyNumberFormat="1" applyFont="1"/>
    <xf numFmtId="165" fontId="76" fillId="0" borderId="0" xfId="1" applyNumberFormat="1" applyFont="1" applyFill="1"/>
    <xf numFmtId="41" fontId="11" fillId="5" borderId="8" xfId="1" applyNumberFormat="1" applyFont="1" applyFill="1" applyBorder="1"/>
    <xf numFmtId="165" fontId="11" fillId="12" borderId="0" xfId="18" applyNumberFormat="1" applyFont="1" applyFill="1" applyAlignment="1" applyProtection="1">
      <protection locked="0"/>
    </xf>
    <xf numFmtId="165" fontId="11" fillId="0" borderId="0" xfId="18" applyNumberFormat="1" applyFont="1" applyAlignment="1"/>
    <xf numFmtId="0" fontId="80" fillId="0" borderId="0" xfId="17" applyFont="1" applyAlignment="1">
      <alignment horizontal="left" wrapText="1"/>
    </xf>
    <xf numFmtId="0" fontId="11" fillId="0" borderId="25" xfId="0" applyFont="1" applyBorder="1" applyAlignment="1" applyProtection="1">
      <alignment horizontal="left"/>
      <protection locked="0"/>
    </xf>
    <xf numFmtId="0" fontId="12" fillId="0" borderId="0" xfId="0" applyFont="1" applyAlignment="1">
      <alignment vertical="top" wrapText="1"/>
    </xf>
    <xf numFmtId="0" fontId="2" fillId="0" borderId="0" xfId="26"/>
    <xf numFmtId="0" fontId="2" fillId="0" borderId="0" xfId="26" applyAlignment="1">
      <alignment vertical="center"/>
    </xf>
    <xf numFmtId="41" fontId="11" fillId="0" borderId="6" xfId="0" applyNumberFormat="1" applyFont="1" applyBorder="1" applyProtection="1">
      <protection locked="0"/>
    </xf>
    <xf numFmtId="177" fontId="0" fillId="0" borderId="0" xfId="0" applyNumberFormat="1"/>
    <xf numFmtId="165" fontId="0" fillId="6" borderId="12" xfId="1" applyNumberFormat="1" applyFont="1" applyFill="1" applyBorder="1" applyProtection="1">
      <protection locked="0"/>
    </xf>
    <xf numFmtId="0" fontId="14" fillId="0" borderId="0" xfId="0" applyFont="1" applyAlignment="1">
      <alignment horizontal="left" wrapText="1" indent="1"/>
    </xf>
    <xf numFmtId="165" fontId="11" fillId="5" borderId="0" xfId="0" applyNumberFormat="1" applyFont="1" applyFill="1"/>
    <xf numFmtId="0" fontId="13" fillId="13" borderId="0" xfId="0" applyFont="1" applyFill="1" applyAlignment="1">
      <alignment horizontal="center"/>
    </xf>
    <xf numFmtId="0" fontId="1" fillId="0" borderId="0" xfId="27"/>
    <xf numFmtId="0" fontId="1" fillId="0" borderId="0" xfId="27" applyAlignment="1">
      <alignment vertical="center"/>
    </xf>
    <xf numFmtId="41" fontId="0" fillId="21" borderId="0" xfId="1" applyNumberFormat="1" applyFont="1" applyFill="1" applyBorder="1"/>
    <xf numFmtId="41" fontId="0" fillId="21" borderId="8" xfId="0" applyNumberFormat="1" applyFill="1" applyBorder="1"/>
    <xf numFmtId="41" fontId="0" fillId="21" borderId="6" xfId="0" applyNumberFormat="1" applyFill="1" applyBorder="1"/>
    <xf numFmtId="41" fontId="67" fillId="21" borderId="0" xfId="1" applyNumberFormat="1" applyFont="1" applyFill="1" applyBorder="1"/>
    <xf numFmtId="165" fontId="0" fillId="0" borderId="0" xfId="1" quotePrefix="1" applyNumberFormat="1" applyFont="1" applyFill="1" applyProtection="1">
      <protection locked="0"/>
    </xf>
    <xf numFmtId="0" fontId="11" fillId="0" borderId="0" xfId="0" applyFont="1" applyAlignment="1">
      <alignment horizontal="left" wrapText="1"/>
    </xf>
    <xf numFmtId="165" fontId="0" fillId="21" borderId="22" xfId="1" applyNumberFormat="1" applyFont="1" applyFill="1" applyBorder="1" applyProtection="1">
      <protection locked="0"/>
    </xf>
    <xf numFmtId="165" fontId="0" fillId="12" borderId="22" xfId="1" applyNumberFormat="1" applyFont="1" applyFill="1" applyBorder="1" applyProtection="1">
      <protection locked="0"/>
    </xf>
    <xf numFmtId="165" fontId="0" fillId="12" borderId="1" xfId="1" applyNumberFormat="1" applyFont="1" applyFill="1" applyBorder="1" applyProtection="1">
      <protection locked="0"/>
    </xf>
    <xf numFmtId="41" fontId="67" fillId="11" borderId="0" xfId="1" applyNumberFormat="1" applyFont="1" applyFill="1" applyBorder="1" applyProtection="1">
      <protection locked="0"/>
    </xf>
    <xf numFmtId="41" fontId="0" fillId="11" borderId="2" xfId="0" applyNumberFormat="1" applyFill="1" applyBorder="1"/>
    <xf numFmtId="41" fontId="67" fillId="11" borderId="0" xfId="1" applyNumberFormat="1" applyFont="1" applyFill="1" applyBorder="1"/>
    <xf numFmtId="0" fontId="11" fillId="0" borderId="25" xfId="0" applyFont="1" applyBorder="1" applyAlignment="1">
      <alignment horizontal="left"/>
    </xf>
    <xf numFmtId="41" fontId="0" fillId="22" borderId="0" xfId="1" applyNumberFormat="1" applyFont="1" applyFill="1" applyBorder="1"/>
    <xf numFmtId="41" fontId="0" fillId="23" borderId="0" xfId="1" applyNumberFormat="1" applyFont="1" applyFill="1" applyBorder="1"/>
    <xf numFmtId="41" fontId="0" fillId="23" borderId="0" xfId="0" applyNumberFormat="1" applyFill="1"/>
    <xf numFmtId="41" fontId="48" fillId="23" borderId="0" xfId="0" applyNumberFormat="1" applyFont="1" applyFill="1" applyAlignment="1">
      <alignment horizontal="center"/>
    </xf>
    <xf numFmtId="41" fontId="36" fillId="23" borderId="0" xfId="0" applyNumberFormat="1" applyFont="1" applyFill="1" applyAlignment="1">
      <alignment horizontal="center"/>
    </xf>
    <xf numFmtId="0" fontId="36" fillId="23" borderId="0" xfId="0" applyFont="1" applyFill="1" applyAlignment="1">
      <alignment horizontal="center"/>
    </xf>
    <xf numFmtId="41" fontId="0" fillId="0" borderId="0" xfId="1" applyNumberFormat="1" applyFont="1" applyFill="1" applyBorder="1" applyAlignment="1">
      <alignment horizontal="center"/>
    </xf>
    <xf numFmtId="41" fontId="0" fillId="0" borderId="26" xfId="0" applyNumberFormat="1" applyBorder="1" applyAlignment="1">
      <alignment horizontal="center"/>
    </xf>
    <xf numFmtId="41" fontId="0" fillId="0" borderId="3" xfId="0" applyNumberFormat="1" applyBorder="1" applyAlignment="1">
      <alignment horizontal="center"/>
    </xf>
    <xf numFmtId="41" fontId="0" fillId="0" borderId="36" xfId="1" applyNumberFormat="1" applyFont="1" applyBorder="1" applyAlignment="1">
      <alignment horizontal="center"/>
    </xf>
    <xf numFmtId="41" fontId="0" fillId="0" borderId="3" xfId="1" applyNumberFormat="1" applyFont="1" applyBorder="1" applyAlignment="1">
      <alignment horizontal="center"/>
    </xf>
    <xf numFmtId="0" fontId="0" fillId="13" borderId="0" xfId="0" applyFill="1"/>
    <xf numFmtId="3" fontId="0" fillId="13" borderId="0" xfId="0" applyNumberFormat="1" applyFill="1"/>
    <xf numFmtId="0" fontId="13" fillId="10" borderId="0" xfId="0" applyFont="1" applyFill="1" applyAlignment="1">
      <alignment horizontal="center"/>
    </xf>
    <xf numFmtId="0" fontId="13" fillId="0" borderId="0" xfId="0" applyFont="1" applyAlignment="1">
      <alignment vertical="top"/>
    </xf>
    <xf numFmtId="165" fontId="81" fillId="0" borderId="1" xfId="1" applyNumberFormat="1" applyFont="1" applyBorder="1"/>
    <xf numFmtId="41" fontId="81" fillId="10" borderId="0" xfId="0" applyNumberFormat="1" applyFont="1" applyFill="1"/>
    <xf numFmtId="0" fontId="81" fillId="10" borderId="0" xfId="0" applyFont="1" applyFill="1"/>
    <xf numFmtId="0" fontId="81" fillId="24" borderId="0" xfId="0" applyFont="1" applyFill="1"/>
    <xf numFmtId="41" fontId="81" fillId="24" borderId="0" xfId="0" applyNumberFormat="1" applyFont="1" applyFill="1"/>
    <xf numFmtId="0" fontId="11" fillId="13" borderId="0" xfId="0" applyFont="1" applyFill="1" applyAlignment="1">
      <alignment horizontal="left" wrapText="1"/>
    </xf>
    <xf numFmtId="0" fontId="0" fillId="13" borderId="0" xfId="0" applyFill="1" applyAlignment="1">
      <alignment horizontal="left" wrapText="1"/>
    </xf>
    <xf numFmtId="0" fontId="13" fillId="0" borderId="0" xfId="0" applyFont="1" applyAlignment="1">
      <alignment wrapText="1"/>
    </xf>
    <xf numFmtId="0" fontId="0" fillId="0" borderId="0" xfId="0" applyAlignment="1">
      <alignment wrapText="1"/>
    </xf>
    <xf numFmtId="0" fontId="13" fillId="10" borderId="0" xfId="0" applyFont="1" applyFill="1" applyAlignment="1">
      <alignment wrapText="1"/>
    </xf>
    <xf numFmtId="0" fontId="11" fillId="0" borderId="0" xfId="0" applyFont="1" applyAlignment="1">
      <alignment horizontal="left" vertical="top" wrapText="1"/>
    </xf>
    <xf numFmtId="0" fontId="0" fillId="0" borderId="0" xfId="0" applyAlignment="1">
      <alignment horizontal="left" vertical="top" wrapText="1"/>
    </xf>
    <xf numFmtId="0" fontId="19" fillId="2" borderId="17" xfId="0" applyFont="1" applyFill="1" applyBorder="1" applyAlignment="1">
      <alignment horizontal="center"/>
    </xf>
    <xf numFmtId="0" fontId="19" fillId="2" borderId="12" xfId="0" applyFont="1" applyFill="1" applyBorder="1" applyAlignment="1">
      <alignment horizontal="center"/>
    </xf>
    <xf numFmtId="0" fontId="19" fillId="2" borderId="19" xfId="0" applyFont="1" applyFill="1" applyBorder="1" applyAlignment="1">
      <alignment horizontal="center"/>
    </xf>
    <xf numFmtId="0" fontId="19" fillId="2" borderId="13" xfId="0" applyFont="1" applyFill="1" applyBorder="1" applyAlignment="1">
      <alignment horizontal="center"/>
    </xf>
    <xf numFmtId="0" fontId="19" fillId="2" borderId="1" xfId="0" applyFont="1" applyFill="1" applyBorder="1" applyAlignment="1">
      <alignment horizontal="center"/>
    </xf>
    <xf numFmtId="0" fontId="19" fillId="2" borderId="14" xfId="0" applyFont="1" applyFill="1" applyBorder="1" applyAlignment="1">
      <alignment horizontal="center"/>
    </xf>
    <xf numFmtId="0" fontId="11" fillId="0" borderId="0" xfId="0" applyFont="1" applyAlignment="1">
      <alignment wrapText="1"/>
    </xf>
    <xf numFmtId="0" fontId="14" fillId="0" borderId="0" xfId="0" applyFont="1" applyAlignment="1">
      <alignment wrapText="1"/>
    </xf>
    <xf numFmtId="0" fontId="13" fillId="13" borderId="0" xfId="0" applyFont="1" applyFill="1" applyAlignment="1">
      <alignment wrapText="1"/>
    </xf>
    <xf numFmtId="0" fontId="0" fillId="0" borderId="0" xfId="0"/>
    <xf numFmtId="41" fontId="16" fillId="6" borderId="11" xfId="1" applyNumberFormat="1" applyFont="1" applyFill="1" applyBorder="1" applyAlignment="1"/>
    <xf numFmtId="41" fontId="16" fillId="6" borderId="4" xfId="1" applyNumberFormat="1" applyFont="1" applyFill="1" applyBorder="1" applyAlignment="1"/>
    <xf numFmtId="41" fontId="16" fillId="6" borderId="4" xfId="0" applyNumberFormat="1" applyFont="1" applyFill="1" applyBorder="1"/>
    <xf numFmtId="41" fontId="16" fillId="6" borderId="9" xfId="0" applyNumberFormat="1" applyFont="1" applyFill="1" applyBorder="1"/>
    <xf numFmtId="0" fontId="13" fillId="3" borderId="7" xfId="0" applyFont="1" applyFill="1" applyBorder="1"/>
    <xf numFmtId="0" fontId="13" fillId="3" borderId="33" xfId="0" applyFont="1" applyFill="1" applyBorder="1"/>
    <xf numFmtId="0" fontId="13" fillId="3" borderId="28" xfId="0" applyFont="1" applyFill="1" applyBorder="1"/>
    <xf numFmtId="0" fontId="14" fillId="0" borderId="0" xfId="0" applyFont="1" applyAlignment="1">
      <alignment textRotation="90"/>
    </xf>
    <xf numFmtId="41" fontId="13" fillId="6" borderId="42" xfId="1" applyNumberFormat="1" applyFont="1" applyFill="1" applyBorder="1" applyAlignment="1">
      <alignment horizontal="center"/>
    </xf>
    <xf numFmtId="41" fontId="13" fillId="6" borderId="35" xfId="1" applyNumberFormat="1" applyFont="1" applyFill="1" applyBorder="1" applyAlignment="1">
      <alignment horizontal="center"/>
    </xf>
    <xf numFmtId="41" fontId="13" fillId="6" borderId="35" xfId="0" applyNumberFormat="1" applyFont="1" applyFill="1" applyBorder="1" applyAlignment="1">
      <alignment horizontal="center"/>
    </xf>
    <xf numFmtId="41" fontId="13" fillId="6" borderId="43" xfId="0" applyNumberFormat="1" applyFont="1" applyFill="1" applyBorder="1" applyAlignment="1">
      <alignment horizontal="center"/>
    </xf>
    <xf numFmtId="41" fontId="16" fillId="2" borderId="4" xfId="0" quotePrefix="1" applyNumberFormat="1" applyFont="1" applyFill="1" applyBorder="1" applyAlignment="1">
      <alignment horizontal="center"/>
    </xf>
    <xf numFmtId="41" fontId="16" fillId="2" borderId="4" xfId="0" applyNumberFormat="1" applyFont="1" applyFill="1" applyBorder="1" applyAlignment="1">
      <alignment horizontal="center"/>
    </xf>
    <xf numFmtId="41" fontId="16" fillId="2" borderId="11" xfId="1" quotePrefix="1" applyNumberFormat="1" applyFont="1" applyFill="1" applyBorder="1" applyAlignment="1">
      <alignment horizontal="center"/>
    </xf>
    <xf numFmtId="41" fontId="16" fillId="2" borderId="9" xfId="1" applyNumberFormat="1" applyFont="1" applyFill="1" applyBorder="1" applyAlignment="1">
      <alignment horizontal="center"/>
    </xf>
    <xf numFmtId="41" fontId="61" fillId="2" borderId="26" xfId="0" applyNumberFormat="1" applyFont="1" applyFill="1" applyBorder="1" applyAlignment="1">
      <alignment horizontal="center"/>
    </xf>
    <xf numFmtId="41" fontId="61" fillId="2" borderId="10" xfId="0" applyNumberFormat="1" applyFont="1" applyFill="1" applyBorder="1" applyAlignment="1">
      <alignment horizontal="center"/>
    </xf>
    <xf numFmtId="41" fontId="13" fillId="3" borderId="11" xfId="0" applyNumberFormat="1" applyFont="1" applyFill="1" applyBorder="1" applyAlignment="1">
      <alignment horizontal="center"/>
    </xf>
    <xf numFmtId="41" fontId="13" fillId="3" borderId="9" xfId="0" applyNumberFormat="1" applyFont="1" applyFill="1" applyBorder="1" applyAlignment="1">
      <alignment horizontal="center"/>
    </xf>
    <xf numFmtId="41" fontId="13" fillId="3" borderId="8" xfId="0" applyNumberFormat="1" applyFont="1" applyFill="1" applyBorder="1" applyAlignment="1">
      <alignment horizontal="center"/>
    </xf>
    <xf numFmtId="41" fontId="13" fillId="3" borderId="6" xfId="0" applyNumberFormat="1" applyFont="1" applyFill="1" applyBorder="1" applyAlignment="1">
      <alignment horizontal="center"/>
    </xf>
    <xf numFmtId="41" fontId="13" fillId="3" borderId="0" xfId="0" applyNumberFormat="1" applyFont="1" applyFill="1" applyAlignment="1">
      <alignment horizontal="center"/>
    </xf>
    <xf numFmtId="41" fontId="16" fillId="7" borderId="8" xfId="0" applyNumberFormat="1" applyFont="1" applyFill="1" applyBorder="1" applyAlignment="1">
      <alignment horizontal="right"/>
    </xf>
    <xf numFmtId="41" fontId="16" fillId="7" borderId="6" xfId="0" applyNumberFormat="1" applyFont="1" applyFill="1" applyBorder="1" applyAlignment="1">
      <alignment horizontal="right"/>
    </xf>
    <xf numFmtId="41" fontId="13" fillId="0" borderId="17" xfId="0" applyNumberFormat="1" applyFont="1" applyBorder="1" applyAlignment="1" applyProtection="1">
      <alignment horizontal="center"/>
      <protection locked="0"/>
    </xf>
    <xf numFmtId="41" fontId="13" fillId="0" borderId="12" xfId="0" applyNumberFormat="1" applyFont="1" applyBorder="1" applyAlignment="1" applyProtection="1">
      <alignment horizontal="center"/>
      <protection locked="0"/>
    </xf>
    <xf numFmtId="0" fontId="14" fillId="0" borderId="0" xfId="0" applyFont="1" applyAlignment="1">
      <alignment horizontal="center" textRotation="90"/>
    </xf>
    <xf numFmtId="41" fontId="13" fillId="0" borderId="19" xfId="0" applyNumberFormat="1" applyFont="1" applyBorder="1" applyAlignment="1" applyProtection="1">
      <alignment horizontal="center"/>
      <protection locked="0"/>
    </xf>
    <xf numFmtId="41" fontId="13" fillId="10" borderId="0" xfId="0" applyNumberFormat="1" applyFont="1" applyFill="1" applyAlignment="1" applyProtection="1">
      <alignment horizontal="center"/>
      <protection locked="0"/>
    </xf>
    <xf numFmtId="41" fontId="16" fillId="2" borderId="11" xfId="0" applyNumberFormat="1" applyFont="1" applyFill="1" applyBorder="1" applyAlignment="1">
      <alignment horizontal="center"/>
    </xf>
    <xf numFmtId="41" fontId="16" fillId="2" borderId="9" xfId="0" applyNumberFormat="1" applyFont="1" applyFill="1" applyBorder="1" applyAlignment="1">
      <alignment horizontal="center"/>
    </xf>
    <xf numFmtId="41" fontId="16" fillId="2" borderId="26" xfId="0" applyNumberFormat="1" applyFont="1" applyFill="1" applyBorder="1" applyAlignment="1">
      <alignment horizontal="center"/>
    </xf>
    <xf numFmtId="41" fontId="16" fillId="2" borderId="3" xfId="0" applyNumberFormat="1" applyFont="1" applyFill="1" applyBorder="1" applyAlignment="1">
      <alignment horizontal="center"/>
    </xf>
    <xf numFmtId="41" fontId="16" fillId="2" borderId="10" xfId="0" applyNumberFormat="1" applyFont="1" applyFill="1" applyBorder="1" applyAlignment="1">
      <alignment horizontal="center"/>
    </xf>
    <xf numFmtId="41" fontId="0" fillId="3" borderId="6" xfId="0" applyNumberFormat="1" applyFill="1" applyBorder="1"/>
    <xf numFmtId="165" fontId="13" fillId="12" borderId="8" xfId="0" applyNumberFormat="1" applyFont="1" applyFill="1" applyBorder="1" applyAlignment="1">
      <alignment horizontal="center"/>
    </xf>
    <xf numFmtId="165" fontId="13" fillId="12" borderId="0" xfId="0" applyNumberFormat="1" applyFont="1" applyFill="1" applyAlignment="1">
      <alignment horizontal="center"/>
    </xf>
    <xf numFmtId="165" fontId="13" fillId="12" borderId="8" xfId="0" applyNumberFormat="1" applyFont="1" applyFill="1" applyBorder="1" applyAlignment="1">
      <alignment horizontal="center" wrapText="1"/>
    </xf>
    <xf numFmtId="165" fontId="13" fillId="12" borderId="0" xfId="0" applyNumberFormat="1" applyFont="1" applyFill="1" applyAlignment="1">
      <alignment horizontal="center" wrapText="1"/>
    </xf>
    <xf numFmtId="41" fontId="13" fillId="3" borderId="6" xfId="0" applyNumberFormat="1" applyFont="1" applyFill="1" applyBorder="1"/>
    <xf numFmtId="41" fontId="16" fillId="2" borderId="4" xfId="0" applyNumberFormat="1" applyFont="1" applyFill="1" applyBorder="1" applyAlignment="1">
      <alignment horizontal="left"/>
    </xf>
    <xf numFmtId="41" fontId="0" fillId="0" borderId="4" xfId="0" applyNumberFormat="1" applyBorder="1" applyAlignment="1">
      <alignment horizontal="left"/>
    </xf>
    <xf numFmtId="41" fontId="16" fillId="0" borderId="3" xfId="0" applyNumberFormat="1" applyFont="1" applyBorder="1" applyAlignment="1">
      <alignment horizontal="center"/>
    </xf>
    <xf numFmtId="41" fontId="0" fillId="3" borderId="9" xfId="0" applyNumberFormat="1" applyFill="1" applyBorder="1"/>
    <xf numFmtId="41" fontId="13" fillId="0" borderId="40" xfId="1" applyNumberFormat="1" applyFont="1" applyBorder="1" applyAlignment="1" applyProtection="1">
      <alignment horizontal="center"/>
      <protection locked="0"/>
    </xf>
    <xf numFmtId="41" fontId="13" fillId="0" borderId="41" xfId="0" applyNumberFormat="1" applyFont="1" applyBorder="1" applyAlignment="1" applyProtection="1">
      <alignment horizontal="center"/>
      <protection locked="0"/>
    </xf>
    <xf numFmtId="41" fontId="16" fillId="6" borderId="11" xfId="0" applyNumberFormat="1" applyFont="1" applyFill="1" applyBorder="1" applyAlignment="1">
      <alignment horizontal="left" vertical="top" wrapText="1"/>
    </xf>
    <xf numFmtId="41" fontId="16" fillId="6" borderId="9" xfId="0" applyNumberFormat="1" applyFont="1" applyFill="1" applyBorder="1" applyAlignment="1">
      <alignment horizontal="left" vertical="top" wrapText="1"/>
    </xf>
    <xf numFmtId="41" fontId="16" fillId="6" borderId="26" xfId="0" applyNumberFormat="1" applyFont="1" applyFill="1" applyBorder="1" applyAlignment="1">
      <alignment horizontal="left" vertical="top" wrapText="1"/>
    </xf>
    <xf numFmtId="41" fontId="16" fillId="6" borderId="10" xfId="0" applyNumberFormat="1" applyFont="1" applyFill="1" applyBorder="1" applyAlignment="1">
      <alignment horizontal="left" vertical="top" wrapText="1"/>
    </xf>
    <xf numFmtId="41" fontId="13" fillId="6" borderId="42" xfId="0" applyNumberFormat="1" applyFont="1" applyFill="1" applyBorder="1" applyAlignment="1">
      <alignment horizontal="center"/>
    </xf>
    <xf numFmtId="41" fontId="0" fillId="0" borderId="12" xfId="0" applyNumberFormat="1" applyBorder="1" applyAlignment="1" applyProtection="1">
      <alignment horizontal="center"/>
      <protection locked="0"/>
    </xf>
    <xf numFmtId="41" fontId="16" fillId="2" borderId="11" xfId="0" applyNumberFormat="1" applyFont="1" applyFill="1" applyBorder="1" applyAlignment="1">
      <alignment wrapText="1"/>
    </xf>
    <xf numFmtId="41" fontId="16" fillId="2" borderId="4" xfId="0" applyNumberFormat="1" applyFont="1" applyFill="1" applyBorder="1" applyAlignment="1">
      <alignment wrapText="1"/>
    </xf>
    <xf numFmtId="41" fontId="16" fillId="2" borderId="26" xfId="0" applyNumberFormat="1" applyFont="1" applyFill="1" applyBorder="1" applyAlignment="1">
      <alignment wrapText="1"/>
    </xf>
    <xf numFmtId="41" fontId="16" fillId="2" borderId="3" xfId="0" applyNumberFormat="1" applyFont="1" applyFill="1" applyBorder="1" applyAlignment="1">
      <alignment wrapText="1"/>
    </xf>
    <xf numFmtId="41" fontId="16" fillId="2" borderId="11" xfId="0" applyNumberFormat="1" applyFont="1" applyFill="1" applyBorder="1"/>
    <xf numFmtId="41" fontId="16" fillId="2" borderId="9" xfId="0" applyNumberFormat="1" applyFont="1" applyFill="1" applyBorder="1"/>
    <xf numFmtId="41" fontId="16" fillId="2" borderId="26" xfId="0" applyNumberFormat="1" applyFont="1" applyFill="1" applyBorder="1"/>
    <xf numFmtId="41" fontId="16" fillId="2" borderId="10" xfId="0" applyNumberFormat="1" applyFont="1" applyFill="1" applyBorder="1"/>
    <xf numFmtId="41" fontId="13" fillId="0" borderId="17" xfId="0" applyNumberFormat="1" applyFont="1" applyBorder="1" applyAlignment="1" applyProtection="1">
      <alignment horizontal="center" wrapText="1"/>
      <protection locked="0"/>
    </xf>
    <xf numFmtId="41" fontId="13" fillId="0" borderId="19" xfId="0" applyNumberFormat="1" applyFont="1" applyBorder="1" applyAlignment="1" applyProtection="1">
      <alignment horizontal="center" wrapText="1"/>
      <protection locked="0"/>
    </xf>
    <xf numFmtId="41" fontId="13" fillId="0" borderId="12" xfId="0" applyNumberFormat="1" applyFont="1" applyBorder="1" applyAlignment="1" applyProtection="1">
      <alignment horizontal="center" wrapText="1"/>
      <protection locked="0"/>
    </xf>
    <xf numFmtId="0" fontId="13" fillId="2" borderId="23" xfId="0" applyFont="1" applyFill="1" applyBorder="1"/>
    <xf numFmtId="0" fontId="13" fillId="2" borderId="7" xfId="0" applyFont="1" applyFill="1" applyBorder="1"/>
    <xf numFmtId="0" fontId="13" fillId="2" borderId="24" xfId="0" applyFont="1" applyFill="1" applyBorder="1"/>
    <xf numFmtId="0" fontId="13" fillId="2" borderId="23" xfId="0" applyFont="1" applyFill="1" applyBorder="1" applyAlignment="1">
      <alignment wrapText="1"/>
    </xf>
    <xf numFmtId="0" fontId="38" fillId="0" borderId="0" xfId="0" applyFont="1" applyAlignment="1">
      <alignment wrapText="1"/>
    </xf>
    <xf numFmtId="0" fontId="0" fillId="0" borderId="1" xfId="0" applyBorder="1"/>
    <xf numFmtId="0" fontId="19" fillId="2" borderId="23" xfId="0" applyFont="1" applyFill="1" applyBorder="1" applyAlignment="1">
      <alignment horizontal="center"/>
    </xf>
    <xf numFmtId="0" fontId="19" fillId="2" borderId="7" xfId="0" applyFont="1" applyFill="1" applyBorder="1" applyAlignment="1">
      <alignment horizontal="center"/>
    </xf>
    <xf numFmtId="0" fontId="19" fillId="2" borderId="24" xfId="0" applyFont="1" applyFill="1" applyBorder="1" applyAlignment="1">
      <alignment horizontal="center"/>
    </xf>
    <xf numFmtId="0" fontId="15" fillId="0" borderId="0" xfId="0" applyFont="1" applyAlignment="1">
      <alignment wrapText="1"/>
    </xf>
    <xf numFmtId="0" fontId="13" fillId="2" borderId="23" xfId="0" applyFont="1" applyFill="1" applyBorder="1" applyAlignment="1">
      <alignment horizontal="left" wrapText="1"/>
    </xf>
    <xf numFmtId="0" fontId="13" fillId="2" borderId="7" xfId="0" applyFont="1" applyFill="1" applyBorder="1" applyAlignment="1">
      <alignment horizontal="left" wrapText="1"/>
    </xf>
    <xf numFmtId="0" fontId="13" fillId="2" borderId="24" xfId="0" applyFont="1" applyFill="1" applyBorder="1" applyAlignment="1">
      <alignment horizontal="left" wrapText="1"/>
    </xf>
    <xf numFmtId="0" fontId="13" fillId="2" borderId="7" xfId="0" applyFont="1" applyFill="1" applyBorder="1" applyAlignment="1">
      <alignment wrapText="1"/>
    </xf>
    <xf numFmtId="0" fontId="13" fillId="2" borderId="24" xfId="0" applyFont="1" applyFill="1" applyBorder="1" applyAlignment="1">
      <alignment wrapText="1"/>
    </xf>
    <xf numFmtId="0" fontId="21" fillId="2" borderId="7" xfId="0" applyFont="1" applyFill="1" applyBorder="1"/>
    <xf numFmtId="0" fontId="21" fillId="2" borderId="24" xfId="0" applyFont="1" applyFill="1" applyBorder="1"/>
    <xf numFmtId="165" fontId="11" fillId="6" borderId="0" xfId="1" applyNumberFormat="1" applyFill="1" applyProtection="1">
      <protection locked="0"/>
    </xf>
    <xf numFmtId="41" fontId="11" fillId="6" borderId="0" xfId="2" applyNumberFormat="1" applyFill="1" applyProtection="1">
      <protection locked="0"/>
    </xf>
    <xf numFmtId="0" fontId="12" fillId="0" borderId="0" xfId="0" applyFont="1" applyAlignment="1">
      <alignment wrapText="1"/>
    </xf>
    <xf numFmtId="166" fontId="38" fillId="0" borderId="0" xfId="2" applyNumberFormat="1" applyFont="1" applyFill="1" applyAlignment="1">
      <alignment wrapText="1"/>
    </xf>
    <xf numFmtId="0" fontId="0" fillId="0" borderId="17" xfId="0" applyBorder="1" applyAlignment="1">
      <alignment horizontal="center"/>
    </xf>
    <xf numFmtId="0" fontId="0" fillId="0" borderId="19" xfId="0" applyBorder="1" applyAlignment="1">
      <alignment horizontal="center"/>
    </xf>
    <xf numFmtId="0" fontId="42" fillId="4" borderId="2" xfId="0" applyFont="1" applyFill="1" applyBorder="1"/>
    <xf numFmtId="0" fontId="42" fillId="4" borderId="0" xfId="0" applyFont="1" applyFill="1"/>
    <xf numFmtId="0" fontId="11" fillId="13" borderId="0" xfId="0" applyFont="1" applyFill="1" applyAlignment="1">
      <alignment wrapText="1"/>
    </xf>
    <xf numFmtId="0" fontId="0" fillId="13" borderId="0" xfId="0" applyFill="1" applyAlignment="1">
      <alignment wrapText="1"/>
    </xf>
    <xf numFmtId="0" fontId="0" fillId="0" borderId="12" xfId="0" applyBorder="1" applyAlignment="1">
      <alignment horizontal="center"/>
    </xf>
    <xf numFmtId="166" fontId="38" fillId="0" borderId="0" xfId="2" applyNumberFormat="1" applyFont="1" applyFill="1" applyBorder="1" applyAlignment="1">
      <alignment wrapText="1"/>
    </xf>
    <xf numFmtId="41" fontId="11" fillId="6" borderId="12" xfId="2" applyNumberFormat="1" applyFill="1" applyBorder="1" applyProtection="1">
      <protection locked="0"/>
    </xf>
    <xf numFmtId="165" fontId="14" fillId="0" borderId="0" xfId="1" applyNumberFormat="1" applyFont="1" applyFill="1" applyAlignment="1">
      <alignment wrapText="1"/>
    </xf>
    <xf numFmtId="0" fontId="40" fillId="0" borderId="0" xfId="0" quotePrefix="1" applyFont="1" applyAlignment="1">
      <alignment horizontal="center" textRotation="90"/>
    </xf>
    <xf numFmtId="0" fontId="40" fillId="0" borderId="0" xfId="0" applyFont="1" applyAlignment="1">
      <alignment horizontal="center" textRotation="90"/>
    </xf>
    <xf numFmtId="0" fontId="0" fillId="0" borderId="0" xfId="0" applyAlignment="1">
      <alignment horizontal="left" wrapText="1"/>
    </xf>
    <xf numFmtId="0" fontId="65" fillId="0" borderId="0" xfId="0" applyFont="1" applyAlignment="1">
      <alignment wrapText="1"/>
    </xf>
    <xf numFmtId="165" fontId="0" fillId="6" borderId="0" xfId="1" applyNumberFormat="1" applyFont="1" applyFill="1" applyBorder="1" applyProtection="1">
      <protection locked="0"/>
    </xf>
    <xf numFmtId="165" fontId="0" fillId="6" borderId="1" xfId="1" applyNumberFormat="1" applyFont="1" applyFill="1" applyBorder="1" applyProtection="1">
      <protection locked="0"/>
    </xf>
    <xf numFmtId="0" fontId="13" fillId="0" borderId="0" xfId="0" applyFont="1"/>
    <xf numFmtId="0" fontId="23" fillId="0" borderId="0" xfId="0" applyFont="1" applyAlignment="1">
      <alignment wrapText="1"/>
    </xf>
    <xf numFmtId="0" fontId="31" fillId="4" borderId="23" xfId="0" applyFont="1" applyFill="1" applyBorder="1"/>
    <xf numFmtId="0" fontId="31" fillId="4" borderId="7" xfId="0" applyFont="1" applyFill="1" applyBorder="1"/>
    <xf numFmtId="168" fontId="0" fillId="2" borderId="0" xfId="0" applyNumberFormat="1" applyFill="1"/>
    <xf numFmtId="165" fontId="0" fillId="0" borderId="0" xfId="1" applyNumberFormat="1" applyFont="1" applyAlignment="1">
      <alignment horizontal="right" wrapText="1"/>
    </xf>
    <xf numFmtId="41" fontId="0" fillId="0" borderId="0" xfId="1" applyNumberFormat="1" applyFont="1" applyAlignment="1">
      <alignment horizontal="right"/>
    </xf>
    <xf numFmtId="165" fontId="0" fillId="6" borderId="0" xfId="1" applyNumberFormat="1" applyFont="1" applyFill="1" applyProtection="1">
      <protection locked="0"/>
    </xf>
    <xf numFmtId="168" fontId="0" fillId="2" borderId="0" xfId="1" applyNumberFormat="1" applyFont="1" applyFill="1"/>
    <xf numFmtId="169" fontId="0" fillId="6" borderId="0" xfId="1" applyNumberFormat="1" applyFont="1" applyFill="1" applyProtection="1">
      <protection locked="0"/>
    </xf>
    <xf numFmtId="165" fontId="0" fillId="2" borderId="0" xfId="1" applyNumberFormat="1" applyFont="1" applyFill="1"/>
    <xf numFmtId="165" fontId="0" fillId="6" borderId="12" xfId="1" applyNumberFormat="1" applyFont="1" applyFill="1" applyBorder="1" applyProtection="1">
      <protection locked="0"/>
    </xf>
    <xf numFmtId="165" fontId="0" fillId="2" borderId="0" xfId="0" applyNumberFormat="1" applyFill="1"/>
    <xf numFmtId="0" fontId="0" fillId="6" borderId="0" xfId="0" applyFill="1" applyProtection="1">
      <protection locked="0"/>
    </xf>
    <xf numFmtId="0" fontId="0" fillId="6" borderId="12" xfId="0" applyFill="1" applyBorder="1" applyProtection="1">
      <protection locked="0"/>
    </xf>
    <xf numFmtId="0" fontId="13" fillId="0" borderId="0" xfId="0" applyFont="1" applyAlignment="1">
      <alignment horizontal="center"/>
    </xf>
    <xf numFmtId="0" fontId="28" fillId="0" borderId="0" xfId="0" applyFont="1" applyAlignment="1">
      <alignment wrapText="1"/>
    </xf>
    <xf numFmtId="0" fontId="13" fillId="6" borderId="0" xfId="0" applyFont="1" applyFill="1" applyProtection="1">
      <protection locked="0"/>
    </xf>
    <xf numFmtId="165" fontId="14" fillId="0" borderId="0" xfId="1" applyNumberFormat="1" applyFont="1" applyFill="1" applyBorder="1" applyAlignment="1">
      <alignment wrapText="1"/>
    </xf>
    <xf numFmtId="165" fontId="14" fillId="0" borderId="0" xfId="1" applyNumberFormat="1" applyFont="1" applyAlignment="1">
      <alignment wrapText="1"/>
    </xf>
    <xf numFmtId="165" fontId="11" fillId="6" borderId="0" xfId="1" applyNumberFormat="1" applyFill="1" applyBorder="1" applyProtection="1">
      <protection locked="0"/>
    </xf>
    <xf numFmtId="0" fontId="15" fillId="0" borderId="0" xfId="0" applyFont="1"/>
    <xf numFmtId="0" fontId="13" fillId="0" borderId="17" xfId="0" applyFont="1" applyBorder="1" applyAlignment="1">
      <alignment horizontal="center"/>
    </xf>
    <xf numFmtId="0" fontId="13" fillId="0" borderId="19" xfId="0" applyFont="1" applyBorder="1" applyAlignment="1">
      <alignment horizontal="center"/>
    </xf>
    <xf numFmtId="0" fontId="31" fillId="4" borderId="24" xfId="0" applyFont="1" applyFill="1" applyBorder="1"/>
    <xf numFmtId="0" fontId="13" fillId="0" borderId="12" xfId="0" applyFont="1" applyBorder="1" applyAlignment="1">
      <alignment horizontal="center"/>
    </xf>
    <xf numFmtId="165" fontId="11" fillId="6" borderId="1" xfId="1" applyNumberFormat="1" applyFill="1" applyBorder="1" applyProtection="1">
      <protection locked="0"/>
    </xf>
    <xf numFmtId="0" fontId="36" fillId="0" borderId="0" xfId="0" applyFont="1" applyAlignment="1">
      <alignment horizontal="right" wrapText="1"/>
    </xf>
    <xf numFmtId="0" fontId="21" fillId="0" borderId="0" xfId="0" applyFont="1" applyAlignment="1">
      <alignment horizontal="center"/>
    </xf>
    <xf numFmtId="0" fontId="13" fillId="2" borderId="23" xfId="0" applyFont="1" applyFill="1" applyBorder="1" applyAlignment="1">
      <alignment vertical="top" wrapText="1"/>
    </xf>
    <xf numFmtId="0" fontId="13" fillId="2" borderId="7" xfId="0" applyFont="1" applyFill="1" applyBorder="1" applyAlignment="1">
      <alignment vertical="top" wrapText="1"/>
    </xf>
    <xf numFmtId="0" fontId="13" fillId="2" borderId="24" xfId="0" applyFont="1" applyFill="1" applyBorder="1" applyAlignment="1">
      <alignment vertical="top" wrapText="1"/>
    </xf>
    <xf numFmtId="0" fontId="0" fillId="2" borderId="7" xfId="0" applyFill="1" applyBorder="1"/>
    <xf numFmtId="0" fontId="0" fillId="2" borderId="24" xfId="0" applyFill="1" applyBorder="1"/>
    <xf numFmtId="0" fontId="21" fillId="0" borderId="0" xfId="0" applyFont="1"/>
    <xf numFmtId="0" fontId="0" fillId="0" borderId="0" xfId="0" applyAlignment="1">
      <alignment vertical="top" wrapText="1"/>
    </xf>
    <xf numFmtId="165" fontId="14" fillId="0" borderId="0" xfId="1" applyNumberFormat="1" applyFont="1" applyBorder="1" applyAlignment="1">
      <alignment wrapText="1"/>
    </xf>
    <xf numFmtId="0" fontId="14" fillId="0" borderId="2" xfId="0" applyFont="1" applyBorder="1" applyAlignment="1">
      <alignment horizontal="center"/>
    </xf>
    <xf numFmtId="0" fontId="14" fillId="0" borderId="0" xfId="0" applyFont="1" applyAlignment="1">
      <alignment horizontal="center"/>
    </xf>
    <xf numFmtId="0" fontId="14" fillId="0" borderId="20" xfId="0" applyFont="1" applyBorder="1" applyAlignment="1">
      <alignment horizontal="center"/>
    </xf>
    <xf numFmtId="0" fontId="0" fillId="2" borderId="2" xfId="0" applyFill="1" applyBorder="1" applyAlignment="1">
      <alignment horizontal="center"/>
    </xf>
    <xf numFmtId="0" fontId="0" fillId="2" borderId="0" xfId="0" applyFill="1" applyAlignment="1">
      <alignment horizontal="center"/>
    </xf>
    <xf numFmtId="0" fontId="0" fillId="2" borderId="20" xfId="0" applyFill="1" applyBorder="1" applyAlignment="1">
      <alignment horizontal="center"/>
    </xf>
    <xf numFmtId="165" fontId="24" fillId="0" borderId="0" xfId="1" applyNumberFormat="1" applyFont="1" applyBorder="1" applyAlignment="1">
      <alignment horizontal="left"/>
    </xf>
    <xf numFmtId="165" fontId="14" fillId="0" borderId="0" xfId="0" applyNumberFormat="1" applyFont="1" applyAlignment="1">
      <alignment wrapText="1"/>
    </xf>
    <xf numFmtId="0" fontId="11" fillId="0" borderId="1" xfId="0" applyFont="1" applyBorder="1" applyAlignment="1">
      <alignment vertical="top" wrapText="1"/>
    </xf>
    <xf numFmtId="0" fontId="0" fillId="0" borderId="1" xfId="0" applyBorder="1" applyAlignment="1">
      <alignment vertical="top" wrapText="1"/>
    </xf>
    <xf numFmtId="165" fontId="15" fillId="6" borderId="0" xfId="1" applyNumberFormat="1" applyFont="1" applyFill="1" applyBorder="1" applyProtection="1">
      <protection locked="0"/>
    </xf>
    <xf numFmtId="165" fontId="52" fillId="0" borderId="0" xfId="1" applyNumberFormat="1" applyFont="1" applyBorder="1" applyAlignment="1">
      <alignment horizontal="center"/>
    </xf>
    <xf numFmtId="0" fontId="0" fillId="0" borderId="7" xfId="0" applyBorder="1" applyAlignment="1">
      <alignment wrapText="1"/>
    </xf>
    <xf numFmtId="0" fontId="0" fillId="0" borderId="24" xfId="0" applyBorder="1" applyAlignment="1">
      <alignment wrapText="1"/>
    </xf>
    <xf numFmtId="0" fontId="11" fillId="0" borderId="0" xfId="0" applyFont="1" applyAlignment="1">
      <alignment vertical="top" wrapText="1"/>
    </xf>
    <xf numFmtId="165" fontId="11" fillId="6" borderId="0" xfId="1" applyNumberFormat="1" applyFont="1" applyFill="1" applyBorder="1" applyProtection="1">
      <protection locked="0"/>
    </xf>
    <xf numFmtId="165" fontId="24" fillId="0" borderId="0" xfId="1" applyNumberFormat="1" applyFont="1" applyBorder="1" applyAlignment="1">
      <alignment horizontal="right"/>
    </xf>
    <xf numFmtId="165" fontId="11" fillId="6" borderId="1" xfId="1" applyNumberFormat="1" applyFont="1" applyFill="1" applyBorder="1" applyProtection="1">
      <protection locked="0"/>
    </xf>
    <xf numFmtId="0" fontId="11" fillId="0" borderId="12" xfId="0" applyFont="1" applyBorder="1" applyAlignment="1">
      <alignment horizontal="center"/>
    </xf>
    <xf numFmtId="0" fontId="0" fillId="18" borderId="0" xfId="0" applyFill="1" applyAlignment="1">
      <alignment horizontal="center"/>
    </xf>
    <xf numFmtId="0" fontId="11" fillId="0" borderId="17" xfId="0" applyFont="1" applyBorder="1" applyAlignment="1">
      <alignment horizontal="center"/>
    </xf>
    <xf numFmtId="0" fontId="13" fillId="2" borderId="1" xfId="0" applyFont="1" applyFill="1" applyBorder="1"/>
    <xf numFmtId="0" fontId="13" fillId="0" borderId="23" xfId="0" applyFont="1" applyBorder="1" applyAlignment="1" applyProtection="1">
      <alignment horizontal="center" wrapText="1"/>
      <protection locked="0"/>
    </xf>
    <xf numFmtId="0" fontId="13" fillId="0" borderId="7" xfId="0" applyFont="1" applyBorder="1" applyAlignment="1" applyProtection="1">
      <alignment horizontal="center" wrapText="1"/>
      <protection locked="0"/>
    </xf>
    <xf numFmtId="0" fontId="13" fillId="0" borderId="24" xfId="0" applyFont="1" applyBorder="1" applyAlignment="1" applyProtection="1">
      <alignment horizontal="center" wrapText="1"/>
      <protection locked="0"/>
    </xf>
    <xf numFmtId="9" fontId="52" fillId="0" borderId="44" xfId="3" applyFont="1" applyFill="1" applyBorder="1" applyAlignment="1">
      <alignment horizontal="left" wrapText="1"/>
    </xf>
    <xf numFmtId="9" fontId="52" fillId="0" borderId="45" xfId="3" applyFont="1" applyFill="1" applyBorder="1" applyAlignment="1">
      <alignment horizontal="left" wrapText="1"/>
    </xf>
    <xf numFmtId="9" fontId="52" fillId="0" borderId="46" xfId="3" applyFont="1" applyFill="1" applyBorder="1" applyAlignment="1">
      <alignment horizontal="left" wrapText="1"/>
    </xf>
    <xf numFmtId="0" fontId="13" fillId="2" borderId="17" xfId="0" applyFont="1" applyFill="1" applyBorder="1" applyAlignment="1">
      <alignment wrapText="1"/>
    </xf>
    <xf numFmtId="0" fontId="13" fillId="2" borderId="12" xfId="0" applyFont="1" applyFill="1" applyBorder="1" applyAlignment="1">
      <alignment wrapText="1"/>
    </xf>
    <xf numFmtId="0" fontId="13" fillId="2" borderId="19" xfId="0" applyFont="1" applyFill="1" applyBorder="1" applyAlignment="1">
      <alignment wrapText="1"/>
    </xf>
    <xf numFmtId="0" fontId="13" fillId="2" borderId="13" xfId="0" applyFont="1" applyFill="1" applyBorder="1" applyAlignment="1">
      <alignment wrapText="1"/>
    </xf>
    <xf numFmtId="0" fontId="13" fillId="2" borderId="1" xfId="0" applyFont="1" applyFill="1" applyBorder="1" applyAlignment="1">
      <alignment wrapText="1"/>
    </xf>
    <xf numFmtId="0" fontId="13" fillId="2" borderId="14" xfId="0" applyFont="1" applyFill="1" applyBorder="1" applyAlignment="1">
      <alignment wrapText="1"/>
    </xf>
    <xf numFmtId="0" fontId="62" fillId="0" borderId="0" xfId="0" applyFont="1" applyAlignment="1">
      <alignment horizontal="center"/>
    </xf>
    <xf numFmtId="0" fontId="13" fillId="0" borderId="1" xfId="0" applyFont="1" applyBorder="1" applyAlignment="1">
      <alignment horizontal="center"/>
    </xf>
    <xf numFmtId="0" fontId="31" fillId="2" borderId="17" xfId="0" applyFont="1" applyFill="1" applyBorder="1" applyAlignment="1">
      <alignment horizontal="center"/>
    </xf>
    <xf numFmtId="0" fontId="31" fillId="2" borderId="12" xfId="0" applyFont="1" applyFill="1" applyBorder="1" applyAlignment="1">
      <alignment horizontal="center"/>
    </xf>
    <xf numFmtId="0" fontId="31" fillId="2" borderId="19" xfId="0" applyFont="1" applyFill="1" applyBorder="1" applyAlignment="1">
      <alignment horizontal="center"/>
    </xf>
    <xf numFmtId="0" fontId="31" fillId="2" borderId="13" xfId="0" applyFont="1" applyFill="1" applyBorder="1" applyAlignment="1">
      <alignment horizontal="center"/>
    </xf>
    <xf numFmtId="0" fontId="31" fillId="2" borderId="1" xfId="0" applyFont="1" applyFill="1" applyBorder="1" applyAlignment="1">
      <alignment horizontal="center"/>
    </xf>
    <xf numFmtId="0" fontId="31" fillId="2" borderId="14" xfId="0" applyFont="1" applyFill="1" applyBorder="1" applyAlignment="1">
      <alignment horizontal="center"/>
    </xf>
    <xf numFmtId="0" fontId="15" fillId="0" borderId="0" xfId="0" applyFont="1" applyAlignment="1">
      <alignment horizontal="left" wrapText="1"/>
    </xf>
    <xf numFmtId="0" fontId="0" fillId="0" borderId="20" xfId="0" applyBorder="1" applyAlignment="1">
      <alignment wrapText="1"/>
    </xf>
    <xf numFmtId="0" fontId="13" fillId="2" borderId="17" xfId="0" applyFont="1" applyFill="1" applyBorder="1" applyAlignment="1">
      <alignment horizontal="left" wrapText="1"/>
    </xf>
    <xf numFmtId="0" fontId="13" fillId="2" borderId="12" xfId="0" applyFont="1" applyFill="1" applyBorder="1" applyAlignment="1">
      <alignment horizontal="left" wrapText="1"/>
    </xf>
    <xf numFmtId="0" fontId="13" fillId="2" borderId="19" xfId="0" applyFont="1" applyFill="1" applyBorder="1" applyAlignment="1">
      <alignment horizontal="left" wrapText="1"/>
    </xf>
    <xf numFmtId="0" fontId="13" fillId="2" borderId="13" xfId="0" applyFont="1" applyFill="1" applyBorder="1" applyAlignment="1">
      <alignment horizontal="left" wrapText="1"/>
    </xf>
    <xf numFmtId="0" fontId="13" fillId="2" borderId="1" xfId="0" applyFont="1" applyFill="1" applyBorder="1" applyAlignment="1">
      <alignment horizontal="left" wrapText="1"/>
    </xf>
    <xf numFmtId="0" fontId="13" fillId="2" borderId="14" xfId="0" applyFont="1" applyFill="1" applyBorder="1" applyAlignment="1">
      <alignment horizontal="left" wrapText="1"/>
    </xf>
    <xf numFmtId="165" fontId="15" fillId="6" borderId="0" xfId="1" applyNumberFormat="1" applyFont="1" applyFill="1" applyProtection="1">
      <protection locked="0"/>
    </xf>
    <xf numFmtId="9" fontId="40" fillId="5" borderId="0" xfId="3" applyFont="1" applyFill="1" applyAlignment="1">
      <alignment wrapText="1"/>
    </xf>
    <xf numFmtId="0" fontId="13" fillId="0" borderId="0" xfId="0" applyFont="1" applyAlignment="1">
      <alignment horizontal="left" wrapText="1"/>
    </xf>
    <xf numFmtId="0" fontId="13" fillId="0" borderId="0" xfId="0" applyFont="1" applyAlignment="1">
      <alignment horizontal="left"/>
    </xf>
    <xf numFmtId="165" fontId="0" fillId="6" borderId="0" xfId="1" applyNumberFormat="1" applyFont="1" applyFill="1" applyAlignment="1" applyProtection="1">
      <alignment horizontal="left" indent="2"/>
      <protection locked="0"/>
    </xf>
    <xf numFmtId="0" fontId="49" fillId="5" borderId="0" xfId="0" applyFont="1" applyFill="1" applyAlignment="1">
      <alignment wrapText="1"/>
    </xf>
    <xf numFmtId="0" fontId="42" fillId="0" borderId="0" xfId="0" applyFont="1" applyAlignment="1">
      <alignment horizontal="center"/>
    </xf>
    <xf numFmtId="0" fontId="0" fillId="0" borderId="0" xfId="0" applyAlignment="1">
      <alignment horizontal="center"/>
    </xf>
    <xf numFmtId="165" fontId="11" fillId="6" borderId="0" xfId="1" applyNumberFormat="1" applyFill="1" applyAlignment="1" applyProtection="1">
      <alignment horizontal="left" indent="2"/>
      <protection locked="0"/>
    </xf>
    <xf numFmtId="0" fontId="24"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165" fontId="14" fillId="0" borderId="1" xfId="1" applyNumberFormat="1" applyFont="1" applyBorder="1" applyAlignment="1">
      <alignment wrapText="1"/>
    </xf>
    <xf numFmtId="3" fontId="0" fillId="6" borderId="0" xfId="0" applyNumberFormat="1" applyFill="1" applyProtection="1">
      <protection locked="0"/>
    </xf>
    <xf numFmtId="0" fontId="0" fillId="0" borderId="1" xfId="0" applyBorder="1" applyAlignment="1">
      <alignment horizontal="center"/>
    </xf>
    <xf numFmtId="0" fontId="31" fillId="2" borderId="23" xfId="0" applyFont="1" applyFill="1" applyBorder="1" applyAlignment="1">
      <alignment horizontal="center" wrapText="1"/>
    </xf>
    <xf numFmtId="0" fontId="31" fillId="2" borderId="7" xfId="0" applyFont="1" applyFill="1" applyBorder="1" applyAlignment="1">
      <alignment horizontal="center" wrapText="1"/>
    </xf>
    <xf numFmtId="0" fontId="31" fillId="2" borderId="24" xfId="0" applyFont="1" applyFill="1" applyBorder="1" applyAlignment="1">
      <alignment horizontal="center" wrapText="1"/>
    </xf>
    <xf numFmtId="0" fontId="14" fillId="0" borderId="0" xfId="0" applyFont="1" applyAlignment="1">
      <alignment horizontal="left" wrapText="1" indent="1"/>
    </xf>
    <xf numFmtId="0" fontId="59" fillId="2" borderId="23" xfId="0" applyFont="1" applyFill="1" applyBorder="1" applyAlignment="1">
      <alignment horizontal="center"/>
    </xf>
    <xf numFmtId="0" fontId="59" fillId="2" borderId="7" xfId="0" applyFont="1" applyFill="1" applyBorder="1" applyAlignment="1">
      <alignment horizontal="center"/>
    </xf>
    <xf numFmtId="0" fontId="59" fillId="2" borderId="24" xfId="0" applyFont="1" applyFill="1" applyBorder="1" applyAlignment="1">
      <alignment horizontal="center"/>
    </xf>
    <xf numFmtId="0" fontId="31" fillId="2" borderId="23" xfId="0" applyFont="1" applyFill="1" applyBorder="1" applyAlignment="1">
      <alignment horizontal="center"/>
    </xf>
    <xf numFmtId="0" fontId="31" fillId="2" borderId="7" xfId="0" applyFont="1" applyFill="1" applyBorder="1" applyAlignment="1">
      <alignment horizontal="center"/>
    </xf>
    <xf numFmtId="0" fontId="31" fillId="2" borderId="24" xfId="0" applyFont="1" applyFill="1" applyBorder="1" applyAlignment="1">
      <alignment horizontal="center"/>
    </xf>
    <xf numFmtId="0" fontId="12" fillId="0" borderId="12" xfId="0" applyFont="1" applyBorder="1" applyAlignment="1">
      <alignment horizontal="center"/>
    </xf>
    <xf numFmtId="0" fontId="15" fillId="0" borderId="1" xfId="0" applyFont="1" applyBorder="1" applyAlignment="1">
      <alignment wrapText="1"/>
    </xf>
    <xf numFmtId="0" fontId="0" fillId="0" borderId="1" xfId="0" applyBorder="1" applyAlignment="1">
      <alignment wrapText="1"/>
    </xf>
    <xf numFmtId="0" fontId="72" fillId="0" borderId="0" xfId="0" applyFont="1" applyAlignment="1">
      <alignment horizontal="left" vertical="top" wrapText="1" readingOrder="1"/>
    </xf>
    <xf numFmtId="0" fontId="13" fillId="2" borderId="23" xfId="0" applyFont="1" applyFill="1" applyBorder="1" applyAlignment="1">
      <alignment horizontal="left"/>
    </xf>
    <xf numFmtId="0" fontId="13" fillId="2" borderId="7" xfId="0" applyFont="1" applyFill="1" applyBorder="1" applyAlignment="1">
      <alignment horizontal="left"/>
    </xf>
    <xf numFmtId="0" fontId="13" fillId="2" borderId="24" xfId="0" applyFont="1" applyFill="1" applyBorder="1" applyAlignment="1">
      <alignment horizontal="left"/>
    </xf>
    <xf numFmtId="0" fontId="76" fillId="0" borderId="17" xfId="0" applyFont="1" applyBorder="1" applyAlignment="1">
      <alignment horizontal="center"/>
    </xf>
    <xf numFmtId="0" fontId="76" fillId="0" borderId="12" xfId="0" applyFont="1" applyBorder="1" applyAlignment="1">
      <alignment horizontal="center"/>
    </xf>
    <xf numFmtId="0" fontId="76" fillId="0" borderId="19" xfId="0" applyFont="1" applyBorder="1" applyAlignment="1">
      <alignment horizontal="center"/>
    </xf>
    <xf numFmtId="0" fontId="19" fillId="4" borderId="0" xfId="0" applyFont="1" applyFill="1" applyAlignment="1">
      <alignment horizontal="left" vertical="center"/>
    </xf>
    <xf numFmtId="0" fontId="79" fillId="0" borderId="1" xfId="0" applyFont="1" applyBorder="1" applyAlignment="1">
      <alignment horizontal="center"/>
    </xf>
    <xf numFmtId="0" fontId="73" fillId="2" borderId="23" xfId="0" applyFont="1" applyFill="1" applyBorder="1" applyAlignment="1">
      <alignment horizontal="left"/>
    </xf>
    <xf numFmtId="0" fontId="73" fillId="2" borderId="24" xfId="0" applyFont="1" applyFill="1" applyBorder="1" applyAlignment="1">
      <alignment horizontal="left"/>
    </xf>
    <xf numFmtId="0" fontId="13" fillId="0" borderId="0" xfId="0" applyFont="1" applyAlignment="1">
      <alignment horizontal="left" vertical="top" wrapText="1"/>
    </xf>
    <xf numFmtId="0" fontId="11" fillId="0" borderId="19" xfId="0" applyFont="1" applyBorder="1" applyAlignment="1">
      <alignment horizontal="center"/>
    </xf>
    <xf numFmtId="0" fontId="80" fillId="0" borderId="0" xfId="14" applyFont="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73" fillId="17" borderId="23" xfId="0" applyFont="1" applyFill="1" applyBorder="1" applyAlignment="1">
      <alignment horizontal="left" vertical="top" wrapText="1"/>
    </xf>
    <xf numFmtId="0" fontId="73" fillId="17" borderId="7" xfId="0" applyFont="1" applyFill="1" applyBorder="1" applyAlignment="1">
      <alignment horizontal="left" vertical="top" wrapText="1"/>
    </xf>
    <xf numFmtId="0" fontId="73" fillId="17" borderId="24" xfId="0" applyFont="1" applyFill="1" applyBorder="1" applyAlignment="1">
      <alignment horizontal="left" vertical="top" wrapText="1"/>
    </xf>
    <xf numFmtId="0" fontId="76" fillId="0" borderId="0" xfId="0" applyFont="1" applyAlignment="1">
      <alignment horizontal="left" wrapText="1"/>
    </xf>
    <xf numFmtId="0" fontId="31" fillId="2" borderId="23" xfId="16" applyFont="1" applyFill="1" applyBorder="1" applyAlignment="1">
      <alignment horizontal="center"/>
    </xf>
    <xf numFmtId="0" fontId="31" fillId="2" borderId="7" xfId="16" applyFont="1" applyFill="1" applyBorder="1" applyAlignment="1">
      <alignment horizontal="center"/>
    </xf>
    <xf numFmtId="0" fontId="31" fillId="2" borderId="24" xfId="16" applyFont="1" applyFill="1" applyBorder="1" applyAlignment="1">
      <alignment horizontal="center"/>
    </xf>
    <xf numFmtId="0" fontId="11" fillId="0" borderId="0" xfId="16" applyAlignment="1" applyProtection="1">
      <alignment horizontal="left" vertical="top" wrapText="1" readingOrder="1"/>
      <protection locked="0"/>
    </xf>
    <xf numFmtId="0" fontId="11" fillId="0" borderId="0" xfId="16" applyAlignment="1">
      <alignment horizontal="left" vertical="top" wrapText="1" readingOrder="1"/>
    </xf>
    <xf numFmtId="0" fontId="13" fillId="2" borderId="23" xfId="16" applyFont="1" applyFill="1" applyBorder="1" applyAlignment="1">
      <alignment horizontal="left"/>
    </xf>
    <xf numFmtId="0" fontId="13" fillId="2" borderId="7" xfId="16" applyFont="1" applyFill="1" applyBorder="1" applyAlignment="1">
      <alignment horizontal="left"/>
    </xf>
    <xf numFmtId="0" fontId="73" fillId="2" borderId="0" xfId="16" applyFont="1" applyFill="1" applyAlignment="1">
      <alignment vertical="top" wrapText="1"/>
    </xf>
    <xf numFmtId="0" fontId="81" fillId="0" borderId="0" xfId="17" applyFont="1" applyAlignment="1">
      <alignment horizontal="left" wrapText="1"/>
    </xf>
    <xf numFmtId="0" fontId="80" fillId="0" borderId="0" xfId="17" applyFont="1" applyAlignment="1">
      <alignment horizontal="left" wrapText="1"/>
    </xf>
    <xf numFmtId="0" fontId="11" fillId="0" borderId="0" xfId="16" applyAlignment="1">
      <alignment horizontal="left" vertical="top" wrapText="1"/>
    </xf>
    <xf numFmtId="0" fontId="11" fillId="0" borderId="17" xfId="16" applyBorder="1" applyAlignment="1">
      <alignment horizontal="center"/>
    </xf>
    <xf numFmtId="0" fontId="11" fillId="0" borderId="19" xfId="16" applyBorder="1" applyAlignment="1">
      <alignment horizontal="center"/>
    </xf>
    <xf numFmtId="0" fontId="81" fillId="0" borderId="0" xfId="17" applyFont="1" applyAlignment="1">
      <alignment horizontal="left" vertical="top" wrapText="1"/>
    </xf>
    <xf numFmtId="0" fontId="80" fillId="0" borderId="0" xfId="17" applyFont="1" applyAlignment="1">
      <alignment horizontal="left" vertical="top" wrapText="1"/>
    </xf>
    <xf numFmtId="0" fontId="73" fillId="2" borderId="23" xfId="0" applyFont="1" applyFill="1" applyBorder="1" applyAlignment="1">
      <alignment horizontal="center"/>
    </xf>
    <xf numFmtId="0" fontId="73" fillId="2" borderId="7" xfId="0" applyFont="1" applyFill="1" applyBorder="1" applyAlignment="1">
      <alignment horizontal="center"/>
    </xf>
    <xf numFmtId="0" fontId="73" fillId="2" borderId="24" xfId="0" applyFont="1" applyFill="1" applyBorder="1" applyAlignment="1">
      <alignment horizontal="center"/>
    </xf>
    <xf numFmtId="0" fontId="68" fillId="19" borderId="0" xfId="22" applyFont="1" applyFill="1" applyAlignment="1">
      <alignment horizontal="center"/>
    </xf>
    <xf numFmtId="0" fontId="3" fillId="19" borderId="0" xfId="22" applyFont="1" applyFill="1" applyAlignment="1">
      <alignment horizontal="center"/>
    </xf>
    <xf numFmtId="0" fontId="4" fillId="19" borderId="0" xfId="22" applyFill="1" applyAlignment="1">
      <alignment horizontal="center"/>
    </xf>
  </cellXfs>
  <cellStyles count="28">
    <cellStyle name="Comma" xfId="1" builtinId="3"/>
    <cellStyle name="Comma 2" xfId="5" xr:uid="{00000000-0005-0000-0000-000001000000}"/>
    <cellStyle name="Comma 3" xfId="9" xr:uid="{00000000-0005-0000-0000-000002000000}"/>
    <cellStyle name="Comma 3 2" xfId="12" xr:uid="{00000000-0005-0000-0000-000003000000}"/>
    <cellStyle name="Comma 4" xfId="15" xr:uid="{00000000-0005-0000-0000-000004000000}"/>
    <cellStyle name="Comma 4 2" xfId="18" xr:uid="{00000000-0005-0000-0000-000005000000}"/>
    <cellStyle name="Comma 5" xfId="21" xr:uid="{00000000-0005-0000-0000-000006000000}"/>
    <cellStyle name="Comma 6" xfId="23" xr:uid="{00000000-0005-0000-0000-000007000000}"/>
    <cellStyle name="Currency" xfId="2" builtinId="4"/>
    <cellStyle name="Currency 2" xfId="25" xr:uid="{00000000-0005-0000-0000-000009000000}"/>
    <cellStyle name="Normal" xfId="0" builtinId="0"/>
    <cellStyle name="Normal 2" xfId="6" xr:uid="{00000000-0005-0000-0000-00000B000000}"/>
    <cellStyle name="Normal 2 2" xfId="13" xr:uid="{00000000-0005-0000-0000-00000C000000}"/>
    <cellStyle name="Normal 3" xfId="7" xr:uid="{00000000-0005-0000-0000-00000D000000}"/>
    <cellStyle name="Normal 4" xfId="10" xr:uid="{00000000-0005-0000-0000-00000E000000}"/>
    <cellStyle name="Normal 5" xfId="14" xr:uid="{00000000-0005-0000-0000-00000F000000}"/>
    <cellStyle name="Normal 5 2" xfId="17" xr:uid="{00000000-0005-0000-0000-000010000000}"/>
    <cellStyle name="Normal 6" xfId="16" xr:uid="{00000000-0005-0000-0000-000011000000}"/>
    <cellStyle name="Normal 7" xfId="19" xr:uid="{00000000-0005-0000-0000-000012000000}"/>
    <cellStyle name="Normal 8" xfId="22" xr:uid="{00000000-0005-0000-0000-000013000000}"/>
    <cellStyle name="Normal 8 2" xfId="26" xr:uid="{060796CA-753B-44A1-B7F4-D1FAEC6BC999}"/>
    <cellStyle name="Normal 8 3" xfId="27" xr:uid="{C56FA548-8BD3-4A7F-BAE9-934584F98718}"/>
    <cellStyle name="Percent" xfId="3" builtinId="5"/>
    <cellStyle name="Percent 2" xfId="4" xr:uid="{00000000-0005-0000-0000-000015000000}"/>
    <cellStyle name="Percent 3" xfId="8" xr:uid="{00000000-0005-0000-0000-000016000000}"/>
    <cellStyle name="Percent 3 2" xfId="11" xr:uid="{00000000-0005-0000-0000-000017000000}"/>
    <cellStyle name="Percent 4" xfId="20" xr:uid="{00000000-0005-0000-0000-000018000000}"/>
    <cellStyle name="Percent 5" xfId="24" xr:uid="{00000000-0005-0000-0000-000019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
      <fill>
        <patternFill>
          <bgColor theme="1"/>
        </patternFill>
      </fill>
    </dxf>
  </dxfs>
  <tableStyles count="0" defaultTableStyle="TableStyleMedium9" defaultPivotStyle="PivotStyleLight16"/>
  <colors>
    <mruColors>
      <color rgb="FF99FF99"/>
      <color rgb="FFFFCC99"/>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customXml" Target="../customXml/item4.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112</xdr:row>
      <xdr:rowOff>142875</xdr:rowOff>
    </xdr:from>
    <xdr:to>
      <xdr:col>11</xdr:col>
      <xdr:colOff>9525</xdr:colOff>
      <xdr:row>123</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29740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657225</xdr:colOff>
      <xdr:row>122</xdr:row>
      <xdr:rowOff>9525</xdr:rowOff>
    </xdr:from>
    <xdr:to>
      <xdr:col>6</xdr:col>
      <xdr:colOff>95250</xdr:colOff>
      <xdr:row>127</xdr:row>
      <xdr:rowOff>9525</xdr:rowOff>
    </xdr:to>
    <xdr:sp macro="" textlink="">
      <xdr:nvSpPr>
        <xdr:cNvPr id="6353" name="AutoShape 5">
          <a:extLst>
            <a:ext uri="{FF2B5EF4-FFF2-40B4-BE49-F238E27FC236}">
              <a16:creationId xmlns:a16="http://schemas.microsoft.com/office/drawing/2014/main" id="{00000000-0008-0000-0900-0000D1180000}"/>
            </a:ext>
          </a:extLst>
        </xdr:cNvPr>
        <xdr:cNvSpPr>
          <a:spLocks/>
        </xdr:cNvSpPr>
      </xdr:nvSpPr>
      <xdr:spPr bwMode="auto">
        <a:xfrm>
          <a:off x="2714625" y="20469225"/>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35</xdr:row>
      <xdr:rowOff>9525</xdr:rowOff>
    </xdr:to>
    <xdr:sp macro="" textlink="">
      <xdr:nvSpPr>
        <xdr:cNvPr id="11675" name="AutoShape 1">
          <a:extLst>
            <a:ext uri="{FF2B5EF4-FFF2-40B4-BE49-F238E27FC236}">
              <a16:creationId xmlns:a16="http://schemas.microsoft.com/office/drawing/2014/main" id="{00000000-0008-0000-0B00-00009B2D0000}"/>
            </a:ext>
          </a:extLst>
        </xdr:cNvPr>
        <xdr:cNvSpPr>
          <a:spLocks/>
        </xdr:cNvSpPr>
      </xdr:nvSpPr>
      <xdr:spPr bwMode="auto">
        <a:xfrm>
          <a:off x="6553200" y="6257925"/>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40</xdr:row>
      <xdr:rowOff>9525</xdr:rowOff>
    </xdr:from>
    <xdr:to>
      <xdr:col>14</xdr:col>
      <xdr:colOff>0</xdr:colOff>
      <xdr:row>49</xdr:row>
      <xdr:rowOff>9525</xdr:rowOff>
    </xdr:to>
    <xdr:sp macro="" textlink="">
      <xdr:nvSpPr>
        <xdr:cNvPr id="11676" name="AutoShape 2">
          <a:extLst>
            <a:ext uri="{FF2B5EF4-FFF2-40B4-BE49-F238E27FC236}">
              <a16:creationId xmlns:a16="http://schemas.microsoft.com/office/drawing/2014/main" id="{00000000-0008-0000-0B00-00009C2D0000}"/>
            </a:ext>
          </a:extLst>
        </xdr:cNvPr>
        <xdr:cNvSpPr>
          <a:spLocks/>
        </xdr:cNvSpPr>
      </xdr:nvSpPr>
      <xdr:spPr bwMode="auto">
        <a:xfrm>
          <a:off x="6553200" y="8401050"/>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9525</xdr:colOff>
      <xdr:row>138</xdr:row>
      <xdr:rowOff>0</xdr:rowOff>
    </xdr:from>
    <xdr:to>
      <xdr:col>7</xdr:col>
      <xdr:colOff>95250</xdr:colOff>
      <xdr:row>138</xdr:row>
      <xdr:rowOff>0</xdr:rowOff>
    </xdr:to>
    <xdr:sp macro="" textlink="">
      <xdr:nvSpPr>
        <xdr:cNvPr id="26623" name="AutoShape 1">
          <a:extLst>
            <a:ext uri="{FF2B5EF4-FFF2-40B4-BE49-F238E27FC236}">
              <a16:creationId xmlns:a16="http://schemas.microsoft.com/office/drawing/2014/main" id="{00000000-0008-0000-0C00-0000FF670000}"/>
            </a:ext>
          </a:extLst>
        </xdr:cNvPr>
        <xdr:cNvSpPr>
          <a:spLocks/>
        </xdr:cNvSpPr>
      </xdr:nvSpPr>
      <xdr:spPr bwMode="auto">
        <a:xfrm>
          <a:off x="5924550" y="225933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132</xdr:row>
      <xdr:rowOff>19050</xdr:rowOff>
    </xdr:from>
    <xdr:to>
      <xdr:col>8</xdr:col>
      <xdr:colOff>95250</xdr:colOff>
      <xdr:row>137</xdr:row>
      <xdr:rowOff>28575</xdr:rowOff>
    </xdr:to>
    <xdr:sp macro="" textlink="">
      <xdr:nvSpPr>
        <xdr:cNvPr id="29696" name="AutoShape 3">
          <a:extLst>
            <a:ext uri="{FF2B5EF4-FFF2-40B4-BE49-F238E27FC236}">
              <a16:creationId xmlns:a16="http://schemas.microsoft.com/office/drawing/2014/main" id="{00000000-0008-0000-0C00-000000740000}"/>
            </a:ext>
          </a:extLst>
        </xdr:cNvPr>
        <xdr:cNvSpPr>
          <a:spLocks/>
        </xdr:cNvSpPr>
      </xdr:nvSpPr>
      <xdr:spPr bwMode="auto">
        <a:xfrm>
          <a:off x="6115050" y="20802600"/>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208</xdr:row>
      <xdr:rowOff>19050</xdr:rowOff>
    </xdr:from>
    <xdr:to>
      <xdr:col>7</xdr:col>
      <xdr:colOff>85725</xdr:colOff>
      <xdr:row>217</xdr:row>
      <xdr:rowOff>0</xdr:rowOff>
    </xdr:to>
    <xdr:sp macro="" textlink="">
      <xdr:nvSpPr>
        <xdr:cNvPr id="29697" name="AutoShape 4">
          <a:extLst>
            <a:ext uri="{FF2B5EF4-FFF2-40B4-BE49-F238E27FC236}">
              <a16:creationId xmlns:a16="http://schemas.microsoft.com/office/drawing/2014/main" id="{00000000-0008-0000-0C00-000001740000}"/>
            </a:ext>
          </a:extLst>
        </xdr:cNvPr>
        <xdr:cNvSpPr>
          <a:spLocks/>
        </xdr:cNvSpPr>
      </xdr:nvSpPr>
      <xdr:spPr bwMode="auto">
        <a:xfrm>
          <a:off x="5934075" y="315849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201</xdr:row>
      <xdr:rowOff>19050</xdr:rowOff>
    </xdr:from>
    <xdr:to>
      <xdr:col>7</xdr:col>
      <xdr:colOff>85725</xdr:colOff>
      <xdr:row>206</xdr:row>
      <xdr:rowOff>133350</xdr:rowOff>
    </xdr:to>
    <xdr:sp macro="" textlink="">
      <xdr:nvSpPr>
        <xdr:cNvPr id="29698" name="AutoShape 5">
          <a:extLst>
            <a:ext uri="{FF2B5EF4-FFF2-40B4-BE49-F238E27FC236}">
              <a16:creationId xmlns:a16="http://schemas.microsoft.com/office/drawing/2014/main" id="{00000000-0008-0000-0C00-000002740000}"/>
            </a:ext>
          </a:extLst>
        </xdr:cNvPr>
        <xdr:cNvSpPr>
          <a:spLocks/>
        </xdr:cNvSpPr>
      </xdr:nvSpPr>
      <xdr:spPr bwMode="auto">
        <a:xfrm>
          <a:off x="5943600" y="305371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163</xdr:row>
      <xdr:rowOff>9525</xdr:rowOff>
    </xdr:from>
    <xdr:to>
      <xdr:col>7</xdr:col>
      <xdr:colOff>104775</xdr:colOff>
      <xdr:row>200</xdr:row>
      <xdr:rowOff>9525</xdr:rowOff>
    </xdr:to>
    <xdr:sp macro="" textlink="">
      <xdr:nvSpPr>
        <xdr:cNvPr id="29699" name="AutoShape 6">
          <a:extLst>
            <a:ext uri="{FF2B5EF4-FFF2-40B4-BE49-F238E27FC236}">
              <a16:creationId xmlns:a16="http://schemas.microsoft.com/office/drawing/2014/main" id="{00000000-0008-0000-0C00-000003740000}"/>
            </a:ext>
          </a:extLst>
        </xdr:cNvPr>
        <xdr:cNvSpPr>
          <a:spLocks/>
        </xdr:cNvSpPr>
      </xdr:nvSpPr>
      <xdr:spPr bwMode="auto">
        <a:xfrm>
          <a:off x="5924550" y="270510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222</xdr:row>
      <xdr:rowOff>152400</xdr:rowOff>
    </xdr:from>
    <xdr:to>
      <xdr:col>7</xdr:col>
      <xdr:colOff>123825</xdr:colOff>
      <xdr:row>229</xdr:row>
      <xdr:rowOff>9525</xdr:rowOff>
    </xdr:to>
    <xdr:sp macro="" textlink="">
      <xdr:nvSpPr>
        <xdr:cNvPr id="29700" name="AutoShape 8">
          <a:extLst>
            <a:ext uri="{FF2B5EF4-FFF2-40B4-BE49-F238E27FC236}">
              <a16:creationId xmlns:a16="http://schemas.microsoft.com/office/drawing/2014/main" id="{00000000-0008-0000-0C00-000004740000}"/>
            </a:ext>
          </a:extLst>
        </xdr:cNvPr>
        <xdr:cNvSpPr>
          <a:spLocks/>
        </xdr:cNvSpPr>
      </xdr:nvSpPr>
      <xdr:spPr bwMode="auto">
        <a:xfrm>
          <a:off x="5962650" y="339947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116</xdr:row>
      <xdr:rowOff>0</xdr:rowOff>
    </xdr:from>
    <xdr:to>
      <xdr:col>7</xdr:col>
      <xdr:colOff>85725</xdr:colOff>
      <xdr:row>119</xdr:row>
      <xdr:rowOff>123825</xdr:rowOff>
    </xdr:to>
    <xdr:sp macro="" textlink="">
      <xdr:nvSpPr>
        <xdr:cNvPr id="29701" name="AutoShape 9">
          <a:extLst>
            <a:ext uri="{FF2B5EF4-FFF2-40B4-BE49-F238E27FC236}">
              <a16:creationId xmlns:a16="http://schemas.microsoft.com/office/drawing/2014/main" id="{00000000-0008-0000-0C00-00000574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77</xdr:row>
      <xdr:rowOff>0</xdr:rowOff>
    </xdr:from>
    <xdr:to>
      <xdr:col>7</xdr:col>
      <xdr:colOff>123825</xdr:colOff>
      <xdr:row>113</xdr:row>
      <xdr:rowOff>9525</xdr:rowOff>
    </xdr:to>
    <xdr:sp macro="" textlink="">
      <xdr:nvSpPr>
        <xdr:cNvPr id="29702" name="AutoShape 10">
          <a:extLst>
            <a:ext uri="{FF2B5EF4-FFF2-40B4-BE49-F238E27FC236}">
              <a16:creationId xmlns:a16="http://schemas.microsoft.com/office/drawing/2014/main" id="{00000000-0008-0000-0C00-00000674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r>
            <a:rPr lang="en-US" sz="1000" b="0" i="0" u="none" strike="noStrike" baseline="0">
              <a:solidFill>
                <a:srgbClr val="FF0000"/>
              </a:solidFill>
              <a:latin typeface="Arial"/>
              <a:cs typeface="Arial"/>
            </a:rPr>
            <a:t>[See City of Dogwood for an example.] </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133</xdr:row>
      <xdr:rowOff>0</xdr:rowOff>
    </xdr:from>
    <xdr:to>
      <xdr:col>7</xdr:col>
      <xdr:colOff>95250</xdr:colOff>
      <xdr:row>133</xdr:row>
      <xdr:rowOff>0</xdr:rowOff>
    </xdr:to>
    <xdr:sp macro="" textlink="">
      <xdr:nvSpPr>
        <xdr:cNvPr id="27441" name="AutoShape 1">
          <a:extLst>
            <a:ext uri="{FF2B5EF4-FFF2-40B4-BE49-F238E27FC236}">
              <a16:creationId xmlns:a16="http://schemas.microsoft.com/office/drawing/2014/main" id="{00000000-0008-0000-0D00-0000316B0000}"/>
            </a:ext>
          </a:extLst>
        </xdr:cNvPr>
        <xdr:cNvSpPr>
          <a:spLocks/>
        </xdr:cNvSpPr>
      </xdr:nvSpPr>
      <xdr:spPr bwMode="auto">
        <a:xfrm>
          <a:off x="5924550" y="225647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127</xdr:row>
      <xdr:rowOff>19050</xdr:rowOff>
    </xdr:from>
    <xdr:to>
      <xdr:col>8</xdr:col>
      <xdr:colOff>95250</xdr:colOff>
      <xdr:row>132</xdr:row>
      <xdr:rowOff>28575</xdr:rowOff>
    </xdr:to>
    <xdr:sp macro="" textlink="">
      <xdr:nvSpPr>
        <xdr:cNvPr id="27442" name="AutoShape 2">
          <a:extLst>
            <a:ext uri="{FF2B5EF4-FFF2-40B4-BE49-F238E27FC236}">
              <a16:creationId xmlns:a16="http://schemas.microsoft.com/office/drawing/2014/main" id="{00000000-0008-0000-0D00-0000326B0000}"/>
            </a:ext>
          </a:extLst>
        </xdr:cNvPr>
        <xdr:cNvSpPr>
          <a:spLocks/>
        </xdr:cNvSpPr>
      </xdr:nvSpPr>
      <xdr:spPr bwMode="auto">
        <a:xfrm>
          <a:off x="6115050" y="207740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203</xdr:row>
      <xdr:rowOff>19050</xdr:rowOff>
    </xdr:from>
    <xdr:to>
      <xdr:col>7</xdr:col>
      <xdr:colOff>85725</xdr:colOff>
      <xdr:row>212</xdr:row>
      <xdr:rowOff>0</xdr:rowOff>
    </xdr:to>
    <xdr:sp macro="" textlink="">
      <xdr:nvSpPr>
        <xdr:cNvPr id="27443" name="AutoShape 3">
          <a:extLst>
            <a:ext uri="{FF2B5EF4-FFF2-40B4-BE49-F238E27FC236}">
              <a16:creationId xmlns:a16="http://schemas.microsoft.com/office/drawing/2014/main" id="{00000000-0008-0000-0D00-0000336B0000}"/>
            </a:ext>
          </a:extLst>
        </xdr:cNvPr>
        <xdr:cNvSpPr>
          <a:spLocks/>
        </xdr:cNvSpPr>
      </xdr:nvSpPr>
      <xdr:spPr bwMode="auto">
        <a:xfrm>
          <a:off x="5934075" y="315468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196</xdr:row>
      <xdr:rowOff>19050</xdr:rowOff>
    </xdr:from>
    <xdr:to>
      <xdr:col>7</xdr:col>
      <xdr:colOff>85725</xdr:colOff>
      <xdr:row>201</xdr:row>
      <xdr:rowOff>133350</xdr:rowOff>
    </xdr:to>
    <xdr:sp macro="" textlink="">
      <xdr:nvSpPr>
        <xdr:cNvPr id="27444" name="AutoShape 4">
          <a:extLst>
            <a:ext uri="{FF2B5EF4-FFF2-40B4-BE49-F238E27FC236}">
              <a16:creationId xmlns:a16="http://schemas.microsoft.com/office/drawing/2014/main" id="{00000000-0008-0000-0D00-0000346B0000}"/>
            </a:ext>
          </a:extLst>
        </xdr:cNvPr>
        <xdr:cNvSpPr>
          <a:spLocks/>
        </xdr:cNvSpPr>
      </xdr:nvSpPr>
      <xdr:spPr bwMode="auto">
        <a:xfrm>
          <a:off x="5943600" y="304990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158</xdr:row>
      <xdr:rowOff>9525</xdr:rowOff>
    </xdr:from>
    <xdr:to>
      <xdr:col>7</xdr:col>
      <xdr:colOff>104775</xdr:colOff>
      <xdr:row>195</xdr:row>
      <xdr:rowOff>9525</xdr:rowOff>
    </xdr:to>
    <xdr:sp macro="" textlink="">
      <xdr:nvSpPr>
        <xdr:cNvPr id="27445" name="AutoShape 5">
          <a:extLst>
            <a:ext uri="{FF2B5EF4-FFF2-40B4-BE49-F238E27FC236}">
              <a16:creationId xmlns:a16="http://schemas.microsoft.com/office/drawing/2014/main" id="{00000000-0008-0000-0D00-0000356B0000}"/>
            </a:ext>
          </a:extLst>
        </xdr:cNvPr>
        <xdr:cNvSpPr>
          <a:spLocks/>
        </xdr:cNvSpPr>
      </xdr:nvSpPr>
      <xdr:spPr bwMode="auto">
        <a:xfrm>
          <a:off x="5924550" y="270129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217</xdr:row>
      <xdr:rowOff>152400</xdr:rowOff>
    </xdr:from>
    <xdr:to>
      <xdr:col>7</xdr:col>
      <xdr:colOff>123825</xdr:colOff>
      <xdr:row>224</xdr:row>
      <xdr:rowOff>9525</xdr:rowOff>
    </xdr:to>
    <xdr:sp macro="" textlink="">
      <xdr:nvSpPr>
        <xdr:cNvPr id="27446" name="AutoShape 6">
          <a:extLst>
            <a:ext uri="{FF2B5EF4-FFF2-40B4-BE49-F238E27FC236}">
              <a16:creationId xmlns:a16="http://schemas.microsoft.com/office/drawing/2014/main" id="{00000000-0008-0000-0D00-0000366B0000}"/>
            </a:ext>
          </a:extLst>
        </xdr:cNvPr>
        <xdr:cNvSpPr>
          <a:spLocks/>
        </xdr:cNvSpPr>
      </xdr:nvSpPr>
      <xdr:spPr bwMode="auto">
        <a:xfrm>
          <a:off x="5962650" y="339566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111</xdr:row>
      <xdr:rowOff>0</xdr:rowOff>
    </xdr:from>
    <xdr:to>
      <xdr:col>7</xdr:col>
      <xdr:colOff>85725</xdr:colOff>
      <xdr:row>114</xdr:row>
      <xdr:rowOff>123825</xdr:rowOff>
    </xdr:to>
    <xdr:sp macro="" textlink="">
      <xdr:nvSpPr>
        <xdr:cNvPr id="27447" name="AutoShape 7">
          <a:extLst>
            <a:ext uri="{FF2B5EF4-FFF2-40B4-BE49-F238E27FC236}">
              <a16:creationId xmlns:a16="http://schemas.microsoft.com/office/drawing/2014/main" id="{00000000-0008-0000-0D00-0000376B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108</xdr:row>
      <xdr:rowOff>9525</xdr:rowOff>
    </xdr:to>
    <xdr:sp macro="" textlink="">
      <xdr:nvSpPr>
        <xdr:cNvPr id="27448" name="AutoShape 8">
          <a:extLst>
            <a:ext uri="{FF2B5EF4-FFF2-40B4-BE49-F238E27FC236}">
              <a16:creationId xmlns:a16="http://schemas.microsoft.com/office/drawing/2014/main" id="{00000000-0008-0000-0D00-0000386B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133</xdr:row>
      <xdr:rowOff>0</xdr:rowOff>
    </xdr:from>
    <xdr:to>
      <xdr:col>7</xdr:col>
      <xdr:colOff>95250</xdr:colOff>
      <xdr:row>133</xdr:row>
      <xdr:rowOff>0</xdr:rowOff>
    </xdr:to>
    <xdr:sp macro="" textlink="">
      <xdr:nvSpPr>
        <xdr:cNvPr id="28465" name="AutoShape 1">
          <a:extLst>
            <a:ext uri="{FF2B5EF4-FFF2-40B4-BE49-F238E27FC236}">
              <a16:creationId xmlns:a16="http://schemas.microsoft.com/office/drawing/2014/main" id="{00000000-0008-0000-0E00-0000316F0000}"/>
            </a:ext>
          </a:extLst>
        </xdr:cNvPr>
        <xdr:cNvSpPr>
          <a:spLocks/>
        </xdr:cNvSpPr>
      </xdr:nvSpPr>
      <xdr:spPr bwMode="auto">
        <a:xfrm>
          <a:off x="5924550" y="2268855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127</xdr:row>
      <xdr:rowOff>19050</xdr:rowOff>
    </xdr:from>
    <xdr:to>
      <xdr:col>8</xdr:col>
      <xdr:colOff>95250</xdr:colOff>
      <xdr:row>132</xdr:row>
      <xdr:rowOff>28575</xdr:rowOff>
    </xdr:to>
    <xdr:sp macro="" textlink="">
      <xdr:nvSpPr>
        <xdr:cNvPr id="28466" name="AutoShape 2">
          <a:extLst>
            <a:ext uri="{FF2B5EF4-FFF2-40B4-BE49-F238E27FC236}">
              <a16:creationId xmlns:a16="http://schemas.microsoft.com/office/drawing/2014/main" id="{00000000-0008-0000-0E00-0000326F0000}"/>
            </a:ext>
          </a:extLst>
        </xdr:cNvPr>
        <xdr:cNvSpPr>
          <a:spLocks/>
        </xdr:cNvSpPr>
      </xdr:nvSpPr>
      <xdr:spPr bwMode="auto">
        <a:xfrm>
          <a:off x="6115050" y="2087880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203</xdr:row>
      <xdr:rowOff>19050</xdr:rowOff>
    </xdr:from>
    <xdr:to>
      <xdr:col>7</xdr:col>
      <xdr:colOff>85725</xdr:colOff>
      <xdr:row>212</xdr:row>
      <xdr:rowOff>0</xdr:rowOff>
    </xdr:to>
    <xdr:sp macro="" textlink="">
      <xdr:nvSpPr>
        <xdr:cNvPr id="28467" name="AutoShape 3">
          <a:extLst>
            <a:ext uri="{FF2B5EF4-FFF2-40B4-BE49-F238E27FC236}">
              <a16:creationId xmlns:a16="http://schemas.microsoft.com/office/drawing/2014/main" id="{00000000-0008-0000-0E00-0000336F0000}"/>
            </a:ext>
          </a:extLst>
        </xdr:cNvPr>
        <xdr:cNvSpPr>
          <a:spLocks/>
        </xdr:cNvSpPr>
      </xdr:nvSpPr>
      <xdr:spPr bwMode="auto">
        <a:xfrm>
          <a:off x="5934075" y="31670625"/>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196</xdr:row>
      <xdr:rowOff>19050</xdr:rowOff>
    </xdr:from>
    <xdr:to>
      <xdr:col>7</xdr:col>
      <xdr:colOff>85725</xdr:colOff>
      <xdr:row>201</xdr:row>
      <xdr:rowOff>133350</xdr:rowOff>
    </xdr:to>
    <xdr:sp macro="" textlink="">
      <xdr:nvSpPr>
        <xdr:cNvPr id="28468" name="AutoShape 4">
          <a:extLst>
            <a:ext uri="{FF2B5EF4-FFF2-40B4-BE49-F238E27FC236}">
              <a16:creationId xmlns:a16="http://schemas.microsoft.com/office/drawing/2014/main" id="{00000000-0008-0000-0E00-0000346F0000}"/>
            </a:ext>
          </a:extLst>
        </xdr:cNvPr>
        <xdr:cNvSpPr>
          <a:spLocks/>
        </xdr:cNvSpPr>
      </xdr:nvSpPr>
      <xdr:spPr bwMode="auto">
        <a:xfrm>
          <a:off x="5943600" y="3062287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158</xdr:row>
      <xdr:rowOff>9525</xdr:rowOff>
    </xdr:from>
    <xdr:to>
      <xdr:col>7</xdr:col>
      <xdr:colOff>104775</xdr:colOff>
      <xdr:row>195</xdr:row>
      <xdr:rowOff>9525</xdr:rowOff>
    </xdr:to>
    <xdr:sp macro="" textlink="">
      <xdr:nvSpPr>
        <xdr:cNvPr id="28469" name="AutoShape 5">
          <a:extLst>
            <a:ext uri="{FF2B5EF4-FFF2-40B4-BE49-F238E27FC236}">
              <a16:creationId xmlns:a16="http://schemas.microsoft.com/office/drawing/2014/main" id="{00000000-0008-0000-0E00-0000356F0000}"/>
            </a:ext>
          </a:extLst>
        </xdr:cNvPr>
        <xdr:cNvSpPr>
          <a:spLocks/>
        </xdr:cNvSpPr>
      </xdr:nvSpPr>
      <xdr:spPr bwMode="auto">
        <a:xfrm>
          <a:off x="5924550" y="2713672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217</xdr:row>
      <xdr:rowOff>152400</xdr:rowOff>
    </xdr:from>
    <xdr:to>
      <xdr:col>7</xdr:col>
      <xdr:colOff>123825</xdr:colOff>
      <xdr:row>224</xdr:row>
      <xdr:rowOff>9525</xdr:rowOff>
    </xdr:to>
    <xdr:sp macro="" textlink="">
      <xdr:nvSpPr>
        <xdr:cNvPr id="28470" name="AutoShape 6">
          <a:extLst>
            <a:ext uri="{FF2B5EF4-FFF2-40B4-BE49-F238E27FC236}">
              <a16:creationId xmlns:a16="http://schemas.microsoft.com/office/drawing/2014/main" id="{00000000-0008-0000-0E00-0000366F0000}"/>
            </a:ext>
          </a:extLst>
        </xdr:cNvPr>
        <xdr:cNvSpPr>
          <a:spLocks/>
        </xdr:cNvSpPr>
      </xdr:nvSpPr>
      <xdr:spPr bwMode="auto">
        <a:xfrm>
          <a:off x="5962650" y="340804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111</xdr:row>
      <xdr:rowOff>0</xdr:rowOff>
    </xdr:from>
    <xdr:to>
      <xdr:col>7</xdr:col>
      <xdr:colOff>85725</xdr:colOff>
      <xdr:row>114</xdr:row>
      <xdr:rowOff>123825</xdr:rowOff>
    </xdr:to>
    <xdr:sp macro="" textlink="">
      <xdr:nvSpPr>
        <xdr:cNvPr id="28471" name="AutoShape 7">
          <a:extLst>
            <a:ext uri="{FF2B5EF4-FFF2-40B4-BE49-F238E27FC236}">
              <a16:creationId xmlns:a16="http://schemas.microsoft.com/office/drawing/2014/main" id="{00000000-0008-0000-0E00-0000376F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108</xdr:row>
      <xdr:rowOff>9525</xdr:rowOff>
    </xdr:to>
    <xdr:sp macro="" textlink="">
      <xdr:nvSpPr>
        <xdr:cNvPr id="28472" name="AutoShape 8">
          <a:extLst>
            <a:ext uri="{FF2B5EF4-FFF2-40B4-BE49-F238E27FC236}">
              <a16:creationId xmlns:a16="http://schemas.microsoft.com/office/drawing/2014/main" id="{00000000-0008-0000-0E00-0000386F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xdr:colOff>
      <xdr:row>199</xdr:row>
      <xdr:rowOff>0</xdr:rowOff>
    </xdr:from>
    <xdr:to>
      <xdr:col>12</xdr:col>
      <xdr:colOff>114300</xdr:colOff>
      <xdr:row>206</xdr:row>
      <xdr:rowOff>9525</xdr:rowOff>
    </xdr:to>
    <xdr:sp macro="" textlink="">
      <xdr:nvSpPr>
        <xdr:cNvPr id="29490" name="AutoShape 2">
          <a:extLst>
            <a:ext uri="{FF2B5EF4-FFF2-40B4-BE49-F238E27FC236}">
              <a16:creationId xmlns:a16="http://schemas.microsoft.com/office/drawing/2014/main" id="{00000000-0008-0000-0F00-000032730000}"/>
            </a:ext>
          </a:extLst>
        </xdr:cNvPr>
        <xdr:cNvSpPr>
          <a:spLocks/>
        </xdr:cNvSpPr>
      </xdr:nvSpPr>
      <xdr:spPr bwMode="auto">
        <a:xfrm>
          <a:off x="6972300" y="37709475"/>
          <a:ext cx="66675" cy="1038225"/>
        </a:xfrm>
        <a:prstGeom prst="rightBrace">
          <a:avLst>
            <a:gd name="adj1" fmla="val 12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38100</xdr:colOff>
      <xdr:row>207</xdr:row>
      <xdr:rowOff>9525</xdr:rowOff>
    </xdr:from>
    <xdr:to>
      <xdr:col>12</xdr:col>
      <xdr:colOff>95250</xdr:colOff>
      <xdr:row>211</xdr:row>
      <xdr:rowOff>133350</xdr:rowOff>
    </xdr:to>
    <xdr:sp macro="" textlink="">
      <xdr:nvSpPr>
        <xdr:cNvPr id="29491" name="AutoShape 3">
          <a:extLst>
            <a:ext uri="{FF2B5EF4-FFF2-40B4-BE49-F238E27FC236}">
              <a16:creationId xmlns:a16="http://schemas.microsoft.com/office/drawing/2014/main" id="{00000000-0008-0000-0F00-000033730000}"/>
            </a:ext>
          </a:extLst>
        </xdr:cNvPr>
        <xdr:cNvSpPr>
          <a:spLocks/>
        </xdr:cNvSpPr>
      </xdr:nvSpPr>
      <xdr:spPr bwMode="auto">
        <a:xfrm>
          <a:off x="6962775" y="38804850"/>
          <a:ext cx="57150" cy="771525"/>
        </a:xfrm>
        <a:prstGeom prst="rightBrace">
          <a:avLst>
            <a:gd name="adj1" fmla="val 11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213</xdr:row>
      <xdr:rowOff>9525</xdr:rowOff>
    </xdr:from>
    <xdr:to>
      <xdr:col>13</xdr:col>
      <xdr:colOff>9525</xdr:colOff>
      <xdr:row>216</xdr:row>
      <xdr:rowOff>142875</xdr:rowOff>
    </xdr:to>
    <xdr:sp macro="" textlink="">
      <xdr:nvSpPr>
        <xdr:cNvPr id="29492" name="AutoShape 5">
          <a:extLst>
            <a:ext uri="{FF2B5EF4-FFF2-40B4-BE49-F238E27FC236}">
              <a16:creationId xmlns:a16="http://schemas.microsoft.com/office/drawing/2014/main" id="{00000000-0008-0000-0F00-000034730000}"/>
            </a:ext>
          </a:extLst>
        </xdr:cNvPr>
        <xdr:cNvSpPr>
          <a:spLocks/>
        </xdr:cNvSpPr>
      </xdr:nvSpPr>
      <xdr:spPr bwMode="auto">
        <a:xfrm>
          <a:off x="6877050" y="39662100"/>
          <a:ext cx="200025" cy="619125"/>
        </a:xfrm>
        <a:prstGeom prst="rightBrace">
          <a:avLst>
            <a:gd name="adj1" fmla="val 257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218</xdr:row>
      <xdr:rowOff>0</xdr:rowOff>
    </xdr:from>
    <xdr:to>
      <xdr:col>12</xdr:col>
      <xdr:colOff>104775</xdr:colOff>
      <xdr:row>222</xdr:row>
      <xdr:rowOff>0</xdr:rowOff>
    </xdr:to>
    <xdr:sp macro="" textlink="">
      <xdr:nvSpPr>
        <xdr:cNvPr id="29493" name="AutoShape 6">
          <a:extLst>
            <a:ext uri="{FF2B5EF4-FFF2-40B4-BE49-F238E27FC236}">
              <a16:creationId xmlns:a16="http://schemas.microsoft.com/office/drawing/2014/main" id="{00000000-0008-0000-0F00-000035730000}"/>
            </a:ext>
          </a:extLst>
        </xdr:cNvPr>
        <xdr:cNvSpPr>
          <a:spLocks/>
        </xdr:cNvSpPr>
      </xdr:nvSpPr>
      <xdr:spPr bwMode="auto">
        <a:xfrm>
          <a:off x="6943725" y="40366950"/>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242</xdr:row>
      <xdr:rowOff>9525</xdr:rowOff>
    </xdr:from>
    <xdr:to>
      <xdr:col>12</xdr:col>
      <xdr:colOff>95250</xdr:colOff>
      <xdr:row>270</xdr:row>
      <xdr:rowOff>123825</xdr:rowOff>
    </xdr:to>
    <xdr:sp macro="" textlink="">
      <xdr:nvSpPr>
        <xdr:cNvPr id="29494" name="AutoShape 7">
          <a:extLst>
            <a:ext uri="{FF2B5EF4-FFF2-40B4-BE49-F238E27FC236}">
              <a16:creationId xmlns:a16="http://schemas.microsoft.com/office/drawing/2014/main" id="{00000000-0008-0000-0F00-000036730000}"/>
            </a:ext>
          </a:extLst>
        </xdr:cNvPr>
        <xdr:cNvSpPr>
          <a:spLocks/>
        </xdr:cNvSpPr>
      </xdr:nvSpPr>
      <xdr:spPr bwMode="auto">
        <a:xfrm>
          <a:off x="6943725" y="43719750"/>
          <a:ext cx="76200" cy="4648200"/>
        </a:xfrm>
        <a:prstGeom prst="rightBrace">
          <a:avLst>
            <a:gd name="adj1" fmla="val 5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47625</xdr:colOff>
      <xdr:row>272</xdr:row>
      <xdr:rowOff>9525</xdr:rowOff>
    </xdr:from>
    <xdr:to>
      <xdr:col>12</xdr:col>
      <xdr:colOff>114300</xdr:colOff>
      <xdr:row>282</xdr:row>
      <xdr:rowOff>142875</xdr:rowOff>
    </xdr:to>
    <xdr:sp macro="" textlink="">
      <xdr:nvSpPr>
        <xdr:cNvPr id="29495" name="AutoShape 8">
          <a:extLst>
            <a:ext uri="{FF2B5EF4-FFF2-40B4-BE49-F238E27FC236}">
              <a16:creationId xmlns:a16="http://schemas.microsoft.com/office/drawing/2014/main" id="{00000000-0008-0000-0F00-000037730000}"/>
            </a:ext>
          </a:extLst>
        </xdr:cNvPr>
        <xdr:cNvSpPr>
          <a:spLocks/>
        </xdr:cNvSpPr>
      </xdr:nvSpPr>
      <xdr:spPr bwMode="auto">
        <a:xfrm>
          <a:off x="6972300" y="48453675"/>
          <a:ext cx="66675" cy="1752600"/>
        </a:xfrm>
        <a:prstGeom prst="rightBrace">
          <a:avLst>
            <a:gd name="adj1" fmla="val 21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223</xdr:row>
      <xdr:rowOff>0</xdr:rowOff>
    </xdr:from>
    <xdr:to>
      <xdr:col>13</xdr:col>
      <xdr:colOff>19050</xdr:colOff>
      <xdr:row>241</xdr:row>
      <xdr:rowOff>0</xdr:rowOff>
    </xdr:to>
    <xdr:sp macro="" textlink="">
      <xdr:nvSpPr>
        <xdr:cNvPr id="29496" name="AutoShape 10">
          <a:extLst>
            <a:ext uri="{FF2B5EF4-FFF2-40B4-BE49-F238E27FC236}">
              <a16:creationId xmlns:a16="http://schemas.microsoft.com/office/drawing/2014/main" id="{00000000-0008-0000-0F00-000038730000}"/>
            </a:ext>
          </a:extLst>
        </xdr:cNvPr>
        <xdr:cNvSpPr>
          <a:spLocks/>
        </xdr:cNvSpPr>
      </xdr:nvSpPr>
      <xdr:spPr bwMode="auto">
        <a:xfrm>
          <a:off x="6867525" y="41062275"/>
          <a:ext cx="219075" cy="2590800"/>
        </a:xfrm>
        <a:prstGeom prst="rightBrace">
          <a:avLst>
            <a:gd name="adj1" fmla="val 985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288</xdr:row>
      <xdr:rowOff>9525</xdr:rowOff>
    </xdr:from>
    <xdr:to>
      <xdr:col>12</xdr:col>
      <xdr:colOff>123825</xdr:colOff>
      <xdr:row>305</xdr:row>
      <xdr:rowOff>0</xdr:rowOff>
    </xdr:to>
    <xdr:sp macro="" textlink="">
      <xdr:nvSpPr>
        <xdr:cNvPr id="29497" name="AutoShape 11">
          <a:extLst>
            <a:ext uri="{FF2B5EF4-FFF2-40B4-BE49-F238E27FC236}">
              <a16:creationId xmlns:a16="http://schemas.microsoft.com/office/drawing/2014/main" id="{00000000-0008-0000-0F00-000039730000}"/>
            </a:ext>
          </a:extLst>
        </xdr:cNvPr>
        <xdr:cNvSpPr>
          <a:spLocks/>
        </xdr:cNvSpPr>
      </xdr:nvSpPr>
      <xdr:spPr bwMode="auto">
        <a:xfrm>
          <a:off x="6924675" y="50834925"/>
          <a:ext cx="123825" cy="2419350"/>
        </a:xfrm>
        <a:prstGeom prst="rightBrace">
          <a:avLst>
            <a:gd name="adj1" fmla="val 16282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283</xdr:row>
      <xdr:rowOff>47625</xdr:rowOff>
    </xdr:from>
    <xdr:to>
      <xdr:col>12</xdr:col>
      <xdr:colOff>95250</xdr:colOff>
      <xdr:row>287</xdr:row>
      <xdr:rowOff>47625</xdr:rowOff>
    </xdr:to>
    <xdr:sp macro="" textlink="">
      <xdr:nvSpPr>
        <xdr:cNvPr id="29498" name="AutoShape 14">
          <a:extLst>
            <a:ext uri="{FF2B5EF4-FFF2-40B4-BE49-F238E27FC236}">
              <a16:creationId xmlns:a16="http://schemas.microsoft.com/office/drawing/2014/main" id="{00000000-0008-0000-0F00-00003A730000}"/>
            </a:ext>
          </a:extLst>
        </xdr:cNvPr>
        <xdr:cNvSpPr>
          <a:spLocks/>
        </xdr:cNvSpPr>
      </xdr:nvSpPr>
      <xdr:spPr bwMode="auto">
        <a:xfrm>
          <a:off x="6943725" y="50272950"/>
          <a:ext cx="76200" cy="542925"/>
        </a:xfrm>
        <a:prstGeom prst="rightBrace">
          <a:avLst>
            <a:gd name="adj1" fmla="val 59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80</xdr:row>
      <xdr:rowOff>0</xdr:rowOff>
    </xdr:from>
    <xdr:to>
      <xdr:col>3</xdr:col>
      <xdr:colOff>95250</xdr:colOff>
      <xdr:row>80</xdr:row>
      <xdr:rowOff>0</xdr:rowOff>
    </xdr:to>
    <xdr:sp macro="" textlink="">
      <xdr:nvSpPr>
        <xdr:cNvPr id="20275" name="AutoShape 3">
          <a:extLst>
            <a:ext uri="{FF2B5EF4-FFF2-40B4-BE49-F238E27FC236}">
              <a16:creationId xmlns:a16="http://schemas.microsoft.com/office/drawing/2014/main" id="{00000000-0008-0000-1000-0000334F0000}"/>
            </a:ext>
          </a:extLst>
        </xdr:cNvPr>
        <xdr:cNvSpPr>
          <a:spLocks/>
        </xdr:cNvSpPr>
      </xdr:nvSpPr>
      <xdr:spPr bwMode="auto">
        <a:xfrm>
          <a:off x="3829050" y="11725275"/>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80</xdr:row>
      <xdr:rowOff>19050</xdr:rowOff>
    </xdr:from>
    <xdr:to>
      <xdr:col>3</xdr:col>
      <xdr:colOff>95250</xdr:colOff>
      <xdr:row>90</xdr:row>
      <xdr:rowOff>66675</xdr:rowOff>
    </xdr:to>
    <xdr:sp macro="" textlink="">
      <xdr:nvSpPr>
        <xdr:cNvPr id="20276" name="AutoShape 4">
          <a:extLst>
            <a:ext uri="{FF2B5EF4-FFF2-40B4-BE49-F238E27FC236}">
              <a16:creationId xmlns:a16="http://schemas.microsoft.com/office/drawing/2014/main" id="{00000000-0008-0000-1000-0000344F0000}"/>
            </a:ext>
          </a:extLst>
        </xdr:cNvPr>
        <xdr:cNvSpPr>
          <a:spLocks/>
        </xdr:cNvSpPr>
      </xdr:nvSpPr>
      <xdr:spPr bwMode="auto">
        <a:xfrm>
          <a:off x="3838575" y="11744325"/>
          <a:ext cx="66675" cy="1981200"/>
        </a:xfrm>
        <a:prstGeom prst="rightBrace">
          <a:avLst>
            <a:gd name="adj1" fmla="val 2476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64</xdr:row>
      <xdr:rowOff>0</xdr:rowOff>
    </xdr:from>
    <xdr:to>
      <xdr:col>5</xdr:col>
      <xdr:colOff>114300</xdr:colOff>
      <xdr:row>77</xdr:row>
      <xdr:rowOff>114300</xdr:rowOff>
    </xdr:to>
    <xdr:sp macro="" textlink="">
      <xdr:nvSpPr>
        <xdr:cNvPr id="20277" name="AutoShape 5">
          <a:extLst>
            <a:ext uri="{FF2B5EF4-FFF2-40B4-BE49-F238E27FC236}">
              <a16:creationId xmlns:a16="http://schemas.microsoft.com/office/drawing/2014/main" id="{00000000-0008-0000-1000-0000354F0000}"/>
            </a:ext>
          </a:extLst>
        </xdr:cNvPr>
        <xdr:cNvSpPr>
          <a:spLocks/>
        </xdr:cNvSpPr>
      </xdr:nvSpPr>
      <xdr:spPr bwMode="auto">
        <a:xfrm>
          <a:off x="5638800" y="9763125"/>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8</xdr:row>
      <xdr:rowOff>0</xdr:rowOff>
    </xdr:from>
    <xdr:to>
      <xdr:col>9</xdr:col>
      <xdr:colOff>0</xdr:colOff>
      <xdr:row>17</xdr:row>
      <xdr:rowOff>19050</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47650" y="2219325"/>
          <a:ext cx="8020050" cy="14287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Register of Deeds is shown as a separate category due to special legislation.  </a:t>
          </a:r>
        </a:p>
        <a:p>
          <a:pPr algn="l" rtl="0">
            <a:defRPr sz="1000"/>
          </a:pPr>
          <a:r>
            <a:rPr lang="en-US" sz="1000" b="0" i="0" u="none" strike="noStrike" baseline="0">
              <a:solidFill>
                <a:srgbClr val="000000"/>
              </a:solidFill>
              <a:latin typeface="Arial"/>
              <a:cs typeface="Arial"/>
            </a:rPr>
            <a:t>Restricted net position is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Stablization by State Statute amount. All numbers are entered as positive numbers.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12</xdr:row>
      <xdr:rowOff>9525</xdr:rowOff>
    </xdr:from>
    <xdr:to>
      <xdr:col>4</xdr:col>
      <xdr:colOff>504825</xdr:colOff>
      <xdr:row>15</xdr:row>
      <xdr:rowOff>0</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7219950" y="2905125"/>
          <a:ext cx="504825" cy="53340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31750</xdr:colOff>
      <xdr:row>25</xdr:row>
      <xdr:rowOff>84666</xdr:rowOff>
    </xdr:from>
    <xdr:to>
      <xdr:col>6</xdr:col>
      <xdr:colOff>7672</xdr:colOff>
      <xdr:row>35</xdr:row>
      <xdr:rowOff>316705</xdr:rowOff>
    </xdr:to>
    <xdr:sp macro="" textlink="">
      <xdr:nvSpPr>
        <xdr:cNvPr id="3" name="Right Brace 2">
          <a:extLst>
            <a:ext uri="{FF2B5EF4-FFF2-40B4-BE49-F238E27FC236}">
              <a16:creationId xmlns:a16="http://schemas.microsoft.com/office/drawing/2014/main" id="{00000000-0008-0000-1900-000003000000}"/>
            </a:ext>
          </a:extLst>
        </xdr:cNvPr>
        <xdr:cNvSpPr/>
      </xdr:nvSpPr>
      <xdr:spPr>
        <a:xfrm>
          <a:off x="6551083" y="4624916"/>
          <a:ext cx="1764506" cy="3269456"/>
        </a:xfrm>
        <a:prstGeom prst="rightBrace">
          <a:avLst>
            <a:gd name="adj1" fmla="val 46574"/>
            <a:gd name="adj2" fmla="val 5910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etirement\Ken\C02747\2014%20Valuations\CJ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etirement\Ken\C02747\2014%20Valuations\CJRS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etirement\Ken\C00387\2010%20Valuations\TSERS2009%20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etirement\Ken\C00387\2010%20Valuations\TSERS2009%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gc0193\Desktop\Carolina%20County%20sample%20statements\CarolinaCoGAConv%20with%20OPEB%20Trus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nctreasurer365-my.sharepoint.com/Dzingeleski/Carolina%20County%20IS%202019/CarolinaCountyGovernmentalActivitiesConversion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25 26 --&gt;"/>
      <sheetName val="GASB 25 27 (1)"/>
      <sheetName val="GASB 25 27 (2)"/>
      <sheetName val="GASB 25 27 (3)"/>
      <sheetName val="GASB 25 27 (4.1)"/>
      <sheetName val="GASB 25 27 (4.2)"/>
      <sheetName val="GASB 25 27 (5.1)"/>
      <sheetName val="GASB 25 27 (5.2)"/>
      <sheetName val="GASB 25 27 (6)"/>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 GASB 68 LGERS"/>
      <sheetName val="2019 summary"/>
      <sheetName val="LGERS Contributions FY 2018"/>
      <sheetName val="2018 summary"/>
      <sheetName val="N.1b LGERS 2018 PY"/>
      <sheetName val="N.2 GASB 68 ROD"/>
      <sheetName val="2019 Summary ROD"/>
      <sheetName val="2018 Contributions ROD"/>
      <sheetName val="N.2a ROD 2018 PY"/>
      <sheetName val="N.2b ROD Data PY"/>
      <sheetName val="N.3 GASB 68 FRSWPF"/>
      <sheetName val="O. GASB 73 LEO Entries"/>
      <sheetName val="Sheet1"/>
      <sheetName val="P.1 GASB 75 OPEB  - trust 1"/>
      <sheetName val="P.2 GASB 75 OPEB - trust 2"/>
      <sheetName val="P.3 GASB 75 OPEB - trust 3"/>
      <sheetName val="2018 OPEB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1">
          <cell r="D21">
            <v>4</v>
          </cell>
        </row>
      </sheetData>
      <sheetData sheetId="18" refreshError="1"/>
      <sheetData sheetId="19" refreshError="1"/>
      <sheetData sheetId="20" refreshError="1"/>
      <sheetData sheetId="21" refreshError="1">
        <row r="912">
          <cell r="B912" t="str">
            <v>No additional agency chosen</v>
          </cell>
          <cell r="C912" t="str">
            <v>N/A</v>
          </cell>
        </row>
        <row r="913">
          <cell r="B913" t="str">
            <v>Aberdeen</v>
          </cell>
          <cell r="C913">
            <v>96331</v>
          </cell>
        </row>
        <row r="914">
          <cell r="B914" t="str">
            <v>Ahoskie</v>
          </cell>
          <cell r="C914">
            <v>94611</v>
          </cell>
        </row>
        <row r="915">
          <cell r="B915" t="str">
            <v>Airport Commission Of Forsyth County</v>
          </cell>
          <cell r="C915">
            <v>93402</v>
          </cell>
        </row>
        <row r="916">
          <cell r="B916" t="str">
            <v>Alamance</v>
          </cell>
          <cell r="C916">
            <v>90151</v>
          </cell>
        </row>
        <row r="917">
          <cell r="B917" t="str">
            <v>Alamance Comm Fire Dist</v>
          </cell>
          <cell r="C917">
            <v>94109</v>
          </cell>
        </row>
        <row r="918">
          <cell r="B918" t="str">
            <v>Alamance County</v>
          </cell>
          <cell r="C918">
            <v>90101</v>
          </cell>
        </row>
        <row r="919">
          <cell r="B919" t="str">
            <v>Alamance Municipal ABC Board</v>
          </cell>
          <cell r="C919">
            <v>90117</v>
          </cell>
        </row>
        <row r="920">
          <cell r="B920" t="str">
            <v>Albemarle</v>
          </cell>
          <cell r="C920">
            <v>98411</v>
          </cell>
        </row>
        <row r="921">
          <cell r="B921" t="str">
            <v>Albemarle ABC Board</v>
          </cell>
          <cell r="C921">
            <v>98417</v>
          </cell>
        </row>
        <row r="922">
          <cell r="B922" t="str">
            <v>Albemarle District Jail Commission</v>
          </cell>
          <cell r="C922">
            <v>97008</v>
          </cell>
        </row>
        <row r="923">
          <cell r="B923" t="str">
            <v>Albemarle Hospital Authority</v>
          </cell>
          <cell r="C923">
            <v>97010</v>
          </cell>
        </row>
        <row r="924">
          <cell r="B924" t="str">
            <v>Albemarle Regional Health Services</v>
          </cell>
          <cell r="C924">
            <v>90096</v>
          </cell>
        </row>
        <row r="925">
          <cell r="B925" t="str">
            <v>Albemarle Regional Library</v>
          </cell>
          <cell r="C925">
            <v>90805</v>
          </cell>
        </row>
        <row r="926">
          <cell r="B926" t="str">
            <v>Albemarle Regnl Planning &amp; Development Comm</v>
          </cell>
          <cell r="C926">
            <v>92109</v>
          </cell>
        </row>
        <row r="927">
          <cell r="B927" t="str">
            <v>Alexander County</v>
          </cell>
          <cell r="C927">
            <v>90201</v>
          </cell>
        </row>
        <row r="928">
          <cell r="B928" t="str">
            <v>Alexander County Dept Of S S</v>
          </cell>
          <cell r="C928">
            <v>90206</v>
          </cell>
        </row>
        <row r="929">
          <cell r="B929" t="str">
            <v>Alexander County Health Dept</v>
          </cell>
          <cell r="C929">
            <v>90203</v>
          </cell>
        </row>
        <row r="930">
          <cell r="B930" t="str">
            <v>Alexander County Public Library</v>
          </cell>
          <cell r="C930">
            <v>90205</v>
          </cell>
        </row>
        <row r="931">
          <cell r="B931" t="str">
            <v>Alleghany County</v>
          </cell>
          <cell r="C931">
            <v>90301</v>
          </cell>
        </row>
        <row r="932">
          <cell r="B932" t="str">
            <v>Alliance Behavioral Healthcre</v>
          </cell>
          <cell r="C932">
            <v>93209</v>
          </cell>
        </row>
        <row r="933">
          <cell r="B933" t="str">
            <v>Andrews</v>
          </cell>
          <cell r="C933">
            <v>92021</v>
          </cell>
        </row>
        <row r="934">
          <cell r="B934" t="str">
            <v>Angier</v>
          </cell>
          <cell r="C934">
            <v>94351</v>
          </cell>
        </row>
        <row r="935">
          <cell r="B935" t="str">
            <v>Angier ABC Board</v>
          </cell>
          <cell r="C935">
            <v>94347</v>
          </cell>
        </row>
        <row r="936">
          <cell r="B936" t="str">
            <v>Anson County</v>
          </cell>
          <cell r="C936">
            <v>90401</v>
          </cell>
        </row>
        <row r="937">
          <cell r="B937" t="str">
            <v>Ansonville</v>
          </cell>
          <cell r="C937">
            <v>90451</v>
          </cell>
        </row>
        <row r="938">
          <cell r="B938" t="str">
            <v>Apex</v>
          </cell>
          <cell r="C938">
            <v>99271</v>
          </cell>
        </row>
        <row r="939">
          <cell r="B939" t="str">
            <v>Appalachian District Health Dept</v>
          </cell>
          <cell r="C939">
            <v>90099</v>
          </cell>
        </row>
        <row r="940">
          <cell r="B940" t="str">
            <v>Appalachian Regional Library</v>
          </cell>
          <cell r="C940">
            <v>99705</v>
          </cell>
        </row>
        <row r="941">
          <cell r="B941" t="str">
            <v>Archdale</v>
          </cell>
          <cell r="C941">
            <v>97651</v>
          </cell>
        </row>
        <row r="942">
          <cell r="B942" t="str">
            <v>Archer Lodge</v>
          </cell>
          <cell r="C942">
            <v>95106</v>
          </cell>
        </row>
        <row r="943">
          <cell r="B943" t="str">
            <v>Ashe County</v>
          </cell>
          <cell r="C943">
            <v>90501</v>
          </cell>
        </row>
        <row r="944">
          <cell r="B944" t="str">
            <v>Asheboro</v>
          </cell>
          <cell r="C944">
            <v>97611</v>
          </cell>
        </row>
        <row r="945">
          <cell r="B945" t="str">
            <v>Asheboro ABC Board</v>
          </cell>
          <cell r="C945">
            <v>97607</v>
          </cell>
        </row>
        <row r="946">
          <cell r="B946" t="str">
            <v>Asheboro Housing Auth</v>
          </cell>
          <cell r="C946">
            <v>97613</v>
          </cell>
        </row>
        <row r="947">
          <cell r="B947" t="str">
            <v>Asheville</v>
          </cell>
          <cell r="C947">
            <v>91121</v>
          </cell>
        </row>
        <row r="948">
          <cell r="B948" t="str">
            <v>Asheville ABC Board</v>
          </cell>
          <cell r="C948">
            <v>91127</v>
          </cell>
        </row>
        <row r="949">
          <cell r="B949" t="str">
            <v>Asheville Regional Airport Authority</v>
          </cell>
          <cell r="C949">
            <v>91128</v>
          </cell>
        </row>
        <row r="950">
          <cell r="B950" t="str">
            <v>Atlantic Beach</v>
          </cell>
          <cell r="C950">
            <v>91681</v>
          </cell>
        </row>
        <row r="951">
          <cell r="B951" t="str">
            <v>Aulander</v>
          </cell>
          <cell r="C951">
            <v>90811</v>
          </cell>
        </row>
        <row r="952">
          <cell r="B952" t="str">
            <v>Aurora</v>
          </cell>
          <cell r="C952">
            <v>90721</v>
          </cell>
        </row>
        <row r="953">
          <cell r="B953" t="str">
            <v>Autryville</v>
          </cell>
          <cell r="C953">
            <v>98271</v>
          </cell>
        </row>
        <row r="954">
          <cell r="B954" t="str">
            <v>Avery County</v>
          </cell>
          <cell r="C954">
            <v>90601</v>
          </cell>
        </row>
        <row r="955">
          <cell r="B955" t="str">
            <v>Avery County Fire Commission</v>
          </cell>
          <cell r="C955">
            <v>90602</v>
          </cell>
        </row>
        <row r="956">
          <cell r="B956" t="str">
            <v>Avery-Mitchell-Yancey Reg Library</v>
          </cell>
          <cell r="C956">
            <v>90605</v>
          </cell>
        </row>
        <row r="957">
          <cell r="B957" t="str">
            <v>Ayden</v>
          </cell>
          <cell r="C957">
            <v>97461</v>
          </cell>
        </row>
        <row r="958">
          <cell r="B958" t="str">
            <v>Ayden Housing Authority</v>
          </cell>
          <cell r="C958">
            <v>97463</v>
          </cell>
        </row>
        <row r="959">
          <cell r="B959" t="str">
            <v>B H M Regional Library</v>
          </cell>
          <cell r="C959">
            <v>90705</v>
          </cell>
        </row>
        <row r="960">
          <cell r="B960" t="str">
            <v>Badin</v>
          </cell>
          <cell r="C960">
            <v>98451</v>
          </cell>
        </row>
        <row r="961">
          <cell r="B961" t="str">
            <v>Bailey</v>
          </cell>
          <cell r="C961">
            <v>96451</v>
          </cell>
        </row>
        <row r="962">
          <cell r="B962" t="str">
            <v>Bakersville</v>
          </cell>
          <cell r="C962">
            <v>96121</v>
          </cell>
        </row>
        <row r="963">
          <cell r="B963" t="str">
            <v>Bald Head Island</v>
          </cell>
          <cell r="C963">
            <v>91091</v>
          </cell>
        </row>
        <row r="964">
          <cell r="B964" t="str">
            <v>Banner Elk</v>
          </cell>
          <cell r="C964">
            <v>90611</v>
          </cell>
        </row>
        <row r="965">
          <cell r="B965" t="str">
            <v>Bay River Metro Sewerage District</v>
          </cell>
          <cell r="C965">
            <v>96918</v>
          </cell>
        </row>
        <row r="966">
          <cell r="B966" t="str">
            <v>Bayboro</v>
          </cell>
          <cell r="C966">
            <v>96911</v>
          </cell>
        </row>
        <row r="967">
          <cell r="B967" t="str">
            <v>Bayleaf Fire Department</v>
          </cell>
          <cell r="C967">
            <v>99208</v>
          </cell>
        </row>
        <row r="968">
          <cell r="B968" t="str">
            <v>Beaufort</v>
          </cell>
          <cell r="C968">
            <v>91631</v>
          </cell>
        </row>
        <row r="969">
          <cell r="B969" t="str">
            <v>Beaufort County</v>
          </cell>
          <cell r="C969">
            <v>90701</v>
          </cell>
        </row>
        <row r="970">
          <cell r="B970" t="str">
            <v>Beaufort County ABC Board</v>
          </cell>
          <cell r="C970">
            <v>90704</v>
          </cell>
        </row>
        <row r="971">
          <cell r="B971" t="str">
            <v>Beaufort Housing Auth</v>
          </cell>
          <cell r="C971">
            <v>91633</v>
          </cell>
        </row>
        <row r="972">
          <cell r="B972" t="str">
            <v>Beech Mountain</v>
          </cell>
          <cell r="C972">
            <v>90631</v>
          </cell>
        </row>
        <row r="973">
          <cell r="B973" t="str">
            <v>Belhaven</v>
          </cell>
          <cell r="C973">
            <v>90731</v>
          </cell>
        </row>
        <row r="974">
          <cell r="B974" t="str">
            <v>Belmont</v>
          </cell>
          <cell r="C974">
            <v>93621</v>
          </cell>
        </row>
        <row r="975">
          <cell r="B975" t="str">
            <v>Belmont Housing Authority</v>
          </cell>
          <cell r="C975">
            <v>93623</v>
          </cell>
        </row>
        <row r="976">
          <cell r="B976" t="str">
            <v>Belville</v>
          </cell>
          <cell r="C976">
            <v>91020</v>
          </cell>
        </row>
        <row r="977">
          <cell r="B977" t="str">
            <v>Benson</v>
          </cell>
          <cell r="C977">
            <v>95141</v>
          </cell>
        </row>
        <row r="978">
          <cell r="B978" t="str">
            <v>Benson Housing Authority</v>
          </cell>
          <cell r="C978">
            <v>95103</v>
          </cell>
        </row>
        <row r="979">
          <cell r="B979" t="str">
            <v>Bermuda Run</v>
          </cell>
          <cell r="C979">
            <v>93021</v>
          </cell>
        </row>
        <row r="980">
          <cell r="B980" t="str">
            <v>Bertie County</v>
          </cell>
          <cell r="C980">
            <v>90801</v>
          </cell>
        </row>
        <row r="981">
          <cell r="B981" t="str">
            <v>Bertie County ABC Board</v>
          </cell>
          <cell r="C981">
            <v>90804</v>
          </cell>
        </row>
        <row r="982">
          <cell r="B982" t="str">
            <v>Bertie-Martin Regional Jail Comm</v>
          </cell>
          <cell r="C982">
            <v>90808</v>
          </cell>
        </row>
        <row r="983">
          <cell r="B983" t="str">
            <v>Bessemer City</v>
          </cell>
          <cell r="C983">
            <v>93671</v>
          </cell>
        </row>
        <row r="984">
          <cell r="B984" t="str">
            <v>Bessemer City ABC Board</v>
          </cell>
          <cell r="C984">
            <v>93677</v>
          </cell>
        </row>
        <row r="985">
          <cell r="B985" t="str">
            <v>Bethel</v>
          </cell>
          <cell r="C985">
            <v>97441</v>
          </cell>
        </row>
        <row r="986">
          <cell r="B986" t="str">
            <v>Beulaville</v>
          </cell>
          <cell r="C986">
            <v>93111</v>
          </cell>
        </row>
        <row r="987">
          <cell r="B987" t="str">
            <v>Biltmore Forest</v>
          </cell>
          <cell r="C987">
            <v>91111</v>
          </cell>
        </row>
        <row r="988">
          <cell r="B988" t="str">
            <v>Biscoe</v>
          </cell>
          <cell r="C988">
            <v>96231</v>
          </cell>
        </row>
        <row r="989">
          <cell r="B989" t="str">
            <v>Black Creek</v>
          </cell>
          <cell r="C989">
            <v>99831</v>
          </cell>
        </row>
        <row r="990">
          <cell r="B990" t="str">
            <v>Black Mountain</v>
          </cell>
          <cell r="C990">
            <v>91151</v>
          </cell>
        </row>
        <row r="991">
          <cell r="B991" t="str">
            <v>Black Mtn ABC Board</v>
          </cell>
          <cell r="C991">
            <v>91154</v>
          </cell>
        </row>
        <row r="992">
          <cell r="B992" t="str">
            <v>Bladen County</v>
          </cell>
          <cell r="C992">
            <v>90901</v>
          </cell>
        </row>
        <row r="993">
          <cell r="B993" t="str">
            <v>Bladenboro</v>
          </cell>
          <cell r="C993">
            <v>90941</v>
          </cell>
        </row>
        <row r="994">
          <cell r="B994" t="str">
            <v>Blowing Rock</v>
          </cell>
          <cell r="C994">
            <v>99521</v>
          </cell>
        </row>
        <row r="995">
          <cell r="B995" t="str">
            <v>Blowing Rock ABC Bd</v>
          </cell>
          <cell r="C995">
            <v>99527</v>
          </cell>
        </row>
        <row r="996">
          <cell r="B996" t="str">
            <v>Blowing Rock Tourism Development Authority</v>
          </cell>
          <cell r="C996">
            <v>99508</v>
          </cell>
        </row>
        <row r="997">
          <cell r="B997" t="str">
            <v>Blue Ridge Fire Department</v>
          </cell>
          <cell r="C997">
            <v>94532</v>
          </cell>
        </row>
        <row r="998">
          <cell r="B998" t="str">
            <v>Boiling Sprg Lakes</v>
          </cell>
          <cell r="C998">
            <v>91071</v>
          </cell>
        </row>
        <row r="999">
          <cell r="B999" t="str">
            <v>Boiling Spring Lakes ABC Board</v>
          </cell>
          <cell r="C999">
            <v>91077</v>
          </cell>
        </row>
        <row r="1000">
          <cell r="B1000" t="str">
            <v>Boiling Springs</v>
          </cell>
          <cell r="C1000">
            <v>92331</v>
          </cell>
        </row>
        <row r="1001">
          <cell r="B1001" t="str">
            <v>Bolton</v>
          </cell>
          <cell r="C1001">
            <v>92414</v>
          </cell>
        </row>
        <row r="1002">
          <cell r="B1002" t="str">
            <v>Boone</v>
          </cell>
          <cell r="C1002">
            <v>99511</v>
          </cell>
        </row>
        <row r="1003">
          <cell r="B1003" t="str">
            <v>Boonville</v>
          </cell>
          <cell r="C1003">
            <v>99941</v>
          </cell>
        </row>
        <row r="1004">
          <cell r="B1004" t="str">
            <v>Braswell Memorial Library</v>
          </cell>
          <cell r="C1004">
            <v>96405</v>
          </cell>
        </row>
        <row r="1005">
          <cell r="B1005" t="str">
            <v>Brevard</v>
          </cell>
          <cell r="C1005">
            <v>98811</v>
          </cell>
        </row>
        <row r="1006">
          <cell r="B1006" t="str">
            <v>Brevard ABC Board</v>
          </cell>
          <cell r="C1006">
            <v>98817</v>
          </cell>
        </row>
        <row r="1007">
          <cell r="B1007" t="str">
            <v>Bridgeton</v>
          </cell>
          <cell r="C1007">
            <v>92561</v>
          </cell>
        </row>
        <row r="1008">
          <cell r="B1008" t="str">
            <v>Broad River Water Authority</v>
          </cell>
          <cell r="C1008">
            <v>98102</v>
          </cell>
        </row>
        <row r="1009">
          <cell r="B1009" t="str">
            <v>Broadway</v>
          </cell>
          <cell r="C1009">
            <v>95321</v>
          </cell>
        </row>
        <row r="1010">
          <cell r="B1010" t="str">
            <v>Brookford</v>
          </cell>
          <cell r="C1010">
            <v>91861</v>
          </cell>
        </row>
        <row r="1011">
          <cell r="B1011" t="str">
            <v>Brunswick</v>
          </cell>
          <cell r="C1011">
            <v>92421</v>
          </cell>
        </row>
        <row r="1012">
          <cell r="B1012" t="str">
            <v>Brunswick Co Dept Of Social Services</v>
          </cell>
          <cell r="C1012">
            <v>91006</v>
          </cell>
        </row>
        <row r="1013">
          <cell r="B1013" t="str">
            <v>Brunswick Co Health Dept</v>
          </cell>
          <cell r="C1013">
            <v>91003</v>
          </cell>
        </row>
        <row r="1014">
          <cell r="B1014" t="str">
            <v>Brunswick County</v>
          </cell>
          <cell r="C1014">
            <v>91001</v>
          </cell>
        </row>
        <row r="1015">
          <cell r="B1015" t="str">
            <v>Brunswick County ABC Board</v>
          </cell>
          <cell r="C1015">
            <v>91004</v>
          </cell>
        </row>
        <row r="1016">
          <cell r="B1016" t="str">
            <v>Brunswick County Tourism Authority</v>
          </cell>
          <cell r="C1016">
            <v>91009</v>
          </cell>
        </row>
        <row r="1017">
          <cell r="B1017" t="str">
            <v>Brunswick Regional Water And Sewer H2Go</v>
          </cell>
          <cell r="C1017">
            <v>91042</v>
          </cell>
        </row>
        <row r="1018">
          <cell r="B1018" t="str">
            <v>Bryson City</v>
          </cell>
          <cell r="C1018">
            <v>98711</v>
          </cell>
        </row>
        <row r="1019">
          <cell r="B1019" t="str">
            <v>Bryson City ABC Board</v>
          </cell>
          <cell r="C1019">
            <v>98717</v>
          </cell>
        </row>
        <row r="1020">
          <cell r="B1020" t="str">
            <v>Buncombe County</v>
          </cell>
          <cell r="C1020">
            <v>91101</v>
          </cell>
        </row>
        <row r="1021">
          <cell r="B1021" t="str">
            <v>Bunn</v>
          </cell>
          <cell r="C1021">
            <v>93531</v>
          </cell>
        </row>
        <row r="1022">
          <cell r="B1022" t="str">
            <v>Bunn ABC Board</v>
          </cell>
          <cell r="C1022">
            <v>93537</v>
          </cell>
        </row>
        <row r="1023">
          <cell r="B1023" t="str">
            <v>Burgaw</v>
          </cell>
          <cell r="C1023">
            <v>97111</v>
          </cell>
        </row>
        <row r="1024">
          <cell r="B1024" t="str">
            <v>Burke Co Dept Of Social Services</v>
          </cell>
          <cell r="C1024">
            <v>91206</v>
          </cell>
        </row>
        <row r="1025">
          <cell r="B1025" t="str">
            <v>Burke Co Health Dept</v>
          </cell>
          <cell r="C1025">
            <v>91203</v>
          </cell>
        </row>
        <row r="1026">
          <cell r="B1026" t="str">
            <v>Burke County</v>
          </cell>
          <cell r="C1026">
            <v>91201</v>
          </cell>
        </row>
        <row r="1027">
          <cell r="B1027" t="str">
            <v>Burke County Tourism Dev. Authority</v>
          </cell>
          <cell r="C1027">
            <v>91208</v>
          </cell>
        </row>
        <row r="1028">
          <cell r="B1028" t="str">
            <v>Burke-Catawba Dist Confinement</v>
          </cell>
          <cell r="C1028">
            <v>91202</v>
          </cell>
        </row>
        <row r="1029">
          <cell r="B1029" t="str">
            <v>Burlington</v>
          </cell>
          <cell r="C1029">
            <v>90111</v>
          </cell>
        </row>
        <row r="1030">
          <cell r="B1030" t="str">
            <v>Burnsville</v>
          </cell>
          <cell r="C1030">
            <v>90011</v>
          </cell>
        </row>
        <row r="1031">
          <cell r="B1031" t="str">
            <v>Butner</v>
          </cell>
          <cell r="C1031">
            <v>93931</v>
          </cell>
        </row>
        <row r="1032">
          <cell r="B1032" t="str">
            <v>Cabarrus Co Public Health Auth</v>
          </cell>
          <cell r="C1032">
            <v>91306</v>
          </cell>
        </row>
        <row r="1033">
          <cell r="B1033" t="str">
            <v>Cabarrus County</v>
          </cell>
          <cell r="C1033">
            <v>91301</v>
          </cell>
        </row>
        <row r="1034">
          <cell r="B1034" t="str">
            <v>Cabarrus County Tourism Authority</v>
          </cell>
          <cell r="C1034">
            <v>91308</v>
          </cell>
        </row>
        <row r="1035">
          <cell r="B1035" t="str">
            <v>Cajah'S Mountain</v>
          </cell>
          <cell r="C1035">
            <v>91461</v>
          </cell>
        </row>
        <row r="1036">
          <cell r="B1036" t="str">
            <v>Calabash</v>
          </cell>
          <cell r="C1036">
            <v>91010</v>
          </cell>
        </row>
        <row r="1037">
          <cell r="B1037" t="str">
            <v>Calabash ABC Board</v>
          </cell>
          <cell r="C1037">
            <v>91007</v>
          </cell>
        </row>
        <row r="1038">
          <cell r="B1038" t="str">
            <v>Caldwell County</v>
          </cell>
          <cell r="C1038">
            <v>91401</v>
          </cell>
        </row>
        <row r="1039">
          <cell r="B1039" t="str">
            <v>Calypso</v>
          </cell>
          <cell r="C1039">
            <v>93171</v>
          </cell>
        </row>
        <row r="1040">
          <cell r="B1040" t="str">
            <v>Camden County</v>
          </cell>
          <cell r="C1040">
            <v>91501</v>
          </cell>
        </row>
        <row r="1041">
          <cell r="B1041" t="str">
            <v>Camden County ABC Board</v>
          </cell>
          <cell r="C1041">
            <v>91504</v>
          </cell>
        </row>
        <row r="1042">
          <cell r="B1042" t="str">
            <v>Cameron</v>
          </cell>
          <cell r="C1042">
            <v>96312</v>
          </cell>
        </row>
        <row r="1043">
          <cell r="B1043" t="str">
            <v>Candor</v>
          </cell>
          <cell r="C1043">
            <v>96241</v>
          </cell>
        </row>
        <row r="1044">
          <cell r="B1044" t="str">
            <v>Canton</v>
          </cell>
          <cell r="C1044">
            <v>94431</v>
          </cell>
        </row>
        <row r="1045">
          <cell r="B1045" t="str">
            <v>Canton ABC Board</v>
          </cell>
          <cell r="C1045">
            <v>94437</v>
          </cell>
        </row>
        <row r="1046">
          <cell r="B1046" t="str">
            <v>Cape Carteret</v>
          </cell>
          <cell r="C1046">
            <v>91671</v>
          </cell>
        </row>
        <row r="1047">
          <cell r="B1047" t="str">
            <v>Cape Fear Council Of Governments</v>
          </cell>
          <cell r="C1047">
            <v>91008</v>
          </cell>
        </row>
        <row r="1048">
          <cell r="B1048" t="str">
            <v>Cape Fear Public Transportation Authority</v>
          </cell>
          <cell r="C1048">
            <v>96512</v>
          </cell>
        </row>
        <row r="1049">
          <cell r="B1049" t="str">
            <v>Cape Fear Public Utility Authority</v>
          </cell>
          <cell r="C1049">
            <v>96507</v>
          </cell>
        </row>
        <row r="1050">
          <cell r="B1050" t="str">
            <v>Carolina Beach</v>
          </cell>
          <cell r="C1050">
            <v>96521</v>
          </cell>
        </row>
        <row r="1051">
          <cell r="B1051" t="str">
            <v>Carolina Shores</v>
          </cell>
          <cell r="C1051">
            <v>91024</v>
          </cell>
        </row>
        <row r="1052">
          <cell r="B1052" t="str">
            <v>Carrboro</v>
          </cell>
          <cell r="C1052">
            <v>96821</v>
          </cell>
        </row>
        <row r="1053">
          <cell r="B1053" t="str">
            <v>Carteret County</v>
          </cell>
          <cell r="C1053">
            <v>91601</v>
          </cell>
        </row>
        <row r="1054">
          <cell r="B1054" t="str">
            <v>Carteret County ABC Board</v>
          </cell>
          <cell r="C1054">
            <v>91604</v>
          </cell>
        </row>
        <row r="1055">
          <cell r="B1055" t="str">
            <v>Carthage</v>
          </cell>
          <cell r="C1055">
            <v>96391</v>
          </cell>
        </row>
        <row r="1056">
          <cell r="B1056" t="str">
            <v>Cary</v>
          </cell>
          <cell r="C1056">
            <v>99221</v>
          </cell>
        </row>
        <row r="1057">
          <cell r="B1057" t="str">
            <v>Caswell Beach</v>
          </cell>
          <cell r="C1057">
            <v>91051</v>
          </cell>
        </row>
        <row r="1058">
          <cell r="B1058" t="str">
            <v>Caswell Co Dept Of Social Services</v>
          </cell>
          <cell r="C1058">
            <v>91706</v>
          </cell>
        </row>
        <row r="1059">
          <cell r="B1059" t="str">
            <v>Caswell County</v>
          </cell>
          <cell r="C1059">
            <v>91701</v>
          </cell>
        </row>
        <row r="1060">
          <cell r="B1060" t="str">
            <v>Caswell County ABC Board</v>
          </cell>
          <cell r="C1060">
            <v>91704</v>
          </cell>
        </row>
        <row r="1061">
          <cell r="B1061" t="str">
            <v>Catawba</v>
          </cell>
          <cell r="C1061">
            <v>91881</v>
          </cell>
        </row>
        <row r="1062">
          <cell r="B1062" t="str">
            <v>Catawba County</v>
          </cell>
          <cell r="C1062">
            <v>91801</v>
          </cell>
        </row>
        <row r="1063">
          <cell r="B1063" t="str">
            <v>Catawba County ABC Board</v>
          </cell>
          <cell r="C1063">
            <v>91804</v>
          </cell>
        </row>
        <row r="1064">
          <cell r="B1064" t="str">
            <v>Cedar Point</v>
          </cell>
          <cell r="C1064">
            <v>91691</v>
          </cell>
        </row>
        <row r="1065">
          <cell r="B1065" t="str">
            <v>Centennial Authority</v>
          </cell>
          <cell r="C1065">
            <v>99222</v>
          </cell>
        </row>
        <row r="1066">
          <cell r="B1066" t="str">
            <v>Centerpoint Human Services</v>
          </cell>
          <cell r="C1066">
            <v>93408</v>
          </cell>
        </row>
        <row r="1067">
          <cell r="B1067" t="str">
            <v>Centralina Council Of Governments</v>
          </cell>
          <cell r="C1067">
            <v>96009</v>
          </cell>
        </row>
        <row r="1068">
          <cell r="B1068" t="str">
            <v>Chadbourn</v>
          </cell>
          <cell r="C1068">
            <v>92441</v>
          </cell>
        </row>
        <row r="1069">
          <cell r="B1069" t="str">
            <v>Chapel Hill</v>
          </cell>
          <cell r="C1069">
            <v>96811</v>
          </cell>
        </row>
        <row r="1070">
          <cell r="B1070" t="str">
            <v>Charlotte</v>
          </cell>
          <cell r="C1070">
            <v>96011</v>
          </cell>
        </row>
        <row r="1071">
          <cell r="B1071" t="str">
            <v>Charlotte Firemen'S Ret Sys</v>
          </cell>
          <cell r="C1071">
            <v>96018</v>
          </cell>
        </row>
        <row r="1072">
          <cell r="B1072" t="str">
            <v>Charlotte Housing Authority</v>
          </cell>
          <cell r="C1072">
            <v>96003</v>
          </cell>
        </row>
        <row r="1073">
          <cell r="B1073" t="str">
            <v>Charlotte Mecklenburg Public Library</v>
          </cell>
          <cell r="C1073">
            <v>96005</v>
          </cell>
        </row>
        <row r="1074">
          <cell r="B1074" t="str">
            <v>Charlotte Regional Visitors Authority</v>
          </cell>
          <cell r="C1074">
            <v>96012</v>
          </cell>
        </row>
        <row r="1075">
          <cell r="B1075" t="str">
            <v>Chatham Co Housing Auth</v>
          </cell>
          <cell r="C1075">
            <v>91903</v>
          </cell>
        </row>
        <row r="1076">
          <cell r="B1076" t="str">
            <v>Chatham County</v>
          </cell>
          <cell r="C1076">
            <v>91901</v>
          </cell>
        </row>
        <row r="1077">
          <cell r="B1077" t="str">
            <v>Chatham County ABC Board</v>
          </cell>
          <cell r="C1077">
            <v>91904</v>
          </cell>
        </row>
        <row r="1078">
          <cell r="B1078" t="str">
            <v>Cherokee County</v>
          </cell>
          <cell r="C1078">
            <v>92001</v>
          </cell>
        </row>
        <row r="1079">
          <cell r="B1079" t="str">
            <v>Cherryville</v>
          </cell>
          <cell r="C1079">
            <v>93641</v>
          </cell>
        </row>
        <row r="1080">
          <cell r="B1080" t="str">
            <v>Cherryville ABC Board</v>
          </cell>
          <cell r="C1080">
            <v>93647</v>
          </cell>
        </row>
        <row r="1081">
          <cell r="B1081" t="str">
            <v>China Grove</v>
          </cell>
          <cell r="C1081">
            <v>98041</v>
          </cell>
        </row>
        <row r="1082">
          <cell r="B1082" t="str">
            <v>Choanoke Public Transportation Auth</v>
          </cell>
          <cell r="C1082">
            <v>96612</v>
          </cell>
        </row>
        <row r="1083">
          <cell r="B1083" t="str">
            <v>Chocowinity</v>
          </cell>
          <cell r="C1083">
            <v>90751</v>
          </cell>
        </row>
        <row r="1084">
          <cell r="B1084" t="str">
            <v>Chowan County</v>
          </cell>
          <cell r="C1084">
            <v>92101</v>
          </cell>
        </row>
        <row r="1085">
          <cell r="B1085" t="str">
            <v>Chowan County Abc Board</v>
          </cell>
          <cell r="C1085">
            <v>92104</v>
          </cell>
        </row>
        <row r="1086">
          <cell r="B1086" t="str">
            <v>Claremont</v>
          </cell>
          <cell r="C1086">
            <v>91821</v>
          </cell>
        </row>
        <row r="1087">
          <cell r="B1087" t="str">
            <v>Clarkton</v>
          </cell>
          <cell r="C1087">
            <v>90931</v>
          </cell>
        </row>
        <row r="1088">
          <cell r="B1088" t="str">
            <v>Clay County</v>
          </cell>
          <cell r="C1088">
            <v>92201</v>
          </cell>
        </row>
        <row r="1089">
          <cell r="B1089" t="str">
            <v>Clayton</v>
          </cell>
          <cell r="C1089">
            <v>95131</v>
          </cell>
        </row>
        <row r="1090">
          <cell r="B1090" t="str">
            <v>Clemmons</v>
          </cell>
          <cell r="C1090">
            <v>93441</v>
          </cell>
        </row>
        <row r="1091">
          <cell r="B1091" t="str">
            <v>Clemmons Fire Department</v>
          </cell>
          <cell r="C1091">
            <v>93442</v>
          </cell>
        </row>
        <row r="1092">
          <cell r="B1092" t="str">
            <v>Cleveland</v>
          </cell>
          <cell r="C1092">
            <v>98091</v>
          </cell>
        </row>
        <row r="1093">
          <cell r="B1093" t="str">
            <v>Cleveland County</v>
          </cell>
          <cell r="C1093">
            <v>92301</v>
          </cell>
        </row>
        <row r="1094">
          <cell r="B1094" t="str">
            <v>Cleveland County Water</v>
          </cell>
          <cell r="C1094">
            <v>92302</v>
          </cell>
        </row>
        <row r="1095">
          <cell r="B1095" t="str">
            <v>Clinton</v>
          </cell>
          <cell r="C1095">
            <v>98211</v>
          </cell>
        </row>
        <row r="1096">
          <cell r="B1096" t="str">
            <v>Clinton ABC Board</v>
          </cell>
          <cell r="C1096">
            <v>98218</v>
          </cell>
        </row>
        <row r="1097">
          <cell r="B1097" t="str">
            <v>Coastal Carolina Regional Airport</v>
          </cell>
          <cell r="C1097">
            <v>92506</v>
          </cell>
        </row>
        <row r="1098">
          <cell r="B1098" t="str">
            <v>Coastal Regional Solid Waste Mngt Auth</v>
          </cell>
          <cell r="C1098">
            <v>92508</v>
          </cell>
        </row>
        <row r="1099">
          <cell r="B1099" t="str">
            <v>Coats</v>
          </cell>
          <cell r="C1099">
            <v>94341</v>
          </cell>
        </row>
        <row r="1100">
          <cell r="B1100" t="str">
            <v>Cofield</v>
          </cell>
          <cell r="C1100">
            <v>94641</v>
          </cell>
        </row>
        <row r="1101">
          <cell r="B1101" t="str">
            <v>Colerain</v>
          </cell>
          <cell r="C1101">
            <v>90813</v>
          </cell>
        </row>
        <row r="1102">
          <cell r="B1102" t="str">
            <v>Colfax Volunteer Fire Department</v>
          </cell>
          <cell r="C1102">
            <v>94168</v>
          </cell>
        </row>
        <row r="1103">
          <cell r="B1103" t="str">
            <v>Columbia</v>
          </cell>
          <cell r="C1103">
            <v>98911</v>
          </cell>
        </row>
        <row r="1104">
          <cell r="B1104" t="str">
            <v>Columbus</v>
          </cell>
          <cell r="C1104">
            <v>97521</v>
          </cell>
        </row>
        <row r="1105">
          <cell r="B1105" t="str">
            <v>Columbus County</v>
          </cell>
          <cell r="C1105">
            <v>92401</v>
          </cell>
        </row>
        <row r="1106">
          <cell r="B1106" t="str">
            <v>Concord</v>
          </cell>
          <cell r="C1106">
            <v>91311</v>
          </cell>
        </row>
        <row r="1107">
          <cell r="B1107" t="str">
            <v>Concord ABC Board</v>
          </cell>
          <cell r="C1107">
            <v>91317</v>
          </cell>
        </row>
        <row r="1108">
          <cell r="B1108" t="str">
            <v>Connelly Springs</v>
          </cell>
          <cell r="C1108">
            <v>91261</v>
          </cell>
        </row>
        <row r="1109">
          <cell r="B1109" t="str">
            <v>Conover</v>
          </cell>
          <cell r="C1109">
            <v>91851</v>
          </cell>
        </row>
        <row r="1110">
          <cell r="B1110" t="str">
            <v>Contennea Metropolitan Sewerage Dist</v>
          </cell>
          <cell r="C1110">
            <v>97408</v>
          </cell>
        </row>
        <row r="1111">
          <cell r="B1111" t="str">
            <v>Conway</v>
          </cell>
          <cell r="C1111">
            <v>96641</v>
          </cell>
        </row>
        <row r="1112">
          <cell r="B1112" t="str">
            <v>Cooleemee</v>
          </cell>
          <cell r="C1112">
            <v>93031</v>
          </cell>
        </row>
        <row r="1113">
          <cell r="B1113" t="str">
            <v>Cooleemee ABC Board</v>
          </cell>
          <cell r="C1113">
            <v>93027</v>
          </cell>
        </row>
        <row r="1114">
          <cell r="B1114" t="str">
            <v>Cornelius</v>
          </cell>
          <cell r="C1114">
            <v>96051</v>
          </cell>
        </row>
        <row r="1115">
          <cell r="B1115" t="str">
            <v>County Of Henderson</v>
          </cell>
          <cell r="C1115">
            <v>94501</v>
          </cell>
        </row>
        <row r="1116">
          <cell r="B1116" t="str">
            <v>Cove City</v>
          </cell>
          <cell r="C1116">
            <v>92571</v>
          </cell>
        </row>
        <row r="1117">
          <cell r="B1117" t="str">
            <v>Cramerton</v>
          </cell>
          <cell r="C1117">
            <v>93631</v>
          </cell>
        </row>
        <row r="1118">
          <cell r="B1118" t="str">
            <v>Craven Co ABC Bd</v>
          </cell>
          <cell r="C1118">
            <v>92504</v>
          </cell>
        </row>
        <row r="1119">
          <cell r="B1119" t="str">
            <v>Craven County</v>
          </cell>
          <cell r="C1119">
            <v>92501</v>
          </cell>
        </row>
        <row r="1120">
          <cell r="B1120" t="str">
            <v>Craven-Pamlico-Carteret Regional Library</v>
          </cell>
          <cell r="C1120">
            <v>92505</v>
          </cell>
        </row>
        <row r="1121">
          <cell r="B1121" t="str">
            <v>Creedmoor</v>
          </cell>
          <cell r="C1121">
            <v>93921</v>
          </cell>
        </row>
        <row r="1122">
          <cell r="B1122" t="str">
            <v>Creswell</v>
          </cell>
          <cell r="C1122">
            <v>99431</v>
          </cell>
        </row>
        <row r="1123">
          <cell r="B1123" t="str">
            <v>Cumberland Co ABC Board</v>
          </cell>
          <cell r="C1123">
            <v>92604</v>
          </cell>
        </row>
        <row r="1124">
          <cell r="B1124" t="str">
            <v>Cumberland County</v>
          </cell>
          <cell r="C1124">
            <v>92601</v>
          </cell>
        </row>
        <row r="1125">
          <cell r="B1125" t="str">
            <v>Cumberland Memorial Auditorium Com</v>
          </cell>
          <cell r="C1125">
            <v>92608</v>
          </cell>
        </row>
        <row r="1126">
          <cell r="B1126" t="str">
            <v>Currituck Co ABC Board</v>
          </cell>
          <cell r="C1126">
            <v>92704</v>
          </cell>
        </row>
        <row r="1127">
          <cell r="B1127" t="str">
            <v>Currituck County</v>
          </cell>
          <cell r="C1127">
            <v>92701</v>
          </cell>
        </row>
        <row r="1128">
          <cell r="B1128" t="str">
            <v>Dallas</v>
          </cell>
          <cell r="C1128">
            <v>93651</v>
          </cell>
        </row>
        <row r="1129">
          <cell r="B1129" t="str">
            <v>Dare County</v>
          </cell>
          <cell r="C1129">
            <v>92801</v>
          </cell>
        </row>
        <row r="1130">
          <cell r="B1130" t="str">
            <v>Dare County ABC Board</v>
          </cell>
          <cell r="C1130">
            <v>92804</v>
          </cell>
        </row>
        <row r="1131">
          <cell r="B1131" t="str">
            <v>Dare County Tourism Board</v>
          </cell>
          <cell r="C1131">
            <v>92802</v>
          </cell>
        </row>
        <row r="1132">
          <cell r="B1132" t="str">
            <v>Davidson</v>
          </cell>
          <cell r="C1132">
            <v>96081</v>
          </cell>
        </row>
        <row r="1133">
          <cell r="B1133" t="str">
            <v>Davidson County</v>
          </cell>
          <cell r="C1133">
            <v>92901</v>
          </cell>
        </row>
        <row r="1134">
          <cell r="B1134" t="str">
            <v>Davie County</v>
          </cell>
          <cell r="C1134">
            <v>93001</v>
          </cell>
        </row>
        <row r="1135">
          <cell r="B1135" t="str">
            <v>Davie Soil And Water Conservation Dist</v>
          </cell>
          <cell r="C1135">
            <v>93009</v>
          </cell>
        </row>
        <row r="1136">
          <cell r="B1136" t="str">
            <v>Denton</v>
          </cell>
          <cell r="C1136">
            <v>92921</v>
          </cell>
        </row>
        <row r="1137">
          <cell r="B1137" t="str">
            <v>Dobson</v>
          </cell>
          <cell r="C1137">
            <v>98621</v>
          </cell>
        </row>
        <row r="1138">
          <cell r="B1138" t="str">
            <v>Dobson ABC Bd</v>
          </cell>
          <cell r="C1138">
            <v>98627</v>
          </cell>
        </row>
        <row r="1139">
          <cell r="B1139" t="str">
            <v>Drexel</v>
          </cell>
          <cell r="C1139">
            <v>91221</v>
          </cell>
        </row>
        <row r="1140">
          <cell r="B1140" t="str">
            <v>Duck</v>
          </cell>
          <cell r="C1140">
            <v>92861</v>
          </cell>
        </row>
        <row r="1141">
          <cell r="B1141" t="str">
            <v>Dunn</v>
          </cell>
          <cell r="C1141">
            <v>94311</v>
          </cell>
        </row>
        <row r="1142">
          <cell r="B1142" t="str">
            <v>Dunn ABC Board</v>
          </cell>
          <cell r="C1142">
            <v>94317</v>
          </cell>
        </row>
        <row r="1143">
          <cell r="B1143" t="str">
            <v>Dunn Housing Authority</v>
          </cell>
          <cell r="C1143">
            <v>94313</v>
          </cell>
        </row>
        <row r="1144">
          <cell r="B1144" t="str">
            <v>Duplin County</v>
          </cell>
          <cell r="C1144">
            <v>93101</v>
          </cell>
        </row>
        <row r="1145">
          <cell r="B1145" t="str">
            <v>Duplin County Tourism Development Authority</v>
          </cell>
          <cell r="C1145">
            <v>93103</v>
          </cell>
        </row>
        <row r="1146">
          <cell r="B1146" t="str">
            <v>Durham</v>
          </cell>
          <cell r="C1146">
            <v>93211</v>
          </cell>
        </row>
        <row r="1147">
          <cell r="B1147" t="str">
            <v>Durham Convention &amp; Visitors Bureau</v>
          </cell>
          <cell r="C1147">
            <v>93212</v>
          </cell>
        </row>
        <row r="1148">
          <cell r="B1148" t="str">
            <v>Durham County</v>
          </cell>
          <cell r="C1148">
            <v>93201</v>
          </cell>
        </row>
        <row r="1149">
          <cell r="B1149" t="str">
            <v>Durham County ABC Board</v>
          </cell>
          <cell r="C1149">
            <v>93204</v>
          </cell>
        </row>
        <row r="1150">
          <cell r="B1150" t="str">
            <v>Durham Hwy Fire Protection Assoc</v>
          </cell>
          <cell r="C1150">
            <v>99212</v>
          </cell>
        </row>
        <row r="1151">
          <cell r="B1151" t="str">
            <v>East Albemarle Regional Library</v>
          </cell>
          <cell r="C1151">
            <v>97005</v>
          </cell>
        </row>
        <row r="1152">
          <cell r="B1152" t="str">
            <v>East Bend</v>
          </cell>
          <cell r="C1152">
            <v>99931</v>
          </cell>
        </row>
        <row r="1153">
          <cell r="B1153" t="str">
            <v>East Spencer</v>
          </cell>
          <cell r="C1153">
            <v>98021</v>
          </cell>
        </row>
        <row r="1154">
          <cell r="B1154" t="str">
            <v>East Spencer Housing Authority</v>
          </cell>
          <cell r="C1154">
            <v>98023</v>
          </cell>
        </row>
        <row r="1155">
          <cell r="B1155" t="str">
            <v>Eastern Band Of Cherokee Indians</v>
          </cell>
          <cell r="C1155">
            <v>70505</v>
          </cell>
        </row>
        <row r="1156">
          <cell r="B1156" t="str">
            <v>Eastern Carolina Reg'L Housing Auth</v>
          </cell>
          <cell r="C1156">
            <v>99603</v>
          </cell>
        </row>
        <row r="1157">
          <cell r="B1157" t="str">
            <v>Eastern Wayne Sanitary Dist</v>
          </cell>
          <cell r="C1157">
            <v>99610</v>
          </cell>
        </row>
        <row r="1158">
          <cell r="B1158" t="str">
            <v>Eastover</v>
          </cell>
          <cell r="C1158">
            <v>92681</v>
          </cell>
        </row>
        <row r="1159">
          <cell r="B1159" t="str">
            <v>Eastpointe Human Services</v>
          </cell>
          <cell r="C1159">
            <v>93108</v>
          </cell>
        </row>
        <row r="1160">
          <cell r="B1160" t="str">
            <v>Eden</v>
          </cell>
          <cell r="C1160">
            <v>97951</v>
          </cell>
        </row>
        <row r="1161">
          <cell r="B1161" t="str">
            <v>Eden ABC Board</v>
          </cell>
          <cell r="C1161">
            <v>97957</v>
          </cell>
        </row>
        <row r="1162">
          <cell r="B1162" t="str">
            <v>Edenton</v>
          </cell>
          <cell r="C1162">
            <v>92111</v>
          </cell>
        </row>
        <row r="1163">
          <cell r="B1163" t="str">
            <v>Edgecombe County</v>
          </cell>
          <cell r="C1163">
            <v>93301</v>
          </cell>
        </row>
        <row r="1164">
          <cell r="B1164" t="str">
            <v>Edgecombe County ABC Board</v>
          </cell>
          <cell r="C1164">
            <v>93304</v>
          </cell>
        </row>
        <row r="1165">
          <cell r="B1165" t="str">
            <v>Edgecombe County Memorial Library</v>
          </cell>
          <cell r="C1165">
            <v>93305</v>
          </cell>
        </row>
        <row r="1166">
          <cell r="B1166" t="str">
            <v>Electricities Of Nc</v>
          </cell>
          <cell r="C1166">
            <v>99210</v>
          </cell>
        </row>
        <row r="1167">
          <cell r="B1167" t="str">
            <v>Elizabeth City</v>
          </cell>
          <cell r="C1167">
            <v>97011</v>
          </cell>
        </row>
        <row r="1168">
          <cell r="B1168" t="str">
            <v>Elizabeth City Pasquotank County Tda</v>
          </cell>
          <cell r="C1168">
            <v>97013</v>
          </cell>
        </row>
        <row r="1169">
          <cell r="B1169" t="str">
            <v>Elizabeth City-Pasquotank Co Airport Auth</v>
          </cell>
          <cell r="C1169">
            <v>97012</v>
          </cell>
        </row>
        <row r="1170">
          <cell r="B1170" t="str">
            <v>Elizabeth Cty-Pasquotank Co Industrl Development C</v>
          </cell>
          <cell r="C1170">
            <v>97018</v>
          </cell>
        </row>
        <row r="1171">
          <cell r="B1171" t="str">
            <v>Elizabethtown</v>
          </cell>
          <cell r="C1171">
            <v>90911</v>
          </cell>
        </row>
        <row r="1172">
          <cell r="B1172" t="str">
            <v>Elizabethtown ABC Board</v>
          </cell>
          <cell r="C1172">
            <v>90917</v>
          </cell>
        </row>
        <row r="1173">
          <cell r="B1173" t="str">
            <v>Elk Park</v>
          </cell>
          <cell r="C1173">
            <v>90641</v>
          </cell>
        </row>
        <row r="1174">
          <cell r="B1174" t="str">
            <v>Elkin</v>
          </cell>
          <cell r="C1174">
            <v>98641</v>
          </cell>
        </row>
        <row r="1175">
          <cell r="B1175" t="str">
            <v>Ellenboro</v>
          </cell>
          <cell r="C1175">
            <v>98161</v>
          </cell>
        </row>
        <row r="1176">
          <cell r="B1176" t="str">
            <v>Ellerbe</v>
          </cell>
          <cell r="C1176">
            <v>97731</v>
          </cell>
        </row>
        <row r="1177">
          <cell r="B1177" t="str">
            <v>Elm City</v>
          </cell>
          <cell r="C1177">
            <v>99851</v>
          </cell>
        </row>
        <row r="1178">
          <cell r="B1178" t="str">
            <v>Elon</v>
          </cell>
          <cell r="C1178">
            <v>90131</v>
          </cell>
        </row>
        <row r="1179">
          <cell r="B1179" t="str">
            <v>Emerald Isle</v>
          </cell>
          <cell r="C1179">
            <v>91651</v>
          </cell>
        </row>
        <row r="1180">
          <cell r="B1180" t="str">
            <v>Enfield</v>
          </cell>
          <cell r="C1180">
            <v>94211</v>
          </cell>
        </row>
        <row r="1181">
          <cell r="B1181" t="str">
            <v>Erwin</v>
          </cell>
          <cell r="C1181">
            <v>94331</v>
          </cell>
        </row>
        <row r="1182">
          <cell r="B1182" t="str">
            <v>Fair Bluff</v>
          </cell>
          <cell r="C1182">
            <v>92431</v>
          </cell>
        </row>
        <row r="1183">
          <cell r="B1183" t="str">
            <v>Fairmont</v>
          </cell>
          <cell r="C1183">
            <v>97821</v>
          </cell>
        </row>
        <row r="1184">
          <cell r="B1184" t="str">
            <v>Fairmont Housing Authority</v>
          </cell>
          <cell r="C1184">
            <v>97823</v>
          </cell>
        </row>
        <row r="1185">
          <cell r="B1185" t="str">
            <v>Faison</v>
          </cell>
          <cell r="C1185">
            <v>93141</v>
          </cell>
        </row>
        <row r="1186">
          <cell r="B1186" t="str">
            <v>Faith</v>
          </cell>
          <cell r="C1186">
            <v>98081</v>
          </cell>
        </row>
        <row r="1187">
          <cell r="B1187" t="str">
            <v>Falcon</v>
          </cell>
          <cell r="C1187">
            <v>92671</v>
          </cell>
        </row>
        <row r="1188">
          <cell r="B1188" t="str">
            <v>Farmville</v>
          </cell>
          <cell r="C1188">
            <v>97421</v>
          </cell>
        </row>
        <row r="1189">
          <cell r="B1189" t="str">
            <v>Farmville Housing Authority</v>
          </cell>
          <cell r="C1189">
            <v>97423</v>
          </cell>
        </row>
        <row r="1190">
          <cell r="B1190" t="str">
            <v>Fayetteville</v>
          </cell>
          <cell r="C1190">
            <v>92611</v>
          </cell>
        </row>
        <row r="1191">
          <cell r="B1191" t="str">
            <v>Fayetteville Metropolitan Housing Auth</v>
          </cell>
          <cell r="C1191">
            <v>92613</v>
          </cell>
        </row>
        <row r="1192">
          <cell r="B1192" t="str">
            <v>First Craven Sanitary Dist</v>
          </cell>
          <cell r="C1192">
            <v>92502</v>
          </cell>
        </row>
        <row r="1193">
          <cell r="B1193" t="str">
            <v>Flat Rock</v>
          </cell>
          <cell r="C1193">
            <v>94531</v>
          </cell>
        </row>
        <row r="1194">
          <cell r="B1194" t="str">
            <v>Fletcher</v>
          </cell>
          <cell r="C1194">
            <v>94541</v>
          </cell>
        </row>
        <row r="1195">
          <cell r="B1195" t="str">
            <v>Fletcher ABC Board</v>
          </cell>
          <cell r="C1195">
            <v>94547</v>
          </cell>
        </row>
        <row r="1196">
          <cell r="B1196" t="str">
            <v>Fontana Regional Library</v>
          </cell>
          <cell r="C1196">
            <v>95005</v>
          </cell>
        </row>
        <row r="1197">
          <cell r="B1197" t="str">
            <v>Forest City</v>
          </cell>
          <cell r="C1197">
            <v>98111</v>
          </cell>
        </row>
        <row r="1198">
          <cell r="B1198" t="str">
            <v>Forest City ABC Board 168</v>
          </cell>
          <cell r="C1198">
            <v>98107</v>
          </cell>
        </row>
        <row r="1199">
          <cell r="B1199" t="str">
            <v>Forest City Housing Authority</v>
          </cell>
          <cell r="C1199">
            <v>98113</v>
          </cell>
        </row>
        <row r="1200">
          <cell r="B1200" t="str">
            <v>Fork Township Sanitary Dist</v>
          </cell>
          <cell r="C1200">
            <v>99602</v>
          </cell>
        </row>
        <row r="1201">
          <cell r="B1201" t="str">
            <v>Forsyth County</v>
          </cell>
          <cell r="C1201">
            <v>93401</v>
          </cell>
        </row>
        <row r="1202">
          <cell r="B1202" t="str">
            <v>Fountain, Town Of</v>
          </cell>
          <cell r="C1202">
            <v>97491</v>
          </cell>
        </row>
        <row r="1203">
          <cell r="B1203" t="str">
            <v>Four Oaks</v>
          </cell>
          <cell r="C1203">
            <v>95151</v>
          </cell>
        </row>
        <row r="1204">
          <cell r="B1204" t="str">
            <v>Foxfire Village</v>
          </cell>
          <cell r="C1204">
            <v>96381</v>
          </cell>
        </row>
        <row r="1205">
          <cell r="B1205" t="str">
            <v>Franklin</v>
          </cell>
          <cell r="C1205">
            <v>95611</v>
          </cell>
        </row>
        <row r="1206">
          <cell r="B1206" t="str">
            <v>Franklin County</v>
          </cell>
          <cell r="C1206">
            <v>93501</v>
          </cell>
        </row>
        <row r="1207">
          <cell r="B1207" t="str">
            <v>Franklinton</v>
          </cell>
          <cell r="C1207">
            <v>93511</v>
          </cell>
        </row>
        <row r="1208">
          <cell r="B1208" t="str">
            <v>Franklinton ABC Board</v>
          </cell>
          <cell r="C1208">
            <v>93517</v>
          </cell>
        </row>
        <row r="1209">
          <cell r="B1209" t="str">
            <v>Fremont</v>
          </cell>
          <cell r="C1209">
            <v>99631</v>
          </cell>
        </row>
        <row r="1210">
          <cell r="B1210" t="str">
            <v>Fuquay-Varina</v>
          </cell>
          <cell r="C1210">
            <v>99261</v>
          </cell>
        </row>
        <row r="1211">
          <cell r="B1211" t="str">
            <v>Garland</v>
          </cell>
          <cell r="C1211">
            <v>98241</v>
          </cell>
        </row>
        <row r="1212">
          <cell r="B1212" t="str">
            <v>Garner</v>
          </cell>
          <cell r="C1212">
            <v>99251</v>
          </cell>
        </row>
        <row r="1213">
          <cell r="B1213" t="str">
            <v>Garner Fire Dept</v>
          </cell>
          <cell r="C1213">
            <v>99252</v>
          </cell>
        </row>
        <row r="1214">
          <cell r="B1214" t="str">
            <v>Garysburg</v>
          </cell>
          <cell r="C1214">
            <v>96631</v>
          </cell>
        </row>
        <row r="1215">
          <cell r="B1215" t="str">
            <v>Gaston</v>
          </cell>
          <cell r="C1215">
            <v>96651</v>
          </cell>
        </row>
        <row r="1216">
          <cell r="B1216" t="str">
            <v>Gaston County</v>
          </cell>
          <cell r="C1216">
            <v>93601</v>
          </cell>
        </row>
        <row r="1217">
          <cell r="B1217" t="str">
            <v>Gaston County Economic Dev. Commission</v>
          </cell>
          <cell r="C1217">
            <v>93618</v>
          </cell>
        </row>
        <row r="1218">
          <cell r="B1218" t="str">
            <v>Gastonia</v>
          </cell>
          <cell r="C1218">
            <v>93611</v>
          </cell>
        </row>
        <row r="1219">
          <cell r="B1219" t="str">
            <v>Gastonia ABC Board</v>
          </cell>
          <cell r="C1219">
            <v>93617</v>
          </cell>
        </row>
        <row r="1220">
          <cell r="B1220" t="str">
            <v>Gates County</v>
          </cell>
          <cell r="C1220">
            <v>93701</v>
          </cell>
        </row>
        <row r="1221">
          <cell r="B1221" t="str">
            <v>Gates County ABC Board</v>
          </cell>
          <cell r="C1221">
            <v>93704</v>
          </cell>
        </row>
        <row r="1222">
          <cell r="B1222" t="str">
            <v>Gibson</v>
          </cell>
          <cell r="C1222">
            <v>98331</v>
          </cell>
        </row>
        <row r="1223">
          <cell r="B1223" t="str">
            <v>Gibsonville</v>
          </cell>
          <cell r="C1223">
            <v>94151</v>
          </cell>
        </row>
        <row r="1224">
          <cell r="B1224" t="str">
            <v>Gibsonville ABC Board</v>
          </cell>
          <cell r="C1224">
            <v>94157</v>
          </cell>
        </row>
        <row r="1225">
          <cell r="B1225" t="str">
            <v>Glen Alpine</v>
          </cell>
          <cell r="C1225">
            <v>91241</v>
          </cell>
        </row>
        <row r="1226">
          <cell r="B1226" t="str">
            <v>Global Transpark Development Comm</v>
          </cell>
          <cell r="C1226">
            <v>95412</v>
          </cell>
        </row>
        <row r="1227">
          <cell r="B1227" t="str">
            <v>Goldsboro</v>
          </cell>
          <cell r="C1227">
            <v>99611</v>
          </cell>
        </row>
        <row r="1228">
          <cell r="B1228" t="str">
            <v>Goldston-Gulf Sanitary District</v>
          </cell>
          <cell r="C1228">
            <v>91908</v>
          </cell>
        </row>
        <row r="1229">
          <cell r="B1229" t="str">
            <v>Graham</v>
          </cell>
          <cell r="C1229">
            <v>90121</v>
          </cell>
        </row>
        <row r="1230">
          <cell r="B1230" t="str">
            <v>Graham Co Health Dept</v>
          </cell>
          <cell r="C1230">
            <v>93803</v>
          </cell>
        </row>
        <row r="1231">
          <cell r="B1231" t="str">
            <v>Graham County</v>
          </cell>
          <cell r="C1231">
            <v>93801</v>
          </cell>
        </row>
        <row r="1232">
          <cell r="B1232" t="str">
            <v>Graham County Dept Of S S</v>
          </cell>
          <cell r="C1232">
            <v>93806</v>
          </cell>
        </row>
        <row r="1233">
          <cell r="B1233" t="str">
            <v>Granite Falls</v>
          </cell>
          <cell r="C1233">
            <v>91411</v>
          </cell>
        </row>
        <row r="1234">
          <cell r="B1234" t="str">
            <v>Granite Falls ABC Board</v>
          </cell>
          <cell r="C1234">
            <v>91417</v>
          </cell>
        </row>
        <row r="1235">
          <cell r="B1235" t="str">
            <v>Granite Quarry</v>
          </cell>
          <cell r="C1235">
            <v>98061</v>
          </cell>
        </row>
        <row r="1236">
          <cell r="B1236" t="str">
            <v>Granville Co ABC Bd</v>
          </cell>
          <cell r="C1236">
            <v>93904</v>
          </cell>
        </row>
        <row r="1237">
          <cell r="B1237" t="str">
            <v>Granville County</v>
          </cell>
          <cell r="C1237">
            <v>93901</v>
          </cell>
        </row>
        <row r="1238">
          <cell r="B1238" t="str">
            <v>Granville County Hospital</v>
          </cell>
          <cell r="C1238">
            <v>93906</v>
          </cell>
        </row>
        <row r="1239">
          <cell r="B1239" t="str">
            <v>Granville-Vance Public Health</v>
          </cell>
          <cell r="C1239">
            <v>93908</v>
          </cell>
        </row>
        <row r="1240">
          <cell r="B1240" t="str">
            <v>Greater Statesville Development Corp</v>
          </cell>
          <cell r="C1240">
            <v>94908</v>
          </cell>
        </row>
        <row r="1241">
          <cell r="B1241" t="str">
            <v>Green Level</v>
          </cell>
          <cell r="C1241">
            <v>90161</v>
          </cell>
        </row>
        <row r="1242">
          <cell r="B1242" t="str">
            <v>Greene County</v>
          </cell>
          <cell r="C1242">
            <v>94001</v>
          </cell>
        </row>
        <row r="1243">
          <cell r="B1243" t="str">
            <v>Greene County ABC Board</v>
          </cell>
          <cell r="C1243">
            <v>94004</v>
          </cell>
        </row>
        <row r="1244">
          <cell r="B1244" t="str">
            <v>Greensboro</v>
          </cell>
          <cell r="C1244">
            <v>94111</v>
          </cell>
        </row>
        <row r="1245">
          <cell r="B1245" t="str">
            <v>Greensboro ABC Bd</v>
          </cell>
          <cell r="C1245">
            <v>94117</v>
          </cell>
        </row>
        <row r="1246">
          <cell r="B1246" t="str">
            <v>Greenville</v>
          </cell>
          <cell r="C1246">
            <v>97411</v>
          </cell>
        </row>
        <row r="1247">
          <cell r="B1247" t="str">
            <v>Greenville Housing Authority</v>
          </cell>
          <cell r="C1247">
            <v>97413</v>
          </cell>
        </row>
        <row r="1248">
          <cell r="B1248" t="str">
            <v>Greenville Utilities Commission</v>
          </cell>
          <cell r="C1248">
            <v>97412</v>
          </cell>
        </row>
        <row r="1249">
          <cell r="B1249" t="str">
            <v>Grifton</v>
          </cell>
          <cell r="C1249">
            <v>97431</v>
          </cell>
        </row>
        <row r="1250">
          <cell r="B1250" t="str">
            <v>Grimesland</v>
          </cell>
          <cell r="C1250">
            <v>97471</v>
          </cell>
        </row>
        <row r="1251">
          <cell r="B1251" t="str">
            <v>Grover</v>
          </cell>
          <cell r="C1251">
            <v>92351</v>
          </cell>
        </row>
        <row r="1252">
          <cell r="B1252" t="str">
            <v>Guilford County</v>
          </cell>
          <cell r="C1252">
            <v>94101</v>
          </cell>
        </row>
        <row r="1253">
          <cell r="B1253" t="str">
            <v>Guilford Fire District # 13 Inc</v>
          </cell>
          <cell r="C1253">
            <v>94118</v>
          </cell>
        </row>
        <row r="1254">
          <cell r="B1254" t="str">
            <v>Guil-Rand Fire Department</v>
          </cell>
          <cell r="C1254">
            <v>94102</v>
          </cell>
        </row>
        <row r="1255">
          <cell r="B1255" t="str">
            <v>Halifax County</v>
          </cell>
          <cell r="C1255">
            <v>94201</v>
          </cell>
        </row>
        <row r="1256">
          <cell r="B1256" t="str">
            <v>Halifax County ABC Board</v>
          </cell>
          <cell r="C1256">
            <v>94204</v>
          </cell>
        </row>
        <row r="1257">
          <cell r="B1257" t="str">
            <v>Halifax County Tourism Development Authority</v>
          </cell>
          <cell r="C1257">
            <v>94205</v>
          </cell>
        </row>
        <row r="1258">
          <cell r="B1258" t="str">
            <v>Hamilton</v>
          </cell>
          <cell r="C1258">
            <v>95831</v>
          </cell>
        </row>
        <row r="1259">
          <cell r="B1259" t="str">
            <v>Hamlet</v>
          </cell>
          <cell r="C1259">
            <v>97721</v>
          </cell>
        </row>
        <row r="1260">
          <cell r="B1260" t="str">
            <v>Hamlet ABC Board</v>
          </cell>
          <cell r="C1260">
            <v>97717</v>
          </cell>
        </row>
        <row r="1261">
          <cell r="B1261" t="str">
            <v>Harnett County</v>
          </cell>
          <cell r="C1261">
            <v>94301</v>
          </cell>
        </row>
        <row r="1262">
          <cell r="B1262" t="str">
            <v>Harrisburg</v>
          </cell>
          <cell r="C1262">
            <v>91441</v>
          </cell>
        </row>
        <row r="1263">
          <cell r="B1263" t="str">
            <v>Havelock</v>
          </cell>
          <cell r="C1263">
            <v>92531</v>
          </cell>
        </row>
        <row r="1264">
          <cell r="B1264" t="str">
            <v>Haw River</v>
          </cell>
          <cell r="C1264">
            <v>90141</v>
          </cell>
        </row>
        <row r="1265">
          <cell r="B1265" t="str">
            <v>Haywood County</v>
          </cell>
          <cell r="C1265">
            <v>94401</v>
          </cell>
        </row>
        <row r="1266">
          <cell r="B1266" t="str">
            <v>Haywood County Tourism Development Authority</v>
          </cell>
          <cell r="C1266">
            <v>94403</v>
          </cell>
        </row>
        <row r="1267">
          <cell r="B1267" t="str">
            <v>Haywood Medical Center</v>
          </cell>
          <cell r="C1267">
            <v>94402</v>
          </cell>
        </row>
        <row r="1268">
          <cell r="B1268" t="str">
            <v>Henderson</v>
          </cell>
          <cell r="C1268">
            <v>99111</v>
          </cell>
        </row>
        <row r="1269">
          <cell r="B1269" t="str">
            <v>Hendersonville</v>
          </cell>
          <cell r="C1269">
            <v>94511</v>
          </cell>
        </row>
        <row r="1270">
          <cell r="B1270" t="str">
            <v>Hendersonville ABC Bd</v>
          </cell>
          <cell r="C1270">
            <v>94517</v>
          </cell>
        </row>
        <row r="1271">
          <cell r="B1271" t="str">
            <v>Hendersonville Water Commission</v>
          </cell>
          <cell r="C1271">
            <v>94512</v>
          </cell>
        </row>
        <row r="1272">
          <cell r="B1272" t="str">
            <v>Hertford</v>
          </cell>
          <cell r="C1272">
            <v>97211</v>
          </cell>
        </row>
        <row r="1273">
          <cell r="B1273" t="str">
            <v>Hertford ABC Board</v>
          </cell>
          <cell r="C1273">
            <v>97217</v>
          </cell>
        </row>
        <row r="1274">
          <cell r="B1274" t="str">
            <v>Hertford County</v>
          </cell>
          <cell r="C1274">
            <v>94601</v>
          </cell>
        </row>
        <row r="1275">
          <cell r="B1275" t="str">
            <v>Hertford County ABC Board</v>
          </cell>
          <cell r="C1275">
            <v>94604</v>
          </cell>
        </row>
        <row r="1276">
          <cell r="B1276" t="str">
            <v>Hertford County Public Health Authority</v>
          </cell>
          <cell r="C1276">
            <v>94606</v>
          </cell>
        </row>
        <row r="1277">
          <cell r="B1277" t="str">
            <v>Hertford Housing Auth</v>
          </cell>
          <cell r="C1277">
            <v>97213</v>
          </cell>
        </row>
        <row r="1278">
          <cell r="B1278" t="str">
            <v>Hickory</v>
          </cell>
          <cell r="C1278">
            <v>91811</v>
          </cell>
        </row>
        <row r="1279">
          <cell r="B1279" t="str">
            <v>Hickory Conover Tourism Dev Auth</v>
          </cell>
          <cell r="C1279">
            <v>91812</v>
          </cell>
        </row>
        <row r="1280">
          <cell r="B1280" t="str">
            <v>Hickory Public Housing Authority</v>
          </cell>
          <cell r="C1280">
            <v>91813</v>
          </cell>
        </row>
        <row r="1281">
          <cell r="B1281" t="str">
            <v>High Country ABC Board</v>
          </cell>
          <cell r="C1281">
            <v>90617</v>
          </cell>
        </row>
        <row r="1282">
          <cell r="B1282" t="str">
            <v>High Point ABC Bd</v>
          </cell>
          <cell r="C1282">
            <v>94127</v>
          </cell>
        </row>
        <row r="1283">
          <cell r="B1283" t="str">
            <v>Highlands</v>
          </cell>
          <cell r="C1283">
            <v>95621</v>
          </cell>
        </row>
        <row r="1284">
          <cell r="B1284" t="str">
            <v>Highlands ABC Board</v>
          </cell>
          <cell r="C1284">
            <v>95617</v>
          </cell>
        </row>
        <row r="1285">
          <cell r="B1285" t="str">
            <v>HighPoint</v>
          </cell>
          <cell r="C1285">
            <v>94121</v>
          </cell>
        </row>
        <row r="1286">
          <cell r="B1286" t="str">
            <v>Hildebran</v>
          </cell>
          <cell r="C1286">
            <v>91251</v>
          </cell>
        </row>
        <row r="1287">
          <cell r="B1287" t="str">
            <v>Hillsborough</v>
          </cell>
          <cell r="C1287">
            <v>96831</v>
          </cell>
        </row>
        <row r="1288">
          <cell r="B1288" t="str">
            <v>Hobgood</v>
          </cell>
          <cell r="C1288">
            <v>94251</v>
          </cell>
        </row>
        <row r="1289">
          <cell r="B1289" t="str">
            <v>Hoke County</v>
          </cell>
          <cell r="C1289">
            <v>94701</v>
          </cell>
        </row>
        <row r="1290">
          <cell r="B1290" t="str">
            <v>Hoke County ABC Board</v>
          </cell>
          <cell r="C1290">
            <v>94704</v>
          </cell>
        </row>
        <row r="1291">
          <cell r="B1291" t="str">
            <v>Holden Beach</v>
          </cell>
          <cell r="C1291">
            <v>91014</v>
          </cell>
        </row>
        <row r="1292">
          <cell r="B1292" t="str">
            <v>Holly Ridge</v>
          </cell>
          <cell r="C1292">
            <v>96731</v>
          </cell>
        </row>
        <row r="1293">
          <cell r="B1293" t="str">
            <v>Holly Ridge Housing Authority</v>
          </cell>
          <cell r="C1293">
            <v>96733</v>
          </cell>
        </row>
        <row r="1294">
          <cell r="B1294" t="str">
            <v>Holly Springs</v>
          </cell>
          <cell r="C1294">
            <v>99202</v>
          </cell>
        </row>
        <row r="1295">
          <cell r="B1295" t="str">
            <v>Hookerton</v>
          </cell>
          <cell r="C1295">
            <v>94011</v>
          </cell>
        </row>
        <row r="1296">
          <cell r="B1296" t="str">
            <v>Hope Mills</v>
          </cell>
          <cell r="C1296">
            <v>92631</v>
          </cell>
        </row>
        <row r="1297">
          <cell r="B1297" t="str">
            <v>Hot Springs Housing Authority</v>
          </cell>
          <cell r="C1297">
            <v>95733</v>
          </cell>
        </row>
        <row r="1298">
          <cell r="B1298" t="str">
            <v>Housing Auth For The Cty Of Kinston</v>
          </cell>
          <cell r="C1298">
            <v>95413</v>
          </cell>
        </row>
        <row r="1299">
          <cell r="B1299" t="str">
            <v>Housing Auth Of The Cty Of Salisbury</v>
          </cell>
          <cell r="C1299">
            <v>98013</v>
          </cell>
        </row>
        <row r="1300">
          <cell r="B1300" t="str">
            <v>Housing Authority Of Goldsboro</v>
          </cell>
          <cell r="C1300">
            <v>99613</v>
          </cell>
        </row>
        <row r="1301">
          <cell r="B1301" t="str">
            <v>Hudson</v>
          </cell>
          <cell r="C1301">
            <v>91431</v>
          </cell>
        </row>
        <row r="1302">
          <cell r="B1302" t="str">
            <v>Huntersville</v>
          </cell>
          <cell r="C1302">
            <v>96041</v>
          </cell>
        </row>
        <row r="1303">
          <cell r="B1303" t="str">
            <v>Hyde County</v>
          </cell>
          <cell r="C1303">
            <v>94801</v>
          </cell>
        </row>
        <row r="1304">
          <cell r="B1304" t="str">
            <v>Hyde County ABC Board</v>
          </cell>
          <cell r="C1304">
            <v>94804</v>
          </cell>
        </row>
        <row r="1305">
          <cell r="B1305" t="str">
            <v>Indian Beach</v>
          </cell>
          <cell r="C1305">
            <v>91661</v>
          </cell>
        </row>
        <row r="1306">
          <cell r="B1306" t="str">
            <v>Indian Trail</v>
          </cell>
          <cell r="C1306">
            <v>99051</v>
          </cell>
        </row>
        <row r="1307">
          <cell r="B1307" t="str">
            <v>Indian Trail ABC Board</v>
          </cell>
          <cell r="C1307">
            <v>99014</v>
          </cell>
        </row>
        <row r="1308">
          <cell r="B1308" t="str">
            <v>Iredell County</v>
          </cell>
          <cell r="C1308">
            <v>94901</v>
          </cell>
        </row>
        <row r="1309">
          <cell r="B1309" t="str">
            <v>Isothermal Planning And Dev Comm</v>
          </cell>
          <cell r="C1309">
            <v>98109</v>
          </cell>
        </row>
        <row r="1310">
          <cell r="B1310" t="str">
            <v>J C Holiday Mem Library</v>
          </cell>
          <cell r="C1310">
            <v>98205</v>
          </cell>
        </row>
        <row r="1311">
          <cell r="B1311" t="str">
            <v>Jackson</v>
          </cell>
          <cell r="C1311">
            <v>96661</v>
          </cell>
        </row>
        <row r="1312">
          <cell r="B1312" t="str">
            <v>Jackson County</v>
          </cell>
          <cell r="C1312">
            <v>95001</v>
          </cell>
        </row>
        <row r="1313">
          <cell r="B1313" t="str">
            <v>Jackson County ABC Board</v>
          </cell>
          <cell r="C1313">
            <v>95017</v>
          </cell>
        </row>
        <row r="1314">
          <cell r="B1314" t="str">
            <v>Jacksonville</v>
          </cell>
          <cell r="C1314">
            <v>96711</v>
          </cell>
        </row>
        <row r="1315">
          <cell r="B1315" t="str">
            <v>Jamestown</v>
          </cell>
          <cell r="C1315">
            <v>94131</v>
          </cell>
        </row>
        <row r="1316">
          <cell r="B1316" t="str">
            <v>Jamesville</v>
          </cell>
          <cell r="C1316">
            <v>95841</v>
          </cell>
        </row>
        <row r="1317">
          <cell r="B1317" t="str">
            <v>Jefferson</v>
          </cell>
          <cell r="C1317">
            <v>90511</v>
          </cell>
        </row>
        <row r="1318">
          <cell r="B1318" t="str">
            <v>Johnston County</v>
          </cell>
          <cell r="C1318">
            <v>95101</v>
          </cell>
        </row>
        <row r="1319">
          <cell r="B1319" t="str">
            <v>Johnston County ABC Board</v>
          </cell>
          <cell r="C1319">
            <v>95104</v>
          </cell>
        </row>
        <row r="1320">
          <cell r="B1320" t="str">
            <v>Johnston Health Center</v>
          </cell>
          <cell r="C1320">
            <v>95110</v>
          </cell>
        </row>
        <row r="1321">
          <cell r="B1321" t="str">
            <v>Jones County</v>
          </cell>
          <cell r="C1321">
            <v>95201</v>
          </cell>
        </row>
        <row r="1322">
          <cell r="B1322" t="str">
            <v>Jones County ABC Board</v>
          </cell>
          <cell r="C1322">
            <v>95204</v>
          </cell>
        </row>
        <row r="1323">
          <cell r="B1323" t="str">
            <v>Jonesville</v>
          </cell>
          <cell r="C1323">
            <v>99921</v>
          </cell>
        </row>
        <row r="1324">
          <cell r="B1324" t="str">
            <v>Junaluska Sanitary District</v>
          </cell>
          <cell r="C1324">
            <v>94408</v>
          </cell>
        </row>
        <row r="1325">
          <cell r="B1325" t="str">
            <v>Kannapolis</v>
          </cell>
          <cell r="C1325">
            <v>91331</v>
          </cell>
        </row>
        <row r="1326">
          <cell r="B1326" t="str">
            <v>Kenansville</v>
          </cell>
          <cell r="C1326">
            <v>93121</v>
          </cell>
        </row>
        <row r="1327">
          <cell r="B1327" t="str">
            <v>Kenansville ABC Board</v>
          </cell>
          <cell r="C1327">
            <v>93127</v>
          </cell>
        </row>
        <row r="1328">
          <cell r="B1328" t="str">
            <v>Kenly</v>
          </cell>
          <cell r="C1328">
            <v>95171</v>
          </cell>
        </row>
        <row r="1329">
          <cell r="B1329" t="str">
            <v>Kernersville</v>
          </cell>
          <cell r="C1329">
            <v>93421</v>
          </cell>
        </row>
        <row r="1330">
          <cell r="B1330" t="str">
            <v>Kerr Area Transportation Authority</v>
          </cell>
          <cell r="C1330">
            <v>99110</v>
          </cell>
        </row>
        <row r="1331">
          <cell r="B1331" t="str">
            <v>Kerr-Tar Regional Council Of Govts</v>
          </cell>
          <cell r="C1331">
            <v>99109</v>
          </cell>
        </row>
        <row r="1332">
          <cell r="B1332" t="str">
            <v>Kill Devil Hills</v>
          </cell>
          <cell r="C1332">
            <v>92821</v>
          </cell>
        </row>
        <row r="1333">
          <cell r="B1333" t="str">
            <v>King</v>
          </cell>
          <cell r="C1333">
            <v>98521</v>
          </cell>
        </row>
        <row r="1334">
          <cell r="B1334" t="str">
            <v>Kings Mountain ABC Board</v>
          </cell>
          <cell r="C1334">
            <v>92327</v>
          </cell>
        </row>
        <row r="1335">
          <cell r="B1335" t="str">
            <v>KingsMountain</v>
          </cell>
          <cell r="C1335">
            <v>92321</v>
          </cell>
        </row>
        <row r="1336">
          <cell r="B1336" t="str">
            <v>Kinston</v>
          </cell>
          <cell r="C1336">
            <v>95411</v>
          </cell>
        </row>
        <row r="1337">
          <cell r="B1337" t="str">
            <v>Kinston-Lenoir Co Pub Library</v>
          </cell>
          <cell r="C1337">
            <v>95415</v>
          </cell>
        </row>
        <row r="1338">
          <cell r="B1338" t="str">
            <v>Kitty Hawk</v>
          </cell>
          <cell r="C1338">
            <v>92851</v>
          </cell>
        </row>
        <row r="1339">
          <cell r="B1339" t="str">
            <v>Knightdale</v>
          </cell>
          <cell r="C1339">
            <v>99291</v>
          </cell>
        </row>
        <row r="1340">
          <cell r="B1340" t="str">
            <v>Kure Beach</v>
          </cell>
          <cell r="C1340">
            <v>96541</v>
          </cell>
        </row>
        <row r="1341">
          <cell r="B1341" t="str">
            <v>Lagrange</v>
          </cell>
          <cell r="C1341">
            <v>95431</v>
          </cell>
        </row>
        <row r="1342">
          <cell r="B1342" t="str">
            <v>Lake Lure</v>
          </cell>
          <cell r="C1342">
            <v>98131</v>
          </cell>
        </row>
        <row r="1343">
          <cell r="B1343" t="str">
            <v>Lake Waccamaw</v>
          </cell>
          <cell r="C1343">
            <v>92461</v>
          </cell>
        </row>
        <row r="1344">
          <cell r="B1344" t="str">
            <v>Lake Waccamaw ABC Board</v>
          </cell>
          <cell r="C1344">
            <v>92427</v>
          </cell>
        </row>
        <row r="1345">
          <cell r="B1345" t="str">
            <v>Landis</v>
          </cell>
          <cell r="C1345">
            <v>98051</v>
          </cell>
        </row>
        <row r="1346">
          <cell r="B1346" t="str">
            <v>Land-Of-Sky Regional Council</v>
          </cell>
          <cell r="C1346">
            <v>91102</v>
          </cell>
        </row>
        <row r="1347">
          <cell r="B1347" t="str">
            <v>Laurel Park</v>
          </cell>
          <cell r="C1347">
            <v>94521</v>
          </cell>
        </row>
        <row r="1348">
          <cell r="B1348" t="str">
            <v>Laurel Park ABC Board</v>
          </cell>
          <cell r="C1348">
            <v>94527</v>
          </cell>
        </row>
        <row r="1349">
          <cell r="B1349" t="str">
            <v>Laurinburg</v>
          </cell>
          <cell r="C1349">
            <v>98311</v>
          </cell>
        </row>
        <row r="1350">
          <cell r="B1350" t="str">
            <v>Laurinburg Housing Authority</v>
          </cell>
          <cell r="C1350">
            <v>98313</v>
          </cell>
        </row>
        <row r="1351">
          <cell r="B1351" t="str">
            <v>Laurinburg-Maxton Airport Commission</v>
          </cell>
          <cell r="C1351">
            <v>98308</v>
          </cell>
        </row>
        <row r="1352">
          <cell r="B1352" t="str">
            <v>Lawndale</v>
          </cell>
          <cell r="C1352">
            <v>92341</v>
          </cell>
        </row>
        <row r="1353">
          <cell r="B1353" t="str">
            <v>Lee County</v>
          </cell>
          <cell r="C1353">
            <v>95301</v>
          </cell>
        </row>
        <row r="1354">
          <cell r="B1354" t="str">
            <v>Leland</v>
          </cell>
          <cell r="C1354">
            <v>91002</v>
          </cell>
        </row>
        <row r="1355">
          <cell r="B1355" t="str">
            <v>Lenoir</v>
          </cell>
          <cell r="C1355">
            <v>91451</v>
          </cell>
        </row>
        <row r="1356">
          <cell r="B1356" t="str">
            <v>Lenoir County</v>
          </cell>
          <cell r="C1356">
            <v>95401</v>
          </cell>
        </row>
        <row r="1357">
          <cell r="B1357" t="str">
            <v>Lenoir County ABC Board</v>
          </cell>
          <cell r="C1357">
            <v>95404</v>
          </cell>
        </row>
        <row r="1358">
          <cell r="B1358" t="str">
            <v>Lenoir Housing Authority</v>
          </cell>
          <cell r="C1358">
            <v>91423</v>
          </cell>
        </row>
        <row r="1359">
          <cell r="B1359" t="str">
            <v>LenoirABCBoard</v>
          </cell>
          <cell r="C1359">
            <v>91457</v>
          </cell>
        </row>
        <row r="1360">
          <cell r="B1360" t="str">
            <v>Lewiston Woodville</v>
          </cell>
          <cell r="C1360">
            <v>90861</v>
          </cell>
        </row>
        <row r="1361">
          <cell r="B1361" t="str">
            <v>Lewisville</v>
          </cell>
          <cell r="C1361">
            <v>93451</v>
          </cell>
        </row>
        <row r="1362">
          <cell r="B1362" t="str">
            <v>Lexington</v>
          </cell>
          <cell r="C1362">
            <v>92931</v>
          </cell>
        </row>
        <row r="1363">
          <cell r="B1363" t="str">
            <v>Lexington ABC Board</v>
          </cell>
          <cell r="C1363">
            <v>92917</v>
          </cell>
        </row>
        <row r="1364">
          <cell r="B1364" t="str">
            <v>Liberty</v>
          </cell>
          <cell r="C1364">
            <v>97631</v>
          </cell>
        </row>
        <row r="1365">
          <cell r="B1365" t="str">
            <v>Liberty ABC Board</v>
          </cell>
          <cell r="C1365">
            <v>97637</v>
          </cell>
        </row>
        <row r="1366">
          <cell r="B1366" t="str">
            <v>Lilesville</v>
          </cell>
          <cell r="C1366">
            <v>90421</v>
          </cell>
        </row>
        <row r="1367">
          <cell r="B1367" t="str">
            <v>Lillington</v>
          </cell>
          <cell r="C1367">
            <v>94321</v>
          </cell>
        </row>
        <row r="1368">
          <cell r="B1368" t="str">
            <v>Lincoln County</v>
          </cell>
          <cell r="C1368">
            <v>95501</v>
          </cell>
        </row>
        <row r="1369">
          <cell r="B1369" t="str">
            <v>Lincoln County ABC Board</v>
          </cell>
          <cell r="C1369">
            <v>95504</v>
          </cell>
        </row>
        <row r="1370">
          <cell r="B1370" t="str">
            <v>Lincolnton</v>
          </cell>
          <cell r="C1370">
            <v>95511</v>
          </cell>
        </row>
        <row r="1371">
          <cell r="B1371" t="str">
            <v>Lincolnton ABC Board</v>
          </cell>
          <cell r="C1371">
            <v>95517</v>
          </cell>
        </row>
        <row r="1372">
          <cell r="B1372" t="str">
            <v>Lincolnton Housing Authority</v>
          </cell>
          <cell r="C1372">
            <v>95513</v>
          </cell>
        </row>
        <row r="1373">
          <cell r="B1373" t="str">
            <v>Linden</v>
          </cell>
          <cell r="C1373">
            <v>92651</v>
          </cell>
        </row>
        <row r="1374">
          <cell r="B1374" t="str">
            <v>Littleton</v>
          </cell>
          <cell r="C1374">
            <v>94261</v>
          </cell>
        </row>
        <row r="1375">
          <cell r="B1375" t="str">
            <v>Locust</v>
          </cell>
          <cell r="C1375">
            <v>98431</v>
          </cell>
        </row>
        <row r="1376">
          <cell r="B1376" t="str">
            <v>Locust ABC Board</v>
          </cell>
          <cell r="C1376">
            <v>98404</v>
          </cell>
        </row>
        <row r="1377">
          <cell r="B1377" t="str">
            <v>Longview</v>
          </cell>
          <cell r="C1377">
            <v>91841</v>
          </cell>
        </row>
        <row r="1378">
          <cell r="B1378" t="str">
            <v>Louisburg</v>
          </cell>
          <cell r="C1378">
            <v>93521</v>
          </cell>
        </row>
        <row r="1379">
          <cell r="B1379" t="str">
            <v>Louisburg ABC Board</v>
          </cell>
          <cell r="C1379">
            <v>93527</v>
          </cell>
        </row>
        <row r="1380">
          <cell r="B1380" t="str">
            <v>Lowell</v>
          </cell>
          <cell r="C1380">
            <v>93661</v>
          </cell>
        </row>
        <row r="1381">
          <cell r="B1381" t="str">
            <v>Lower Cape Fear Water &amp; Sewer Auth</v>
          </cell>
          <cell r="C1381">
            <v>96508</v>
          </cell>
        </row>
        <row r="1382">
          <cell r="B1382" t="str">
            <v>Lucama</v>
          </cell>
          <cell r="C1382">
            <v>99841</v>
          </cell>
        </row>
        <row r="1383">
          <cell r="B1383" t="str">
            <v>Lumber River Council Of Governments</v>
          </cell>
          <cell r="C1383">
            <v>97802</v>
          </cell>
        </row>
        <row r="1384">
          <cell r="B1384" t="str">
            <v>Lumberton</v>
          </cell>
          <cell r="C1384">
            <v>97811</v>
          </cell>
        </row>
        <row r="1385">
          <cell r="B1385" t="str">
            <v>Lumberton ABC Board</v>
          </cell>
          <cell r="C1385">
            <v>97817</v>
          </cell>
        </row>
        <row r="1386">
          <cell r="B1386" t="str">
            <v>Lumberton Airport Comm</v>
          </cell>
          <cell r="C1386">
            <v>97818</v>
          </cell>
        </row>
        <row r="1387">
          <cell r="B1387" t="str">
            <v>Macclesfield</v>
          </cell>
          <cell r="C1387">
            <v>93341</v>
          </cell>
        </row>
        <row r="1388">
          <cell r="B1388" t="str">
            <v>Macon County</v>
          </cell>
          <cell r="C1388">
            <v>95601</v>
          </cell>
        </row>
        <row r="1389">
          <cell r="B1389" t="str">
            <v>Madison</v>
          </cell>
          <cell r="C1389">
            <v>97941</v>
          </cell>
        </row>
        <row r="1390">
          <cell r="B1390" t="str">
            <v>Madison ABC Board</v>
          </cell>
          <cell r="C1390">
            <v>97947</v>
          </cell>
        </row>
        <row r="1391">
          <cell r="B1391" t="str">
            <v>Madison County</v>
          </cell>
          <cell r="C1391">
            <v>95701</v>
          </cell>
        </row>
        <row r="1392">
          <cell r="B1392" t="str">
            <v>Madison-Mayodan Recreation Comm</v>
          </cell>
          <cell r="C1392">
            <v>97948</v>
          </cell>
        </row>
        <row r="1393">
          <cell r="B1393" t="str">
            <v>Maggie Valley</v>
          </cell>
          <cell r="C1393">
            <v>94421</v>
          </cell>
        </row>
        <row r="1394">
          <cell r="B1394" t="str">
            <v>Maggie Valley ABC Board</v>
          </cell>
          <cell r="C1394">
            <v>94427</v>
          </cell>
        </row>
        <row r="1395">
          <cell r="B1395" t="str">
            <v>Maggie Valley Sanitary Dist</v>
          </cell>
          <cell r="C1395">
            <v>94428</v>
          </cell>
        </row>
        <row r="1396">
          <cell r="B1396" t="str">
            <v>Magnolia</v>
          </cell>
          <cell r="C1396">
            <v>93191</v>
          </cell>
        </row>
        <row r="1397">
          <cell r="B1397" t="str">
            <v>Maiden</v>
          </cell>
          <cell r="C1397">
            <v>91831</v>
          </cell>
        </row>
        <row r="1398">
          <cell r="B1398" t="str">
            <v>Manteo</v>
          </cell>
          <cell r="C1398">
            <v>92831</v>
          </cell>
        </row>
        <row r="1399">
          <cell r="B1399" t="str">
            <v>Marion</v>
          </cell>
          <cell r="C1399">
            <v>95911</v>
          </cell>
        </row>
        <row r="1400">
          <cell r="B1400" t="str">
            <v>Marion ABC Board</v>
          </cell>
          <cell r="C1400">
            <v>95917</v>
          </cell>
        </row>
        <row r="1401">
          <cell r="B1401" t="str">
            <v>Mars Hill</v>
          </cell>
          <cell r="C1401">
            <v>95711</v>
          </cell>
        </row>
        <row r="1402">
          <cell r="B1402" t="str">
            <v>Marshall</v>
          </cell>
          <cell r="C1402">
            <v>95721</v>
          </cell>
        </row>
        <row r="1403">
          <cell r="B1403" t="str">
            <v>Marshville</v>
          </cell>
          <cell r="C1403">
            <v>99021</v>
          </cell>
        </row>
        <row r="1404">
          <cell r="B1404" t="str">
            <v>Martin Co Travel &amp; Tourism Auth</v>
          </cell>
          <cell r="C1404">
            <v>95802</v>
          </cell>
        </row>
        <row r="1405">
          <cell r="B1405" t="str">
            <v>Martin County</v>
          </cell>
          <cell r="C1405">
            <v>95801</v>
          </cell>
        </row>
        <row r="1406">
          <cell r="B1406" t="str">
            <v>Martin County ABC Board</v>
          </cell>
          <cell r="C1406">
            <v>95804</v>
          </cell>
        </row>
        <row r="1407">
          <cell r="B1407" t="str">
            <v>Martin-Tyrrell-Washington Dist Health Dept</v>
          </cell>
          <cell r="C1407">
            <v>90092</v>
          </cell>
        </row>
        <row r="1408">
          <cell r="B1408" t="str">
            <v>Marvin</v>
          </cell>
          <cell r="C1408">
            <v>99081</v>
          </cell>
        </row>
        <row r="1409">
          <cell r="B1409" t="str">
            <v>Matthews</v>
          </cell>
          <cell r="C1409">
            <v>96071</v>
          </cell>
        </row>
        <row r="1410">
          <cell r="B1410" t="str">
            <v>Maury Sanitary Land District</v>
          </cell>
          <cell r="C1410">
            <v>94002</v>
          </cell>
        </row>
        <row r="1411">
          <cell r="B1411" t="str">
            <v>Maxton</v>
          </cell>
          <cell r="C1411">
            <v>97840</v>
          </cell>
        </row>
        <row r="1412">
          <cell r="B1412" t="str">
            <v>Maxton ABC Board</v>
          </cell>
          <cell r="C1412">
            <v>97847</v>
          </cell>
        </row>
        <row r="1413">
          <cell r="B1413" t="str">
            <v>Mayodan</v>
          </cell>
          <cell r="C1413">
            <v>97921</v>
          </cell>
        </row>
        <row r="1414">
          <cell r="B1414" t="str">
            <v>Maysville</v>
          </cell>
          <cell r="C1414">
            <v>95221</v>
          </cell>
        </row>
        <row r="1415">
          <cell r="B1415" t="str">
            <v>Mcadenville</v>
          </cell>
          <cell r="C1415">
            <v>93610</v>
          </cell>
        </row>
        <row r="1416">
          <cell r="B1416" t="str">
            <v>Mcdowell County</v>
          </cell>
          <cell r="C1416">
            <v>95901</v>
          </cell>
        </row>
        <row r="1417">
          <cell r="B1417" t="str">
            <v>Mebane</v>
          </cell>
          <cell r="C1417">
            <v>90114</v>
          </cell>
        </row>
        <row r="1418">
          <cell r="B1418" t="str">
            <v>Mecklenburg County</v>
          </cell>
          <cell r="C1418">
            <v>96001</v>
          </cell>
        </row>
        <row r="1419">
          <cell r="B1419" t="str">
            <v>Mecklenburg County ABC Board</v>
          </cell>
          <cell r="C1419">
            <v>96004</v>
          </cell>
        </row>
        <row r="1420">
          <cell r="B1420" t="str">
            <v>Mecklenburg Emer Med Svcs Agcy</v>
          </cell>
          <cell r="C1420">
            <v>96008</v>
          </cell>
        </row>
        <row r="1421">
          <cell r="B1421" t="str">
            <v>Metro Sewerage Dist Of Buncombe County</v>
          </cell>
          <cell r="C1421">
            <v>91108</v>
          </cell>
        </row>
        <row r="1422">
          <cell r="B1422" t="str">
            <v>Mi Connection Communications System</v>
          </cell>
          <cell r="C1422">
            <v>94941</v>
          </cell>
        </row>
        <row r="1423">
          <cell r="B1423" t="str">
            <v>Micro</v>
          </cell>
          <cell r="C1423">
            <v>95122</v>
          </cell>
        </row>
        <row r="1424">
          <cell r="B1424" t="str">
            <v>Mid-Carolina Council Of Governments</v>
          </cell>
          <cell r="C1424">
            <v>92607</v>
          </cell>
        </row>
        <row r="1425">
          <cell r="B1425" t="str">
            <v>Middlesex</v>
          </cell>
          <cell r="C1425">
            <v>96431</v>
          </cell>
        </row>
        <row r="1426">
          <cell r="B1426" t="str">
            <v>Mideast Commission</v>
          </cell>
          <cell r="C1426">
            <v>90709</v>
          </cell>
        </row>
        <row r="1427">
          <cell r="B1427" t="str">
            <v>Midland</v>
          </cell>
          <cell r="C1427">
            <v>91341</v>
          </cell>
        </row>
        <row r="1428">
          <cell r="B1428" t="str">
            <v>Midway</v>
          </cell>
          <cell r="C1428">
            <v>92941</v>
          </cell>
        </row>
        <row r="1429">
          <cell r="B1429" t="str">
            <v>Mills River</v>
          </cell>
          <cell r="C1429">
            <v>94551</v>
          </cell>
        </row>
        <row r="1430">
          <cell r="B1430" t="str">
            <v>Mineral Springs</v>
          </cell>
          <cell r="C1430">
            <v>99022</v>
          </cell>
        </row>
        <row r="1431">
          <cell r="B1431" t="str">
            <v>Mint Hill</v>
          </cell>
          <cell r="C1431">
            <v>96031</v>
          </cell>
        </row>
        <row r="1432">
          <cell r="B1432" t="str">
            <v>Misenheimer</v>
          </cell>
          <cell r="C1432">
            <v>98414</v>
          </cell>
        </row>
        <row r="1433">
          <cell r="B1433" t="str">
            <v>Mitchell County</v>
          </cell>
          <cell r="C1433">
            <v>96101</v>
          </cell>
        </row>
        <row r="1434">
          <cell r="B1434" t="str">
            <v>Mitchell Soil &amp; Water Conservation Dist</v>
          </cell>
          <cell r="C1434">
            <v>96102</v>
          </cell>
        </row>
        <row r="1435">
          <cell r="B1435" t="str">
            <v>Mocksville</v>
          </cell>
          <cell r="C1435">
            <v>93011</v>
          </cell>
        </row>
        <row r="1436">
          <cell r="B1436" t="str">
            <v>Monroe</v>
          </cell>
          <cell r="C1436">
            <v>99011</v>
          </cell>
        </row>
        <row r="1437">
          <cell r="B1437" t="str">
            <v>Monroe ABC Board</v>
          </cell>
          <cell r="C1437">
            <v>99017</v>
          </cell>
        </row>
        <row r="1438">
          <cell r="B1438" t="str">
            <v>MonroeHousingAuthority</v>
          </cell>
          <cell r="C1438">
            <v>99013</v>
          </cell>
        </row>
        <row r="1439">
          <cell r="B1439" t="str">
            <v>Montgomery County</v>
          </cell>
          <cell r="C1439">
            <v>96201</v>
          </cell>
        </row>
        <row r="1440">
          <cell r="B1440" t="str">
            <v>Montgomery-Municipal ABC Board</v>
          </cell>
          <cell r="C1440">
            <v>96204</v>
          </cell>
        </row>
        <row r="1441">
          <cell r="B1441" t="str">
            <v>Montreat</v>
          </cell>
          <cell r="C1441">
            <v>91161</v>
          </cell>
        </row>
        <row r="1442">
          <cell r="B1442" t="str">
            <v>Moore County</v>
          </cell>
          <cell r="C1442">
            <v>96301</v>
          </cell>
        </row>
        <row r="1443">
          <cell r="B1443" t="str">
            <v>Moore County ABC Board</v>
          </cell>
          <cell r="C1443">
            <v>96304</v>
          </cell>
        </row>
        <row r="1444">
          <cell r="B1444" t="str">
            <v>Moore County Airport Authority</v>
          </cell>
          <cell r="C1444">
            <v>96310</v>
          </cell>
        </row>
        <row r="1445">
          <cell r="B1445" t="str">
            <v>Moore County Tourism Development Authority</v>
          </cell>
          <cell r="C1445">
            <v>96305</v>
          </cell>
        </row>
        <row r="1446">
          <cell r="B1446" t="str">
            <v>Mooresville</v>
          </cell>
          <cell r="C1446">
            <v>94921</v>
          </cell>
        </row>
        <row r="1447">
          <cell r="B1447" t="str">
            <v>Mooresville ABC Board</v>
          </cell>
          <cell r="C1447">
            <v>94927</v>
          </cell>
        </row>
        <row r="1448">
          <cell r="B1448" t="str">
            <v>Mooresville Housing Authority</v>
          </cell>
          <cell r="C1448">
            <v>94923</v>
          </cell>
        </row>
        <row r="1449">
          <cell r="B1449" t="str">
            <v>Morehead City</v>
          </cell>
          <cell r="C1449">
            <v>91611</v>
          </cell>
        </row>
        <row r="1450">
          <cell r="B1450" t="str">
            <v>Morganton</v>
          </cell>
          <cell r="C1450">
            <v>91231</v>
          </cell>
        </row>
        <row r="1451">
          <cell r="B1451" t="str">
            <v>Morganton ABC Board</v>
          </cell>
          <cell r="C1451">
            <v>91217</v>
          </cell>
        </row>
        <row r="1452">
          <cell r="B1452" t="str">
            <v>Morganton Housing Authority</v>
          </cell>
          <cell r="C1452">
            <v>91233</v>
          </cell>
        </row>
        <row r="1453">
          <cell r="B1453" t="str">
            <v>Morrisville</v>
          </cell>
          <cell r="C1453">
            <v>99206</v>
          </cell>
        </row>
        <row r="1454">
          <cell r="B1454" t="str">
            <v>Morven</v>
          </cell>
          <cell r="C1454">
            <v>90461</v>
          </cell>
        </row>
        <row r="1455">
          <cell r="B1455" t="str">
            <v>Mount Airy Alcoholic Board Of Control</v>
          </cell>
          <cell r="C1455">
            <v>98637</v>
          </cell>
        </row>
        <row r="1456">
          <cell r="B1456" t="str">
            <v>Mount Gilead</v>
          </cell>
          <cell r="C1456">
            <v>96251</v>
          </cell>
        </row>
        <row r="1457">
          <cell r="B1457" t="str">
            <v>Mount Olive</v>
          </cell>
          <cell r="C1457">
            <v>99621</v>
          </cell>
        </row>
        <row r="1458">
          <cell r="B1458" t="str">
            <v>Mount Pleasant</v>
          </cell>
          <cell r="C1458">
            <v>91321</v>
          </cell>
        </row>
        <row r="1459">
          <cell r="B1459" t="str">
            <v>MountAiry</v>
          </cell>
          <cell r="C1459">
            <v>98631</v>
          </cell>
        </row>
        <row r="1460">
          <cell r="B1460" t="str">
            <v>MountHolly</v>
          </cell>
          <cell r="C1460">
            <v>93691</v>
          </cell>
        </row>
        <row r="1461">
          <cell r="B1461" t="str">
            <v>Mt Olive Housing Authority</v>
          </cell>
          <cell r="C1461">
            <v>99623</v>
          </cell>
        </row>
        <row r="1462">
          <cell r="B1462" t="str">
            <v>Mt Pleasant ABC Board</v>
          </cell>
          <cell r="C1462">
            <v>91327</v>
          </cell>
        </row>
        <row r="1463">
          <cell r="B1463" t="str">
            <v>Murfreesboro</v>
          </cell>
          <cell r="C1463">
            <v>94621</v>
          </cell>
        </row>
        <row r="1464">
          <cell r="B1464" t="str">
            <v>Murphy</v>
          </cell>
          <cell r="C1464">
            <v>92011</v>
          </cell>
        </row>
        <row r="1465">
          <cell r="B1465" t="str">
            <v>Murphy ABC Board</v>
          </cell>
          <cell r="C1465">
            <v>92017</v>
          </cell>
        </row>
        <row r="1466">
          <cell r="B1466" t="str">
            <v>N C Assoc Of Co Commissioners</v>
          </cell>
          <cell r="C1466">
            <v>99991</v>
          </cell>
        </row>
        <row r="1467">
          <cell r="B1467" t="str">
            <v>N C League Of Municipalities</v>
          </cell>
          <cell r="C1467">
            <v>99999</v>
          </cell>
        </row>
        <row r="1468">
          <cell r="B1468" t="str">
            <v>Nags Head</v>
          </cell>
          <cell r="C1468">
            <v>92811</v>
          </cell>
        </row>
        <row r="1469">
          <cell r="B1469" t="str">
            <v>Nantahala Regional Library</v>
          </cell>
          <cell r="C1469">
            <v>92005</v>
          </cell>
        </row>
        <row r="1470">
          <cell r="B1470" t="str">
            <v>Nash County</v>
          </cell>
          <cell r="C1470">
            <v>96401</v>
          </cell>
        </row>
        <row r="1471">
          <cell r="B1471" t="str">
            <v>Nash County ABC Board</v>
          </cell>
          <cell r="C1471">
            <v>96404</v>
          </cell>
        </row>
        <row r="1472">
          <cell r="B1472" t="str">
            <v>Nashville</v>
          </cell>
          <cell r="C1472">
            <v>96421</v>
          </cell>
        </row>
        <row r="1473">
          <cell r="B1473" t="str">
            <v>Navassa</v>
          </cell>
          <cell r="C1473">
            <v>91026</v>
          </cell>
        </row>
        <row r="1474">
          <cell r="B1474" t="str">
            <v>Neuse Regional Library</v>
          </cell>
          <cell r="C1474">
            <v>95405</v>
          </cell>
        </row>
        <row r="1475">
          <cell r="B1475" t="str">
            <v>Neuse Regional Library-Greene County</v>
          </cell>
          <cell r="C1475">
            <v>94005</v>
          </cell>
        </row>
        <row r="1476">
          <cell r="B1476" t="str">
            <v>Neuse Regional Library-Jones County</v>
          </cell>
          <cell r="C1476">
            <v>95205</v>
          </cell>
        </row>
        <row r="1477">
          <cell r="B1477" t="str">
            <v>Neuse River Council Of Governments</v>
          </cell>
          <cell r="C1477">
            <v>92507</v>
          </cell>
        </row>
        <row r="1478">
          <cell r="B1478" t="str">
            <v>New Edenton Housing Auth</v>
          </cell>
          <cell r="C1478">
            <v>92113</v>
          </cell>
        </row>
        <row r="1479">
          <cell r="B1479" t="str">
            <v>New Hanover Airport Auth</v>
          </cell>
          <cell r="C1479">
            <v>96502</v>
          </cell>
        </row>
        <row r="1480">
          <cell r="B1480" t="str">
            <v>New Hanover County</v>
          </cell>
          <cell r="C1480">
            <v>96501</v>
          </cell>
        </row>
        <row r="1481">
          <cell r="B1481" t="str">
            <v>New Hanover County ABC Board</v>
          </cell>
          <cell r="C1481">
            <v>96504</v>
          </cell>
        </row>
        <row r="1482">
          <cell r="B1482" t="str">
            <v>New Reidsville Housing Auth</v>
          </cell>
          <cell r="C1482">
            <v>97913</v>
          </cell>
        </row>
        <row r="1483">
          <cell r="B1483" t="str">
            <v>NewBern</v>
          </cell>
          <cell r="C1483">
            <v>92511</v>
          </cell>
        </row>
        <row r="1484">
          <cell r="B1484" t="str">
            <v>Newland</v>
          </cell>
          <cell r="C1484">
            <v>90621</v>
          </cell>
        </row>
        <row r="1485">
          <cell r="B1485" t="str">
            <v>Newport</v>
          </cell>
          <cell r="C1485">
            <v>91621</v>
          </cell>
        </row>
        <row r="1486">
          <cell r="B1486" t="str">
            <v>Newton</v>
          </cell>
          <cell r="C1486">
            <v>91871</v>
          </cell>
        </row>
        <row r="1487">
          <cell r="B1487" t="str">
            <v>Newton Grove</v>
          </cell>
          <cell r="C1487">
            <v>98231</v>
          </cell>
        </row>
        <row r="1488">
          <cell r="B1488" t="str">
            <v>Norlina</v>
          </cell>
          <cell r="C1488">
            <v>99311</v>
          </cell>
        </row>
        <row r="1489">
          <cell r="B1489" t="str">
            <v>North Topsail Beach</v>
          </cell>
          <cell r="C1489">
            <v>96751</v>
          </cell>
        </row>
        <row r="1490">
          <cell r="B1490" t="str">
            <v>North Wilkesboro</v>
          </cell>
          <cell r="C1490">
            <v>99711</v>
          </cell>
        </row>
        <row r="1491">
          <cell r="B1491" t="str">
            <v>North Wilkesboro ABC Board</v>
          </cell>
          <cell r="C1491">
            <v>99717</v>
          </cell>
        </row>
        <row r="1492">
          <cell r="B1492" t="str">
            <v>Northampton County</v>
          </cell>
          <cell r="C1492">
            <v>96601</v>
          </cell>
        </row>
        <row r="1493">
          <cell r="B1493" t="str">
            <v>Northampton County ABC Board</v>
          </cell>
          <cell r="C1493">
            <v>96604</v>
          </cell>
        </row>
        <row r="1494">
          <cell r="B1494" t="str">
            <v>Northwest</v>
          </cell>
          <cell r="C1494">
            <v>91012</v>
          </cell>
        </row>
        <row r="1495">
          <cell r="B1495" t="str">
            <v>Northwestern Regional Library</v>
          </cell>
          <cell r="C1495">
            <v>90305</v>
          </cell>
        </row>
        <row r="1496">
          <cell r="B1496" t="str">
            <v>Norwood</v>
          </cell>
          <cell r="C1496">
            <v>98421</v>
          </cell>
        </row>
        <row r="1497">
          <cell r="B1497" t="str">
            <v>Norwood ABC Bd</v>
          </cell>
          <cell r="C1497">
            <v>98427</v>
          </cell>
        </row>
        <row r="1498">
          <cell r="B1498" t="str">
            <v>Oak City</v>
          </cell>
          <cell r="C1498">
            <v>95821</v>
          </cell>
        </row>
        <row r="1499">
          <cell r="B1499" t="str">
            <v>Oak Island</v>
          </cell>
          <cell r="C1499">
            <v>91021</v>
          </cell>
        </row>
        <row r="1500">
          <cell r="B1500" t="str">
            <v>Oak Island ABC Bd</v>
          </cell>
          <cell r="C1500">
            <v>91027</v>
          </cell>
        </row>
        <row r="1501">
          <cell r="B1501" t="str">
            <v>Oak Ridge</v>
          </cell>
          <cell r="C1501">
            <v>94161</v>
          </cell>
        </row>
        <row r="1502">
          <cell r="B1502" t="str">
            <v>Oakboro</v>
          </cell>
          <cell r="C1502">
            <v>98441</v>
          </cell>
        </row>
        <row r="1503">
          <cell r="B1503" t="str">
            <v>Ocean Isle Beach</v>
          </cell>
          <cell r="C1503">
            <v>91061</v>
          </cell>
        </row>
        <row r="1504">
          <cell r="B1504" t="str">
            <v>Ocean Isle Beach ABC Board</v>
          </cell>
          <cell r="C1504">
            <v>91067</v>
          </cell>
        </row>
        <row r="1505">
          <cell r="B1505" t="str">
            <v>Ocracoke Sanitary Dist</v>
          </cell>
          <cell r="C1505">
            <v>94812</v>
          </cell>
        </row>
        <row r="1506">
          <cell r="B1506" t="str">
            <v>Old Fort</v>
          </cell>
          <cell r="C1506">
            <v>95921</v>
          </cell>
        </row>
        <row r="1507">
          <cell r="B1507" t="str">
            <v>Onslow County</v>
          </cell>
          <cell r="C1507">
            <v>96701</v>
          </cell>
        </row>
        <row r="1508">
          <cell r="B1508" t="str">
            <v>Onslow County ABC Board</v>
          </cell>
          <cell r="C1508">
            <v>96704</v>
          </cell>
        </row>
        <row r="1509">
          <cell r="B1509" t="str">
            <v>Onslow Water &amp; Sewer Authority</v>
          </cell>
          <cell r="C1509">
            <v>96708</v>
          </cell>
        </row>
        <row r="1510">
          <cell r="B1510" t="str">
            <v>Orange County</v>
          </cell>
          <cell r="C1510">
            <v>96801</v>
          </cell>
        </row>
        <row r="1511">
          <cell r="B1511" t="str">
            <v>Orange County ABC Board</v>
          </cell>
          <cell r="C1511">
            <v>96804</v>
          </cell>
        </row>
        <row r="1512">
          <cell r="B1512" t="str">
            <v>Orange Water And Sewer Authority</v>
          </cell>
          <cell r="C1512">
            <v>96808</v>
          </cell>
        </row>
        <row r="1513">
          <cell r="B1513" t="str">
            <v>Oriental</v>
          </cell>
          <cell r="C1513">
            <v>96912</v>
          </cell>
        </row>
        <row r="1514">
          <cell r="B1514" t="str">
            <v>Oxford</v>
          </cell>
          <cell r="C1514">
            <v>93911</v>
          </cell>
        </row>
        <row r="1515">
          <cell r="B1515" t="str">
            <v>Oxford Housing Authority</v>
          </cell>
          <cell r="C1515">
            <v>93913</v>
          </cell>
        </row>
        <row r="1516">
          <cell r="B1516" t="str">
            <v>Pamlico County</v>
          </cell>
          <cell r="C1516">
            <v>96901</v>
          </cell>
        </row>
        <row r="1517">
          <cell r="B1517" t="str">
            <v>Parkton</v>
          </cell>
          <cell r="C1517">
            <v>97841</v>
          </cell>
        </row>
        <row r="1518">
          <cell r="B1518" t="str">
            <v>Parkwood Fire Department</v>
          </cell>
          <cell r="C1518">
            <v>93202</v>
          </cell>
        </row>
        <row r="1519">
          <cell r="B1519" t="str">
            <v>Partners Behavioral Health Management</v>
          </cell>
          <cell r="C1519">
            <v>93609</v>
          </cell>
        </row>
        <row r="1520">
          <cell r="B1520" t="str">
            <v>Pasquotank Co ABC Board</v>
          </cell>
          <cell r="C1520">
            <v>97004</v>
          </cell>
        </row>
        <row r="1521">
          <cell r="B1521" t="str">
            <v>Pasquotank County</v>
          </cell>
          <cell r="C1521">
            <v>97001</v>
          </cell>
        </row>
        <row r="1522">
          <cell r="B1522" t="str">
            <v>Pasquotank-Camden Ambulance Service</v>
          </cell>
          <cell r="C1522">
            <v>97002</v>
          </cell>
        </row>
        <row r="1523">
          <cell r="B1523" t="str">
            <v>Pasquotank-Camden Library</v>
          </cell>
          <cell r="C1523">
            <v>97015</v>
          </cell>
        </row>
        <row r="1524">
          <cell r="B1524" t="str">
            <v>Peachland</v>
          </cell>
          <cell r="C1524">
            <v>90441</v>
          </cell>
        </row>
        <row r="1525">
          <cell r="B1525" t="str">
            <v>Pembroke</v>
          </cell>
          <cell r="C1525">
            <v>97851</v>
          </cell>
        </row>
        <row r="1526">
          <cell r="B1526" t="str">
            <v>Pembroke Housing Authority</v>
          </cell>
          <cell r="C1526">
            <v>97853</v>
          </cell>
        </row>
        <row r="1527">
          <cell r="B1527" t="str">
            <v>Pender County</v>
          </cell>
          <cell r="C1527">
            <v>97101</v>
          </cell>
        </row>
        <row r="1528">
          <cell r="B1528" t="str">
            <v>Pender County ABC Board</v>
          </cell>
          <cell r="C1528">
            <v>97104</v>
          </cell>
        </row>
        <row r="1529">
          <cell r="B1529" t="str">
            <v>Perquimans County</v>
          </cell>
          <cell r="C1529">
            <v>97201</v>
          </cell>
        </row>
        <row r="1530">
          <cell r="B1530" t="str">
            <v>Person Co ABC Bd</v>
          </cell>
          <cell r="C1530">
            <v>97304</v>
          </cell>
        </row>
        <row r="1531">
          <cell r="B1531" t="str">
            <v>Person County</v>
          </cell>
          <cell r="C1531">
            <v>97301</v>
          </cell>
        </row>
        <row r="1532">
          <cell r="B1532" t="str">
            <v>Pettigrew Regional Library</v>
          </cell>
          <cell r="C1532">
            <v>99405</v>
          </cell>
        </row>
        <row r="1533">
          <cell r="B1533" t="str">
            <v>Piedmont Triad Airport Authority</v>
          </cell>
          <cell r="C1533">
            <v>72265</v>
          </cell>
        </row>
        <row r="1534">
          <cell r="B1534" t="str">
            <v>Piedmont Triad Reg Water Auth</v>
          </cell>
          <cell r="C1534">
            <v>94112</v>
          </cell>
        </row>
        <row r="1535">
          <cell r="B1535" t="str">
            <v>Piedmont Triad Regional Council</v>
          </cell>
          <cell r="C1535">
            <v>93406</v>
          </cell>
        </row>
        <row r="1536">
          <cell r="B1536" t="str">
            <v>Pikeville</v>
          </cell>
          <cell r="C1536">
            <v>99651</v>
          </cell>
        </row>
        <row r="1537">
          <cell r="B1537" t="str">
            <v>Pilot Mountain</v>
          </cell>
          <cell r="C1537">
            <v>98611</v>
          </cell>
        </row>
        <row r="1538">
          <cell r="B1538" t="str">
            <v>Pilot Mountain ABC Board</v>
          </cell>
          <cell r="C1538">
            <v>98607</v>
          </cell>
        </row>
        <row r="1539">
          <cell r="B1539" t="str">
            <v>Pine Knoll Shores</v>
          </cell>
          <cell r="C1539">
            <v>91641</v>
          </cell>
        </row>
        <row r="1540">
          <cell r="B1540" t="str">
            <v>Pine Level</v>
          </cell>
          <cell r="C1540">
            <v>95161</v>
          </cell>
        </row>
        <row r="1541">
          <cell r="B1541" t="str">
            <v>Pinebluff</v>
          </cell>
          <cell r="C1541">
            <v>96361</v>
          </cell>
        </row>
        <row r="1542">
          <cell r="B1542" t="str">
            <v>Pinecroft-Sedgefield Fire Dist Inc</v>
          </cell>
          <cell r="C1542">
            <v>94108</v>
          </cell>
        </row>
        <row r="1543">
          <cell r="B1543" t="str">
            <v>Pinehurst</v>
          </cell>
          <cell r="C1543">
            <v>96351</v>
          </cell>
        </row>
        <row r="1544">
          <cell r="B1544" t="str">
            <v>Pinetops</v>
          </cell>
          <cell r="C1544">
            <v>93331</v>
          </cell>
        </row>
        <row r="1545">
          <cell r="B1545" t="str">
            <v>Pineville</v>
          </cell>
          <cell r="C1545">
            <v>96021</v>
          </cell>
        </row>
        <row r="1546">
          <cell r="B1546" t="str">
            <v>Pink Hill</v>
          </cell>
          <cell r="C1546">
            <v>95421</v>
          </cell>
        </row>
        <row r="1547">
          <cell r="B1547" t="str">
            <v>Pitt County</v>
          </cell>
          <cell r="C1547">
            <v>97401</v>
          </cell>
        </row>
        <row r="1548">
          <cell r="B1548" t="str">
            <v>Pitt County ABC Board</v>
          </cell>
          <cell r="C1548">
            <v>97404</v>
          </cell>
        </row>
        <row r="1549">
          <cell r="B1549" t="str">
            <v>Pitt-Greenville Conv &amp; Vistors</v>
          </cell>
          <cell r="C1549">
            <v>97402</v>
          </cell>
        </row>
        <row r="1550">
          <cell r="B1550" t="str">
            <v>Pittsboro</v>
          </cell>
          <cell r="C1550">
            <v>91921</v>
          </cell>
        </row>
        <row r="1551">
          <cell r="B1551" t="str">
            <v>Pleasant Garden Fire Dept</v>
          </cell>
          <cell r="C1551">
            <v>95908</v>
          </cell>
        </row>
        <row r="1552">
          <cell r="B1552" t="str">
            <v>Plymouth</v>
          </cell>
          <cell r="C1552">
            <v>99411</v>
          </cell>
        </row>
        <row r="1553">
          <cell r="B1553" t="str">
            <v>Plymouth Housing Authority</v>
          </cell>
          <cell r="C1553">
            <v>99413</v>
          </cell>
        </row>
        <row r="1554">
          <cell r="B1554" t="str">
            <v>Polk County</v>
          </cell>
          <cell r="C1554">
            <v>97501</v>
          </cell>
        </row>
        <row r="1555">
          <cell r="B1555" t="str">
            <v>Polkton</v>
          </cell>
          <cell r="C1555">
            <v>90431</v>
          </cell>
        </row>
        <row r="1556">
          <cell r="B1556" t="str">
            <v>Pollocksville</v>
          </cell>
          <cell r="C1556">
            <v>95211</v>
          </cell>
        </row>
        <row r="1557">
          <cell r="B1557" t="str">
            <v>Princeton</v>
          </cell>
          <cell r="C1557">
            <v>95181</v>
          </cell>
        </row>
        <row r="1558">
          <cell r="B1558" t="str">
            <v>Princeville</v>
          </cell>
          <cell r="C1558">
            <v>93351</v>
          </cell>
        </row>
        <row r="1559">
          <cell r="B1559" t="str">
            <v>Public Library Of Johnston Co And Smithfield</v>
          </cell>
          <cell r="C1559">
            <v>95105</v>
          </cell>
        </row>
        <row r="1560">
          <cell r="B1560" t="str">
            <v>Public Works Comm Cty Of Fayetteville</v>
          </cell>
          <cell r="C1560">
            <v>92614</v>
          </cell>
        </row>
        <row r="1561">
          <cell r="B1561" t="str">
            <v>Raeford</v>
          </cell>
          <cell r="C1561">
            <v>94711</v>
          </cell>
        </row>
        <row r="1562">
          <cell r="B1562" t="str">
            <v>Raleigh</v>
          </cell>
          <cell r="C1562">
            <v>99211</v>
          </cell>
        </row>
        <row r="1563">
          <cell r="B1563" t="str">
            <v>Raleigh-Durham Airport Authority</v>
          </cell>
          <cell r="C1563">
            <v>99218</v>
          </cell>
        </row>
        <row r="1564">
          <cell r="B1564" t="str">
            <v>RaleighHousingAuthority</v>
          </cell>
          <cell r="C1564">
            <v>99213</v>
          </cell>
        </row>
        <row r="1565">
          <cell r="B1565" t="str">
            <v>Ramseur</v>
          </cell>
          <cell r="C1565">
            <v>97641</v>
          </cell>
        </row>
        <row r="1566">
          <cell r="B1566" t="str">
            <v>Randleman</v>
          </cell>
          <cell r="C1566">
            <v>97621</v>
          </cell>
        </row>
        <row r="1567">
          <cell r="B1567" t="str">
            <v>RandlemanABCBoard</v>
          </cell>
          <cell r="C1567">
            <v>97627</v>
          </cell>
        </row>
        <row r="1568">
          <cell r="B1568" t="str">
            <v>RandlemanHousingAuthority</v>
          </cell>
          <cell r="C1568">
            <v>97623</v>
          </cell>
        </row>
        <row r="1569">
          <cell r="B1569" t="str">
            <v>Randolph County</v>
          </cell>
          <cell r="C1569">
            <v>97601</v>
          </cell>
        </row>
        <row r="1570">
          <cell r="B1570" t="str">
            <v>Ranlo</v>
          </cell>
          <cell r="C1570">
            <v>93681</v>
          </cell>
        </row>
        <row r="1571">
          <cell r="B1571" t="str">
            <v>Red Springs</v>
          </cell>
          <cell r="C1571">
            <v>97871</v>
          </cell>
        </row>
        <row r="1572">
          <cell r="B1572" t="str">
            <v>Red Springs ABC Board</v>
          </cell>
          <cell r="C1572">
            <v>97877</v>
          </cell>
        </row>
        <row r="1573">
          <cell r="B1573" t="str">
            <v>Region D Council Of Governments</v>
          </cell>
          <cell r="C1573">
            <v>99502</v>
          </cell>
        </row>
        <row r="1574">
          <cell r="B1574" t="str">
            <v>Reidsville</v>
          </cell>
          <cell r="C1574">
            <v>97911</v>
          </cell>
        </row>
        <row r="1575">
          <cell r="B1575" t="str">
            <v>Reidsville ABC Board</v>
          </cell>
          <cell r="C1575">
            <v>97917</v>
          </cell>
        </row>
        <row r="1576">
          <cell r="B1576" t="str">
            <v>Rich Square</v>
          </cell>
          <cell r="C1576">
            <v>96611</v>
          </cell>
        </row>
        <row r="1577">
          <cell r="B1577" t="str">
            <v>Richlands</v>
          </cell>
          <cell r="C1577">
            <v>96741</v>
          </cell>
        </row>
        <row r="1578">
          <cell r="B1578" t="str">
            <v>Richmond County</v>
          </cell>
          <cell r="C1578">
            <v>97701</v>
          </cell>
        </row>
        <row r="1579">
          <cell r="B1579" t="str">
            <v>River Bend</v>
          </cell>
          <cell r="C1579">
            <v>92541</v>
          </cell>
        </row>
        <row r="1580">
          <cell r="B1580" t="str">
            <v>Roanoke Rapids Sanitary District</v>
          </cell>
          <cell r="C1580">
            <v>94209</v>
          </cell>
        </row>
        <row r="1581">
          <cell r="B1581" t="str">
            <v>RoanokeRapids</v>
          </cell>
          <cell r="C1581">
            <v>94221</v>
          </cell>
        </row>
        <row r="1582">
          <cell r="B1582" t="str">
            <v>Robbins</v>
          </cell>
          <cell r="C1582">
            <v>96341</v>
          </cell>
        </row>
        <row r="1583">
          <cell r="B1583" t="str">
            <v>Robbinsville</v>
          </cell>
          <cell r="C1583">
            <v>93821</v>
          </cell>
        </row>
        <row r="1584">
          <cell r="B1584" t="str">
            <v>Robersonville</v>
          </cell>
          <cell r="C1584">
            <v>95851</v>
          </cell>
        </row>
        <row r="1585">
          <cell r="B1585" t="str">
            <v>Robersonville Housing Authority</v>
          </cell>
          <cell r="C1585">
            <v>95853</v>
          </cell>
        </row>
        <row r="1586">
          <cell r="B1586" t="str">
            <v>Robeson County</v>
          </cell>
          <cell r="C1586">
            <v>97801</v>
          </cell>
        </row>
        <row r="1587">
          <cell r="B1587" t="str">
            <v>Robeson County Housing Authority</v>
          </cell>
          <cell r="C1587">
            <v>97803</v>
          </cell>
        </row>
        <row r="1588">
          <cell r="B1588" t="str">
            <v>Robeson County Public Library</v>
          </cell>
          <cell r="C1588">
            <v>97805</v>
          </cell>
        </row>
        <row r="1589">
          <cell r="B1589" t="str">
            <v>Rockingham</v>
          </cell>
          <cell r="C1589">
            <v>97711</v>
          </cell>
        </row>
        <row r="1590">
          <cell r="B1590" t="str">
            <v>Rockingham County</v>
          </cell>
          <cell r="C1590">
            <v>97901</v>
          </cell>
        </row>
        <row r="1591">
          <cell r="B1591" t="str">
            <v>Rockingham Housing Authority</v>
          </cell>
          <cell r="C1591">
            <v>97713</v>
          </cell>
        </row>
        <row r="1592">
          <cell r="B1592" t="str">
            <v>RockinghamABCBoard</v>
          </cell>
          <cell r="C1592">
            <v>97727</v>
          </cell>
        </row>
        <row r="1593">
          <cell r="B1593" t="str">
            <v>Rockwell</v>
          </cell>
          <cell r="C1593">
            <v>98071</v>
          </cell>
        </row>
        <row r="1594">
          <cell r="B1594" t="str">
            <v>Rocky Mount-Wilson Airport Authority</v>
          </cell>
          <cell r="C1594">
            <v>93323</v>
          </cell>
        </row>
        <row r="1595">
          <cell r="B1595" t="str">
            <v>Rocky Mt Housing Authority</v>
          </cell>
          <cell r="C1595">
            <v>93333</v>
          </cell>
        </row>
        <row r="1596">
          <cell r="B1596" t="str">
            <v>RockyMount</v>
          </cell>
          <cell r="C1596">
            <v>93321</v>
          </cell>
        </row>
        <row r="1597">
          <cell r="B1597" t="str">
            <v>Rolesville</v>
          </cell>
          <cell r="C1597">
            <v>99203</v>
          </cell>
        </row>
        <row r="1598">
          <cell r="B1598" t="str">
            <v>Roper</v>
          </cell>
          <cell r="C1598">
            <v>99421</v>
          </cell>
        </row>
        <row r="1599">
          <cell r="B1599" t="str">
            <v>Rose Hill</v>
          </cell>
          <cell r="C1599">
            <v>93161</v>
          </cell>
        </row>
        <row r="1600">
          <cell r="B1600" t="str">
            <v>Roseboro</v>
          </cell>
          <cell r="C1600">
            <v>98261</v>
          </cell>
        </row>
        <row r="1601">
          <cell r="B1601" t="str">
            <v>Roseboro ABC Board</v>
          </cell>
          <cell r="C1601">
            <v>98237</v>
          </cell>
        </row>
        <row r="1602">
          <cell r="B1602" t="str">
            <v>Rowan Co Housing Authority</v>
          </cell>
          <cell r="C1602">
            <v>98003</v>
          </cell>
        </row>
        <row r="1603">
          <cell r="B1603" t="str">
            <v>Rowan Co Soil &amp; Water Conv Dist</v>
          </cell>
          <cell r="C1603">
            <v>98008</v>
          </cell>
        </row>
        <row r="1604">
          <cell r="B1604" t="str">
            <v>Rowan Convention &amp; Vistors Bureau</v>
          </cell>
          <cell r="C1604">
            <v>98002</v>
          </cell>
        </row>
        <row r="1605">
          <cell r="B1605" t="str">
            <v>Rowan County</v>
          </cell>
          <cell r="C1605">
            <v>98001</v>
          </cell>
        </row>
        <row r="1606">
          <cell r="B1606" t="str">
            <v>Rowan County ABC Board</v>
          </cell>
          <cell r="C1606">
            <v>98004</v>
          </cell>
        </row>
        <row r="1607">
          <cell r="B1607" t="str">
            <v>Rowland</v>
          </cell>
          <cell r="C1607">
            <v>97861</v>
          </cell>
        </row>
        <row r="1608">
          <cell r="B1608" t="str">
            <v>Roxboro</v>
          </cell>
          <cell r="C1608">
            <v>97311</v>
          </cell>
        </row>
        <row r="1609">
          <cell r="B1609" t="str">
            <v>Rural Hall</v>
          </cell>
          <cell r="C1609">
            <v>93431</v>
          </cell>
        </row>
        <row r="1610">
          <cell r="B1610" t="str">
            <v>Rutherford College</v>
          </cell>
          <cell r="C1610">
            <v>91214</v>
          </cell>
        </row>
        <row r="1611">
          <cell r="B1611" t="str">
            <v>Rutherford County</v>
          </cell>
          <cell r="C1611">
            <v>98101</v>
          </cell>
        </row>
        <row r="1612">
          <cell r="B1612" t="str">
            <v>Rutherford Polk Mcdowell Dist Brd Of Health</v>
          </cell>
          <cell r="C1612">
            <v>98103</v>
          </cell>
        </row>
        <row r="1613">
          <cell r="B1613" t="str">
            <v>Rutherfordton</v>
          </cell>
          <cell r="C1613">
            <v>98141</v>
          </cell>
        </row>
        <row r="1614">
          <cell r="B1614" t="str">
            <v>Rutherfordton ABC Brd</v>
          </cell>
          <cell r="C1614">
            <v>98147</v>
          </cell>
        </row>
        <row r="1615">
          <cell r="B1615" t="str">
            <v>Salemburg</v>
          </cell>
          <cell r="C1615">
            <v>98221</v>
          </cell>
        </row>
        <row r="1616">
          <cell r="B1616" t="str">
            <v>Salisbury</v>
          </cell>
          <cell r="C1616">
            <v>98011</v>
          </cell>
        </row>
        <row r="1617">
          <cell r="B1617" t="str">
            <v>Saluda</v>
          </cell>
          <cell r="C1617">
            <v>97531</v>
          </cell>
        </row>
        <row r="1618">
          <cell r="B1618" t="str">
            <v>Sampson County</v>
          </cell>
          <cell r="C1618">
            <v>98201</v>
          </cell>
        </row>
        <row r="1619">
          <cell r="B1619" t="str">
            <v>Sandhill Regional Library</v>
          </cell>
          <cell r="C1619">
            <v>97705</v>
          </cell>
        </row>
        <row r="1620">
          <cell r="B1620" t="str">
            <v>Sandhills Center</v>
          </cell>
          <cell r="C1620">
            <v>96318</v>
          </cell>
        </row>
        <row r="1621">
          <cell r="B1621" t="str">
            <v>Sanford</v>
          </cell>
          <cell r="C1621">
            <v>95311</v>
          </cell>
        </row>
        <row r="1622">
          <cell r="B1622" t="str">
            <v>Sanford ABC Board</v>
          </cell>
          <cell r="C1622">
            <v>95317</v>
          </cell>
        </row>
        <row r="1623">
          <cell r="B1623" t="str">
            <v>Sawmills</v>
          </cell>
          <cell r="C1623">
            <v>91421</v>
          </cell>
        </row>
        <row r="1624">
          <cell r="B1624" t="str">
            <v>Scotland County</v>
          </cell>
          <cell r="C1624">
            <v>98301</v>
          </cell>
        </row>
        <row r="1625">
          <cell r="B1625" t="str">
            <v>Scotland County ABC Board</v>
          </cell>
          <cell r="C1625">
            <v>98304</v>
          </cell>
        </row>
        <row r="1626">
          <cell r="B1626" t="str">
            <v>Scotland Neck</v>
          </cell>
          <cell r="C1626">
            <v>94241</v>
          </cell>
        </row>
        <row r="1627">
          <cell r="B1627" t="str">
            <v>Seaboard</v>
          </cell>
          <cell r="C1627">
            <v>96681</v>
          </cell>
        </row>
        <row r="1628">
          <cell r="B1628" t="str">
            <v>Seagrove</v>
          </cell>
          <cell r="C1628">
            <v>72593</v>
          </cell>
        </row>
        <row r="1629">
          <cell r="B1629" t="str">
            <v>Selma</v>
          </cell>
          <cell r="C1629">
            <v>95121</v>
          </cell>
        </row>
        <row r="1630">
          <cell r="B1630" t="str">
            <v>Selma Housing Authority</v>
          </cell>
          <cell r="C1630">
            <v>95123</v>
          </cell>
        </row>
        <row r="1631">
          <cell r="B1631" t="str">
            <v>Seven Devils</v>
          </cell>
          <cell r="C1631">
            <v>99531</v>
          </cell>
        </row>
        <row r="1632">
          <cell r="B1632" t="str">
            <v>Severn</v>
          </cell>
          <cell r="C1632">
            <v>96671</v>
          </cell>
        </row>
        <row r="1633">
          <cell r="B1633" t="str">
            <v>Shallotte</v>
          </cell>
          <cell r="C1633">
            <v>91081</v>
          </cell>
        </row>
        <row r="1634">
          <cell r="B1634" t="str">
            <v>Shallotte ABC Board</v>
          </cell>
          <cell r="C1634">
            <v>91057</v>
          </cell>
        </row>
        <row r="1635">
          <cell r="B1635" t="str">
            <v>Sharpsburg</v>
          </cell>
          <cell r="C1635">
            <v>96461</v>
          </cell>
        </row>
        <row r="1636">
          <cell r="B1636" t="str">
            <v>Shelby</v>
          </cell>
          <cell r="C1636">
            <v>92311</v>
          </cell>
        </row>
        <row r="1637">
          <cell r="B1637" t="str">
            <v>Shelby ABC Board</v>
          </cell>
          <cell r="C1637">
            <v>92317</v>
          </cell>
        </row>
        <row r="1638">
          <cell r="B1638" t="str">
            <v>Sheppard Memorial Library</v>
          </cell>
          <cell r="C1638">
            <v>97405</v>
          </cell>
        </row>
        <row r="1639">
          <cell r="B1639" t="str">
            <v>Siler City</v>
          </cell>
          <cell r="C1639">
            <v>91911</v>
          </cell>
        </row>
        <row r="1640">
          <cell r="B1640" t="str">
            <v>Siler City ABC Board</v>
          </cell>
          <cell r="C1640">
            <v>91917</v>
          </cell>
        </row>
        <row r="1641">
          <cell r="B1641" t="str">
            <v>Simpson</v>
          </cell>
          <cell r="C1641">
            <v>97481</v>
          </cell>
        </row>
        <row r="1642">
          <cell r="B1642" t="str">
            <v>Skyland Vol Fire Dept</v>
          </cell>
          <cell r="C1642">
            <v>91138</v>
          </cell>
        </row>
        <row r="1643">
          <cell r="B1643" t="str">
            <v>Smithfield</v>
          </cell>
          <cell r="C1643">
            <v>95111</v>
          </cell>
        </row>
        <row r="1644">
          <cell r="B1644" t="str">
            <v>Smithfield Housing Authority</v>
          </cell>
          <cell r="C1644">
            <v>95113</v>
          </cell>
        </row>
        <row r="1645">
          <cell r="B1645" t="str">
            <v>Snow Hill</v>
          </cell>
          <cell r="C1645">
            <v>94021</v>
          </cell>
        </row>
        <row r="1646">
          <cell r="B1646" t="str">
            <v>South Eastern Economic Development Comm</v>
          </cell>
          <cell r="C1646">
            <v>90918</v>
          </cell>
        </row>
        <row r="1647">
          <cell r="B1647" t="str">
            <v>South Granville Water And Sewer Authority</v>
          </cell>
          <cell r="C1647">
            <v>93910</v>
          </cell>
        </row>
        <row r="1648">
          <cell r="B1648" t="str">
            <v>Southeast Brunswick Sanitary District</v>
          </cell>
          <cell r="C1648">
            <v>91013</v>
          </cell>
        </row>
        <row r="1649">
          <cell r="B1649" t="str">
            <v>Southern Pines</v>
          </cell>
          <cell r="C1649">
            <v>96311</v>
          </cell>
        </row>
        <row r="1650">
          <cell r="B1650" t="str">
            <v>Southern Shores</v>
          </cell>
          <cell r="C1650">
            <v>92841</v>
          </cell>
        </row>
        <row r="1651">
          <cell r="B1651" t="str">
            <v>Southern Wayne Sanitary District</v>
          </cell>
          <cell r="C1651">
            <v>99609</v>
          </cell>
        </row>
        <row r="1652">
          <cell r="B1652" t="str">
            <v>Southport</v>
          </cell>
          <cell r="C1652">
            <v>91011</v>
          </cell>
        </row>
        <row r="1653">
          <cell r="B1653" t="str">
            <v>SouthportABCBoard</v>
          </cell>
          <cell r="C1653">
            <v>91017</v>
          </cell>
        </row>
        <row r="1654">
          <cell r="B1654" t="str">
            <v>Southwestern Nc Planning &amp; Econ.Dev.Commis.</v>
          </cell>
          <cell r="C1654">
            <v>95008</v>
          </cell>
        </row>
        <row r="1655">
          <cell r="B1655" t="str">
            <v>Sparta</v>
          </cell>
          <cell r="C1655">
            <v>72657</v>
          </cell>
        </row>
        <row r="1656">
          <cell r="B1656" t="str">
            <v>Sparta ABC Board</v>
          </cell>
          <cell r="C1656">
            <v>90307</v>
          </cell>
        </row>
        <row r="1657">
          <cell r="B1657" t="str">
            <v>Spencer</v>
          </cell>
          <cell r="C1657">
            <v>98031</v>
          </cell>
        </row>
        <row r="1658">
          <cell r="B1658" t="str">
            <v>Spindale</v>
          </cell>
          <cell r="C1658">
            <v>98121</v>
          </cell>
        </row>
        <row r="1659">
          <cell r="B1659" t="str">
            <v>Spring Hope</v>
          </cell>
          <cell r="C1659">
            <v>96411</v>
          </cell>
        </row>
        <row r="1660">
          <cell r="B1660" t="str">
            <v>Spring Lake</v>
          </cell>
          <cell r="C1660">
            <v>92661</v>
          </cell>
        </row>
        <row r="1661">
          <cell r="B1661" t="str">
            <v>Spruce Pine</v>
          </cell>
          <cell r="C1661">
            <v>96111</v>
          </cell>
        </row>
        <row r="1662">
          <cell r="B1662" t="str">
            <v>St James</v>
          </cell>
          <cell r="C1662">
            <v>91032</v>
          </cell>
        </row>
        <row r="1663">
          <cell r="B1663" t="str">
            <v>St Pauls</v>
          </cell>
          <cell r="C1663">
            <v>97831</v>
          </cell>
        </row>
        <row r="1664">
          <cell r="B1664" t="str">
            <v>St Paul'S Brd Of Alcoholic Ctl</v>
          </cell>
          <cell r="C1664">
            <v>97837</v>
          </cell>
        </row>
        <row r="1665">
          <cell r="B1665" t="str">
            <v>Stallings</v>
          </cell>
          <cell r="C1665">
            <v>96061</v>
          </cell>
        </row>
        <row r="1666">
          <cell r="B1666" t="str">
            <v>Stanfield</v>
          </cell>
          <cell r="C1666">
            <v>98481</v>
          </cell>
        </row>
        <row r="1667">
          <cell r="B1667" t="str">
            <v>Stanley</v>
          </cell>
          <cell r="C1667">
            <v>93602</v>
          </cell>
        </row>
        <row r="1668">
          <cell r="B1668" t="str">
            <v>Stanly County</v>
          </cell>
          <cell r="C1668">
            <v>98401</v>
          </cell>
        </row>
        <row r="1669">
          <cell r="B1669" t="str">
            <v>Stantonsburg</v>
          </cell>
          <cell r="C1669">
            <v>99821</v>
          </cell>
        </row>
        <row r="1670">
          <cell r="B1670" t="str">
            <v>Star</v>
          </cell>
          <cell r="C1670">
            <v>96211</v>
          </cell>
        </row>
        <row r="1671">
          <cell r="B1671" t="str">
            <v>Statesville</v>
          </cell>
          <cell r="C1671">
            <v>94911</v>
          </cell>
        </row>
        <row r="1672">
          <cell r="B1672" t="str">
            <v>Statesville ABC Board</v>
          </cell>
          <cell r="C1672">
            <v>94917</v>
          </cell>
        </row>
        <row r="1673">
          <cell r="B1673" t="str">
            <v>Stedman</v>
          </cell>
          <cell r="C1673">
            <v>92621</v>
          </cell>
        </row>
        <row r="1674">
          <cell r="B1674" t="str">
            <v>Stokes County</v>
          </cell>
          <cell r="C1674">
            <v>98501</v>
          </cell>
        </row>
        <row r="1675">
          <cell r="B1675" t="str">
            <v>Stoneville</v>
          </cell>
          <cell r="C1675">
            <v>97931</v>
          </cell>
        </row>
        <row r="1676">
          <cell r="B1676" t="str">
            <v>Stovall</v>
          </cell>
          <cell r="C1676">
            <v>93914</v>
          </cell>
        </row>
        <row r="1677">
          <cell r="B1677" t="str">
            <v>Sugar Mountain</v>
          </cell>
          <cell r="C1677">
            <v>90651</v>
          </cell>
        </row>
        <row r="1678">
          <cell r="B1678" t="str">
            <v>Summerfield</v>
          </cell>
          <cell r="C1678">
            <v>94171</v>
          </cell>
        </row>
        <row r="1679">
          <cell r="B1679" t="str">
            <v>Summerfield Fire District</v>
          </cell>
          <cell r="C1679">
            <v>94172</v>
          </cell>
        </row>
        <row r="1680">
          <cell r="B1680" t="str">
            <v>Sunset Beach</v>
          </cell>
          <cell r="C1680">
            <v>91041</v>
          </cell>
        </row>
        <row r="1681">
          <cell r="B1681" t="str">
            <v>Sunset Beach ABC Board</v>
          </cell>
          <cell r="C1681">
            <v>91047</v>
          </cell>
        </row>
        <row r="1682">
          <cell r="B1682" t="str">
            <v>Surf City</v>
          </cell>
          <cell r="C1682">
            <v>97131</v>
          </cell>
        </row>
        <row r="1683">
          <cell r="B1683" t="str">
            <v>Surry County</v>
          </cell>
          <cell r="C1683">
            <v>98601</v>
          </cell>
        </row>
        <row r="1684">
          <cell r="B1684" t="str">
            <v>Swain County</v>
          </cell>
          <cell r="C1684">
            <v>98701</v>
          </cell>
        </row>
        <row r="1685">
          <cell r="B1685" t="str">
            <v>Swansboro</v>
          </cell>
          <cell r="C1685">
            <v>96721</v>
          </cell>
        </row>
        <row r="1686">
          <cell r="B1686" t="str">
            <v>Sylva</v>
          </cell>
          <cell r="C1686">
            <v>95011</v>
          </cell>
        </row>
        <row r="1687">
          <cell r="B1687" t="str">
            <v>Tabor City</v>
          </cell>
          <cell r="C1687">
            <v>92451</v>
          </cell>
        </row>
        <row r="1688">
          <cell r="B1688" t="str">
            <v>Tarboro</v>
          </cell>
          <cell r="C1688">
            <v>93311</v>
          </cell>
        </row>
        <row r="1689">
          <cell r="B1689" t="str">
            <v>Tarboro Redevelopment Commission</v>
          </cell>
          <cell r="C1689">
            <v>93317</v>
          </cell>
        </row>
        <row r="1690">
          <cell r="B1690" t="str">
            <v>Taylorsville</v>
          </cell>
          <cell r="C1690">
            <v>90211</v>
          </cell>
        </row>
        <row r="1691">
          <cell r="B1691" t="str">
            <v>Taylortown</v>
          </cell>
          <cell r="C1691">
            <v>96302</v>
          </cell>
        </row>
        <row r="1692">
          <cell r="B1692" t="str">
            <v>Teachey</v>
          </cell>
          <cell r="C1692">
            <v>93181</v>
          </cell>
        </row>
        <row r="1693">
          <cell r="B1693" t="str">
            <v>Thomasville</v>
          </cell>
          <cell r="C1693">
            <v>92911</v>
          </cell>
        </row>
        <row r="1694">
          <cell r="B1694" t="str">
            <v>Thomasville ABC Board</v>
          </cell>
          <cell r="C1694">
            <v>92914</v>
          </cell>
        </row>
        <row r="1695">
          <cell r="B1695" t="str">
            <v>Thomasville Housing Authority</v>
          </cell>
          <cell r="C1695">
            <v>92913</v>
          </cell>
        </row>
        <row r="1696">
          <cell r="B1696" t="str">
            <v>Tobaccoville</v>
          </cell>
          <cell r="C1696">
            <v>93471</v>
          </cell>
        </row>
        <row r="1697">
          <cell r="B1697" t="str">
            <v>Toe River Health District</v>
          </cell>
          <cell r="C1697">
            <v>90098</v>
          </cell>
        </row>
        <row r="1698">
          <cell r="B1698" t="str">
            <v>Topsail Beach</v>
          </cell>
          <cell r="C1698">
            <v>97121</v>
          </cell>
        </row>
        <row r="1699">
          <cell r="B1699" t="str">
            <v>Transylvania County</v>
          </cell>
          <cell r="C1699">
            <v>98801</v>
          </cell>
        </row>
        <row r="1700">
          <cell r="B1700" t="str">
            <v>Trent Woods</v>
          </cell>
          <cell r="C1700">
            <v>92521</v>
          </cell>
        </row>
        <row r="1701">
          <cell r="B1701" t="str">
            <v>Triad Municipal ABC Board</v>
          </cell>
          <cell r="C1701">
            <v>93417</v>
          </cell>
        </row>
        <row r="1702">
          <cell r="B1702" t="str">
            <v>Triangle J Council Of Governments</v>
          </cell>
          <cell r="C1702">
            <v>93219</v>
          </cell>
        </row>
        <row r="1703">
          <cell r="B1703" t="str">
            <v>Trillium Health Resources</v>
          </cell>
          <cell r="C1703">
            <v>92513</v>
          </cell>
        </row>
        <row r="1704">
          <cell r="B1704" t="str">
            <v>Trinity</v>
          </cell>
          <cell r="C1704">
            <v>97661</v>
          </cell>
        </row>
        <row r="1705">
          <cell r="B1705" t="str">
            <v>Troutman</v>
          </cell>
          <cell r="C1705">
            <v>94931</v>
          </cell>
        </row>
        <row r="1706">
          <cell r="B1706" t="str">
            <v>Troy</v>
          </cell>
          <cell r="C1706">
            <v>96221</v>
          </cell>
        </row>
        <row r="1707">
          <cell r="B1707" t="str">
            <v>Tryon</v>
          </cell>
          <cell r="C1707">
            <v>97511</v>
          </cell>
        </row>
        <row r="1708">
          <cell r="B1708" t="str">
            <v>Tuckaseigee Water Authority</v>
          </cell>
          <cell r="C1708">
            <v>95002</v>
          </cell>
        </row>
        <row r="1709">
          <cell r="B1709" t="str">
            <v>Turkey</v>
          </cell>
          <cell r="C1709">
            <v>98251</v>
          </cell>
        </row>
        <row r="1710">
          <cell r="B1710" t="str">
            <v>Tyrrell Co ABC Board</v>
          </cell>
          <cell r="C1710">
            <v>98904</v>
          </cell>
        </row>
        <row r="1711">
          <cell r="B1711" t="str">
            <v>Tyrrell County</v>
          </cell>
          <cell r="C1711">
            <v>98901</v>
          </cell>
        </row>
        <row r="1712">
          <cell r="B1712" t="str">
            <v>Union County</v>
          </cell>
          <cell r="C1712">
            <v>99001</v>
          </cell>
        </row>
        <row r="1713">
          <cell r="B1713" t="str">
            <v>Unionville</v>
          </cell>
          <cell r="C1713">
            <v>99061</v>
          </cell>
        </row>
        <row r="1714">
          <cell r="B1714" t="str">
            <v>Upper Coastal Plain Council Of Governments</v>
          </cell>
          <cell r="C1714">
            <v>93309</v>
          </cell>
        </row>
        <row r="1715">
          <cell r="B1715" t="str">
            <v>Valdese</v>
          </cell>
          <cell r="C1715">
            <v>91211</v>
          </cell>
        </row>
        <row r="1716">
          <cell r="B1716" t="str">
            <v>Valdese Housing Authority</v>
          </cell>
          <cell r="C1716">
            <v>91213</v>
          </cell>
        </row>
        <row r="1717">
          <cell r="B1717" t="str">
            <v>Vance County</v>
          </cell>
          <cell r="C1717">
            <v>99101</v>
          </cell>
        </row>
        <row r="1718">
          <cell r="B1718" t="str">
            <v>Vance County ABC Bd</v>
          </cell>
          <cell r="C1718">
            <v>99104</v>
          </cell>
        </row>
        <row r="1719">
          <cell r="B1719" t="str">
            <v>Vanceboro</v>
          </cell>
          <cell r="C1719">
            <v>92551</v>
          </cell>
        </row>
        <row r="1720">
          <cell r="B1720" t="str">
            <v>Vass</v>
          </cell>
          <cell r="C1720">
            <v>96321</v>
          </cell>
        </row>
        <row r="1721">
          <cell r="B1721" t="str">
            <v>Vaya Health</v>
          </cell>
          <cell r="C1721">
            <v>95009</v>
          </cell>
        </row>
        <row r="1722">
          <cell r="B1722" t="str">
            <v>Wade</v>
          </cell>
          <cell r="C1722">
            <v>92641</v>
          </cell>
        </row>
        <row r="1723">
          <cell r="B1723" t="str">
            <v>Wadesboro</v>
          </cell>
          <cell r="C1723">
            <v>90411</v>
          </cell>
        </row>
        <row r="1724">
          <cell r="B1724" t="str">
            <v>Wadesboro ABC Board</v>
          </cell>
          <cell r="C1724">
            <v>90417</v>
          </cell>
        </row>
        <row r="1725">
          <cell r="B1725" t="str">
            <v>Wadesboro Housing Authority</v>
          </cell>
          <cell r="C1725">
            <v>90413</v>
          </cell>
        </row>
        <row r="1726">
          <cell r="B1726" t="str">
            <v>Wagram</v>
          </cell>
          <cell r="C1726">
            <v>98321</v>
          </cell>
        </row>
        <row r="1727">
          <cell r="B1727" t="str">
            <v>Wake County</v>
          </cell>
          <cell r="C1727">
            <v>99201</v>
          </cell>
        </row>
        <row r="1728">
          <cell r="B1728" t="str">
            <v>Wake County ABC Board</v>
          </cell>
          <cell r="C1728">
            <v>99204</v>
          </cell>
        </row>
        <row r="1729">
          <cell r="B1729" t="str">
            <v>Wake County Housing Authority</v>
          </cell>
          <cell r="C1729">
            <v>99207</v>
          </cell>
        </row>
        <row r="1730">
          <cell r="B1730" t="str">
            <v>Wake Forest</v>
          </cell>
          <cell r="C1730">
            <v>99281</v>
          </cell>
        </row>
        <row r="1731">
          <cell r="B1731" t="str">
            <v>Walkertown</v>
          </cell>
          <cell r="C1731">
            <v>93461</v>
          </cell>
        </row>
        <row r="1732">
          <cell r="B1732" t="str">
            <v>Wallace</v>
          </cell>
          <cell r="C1732">
            <v>93151</v>
          </cell>
        </row>
        <row r="1733">
          <cell r="B1733" t="str">
            <v>Wallace ABC Bd</v>
          </cell>
          <cell r="C1733">
            <v>93157</v>
          </cell>
        </row>
        <row r="1734">
          <cell r="B1734" t="str">
            <v>Walnut Cove</v>
          </cell>
          <cell r="C1734">
            <v>98511</v>
          </cell>
        </row>
        <row r="1735">
          <cell r="B1735" t="str">
            <v>Walnut Cove ABC Board</v>
          </cell>
          <cell r="C1735">
            <v>98517</v>
          </cell>
        </row>
        <row r="1736">
          <cell r="B1736" t="str">
            <v>Walnut Creek</v>
          </cell>
          <cell r="C1736">
            <v>99661</v>
          </cell>
        </row>
        <row r="1737">
          <cell r="B1737" t="str">
            <v>Walstonburg</v>
          </cell>
          <cell r="C1737">
            <v>94031</v>
          </cell>
        </row>
        <row r="1738">
          <cell r="B1738" t="str">
            <v>Warren County</v>
          </cell>
          <cell r="C1738">
            <v>99301</v>
          </cell>
        </row>
        <row r="1739">
          <cell r="B1739" t="str">
            <v>Warren County ABC Board</v>
          </cell>
          <cell r="C1739">
            <v>99304</v>
          </cell>
        </row>
        <row r="1740">
          <cell r="B1740" t="str">
            <v>Warrenton</v>
          </cell>
          <cell r="C1740">
            <v>99321</v>
          </cell>
        </row>
        <row r="1741">
          <cell r="B1741" t="str">
            <v>Warsaw</v>
          </cell>
          <cell r="C1741">
            <v>93131</v>
          </cell>
        </row>
        <row r="1742">
          <cell r="B1742" t="str">
            <v>Warsaw ABC Board</v>
          </cell>
          <cell r="C1742">
            <v>93137</v>
          </cell>
        </row>
        <row r="1743">
          <cell r="B1743" t="str">
            <v>Washington</v>
          </cell>
          <cell r="C1743">
            <v>90711</v>
          </cell>
        </row>
        <row r="1744">
          <cell r="B1744" t="str">
            <v>Washington County</v>
          </cell>
          <cell r="C1744">
            <v>99401</v>
          </cell>
        </row>
        <row r="1745">
          <cell r="B1745" t="str">
            <v>Washington County ABC Board</v>
          </cell>
          <cell r="C1745">
            <v>99404</v>
          </cell>
        </row>
        <row r="1746">
          <cell r="B1746" t="str">
            <v>Washington Park</v>
          </cell>
          <cell r="C1746">
            <v>90741</v>
          </cell>
        </row>
        <row r="1747">
          <cell r="B1747" t="str">
            <v>Watauga County</v>
          </cell>
          <cell r="C1747">
            <v>99501</v>
          </cell>
        </row>
        <row r="1748">
          <cell r="B1748" t="str">
            <v>Watauga County District U Tda</v>
          </cell>
          <cell r="C1748">
            <v>99509</v>
          </cell>
        </row>
        <row r="1749">
          <cell r="B1749" t="str">
            <v>Water &amp; Sewer Auth Of Cabarrus Cnty</v>
          </cell>
          <cell r="C1749">
            <v>91302</v>
          </cell>
        </row>
        <row r="1750">
          <cell r="B1750" t="str">
            <v>Waxhaw</v>
          </cell>
          <cell r="C1750">
            <v>99041</v>
          </cell>
        </row>
        <row r="1751">
          <cell r="B1751" t="str">
            <v>Waxhaw ABC Board</v>
          </cell>
          <cell r="C1751">
            <v>99047</v>
          </cell>
        </row>
        <row r="1752">
          <cell r="B1752" t="str">
            <v>Wayne County</v>
          </cell>
          <cell r="C1752">
            <v>99601</v>
          </cell>
        </row>
        <row r="1753">
          <cell r="B1753" t="str">
            <v>Wayne County ABC Board</v>
          </cell>
          <cell r="C1753">
            <v>99604</v>
          </cell>
        </row>
        <row r="1754">
          <cell r="B1754" t="str">
            <v>Waynesville</v>
          </cell>
          <cell r="C1754">
            <v>94411</v>
          </cell>
        </row>
        <row r="1755">
          <cell r="B1755" t="str">
            <v>Waynesville ABC Board</v>
          </cell>
          <cell r="C1755">
            <v>94412</v>
          </cell>
        </row>
        <row r="1756">
          <cell r="B1756" t="str">
            <v>Weaverville</v>
          </cell>
          <cell r="C1756">
            <v>91141</v>
          </cell>
        </row>
        <row r="1757">
          <cell r="B1757" t="str">
            <v>Weaverville ABC Board</v>
          </cell>
          <cell r="C1757">
            <v>91147</v>
          </cell>
        </row>
        <row r="1758">
          <cell r="B1758" t="str">
            <v>Weddington</v>
          </cell>
          <cell r="C1758">
            <v>99071</v>
          </cell>
        </row>
        <row r="1759">
          <cell r="B1759" t="str">
            <v>Weldon</v>
          </cell>
          <cell r="C1759">
            <v>94231</v>
          </cell>
        </row>
        <row r="1760">
          <cell r="B1760" t="str">
            <v>Wendell</v>
          </cell>
          <cell r="C1760">
            <v>99231</v>
          </cell>
        </row>
        <row r="1761">
          <cell r="B1761" t="str">
            <v>Wesley Chapel</v>
          </cell>
          <cell r="C1761">
            <v>99091</v>
          </cell>
        </row>
        <row r="1762">
          <cell r="B1762" t="str">
            <v>West Buncombe Fire Dept</v>
          </cell>
          <cell r="C1762">
            <v>91120</v>
          </cell>
        </row>
        <row r="1763">
          <cell r="B1763" t="str">
            <v>West Columbus ABC Board</v>
          </cell>
          <cell r="C1763">
            <v>92444</v>
          </cell>
        </row>
        <row r="1764">
          <cell r="B1764" t="str">
            <v>West Jefferson</v>
          </cell>
          <cell r="C1764">
            <v>90521</v>
          </cell>
        </row>
        <row r="1765">
          <cell r="B1765" t="str">
            <v>West Jefferson ABC Board</v>
          </cell>
          <cell r="C1765">
            <v>90507</v>
          </cell>
        </row>
        <row r="1766">
          <cell r="B1766" t="str">
            <v>Westarea Volunteer Fire Dept</v>
          </cell>
          <cell r="C1766">
            <v>92602</v>
          </cell>
        </row>
        <row r="1767">
          <cell r="B1767" t="str">
            <v>Western Carteret Interlocal Cooperation Agency</v>
          </cell>
          <cell r="C1767">
            <v>91608</v>
          </cell>
        </row>
        <row r="1768">
          <cell r="B1768" t="str">
            <v>Western Highland Area Authority</v>
          </cell>
          <cell r="C1768">
            <v>91119</v>
          </cell>
        </row>
        <row r="1769">
          <cell r="B1769" t="str">
            <v>Western Nc Regional Air Quality</v>
          </cell>
          <cell r="C1769">
            <v>91107</v>
          </cell>
        </row>
        <row r="1770">
          <cell r="B1770" t="str">
            <v>Western Piedmont Council Of Gvmts</v>
          </cell>
          <cell r="C1770">
            <v>91818</v>
          </cell>
        </row>
        <row r="1771">
          <cell r="B1771" t="str">
            <v>Western Piedmont Regional Transit Authority</v>
          </cell>
          <cell r="C1771">
            <v>91819</v>
          </cell>
        </row>
        <row r="1772">
          <cell r="B1772" t="str">
            <v>Whispering Pines</v>
          </cell>
          <cell r="C1772">
            <v>96371</v>
          </cell>
        </row>
        <row r="1773">
          <cell r="B1773" t="str">
            <v>Whitakers</v>
          </cell>
          <cell r="C1773">
            <v>96441</v>
          </cell>
        </row>
        <row r="1774">
          <cell r="B1774" t="str">
            <v>White Lake</v>
          </cell>
          <cell r="C1774">
            <v>90921</v>
          </cell>
        </row>
        <row r="1775">
          <cell r="B1775" t="str">
            <v>Whiteville</v>
          </cell>
          <cell r="C1775">
            <v>92411</v>
          </cell>
        </row>
        <row r="1776">
          <cell r="B1776" t="str">
            <v>Whiteville ABC Board</v>
          </cell>
          <cell r="C1776">
            <v>92417</v>
          </cell>
        </row>
        <row r="1777">
          <cell r="B1777" t="str">
            <v>Whiteville Housing Authority</v>
          </cell>
          <cell r="C1777">
            <v>92403</v>
          </cell>
        </row>
        <row r="1778">
          <cell r="B1778" t="str">
            <v>Wilkes County</v>
          </cell>
          <cell r="C1778">
            <v>99701</v>
          </cell>
        </row>
        <row r="1779">
          <cell r="B1779" t="str">
            <v>Wilkesboro</v>
          </cell>
          <cell r="C1779">
            <v>99721</v>
          </cell>
        </row>
        <row r="1780">
          <cell r="B1780" t="str">
            <v>Wilkesboro ABC Board</v>
          </cell>
          <cell r="C1780">
            <v>99727</v>
          </cell>
        </row>
        <row r="1781">
          <cell r="B1781" t="str">
            <v>Williamston</v>
          </cell>
          <cell r="C1781">
            <v>95811</v>
          </cell>
        </row>
        <row r="1782">
          <cell r="B1782" t="str">
            <v>Williamston Housing Authority</v>
          </cell>
          <cell r="C1782">
            <v>95813</v>
          </cell>
        </row>
        <row r="1783">
          <cell r="B1783" t="str">
            <v>Wilmington</v>
          </cell>
          <cell r="C1783">
            <v>96531</v>
          </cell>
        </row>
        <row r="1784">
          <cell r="B1784" t="str">
            <v>Wilmington Housing Authority</v>
          </cell>
          <cell r="C1784">
            <v>96503</v>
          </cell>
        </row>
        <row r="1785">
          <cell r="B1785" t="str">
            <v>Wilson</v>
          </cell>
          <cell r="C1785">
            <v>99811</v>
          </cell>
        </row>
        <row r="1786">
          <cell r="B1786" t="str">
            <v>Wilson Cemetery Commission</v>
          </cell>
          <cell r="C1786">
            <v>99818</v>
          </cell>
        </row>
        <row r="1787">
          <cell r="B1787" t="str">
            <v>Wilson County</v>
          </cell>
          <cell r="C1787">
            <v>99801</v>
          </cell>
        </row>
        <row r="1788">
          <cell r="B1788" t="str">
            <v>Wilson County ABC Board</v>
          </cell>
          <cell r="C1788">
            <v>99804</v>
          </cell>
        </row>
        <row r="1789">
          <cell r="B1789" t="str">
            <v>Wilson County Tourism Development Auth</v>
          </cell>
          <cell r="C1789">
            <v>99802</v>
          </cell>
        </row>
        <row r="1790">
          <cell r="B1790" t="str">
            <v>Wilson Economic Dev Council</v>
          </cell>
          <cell r="C1790">
            <v>99812</v>
          </cell>
        </row>
        <row r="1791">
          <cell r="B1791" t="str">
            <v>Wilson'S Mills</v>
          </cell>
          <cell r="C1791">
            <v>95191</v>
          </cell>
        </row>
        <row r="1792">
          <cell r="B1792" t="str">
            <v>Windsor</v>
          </cell>
          <cell r="C1792">
            <v>90812</v>
          </cell>
        </row>
        <row r="1793">
          <cell r="B1793" t="str">
            <v>Winfall</v>
          </cell>
          <cell r="C1793">
            <v>97221</v>
          </cell>
        </row>
        <row r="1794">
          <cell r="B1794" t="str">
            <v>Wingate</v>
          </cell>
          <cell r="C1794">
            <v>99031</v>
          </cell>
        </row>
        <row r="1795">
          <cell r="B1795" t="str">
            <v>Winston-Salem</v>
          </cell>
          <cell r="C1795">
            <v>93411</v>
          </cell>
        </row>
        <row r="1796">
          <cell r="B1796" t="str">
            <v>Winston-Salem Housing Authority</v>
          </cell>
          <cell r="C1796">
            <v>93413</v>
          </cell>
        </row>
        <row r="1797">
          <cell r="B1797" t="str">
            <v>Winterville</v>
          </cell>
          <cell r="C1797">
            <v>97451</v>
          </cell>
        </row>
        <row r="1798">
          <cell r="B1798" t="str">
            <v>Winton</v>
          </cell>
          <cell r="C1798">
            <v>94631</v>
          </cell>
        </row>
        <row r="1799">
          <cell r="B1799" t="str">
            <v>Woodfin</v>
          </cell>
          <cell r="C1799">
            <v>91171</v>
          </cell>
        </row>
        <row r="1800">
          <cell r="B1800" t="str">
            <v>Woodfin ABC Commission</v>
          </cell>
          <cell r="C1800">
            <v>91104</v>
          </cell>
        </row>
        <row r="1801">
          <cell r="B1801" t="str">
            <v>Woodfin Sanitary Water And Sewer Dist</v>
          </cell>
          <cell r="C1801">
            <v>91109</v>
          </cell>
        </row>
        <row r="1802">
          <cell r="B1802" t="str">
            <v>Woodland</v>
          </cell>
          <cell r="C1802">
            <v>96621</v>
          </cell>
        </row>
        <row r="1803">
          <cell r="B1803" t="str">
            <v>Wrightsville Beach</v>
          </cell>
          <cell r="C1803">
            <v>96511</v>
          </cell>
        </row>
        <row r="1804">
          <cell r="B1804" t="str">
            <v>Yadkin County</v>
          </cell>
          <cell r="C1804">
            <v>99901</v>
          </cell>
        </row>
        <row r="1805">
          <cell r="B1805" t="str">
            <v>Yadkin Valley ABC Board</v>
          </cell>
          <cell r="C1805">
            <v>98604</v>
          </cell>
        </row>
        <row r="1806">
          <cell r="B1806" t="str">
            <v>Yadkin Valley Sewer Authority</v>
          </cell>
          <cell r="C1806">
            <v>98608</v>
          </cell>
        </row>
        <row r="1807">
          <cell r="B1807" t="str">
            <v>Yadkinville</v>
          </cell>
          <cell r="C1807">
            <v>99911</v>
          </cell>
        </row>
        <row r="1808">
          <cell r="B1808" t="str">
            <v>Yancey County</v>
          </cell>
          <cell r="C1808">
            <v>90001</v>
          </cell>
        </row>
        <row r="1809">
          <cell r="B1809" t="str">
            <v>Yancey Soil &amp; Water Cons</v>
          </cell>
          <cell r="C1809">
            <v>90002</v>
          </cell>
        </row>
        <row r="1810">
          <cell r="B1810" t="str">
            <v>Yanceyville</v>
          </cell>
          <cell r="C1810">
            <v>91719</v>
          </cell>
        </row>
        <row r="1811">
          <cell r="B1811" t="str">
            <v>Youngsville</v>
          </cell>
          <cell r="C1811">
            <v>93541</v>
          </cell>
        </row>
        <row r="1812">
          <cell r="B1812" t="str">
            <v>Zebulon</v>
          </cell>
          <cell r="C1812">
            <v>99241</v>
          </cell>
        </row>
        <row r="1813">
          <cell r="B1813" t="str">
            <v>Carolina County</v>
          </cell>
          <cell r="C1813" t="str">
            <v>9xxxy</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 GASB 68 LGERS"/>
      <sheetName val="2019 LGERS summary"/>
      <sheetName val="2018 LGERS summary"/>
      <sheetName val="N.1b LGERS 2018 PY"/>
      <sheetName val="N.1b LGERS Data PY"/>
      <sheetName val="LGERS Contributions FY 2018"/>
      <sheetName val="N.2 GASB 68 ROD"/>
      <sheetName val="2019 Summary ROD"/>
      <sheetName val="N.2a ROD 2018 PY"/>
      <sheetName val="2018 Contributions ROD"/>
      <sheetName val="N.2b ROD Data PY"/>
      <sheetName val="N.3 GASB 68 FRSWPF"/>
      <sheetName val="O. GASB 73 LEO Entries"/>
      <sheetName val="Sheet1"/>
      <sheetName val="P.1 GASB 75 OPEB  - trust 1"/>
      <sheetName val="P.2 GASB 75 OPEB - trust 2"/>
      <sheetName val="P.3 GASB 75 OPEB - trust 3"/>
      <sheetName val="2018 OPEB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1">
          <cell r="C21">
            <v>3</v>
          </cell>
          <cell r="D21">
            <v>4</v>
          </cell>
          <cell r="F21">
            <v>5</v>
          </cell>
          <cell r="G21">
            <v>6</v>
          </cell>
          <cell r="H21">
            <v>7</v>
          </cell>
          <cell r="I21">
            <v>8</v>
          </cell>
          <cell r="J21">
            <v>9</v>
          </cell>
          <cell r="K21">
            <v>10</v>
          </cell>
          <cell r="L21">
            <v>11</v>
          </cell>
          <cell r="M21">
            <v>12</v>
          </cell>
          <cell r="N21">
            <v>13</v>
          </cell>
          <cell r="O21">
            <v>14</v>
          </cell>
          <cell r="P21">
            <v>15</v>
          </cell>
          <cell r="Q21">
            <v>16</v>
          </cell>
          <cell r="R21">
            <v>17</v>
          </cell>
          <cell r="S21">
            <v>18</v>
          </cell>
          <cell r="T21">
            <v>19</v>
          </cell>
          <cell r="U21">
            <v>20</v>
          </cell>
          <cell r="V21">
            <v>21</v>
          </cell>
        </row>
      </sheetData>
      <sheetData sheetId="18">
        <row r="1">
          <cell r="A1" t="str">
            <v>Measurement date 6/30/2018</v>
          </cell>
          <cell r="H1"/>
        </row>
        <row r="2">
          <cell r="A2" t="str">
            <v>Recognition period - 5.00 years</v>
          </cell>
          <cell r="H2"/>
        </row>
        <row r="3">
          <cell r="H3"/>
        </row>
        <row r="4">
          <cell r="G4" t="str">
            <v>Deferred Outflows Of Resources</v>
          </cell>
          <cell r="H4"/>
          <cell r="I4"/>
          <cell r="J4"/>
          <cell r="K4"/>
          <cell r="M4" t="str">
            <v>Deferred Inflows Of Resources</v>
          </cell>
          <cell r="N4"/>
          <cell r="O4"/>
          <cell r="P4"/>
          <cell r="R4" t="str">
            <v>Pension Expense</v>
          </cell>
          <cell r="S4"/>
          <cell r="T4"/>
        </row>
        <row r="5">
          <cell r="A5" t="str">
            <v>Agency Number</v>
          </cell>
          <cell r="B5" t="str">
            <v>Agency</v>
          </cell>
          <cell r="C5" t="str">
            <v>Current Proportional Share</v>
          </cell>
          <cell r="D5" t="str">
            <v>Prior Proportional Share</v>
          </cell>
          <cell r="E5" t="str">
            <v>Net Pension Liability</v>
          </cell>
          <cell r="F5"/>
          <cell r="G5" t="str">
            <v>Differences Between Expected And Actual Experience</v>
          </cell>
          <cell r="H5" t="str">
            <v>Net Difference Between Projected And Actual Investment Earnings On Plan Investments</v>
          </cell>
          <cell r="I5" t="str">
            <v>Changes Of Assumptions</v>
          </cell>
          <cell r="J5" t="str">
            <v>Changes In Proportion And Differences Between Employer Contributions And Proportional Share Of Contributions</v>
          </cell>
          <cell r="K5" t="str">
            <v>Total Deferred Outflows of Resources</v>
          </cell>
          <cell r="L5"/>
          <cell r="M5" t="str">
            <v>Differences Between Expected And Actual Experience</v>
          </cell>
          <cell r="N5" t="str">
            <v>Changes Of Assumptions</v>
          </cell>
          <cell r="O5" t="str">
            <v>Changes In Proportion And Differences Between Employer Contributions And Proportional Share Of Contributions</v>
          </cell>
          <cell r="P5" t="str">
            <v>Total Deferred Inflows of Resources</v>
          </cell>
          <cell r="Q5"/>
          <cell r="R5" t="str">
            <v>Proportional Share Of Pension Expense</v>
          </cell>
          <cell r="S5" t="str">
            <v>Net Amortization Of Deferred Amounts From Changes In Proportion And Differences Between Employer Contributions And Proportional Share Of Contributions</v>
          </cell>
          <cell r="T5" t="str">
            <v>Total Employer Pension Expense</v>
          </cell>
        </row>
        <row r="6">
          <cell r="A6" t="str">
            <v>N/A</v>
          </cell>
          <cell r="B6" t="str">
            <v>No additional agency chosen</v>
          </cell>
          <cell r="C6"/>
          <cell r="D6"/>
          <cell r="E6"/>
          <cell r="F6"/>
          <cell r="G6"/>
          <cell r="H6"/>
          <cell r="I6"/>
          <cell r="J6"/>
          <cell r="K6"/>
          <cell r="L6"/>
          <cell r="M6"/>
          <cell r="N6"/>
          <cell r="O6"/>
          <cell r="P6"/>
          <cell r="Q6"/>
          <cell r="R6"/>
          <cell r="S6"/>
          <cell r="T6"/>
        </row>
        <row r="7">
          <cell r="A7">
            <v>70505</v>
          </cell>
          <cell r="B7" t="str">
            <v>THE EASTERN BAND OF CHEROKEE INDIANS</v>
          </cell>
          <cell r="C7">
            <v>3.6600000000000001E-4</v>
          </cell>
          <cell r="D7">
            <v>4.147E-4</v>
          </cell>
          <cell r="E7">
            <v>868277</v>
          </cell>
          <cell r="F7"/>
          <cell r="G7">
            <v>133955</v>
          </cell>
          <cell r="H7">
            <v>119188</v>
          </cell>
          <cell r="I7">
            <v>230407</v>
          </cell>
          <cell r="J7">
            <v>0</v>
          </cell>
          <cell r="K7">
            <v>483550</v>
          </cell>
          <cell r="L7"/>
          <cell r="M7">
            <v>4495</v>
          </cell>
          <cell r="N7">
            <v>0</v>
          </cell>
          <cell r="O7">
            <v>53689</v>
          </cell>
          <cell r="P7">
            <v>58184</v>
          </cell>
          <cell r="Q7"/>
          <cell r="R7">
            <v>241184</v>
          </cell>
          <cell r="S7">
            <v>-22825</v>
          </cell>
          <cell r="T7">
            <v>218359</v>
          </cell>
        </row>
        <row r="9">
          <cell r="A9">
            <v>72265</v>
          </cell>
          <cell r="B9" t="str">
            <v>PIEDMONT TRIAD AIRPORT AUTHORITY</v>
          </cell>
          <cell r="C9">
            <v>1.538E-4</v>
          </cell>
          <cell r="D9">
            <v>1.4009999999999999E-4</v>
          </cell>
          <cell r="E9">
            <v>364866</v>
          </cell>
          <cell r="F9"/>
          <cell r="G9">
            <v>56290</v>
          </cell>
          <cell r="H9">
            <v>50085</v>
          </cell>
          <cell r="I9">
            <v>96821</v>
          </cell>
          <cell r="J9">
            <v>10295</v>
          </cell>
          <cell r="K9">
            <v>213491</v>
          </cell>
          <cell r="L9"/>
          <cell r="M9">
            <v>1889</v>
          </cell>
          <cell r="N9">
            <v>0</v>
          </cell>
          <cell r="O9">
            <v>2396</v>
          </cell>
          <cell r="P9">
            <v>4285</v>
          </cell>
          <cell r="Q9"/>
          <cell r="R9">
            <v>101350</v>
          </cell>
          <cell r="S9">
            <v>5014</v>
          </cell>
          <cell r="T9">
            <v>106364</v>
          </cell>
        </row>
        <row r="10">
          <cell r="A10">
            <v>72593</v>
          </cell>
          <cell r="B10" t="str">
            <v xml:space="preserve"> SEAGROVE</v>
          </cell>
          <cell r="C10">
            <v>6.0000000000000002E-6</v>
          </cell>
          <cell r="D10">
            <v>5.9000000000000003E-6</v>
          </cell>
          <cell r="E10">
            <v>14234</v>
          </cell>
          <cell r="F10"/>
          <cell r="G10">
            <v>2196</v>
          </cell>
          <cell r="H10">
            <v>1954</v>
          </cell>
          <cell r="I10">
            <v>3777</v>
          </cell>
          <cell r="J10">
            <v>2261</v>
          </cell>
          <cell r="K10">
            <v>10188</v>
          </cell>
          <cell r="L10"/>
          <cell r="M10">
            <v>74</v>
          </cell>
          <cell r="N10">
            <v>0</v>
          </cell>
          <cell r="O10">
            <v>590</v>
          </cell>
          <cell r="P10">
            <v>664</v>
          </cell>
          <cell r="Q10"/>
          <cell r="R10">
            <v>3954</v>
          </cell>
          <cell r="S10">
            <v>605</v>
          </cell>
          <cell r="T10">
            <v>4559</v>
          </cell>
        </row>
        <row r="11">
          <cell r="A11">
            <v>72657</v>
          </cell>
          <cell r="B11" t="str">
            <v xml:space="preserve"> SPARTA</v>
          </cell>
          <cell r="C11">
            <v>3.9199999999999997E-5</v>
          </cell>
          <cell r="D11">
            <v>3.9900000000000001E-5</v>
          </cell>
          <cell r="E11">
            <v>92996</v>
          </cell>
          <cell r="F11"/>
          <cell r="G11">
            <v>14347</v>
          </cell>
          <cell r="H11">
            <v>12765</v>
          </cell>
          <cell r="I11">
            <v>24677</v>
          </cell>
          <cell r="J11">
            <v>0</v>
          </cell>
          <cell r="K11">
            <v>51789</v>
          </cell>
          <cell r="L11"/>
          <cell r="M11">
            <v>481</v>
          </cell>
          <cell r="N11">
            <v>0</v>
          </cell>
          <cell r="O11">
            <v>6011</v>
          </cell>
          <cell r="P11">
            <v>6492</v>
          </cell>
          <cell r="Q11"/>
          <cell r="R11">
            <v>25832</v>
          </cell>
          <cell r="S11">
            <v>356</v>
          </cell>
          <cell r="T11">
            <v>26188</v>
          </cell>
        </row>
        <row r="12">
          <cell r="A12">
            <v>90001</v>
          </cell>
          <cell r="B12" t="str">
            <v>YANCEY COUNTY</v>
          </cell>
          <cell r="C12">
            <v>8.61E-4</v>
          </cell>
          <cell r="D12">
            <v>8.6030000000000004E-4</v>
          </cell>
          <cell r="E12">
            <v>2042586</v>
          </cell>
          <cell r="F12"/>
          <cell r="G12">
            <v>315123</v>
          </cell>
          <cell r="H12">
            <v>280386</v>
          </cell>
          <cell r="I12">
            <v>542024</v>
          </cell>
          <cell r="J12">
            <v>7657</v>
          </cell>
          <cell r="K12">
            <v>1145190</v>
          </cell>
          <cell r="L12"/>
          <cell r="M12">
            <v>10574</v>
          </cell>
          <cell r="N12">
            <v>0</v>
          </cell>
          <cell r="O12">
            <v>10725</v>
          </cell>
          <cell r="P12">
            <v>21299</v>
          </cell>
          <cell r="Q12"/>
          <cell r="R12">
            <v>567376</v>
          </cell>
          <cell r="S12">
            <v>1195</v>
          </cell>
          <cell r="T12">
            <v>568571</v>
          </cell>
        </row>
        <row r="13">
          <cell r="A13">
            <v>90002</v>
          </cell>
          <cell r="B13" t="str">
            <v>YANCEY SOIL &amp; WATER CONS</v>
          </cell>
          <cell r="C13">
            <v>9.5000000000000005E-6</v>
          </cell>
          <cell r="D13">
            <v>1.06E-5</v>
          </cell>
          <cell r="E13">
            <v>22537</v>
          </cell>
          <cell r="F13"/>
          <cell r="G13">
            <v>3477</v>
          </cell>
          <cell r="H13">
            <v>3094</v>
          </cell>
          <cell r="I13">
            <v>5981</v>
          </cell>
          <cell r="J13">
            <v>1636</v>
          </cell>
          <cell r="K13">
            <v>14188</v>
          </cell>
          <cell r="L13"/>
          <cell r="M13">
            <v>117</v>
          </cell>
          <cell r="N13">
            <v>0</v>
          </cell>
          <cell r="O13">
            <v>0</v>
          </cell>
          <cell r="P13">
            <v>117</v>
          </cell>
          <cell r="Q13"/>
          <cell r="R13">
            <v>6260</v>
          </cell>
          <cell r="S13">
            <v>737</v>
          </cell>
          <cell r="T13">
            <v>6997</v>
          </cell>
        </row>
        <row r="14">
          <cell r="A14">
            <v>90011</v>
          </cell>
          <cell r="B14" t="str">
            <v xml:space="preserve"> BURNSVILLE</v>
          </cell>
          <cell r="C14">
            <v>1.916E-4</v>
          </cell>
          <cell r="D14">
            <v>1.974E-4</v>
          </cell>
          <cell r="E14">
            <v>454541</v>
          </cell>
          <cell r="F14"/>
          <cell r="G14">
            <v>70125</v>
          </cell>
          <cell r="H14">
            <v>62395</v>
          </cell>
          <cell r="I14">
            <v>120618</v>
          </cell>
          <cell r="J14">
            <v>0</v>
          </cell>
          <cell r="K14">
            <v>253138</v>
          </cell>
          <cell r="L14"/>
          <cell r="M14">
            <v>2353</v>
          </cell>
          <cell r="N14">
            <v>0</v>
          </cell>
          <cell r="O14">
            <v>27708</v>
          </cell>
          <cell r="P14">
            <v>30061</v>
          </cell>
          <cell r="Q14"/>
          <cell r="R14">
            <v>126259</v>
          </cell>
          <cell r="S14">
            <v>-9526</v>
          </cell>
          <cell r="T14">
            <v>116733</v>
          </cell>
        </row>
        <row r="15">
          <cell r="A15">
            <v>90092</v>
          </cell>
          <cell r="B15" t="str">
            <v>MARTIN-TYRRELL-WASHINGTON DIST HEALTH DEPT</v>
          </cell>
          <cell r="C15">
            <v>3.547E-4</v>
          </cell>
          <cell r="D15">
            <v>3.5349999999999997E-4</v>
          </cell>
          <cell r="E15">
            <v>841470</v>
          </cell>
          <cell r="F15"/>
          <cell r="G15">
            <v>129819</v>
          </cell>
          <cell r="H15">
            <v>115509</v>
          </cell>
          <cell r="I15">
            <v>223294</v>
          </cell>
          <cell r="J15">
            <v>14687</v>
          </cell>
          <cell r="K15">
            <v>483309</v>
          </cell>
          <cell r="L15"/>
          <cell r="M15">
            <v>4356</v>
          </cell>
          <cell r="N15">
            <v>0</v>
          </cell>
          <cell r="O15">
            <v>40510</v>
          </cell>
          <cell r="P15">
            <v>44866</v>
          </cell>
          <cell r="Q15"/>
          <cell r="R15">
            <v>233738</v>
          </cell>
          <cell r="S15">
            <v>-38987</v>
          </cell>
          <cell r="T15">
            <v>194751</v>
          </cell>
        </row>
        <row r="16">
          <cell r="A16">
            <v>90096</v>
          </cell>
          <cell r="B16" t="str">
            <v>ALBEMARLE REGIONAL HEALTH SERVICES</v>
          </cell>
          <cell r="C16">
            <v>9.1730000000000002E-4</v>
          </cell>
          <cell r="D16">
            <v>9.7559999999999997E-4</v>
          </cell>
          <cell r="E16">
            <v>2176149</v>
          </cell>
          <cell r="F16"/>
          <cell r="G16">
            <v>335728</v>
          </cell>
          <cell r="H16">
            <v>298720</v>
          </cell>
          <cell r="I16">
            <v>577466</v>
          </cell>
          <cell r="J16">
            <v>43181</v>
          </cell>
          <cell r="K16">
            <v>1255095</v>
          </cell>
          <cell r="L16"/>
          <cell r="M16">
            <v>11265</v>
          </cell>
          <cell r="N16">
            <v>0</v>
          </cell>
          <cell r="O16">
            <v>175620</v>
          </cell>
          <cell r="P16">
            <v>186885</v>
          </cell>
          <cell r="Q16"/>
          <cell r="R16">
            <v>604476</v>
          </cell>
          <cell r="S16">
            <v>-19105</v>
          </cell>
          <cell r="T16">
            <v>585371</v>
          </cell>
        </row>
        <row r="17">
          <cell r="A17">
            <v>90098</v>
          </cell>
          <cell r="B17" t="str">
            <v>TOE RIVER HEALTH DISTRICT</v>
          </cell>
          <cell r="C17">
            <v>3.1510000000000002E-4</v>
          </cell>
          <cell r="D17">
            <v>2.9599999999999998E-4</v>
          </cell>
          <cell r="E17">
            <v>747525</v>
          </cell>
          <cell r="F17"/>
          <cell r="G17">
            <v>115325</v>
          </cell>
          <cell r="H17">
            <v>102613</v>
          </cell>
          <cell r="I17">
            <v>198364</v>
          </cell>
          <cell r="J17">
            <v>19294</v>
          </cell>
          <cell r="K17">
            <v>435596</v>
          </cell>
          <cell r="L17"/>
          <cell r="M17">
            <v>3870</v>
          </cell>
          <cell r="N17">
            <v>0</v>
          </cell>
          <cell r="O17">
            <v>58299</v>
          </cell>
          <cell r="P17">
            <v>62169</v>
          </cell>
          <cell r="Q17"/>
          <cell r="R17">
            <v>207642</v>
          </cell>
          <cell r="S17">
            <v>-47420</v>
          </cell>
          <cell r="T17">
            <v>160222</v>
          </cell>
        </row>
        <row r="18">
          <cell r="A18">
            <v>90099</v>
          </cell>
          <cell r="B18" t="str">
            <v>APPALACHIAN DISTRICT HEALTH DEPT</v>
          </cell>
          <cell r="C18">
            <v>6.8800000000000003E-4</v>
          </cell>
          <cell r="D18">
            <v>6.6330000000000002E-4</v>
          </cell>
          <cell r="E18">
            <v>1632171</v>
          </cell>
          <cell r="F18"/>
          <cell r="G18">
            <v>251805</v>
          </cell>
          <cell r="H18">
            <v>224048</v>
          </cell>
          <cell r="I18">
            <v>433115</v>
          </cell>
          <cell r="J18">
            <v>65504</v>
          </cell>
          <cell r="K18">
            <v>974472</v>
          </cell>
          <cell r="L18"/>
          <cell r="M18">
            <v>8449</v>
          </cell>
          <cell r="N18">
            <v>0</v>
          </cell>
          <cell r="O18">
            <v>31571</v>
          </cell>
          <cell r="P18">
            <v>40020</v>
          </cell>
          <cell r="Q18"/>
          <cell r="R18">
            <v>453373</v>
          </cell>
          <cell r="S18">
            <v>6742</v>
          </cell>
          <cell r="T18">
            <v>460115</v>
          </cell>
        </row>
        <row r="19">
          <cell r="A19">
            <v>90101</v>
          </cell>
          <cell r="B19" t="str">
            <v>ALAMANCE COUNTY</v>
          </cell>
          <cell r="C19">
            <v>6.4729000000000002E-3</v>
          </cell>
          <cell r="D19">
            <v>6.6312000000000003E-3</v>
          </cell>
          <cell r="E19">
            <v>15355933</v>
          </cell>
          <cell r="F19"/>
          <cell r="G19">
            <v>2369056</v>
          </cell>
          <cell r="H19">
            <v>2107912</v>
          </cell>
          <cell r="I19">
            <v>4074872</v>
          </cell>
          <cell r="J19">
            <v>152067</v>
          </cell>
          <cell r="K19">
            <v>8703907</v>
          </cell>
          <cell r="L19"/>
          <cell r="M19">
            <v>79494</v>
          </cell>
          <cell r="N19">
            <v>0</v>
          </cell>
          <cell r="O19">
            <v>140729</v>
          </cell>
          <cell r="P19">
            <v>220223</v>
          </cell>
          <cell r="Q19"/>
          <cell r="R19">
            <v>4265466</v>
          </cell>
          <cell r="S19">
            <v>32971</v>
          </cell>
          <cell r="T19">
            <v>4298437</v>
          </cell>
        </row>
        <row r="20">
          <cell r="A20">
            <v>90111</v>
          </cell>
          <cell r="B20" t="str">
            <v>CITY OF BURLINGTON</v>
          </cell>
          <cell r="C20">
            <v>5.0667999999999998E-3</v>
          </cell>
          <cell r="D20">
            <v>4.9740000000000001E-3</v>
          </cell>
          <cell r="E20">
            <v>12020182</v>
          </cell>
          <cell r="F20"/>
          <cell r="G20">
            <v>1854429</v>
          </cell>
          <cell r="H20">
            <v>1650013</v>
          </cell>
          <cell r="I20">
            <v>3189692</v>
          </cell>
          <cell r="J20">
            <v>18312</v>
          </cell>
          <cell r="K20">
            <v>6712446</v>
          </cell>
          <cell r="L20"/>
          <cell r="M20">
            <v>62225</v>
          </cell>
          <cell r="N20">
            <v>0</v>
          </cell>
          <cell r="O20">
            <v>49468</v>
          </cell>
          <cell r="P20">
            <v>111693</v>
          </cell>
          <cell r="Q20"/>
          <cell r="R20">
            <v>3338884</v>
          </cell>
          <cell r="S20">
            <v>-51615</v>
          </cell>
          <cell r="T20">
            <v>3287269</v>
          </cell>
        </row>
        <row r="21">
          <cell r="A21">
            <v>90114</v>
          </cell>
          <cell r="B21" t="str">
            <v>CITY OF MEBANE</v>
          </cell>
          <cell r="C21">
            <v>1.0735E-3</v>
          </cell>
          <cell r="D21">
            <v>1.0919E-3</v>
          </cell>
          <cell r="E21">
            <v>2546709</v>
          </cell>
          <cell r="F21"/>
          <cell r="G21">
            <v>392897</v>
          </cell>
          <cell r="H21">
            <v>349588</v>
          </cell>
          <cell r="I21">
            <v>675798</v>
          </cell>
          <cell r="J21">
            <v>1231689</v>
          </cell>
          <cell r="K21">
            <v>2649972</v>
          </cell>
          <cell r="L21"/>
          <cell r="M21">
            <v>13184</v>
          </cell>
          <cell r="N21">
            <v>0</v>
          </cell>
          <cell r="O21">
            <v>0</v>
          </cell>
          <cell r="P21">
            <v>13184</v>
          </cell>
          <cell r="Q21"/>
          <cell r="R21">
            <v>707408</v>
          </cell>
          <cell r="S21">
            <v>502556</v>
          </cell>
          <cell r="T21">
            <v>1209964</v>
          </cell>
        </row>
        <row r="22">
          <cell r="A22">
            <v>90117</v>
          </cell>
          <cell r="B22" t="str">
            <v>ALAMANCE MUNICIPAL ABC BOARD</v>
          </cell>
          <cell r="C22">
            <v>1.36E-4</v>
          </cell>
          <cell r="D22">
            <v>1.407E-4</v>
          </cell>
          <cell r="E22">
            <v>322639</v>
          </cell>
          <cell r="F22"/>
          <cell r="G22">
            <v>49775</v>
          </cell>
          <cell r="H22">
            <v>44288</v>
          </cell>
          <cell r="I22">
            <v>85616</v>
          </cell>
          <cell r="J22">
            <v>40224</v>
          </cell>
          <cell r="K22">
            <v>219903</v>
          </cell>
          <cell r="L22"/>
          <cell r="M22">
            <v>1670</v>
          </cell>
          <cell r="N22">
            <v>0</v>
          </cell>
          <cell r="O22">
            <v>0</v>
          </cell>
          <cell r="P22">
            <v>1670</v>
          </cell>
          <cell r="Q22"/>
          <cell r="R22">
            <v>89620</v>
          </cell>
          <cell r="S22">
            <v>21821</v>
          </cell>
          <cell r="T22">
            <v>111441</v>
          </cell>
        </row>
        <row r="23">
          <cell r="A23">
            <v>90121</v>
          </cell>
          <cell r="B23" t="str">
            <v>CITY OF GRAHAM</v>
          </cell>
          <cell r="C23">
            <v>1.0601E-3</v>
          </cell>
          <cell r="D23">
            <v>1.0991E-3</v>
          </cell>
          <cell r="E23">
            <v>2514920</v>
          </cell>
          <cell r="F23"/>
          <cell r="G23">
            <v>387992</v>
          </cell>
          <cell r="H23">
            <v>345223</v>
          </cell>
          <cell r="I23">
            <v>667363</v>
          </cell>
          <cell r="J23">
            <v>0</v>
          </cell>
          <cell r="K23">
            <v>1400578</v>
          </cell>
          <cell r="L23"/>
          <cell r="M23">
            <v>13019</v>
          </cell>
          <cell r="N23">
            <v>0</v>
          </cell>
          <cell r="O23">
            <v>126217</v>
          </cell>
          <cell r="P23">
            <v>139236</v>
          </cell>
          <cell r="Q23"/>
          <cell r="R23">
            <v>698577</v>
          </cell>
          <cell r="S23">
            <v>-43331</v>
          </cell>
          <cell r="T23">
            <v>655246</v>
          </cell>
        </row>
        <row r="24">
          <cell r="A24">
            <v>90131</v>
          </cell>
          <cell r="B24" t="str">
            <v xml:space="preserve"> ELON</v>
          </cell>
          <cell r="C24">
            <v>4.7830000000000003E-4</v>
          </cell>
          <cell r="D24">
            <v>4.7639999999999998E-4</v>
          </cell>
          <cell r="E24">
            <v>1134691</v>
          </cell>
          <cell r="F24"/>
          <cell r="G24">
            <v>175056</v>
          </cell>
          <cell r="H24">
            <v>155759</v>
          </cell>
          <cell r="I24">
            <v>301103</v>
          </cell>
          <cell r="J24">
            <v>0</v>
          </cell>
          <cell r="K24">
            <v>631918</v>
          </cell>
          <cell r="L24"/>
          <cell r="M24">
            <v>5874</v>
          </cell>
          <cell r="N24">
            <v>0</v>
          </cell>
          <cell r="O24">
            <v>36391</v>
          </cell>
          <cell r="P24">
            <v>42265</v>
          </cell>
          <cell r="Q24"/>
          <cell r="R24">
            <v>315187</v>
          </cell>
          <cell r="S24">
            <v>-18431</v>
          </cell>
          <cell r="T24">
            <v>296756</v>
          </cell>
        </row>
        <row r="25">
          <cell r="A25">
            <v>90141</v>
          </cell>
          <cell r="B25" t="str">
            <v xml:space="preserve"> HAW RIVER</v>
          </cell>
          <cell r="C25">
            <v>1.4770000000000001E-4</v>
          </cell>
          <cell r="D25">
            <v>1.4779999999999999E-4</v>
          </cell>
          <cell r="E25">
            <v>350395</v>
          </cell>
          <cell r="F25"/>
          <cell r="G25">
            <v>54058</v>
          </cell>
          <cell r="H25">
            <v>48099</v>
          </cell>
          <cell r="I25">
            <v>92981</v>
          </cell>
          <cell r="J25">
            <v>5965</v>
          </cell>
          <cell r="K25">
            <v>201103</v>
          </cell>
          <cell r="L25"/>
          <cell r="M25">
            <v>1814</v>
          </cell>
          <cell r="N25">
            <v>0</v>
          </cell>
          <cell r="O25">
            <v>9422</v>
          </cell>
          <cell r="P25">
            <v>11236</v>
          </cell>
          <cell r="Q25"/>
          <cell r="R25">
            <v>97330</v>
          </cell>
          <cell r="S25">
            <v>-1562</v>
          </cell>
          <cell r="T25">
            <v>95768</v>
          </cell>
        </row>
        <row r="26">
          <cell r="A26">
            <v>90151</v>
          </cell>
          <cell r="B26" t="str">
            <v xml:space="preserve"> ALAMANCE</v>
          </cell>
          <cell r="C26">
            <v>9.7000000000000003E-6</v>
          </cell>
          <cell r="D26">
            <v>9.9000000000000001E-6</v>
          </cell>
          <cell r="E26">
            <v>23012</v>
          </cell>
          <cell r="F26"/>
          <cell r="G26">
            <v>3550</v>
          </cell>
          <cell r="H26">
            <v>3159</v>
          </cell>
          <cell r="I26">
            <v>6106</v>
          </cell>
          <cell r="J26">
            <v>0</v>
          </cell>
          <cell r="K26">
            <v>12815</v>
          </cell>
          <cell r="L26"/>
          <cell r="M26">
            <v>119</v>
          </cell>
          <cell r="N26">
            <v>0</v>
          </cell>
          <cell r="O26">
            <v>2941</v>
          </cell>
          <cell r="P26">
            <v>3060</v>
          </cell>
          <cell r="Q26"/>
          <cell r="R26">
            <v>6392</v>
          </cell>
          <cell r="S26">
            <v>-1416</v>
          </cell>
          <cell r="T26">
            <v>4976</v>
          </cell>
        </row>
        <row r="27">
          <cell r="A27">
            <v>90161</v>
          </cell>
          <cell r="B27" t="str">
            <v xml:space="preserve"> GREEN LEVEL</v>
          </cell>
          <cell r="C27">
            <v>4.3999999999999999E-5</v>
          </cell>
          <cell r="D27">
            <v>3.4199999999999998E-5</v>
          </cell>
          <cell r="E27">
            <v>104383</v>
          </cell>
          <cell r="F27"/>
          <cell r="G27">
            <v>16104</v>
          </cell>
          <cell r="H27">
            <v>14329</v>
          </cell>
          <cell r="I27">
            <v>27699</v>
          </cell>
          <cell r="J27">
            <v>4975</v>
          </cell>
          <cell r="K27">
            <v>63107</v>
          </cell>
          <cell r="L27"/>
          <cell r="M27">
            <v>540</v>
          </cell>
          <cell r="N27">
            <v>0</v>
          </cell>
          <cell r="O27">
            <v>347</v>
          </cell>
          <cell r="P27">
            <v>887</v>
          </cell>
          <cell r="Q27"/>
          <cell r="R27">
            <v>28995</v>
          </cell>
          <cell r="S27">
            <v>2254</v>
          </cell>
          <cell r="T27">
            <v>31249</v>
          </cell>
        </row>
        <row r="28">
          <cell r="A28">
            <v>90201</v>
          </cell>
          <cell r="B28" t="str">
            <v>ALEXANDER COUNTY</v>
          </cell>
          <cell r="C28">
            <v>1.1705999999999999E-3</v>
          </cell>
          <cell r="D28">
            <v>1.2126999999999999E-3</v>
          </cell>
          <cell r="E28">
            <v>2777064</v>
          </cell>
          <cell r="F28"/>
          <cell r="G28">
            <v>428435</v>
          </cell>
          <cell r="H28">
            <v>381209</v>
          </cell>
          <cell r="I28">
            <v>736925</v>
          </cell>
          <cell r="J28">
            <v>2854</v>
          </cell>
          <cell r="K28">
            <v>1549423</v>
          </cell>
          <cell r="L28"/>
          <cell r="M28">
            <v>14376</v>
          </cell>
          <cell r="N28">
            <v>0</v>
          </cell>
          <cell r="O28">
            <v>52999</v>
          </cell>
          <cell r="P28">
            <v>67375</v>
          </cell>
          <cell r="Q28"/>
          <cell r="R28">
            <v>771394</v>
          </cell>
          <cell r="S28">
            <v>18200</v>
          </cell>
          <cell r="T28">
            <v>789594</v>
          </cell>
        </row>
        <row r="29">
          <cell r="A29">
            <v>90203</v>
          </cell>
          <cell r="B29" t="str">
            <v>ALEXANDER COUNTY HEALTH DEPT</v>
          </cell>
          <cell r="C29">
            <v>1.9909999999999999E-4</v>
          </cell>
          <cell r="D29">
            <v>1.994E-4</v>
          </cell>
          <cell r="E29">
            <v>472333</v>
          </cell>
          <cell r="F29"/>
          <cell r="G29">
            <v>72870</v>
          </cell>
          <cell r="H29">
            <v>64837</v>
          </cell>
          <cell r="I29">
            <v>125339</v>
          </cell>
          <cell r="J29">
            <v>4091</v>
          </cell>
          <cell r="K29">
            <v>267137</v>
          </cell>
          <cell r="L29"/>
          <cell r="M29">
            <v>2445</v>
          </cell>
          <cell r="N29">
            <v>0</v>
          </cell>
          <cell r="O29">
            <v>29936</v>
          </cell>
          <cell r="P29">
            <v>32381</v>
          </cell>
          <cell r="Q29"/>
          <cell r="R29">
            <v>131202</v>
          </cell>
          <cell r="S29">
            <v>-17176</v>
          </cell>
          <cell r="T29">
            <v>114026</v>
          </cell>
        </row>
        <row r="30">
          <cell r="A30">
            <v>90205</v>
          </cell>
          <cell r="B30" t="str">
            <v>ALEXANDER COUNTY PUBLIC LIBRARY</v>
          </cell>
          <cell r="C30">
            <v>3.2499999999999997E-5</v>
          </cell>
          <cell r="D30">
            <v>3.0000000000000001E-5</v>
          </cell>
          <cell r="E30">
            <v>77101</v>
          </cell>
          <cell r="F30"/>
          <cell r="G30">
            <v>11895</v>
          </cell>
          <cell r="H30">
            <v>10583</v>
          </cell>
          <cell r="I30">
            <v>20460</v>
          </cell>
          <cell r="J30">
            <v>2535</v>
          </cell>
          <cell r="K30">
            <v>45473</v>
          </cell>
          <cell r="L30"/>
          <cell r="M30">
            <v>399</v>
          </cell>
          <cell r="N30">
            <v>0</v>
          </cell>
          <cell r="O30">
            <v>1911</v>
          </cell>
          <cell r="P30">
            <v>2310</v>
          </cell>
          <cell r="Q30"/>
          <cell r="R30">
            <v>21417</v>
          </cell>
          <cell r="S30">
            <v>484</v>
          </cell>
          <cell r="T30">
            <v>21901</v>
          </cell>
        </row>
        <row r="31">
          <cell r="A31">
            <v>90206</v>
          </cell>
          <cell r="B31" t="str">
            <v>ALEXANDER COUNTY DEPT OF S S</v>
          </cell>
          <cell r="C31">
            <v>4.1950000000000001E-4</v>
          </cell>
          <cell r="D31">
            <v>4.2069999999999998E-4</v>
          </cell>
          <cell r="E31">
            <v>995197</v>
          </cell>
          <cell r="F31"/>
          <cell r="G31">
            <v>153535</v>
          </cell>
          <cell r="H31">
            <v>136611</v>
          </cell>
          <cell r="I31">
            <v>264087</v>
          </cell>
          <cell r="J31">
            <v>0</v>
          </cell>
          <cell r="K31">
            <v>554233</v>
          </cell>
          <cell r="L31"/>
          <cell r="M31">
            <v>5152</v>
          </cell>
          <cell r="N31">
            <v>0</v>
          </cell>
          <cell r="O31">
            <v>23372</v>
          </cell>
          <cell r="P31">
            <v>28524</v>
          </cell>
          <cell r="Q31"/>
          <cell r="R31">
            <v>276439</v>
          </cell>
          <cell r="S31">
            <v>-212</v>
          </cell>
          <cell r="T31">
            <v>276227</v>
          </cell>
        </row>
        <row r="32">
          <cell r="A32">
            <v>90211</v>
          </cell>
          <cell r="B32" t="str">
            <v xml:space="preserve"> TAYLORSVILLE</v>
          </cell>
          <cell r="C32">
            <v>1.5330000000000001E-4</v>
          </cell>
          <cell r="D32">
            <v>1.4799999999999999E-4</v>
          </cell>
          <cell r="E32">
            <v>363680</v>
          </cell>
          <cell r="F32"/>
          <cell r="G32">
            <v>56107</v>
          </cell>
          <cell r="H32">
            <v>49922</v>
          </cell>
          <cell r="I32">
            <v>96507</v>
          </cell>
          <cell r="J32">
            <v>7134</v>
          </cell>
          <cell r="K32">
            <v>209670</v>
          </cell>
          <cell r="L32"/>
          <cell r="M32">
            <v>1883</v>
          </cell>
          <cell r="N32">
            <v>0</v>
          </cell>
          <cell r="O32">
            <v>9218</v>
          </cell>
          <cell r="P32">
            <v>11101</v>
          </cell>
          <cell r="Q32"/>
          <cell r="R32">
            <v>101021</v>
          </cell>
          <cell r="S32">
            <v>-4342</v>
          </cell>
          <cell r="T32">
            <v>96679</v>
          </cell>
        </row>
        <row r="33">
          <cell r="A33">
            <v>90301</v>
          </cell>
          <cell r="B33" t="str">
            <v>ALLEGHANY COUNTY</v>
          </cell>
          <cell r="C33">
            <v>7.0640000000000004E-4</v>
          </cell>
          <cell r="D33">
            <v>6.7040000000000003E-4</v>
          </cell>
          <cell r="E33">
            <v>1675822</v>
          </cell>
          <cell r="F33"/>
          <cell r="G33">
            <v>258540</v>
          </cell>
          <cell r="H33">
            <v>230041</v>
          </cell>
          <cell r="I33">
            <v>444699</v>
          </cell>
          <cell r="J33">
            <v>1945</v>
          </cell>
          <cell r="K33">
            <v>935225</v>
          </cell>
          <cell r="L33"/>
          <cell r="M33">
            <v>8675</v>
          </cell>
          <cell r="N33">
            <v>0</v>
          </cell>
          <cell r="O33">
            <v>11529</v>
          </cell>
          <cell r="P33">
            <v>20204</v>
          </cell>
          <cell r="Q33"/>
          <cell r="R33">
            <v>465499</v>
          </cell>
          <cell r="S33">
            <v>-7033</v>
          </cell>
          <cell r="T33">
            <v>458466</v>
          </cell>
        </row>
        <row r="34">
          <cell r="A34">
            <v>90305</v>
          </cell>
          <cell r="B34" t="str">
            <v>NORTHWESTERN REGIONAL LIBRARY</v>
          </cell>
          <cell r="C34">
            <v>1.4909999999999999E-4</v>
          </cell>
          <cell r="D34">
            <v>1.617E-4</v>
          </cell>
          <cell r="E34">
            <v>353716</v>
          </cell>
          <cell r="F34"/>
          <cell r="G34">
            <v>54570</v>
          </cell>
          <cell r="H34">
            <v>48554</v>
          </cell>
          <cell r="I34">
            <v>93863</v>
          </cell>
          <cell r="J34">
            <v>12323</v>
          </cell>
          <cell r="K34">
            <v>209310</v>
          </cell>
          <cell r="L34"/>
          <cell r="M34">
            <v>1831</v>
          </cell>
          <cell r="N34">
            <v>0</v>
          </cell>
          <cell r="O34">
            <v>0</v>
          </cell>
          <cell r="P34">
            <v>1831</v>
          </cell>
          <cell r="Q34"/>
          <cell r="R34">
            <v>98253</v>
          </cell>
          <cell r="S34">
            <v>10409</v>
          </cell>
          <cell r="T34">
            <v>108662</v>
          </cell>
        </row>
        <row r="35">
          <cell r="A35">
            <v>90307</v>
          </cell>
          <cell r="B35" t="str">
            <v xml:space="preserve"> SPARTA ABC BOARD</v>
          </cell>
          <cell r="C35">
            <v>6.6000000000000003E-6</v>
          </cell>
          <cell r="D35">
            <v>7.7999999999999999E-6</v>
          </cell>
          <cell r="E35">
            <v>15657</v>
          </cell>
          <cell r="F35"/>
          <cell r="G35">
            <v>2416</v>
          </cell>
          <cell r="H35">
            <v>2149</v>
          </cell>
          <cell r="I35">
            <v>4155</v>
          </cell>
          <cell r="J35">
            <v>447</v>
          </cell>
          <cell r="K35">
            <v>9167</v>
          </cell>
          <cell r="L35"/>
          <cell r="M35">
            <v>81</v>
          </cell>
          <cell r="N35">
            <v>0</v>
          </cell>
          <cell r="O35">
            <v>32</v>
          </cell>
          <cell r="P35">
            <v>113</v>
          </cell>
          <cell r="Q35"/>
          <cell r="R35">
            <v>4349</v>
          </cell>
          <cell r="S35">
            <v>151</v>
          </cell>
          <cell r="T35">
            <v>4500</v>
          </cell>
        </row>
        <row r="36">
          <cell r="A36">
            <v>90401</v>
          </cell>
          <cell r="B36" t="str">
            <v>ANSON COUNTY</v>
          </cell>
          <cell r="C36">
            <v>1.2583E-3</v>
          </cell>
          <cell r="D36">
            <v>1.3270999999999999E-3</v>
          </cell>
          <cell r="E36">
            <v>2985118</v>
          </cell>
          <cell r="F36"/>
          <cell r="G36">
            <v>460533</v>
          </cell>
          <cell r="H36">
            <v>409768</v>
          </cell>
          <cell r="I36">
            <v>792135</v>
          </cell>
          <cell r="J36">
            <v>17301</v>
          </cell>
          <cell r="K36">
            <v>1679737</v>
          </cell>
          <cell r="L36"/>
          <cell r="M36">
            <v>15453</v>
          </cell>
          <cell r="N36">
            <v>0</v>
          </cell>
          <cell r="O36">
            <v>18146</v>
          </cell>
          <cell r="P36">
            <v>33599</v>
          </cell>
          <cell r="Q36"/>
          <cell r="R36">
            <v>829186</v>
          </cell>
          <cell r="S36">
            <v>21476</v>
          </cell>
          <cell r="T36">
            <v>850662</v>
          </cell>
        </row>
        <row r="37">
          <cell r="A37">
            <v>90411</v>
          </cell>
          <cell r="B37" t="str">
            <v xml:space="preserve"> WADESBORO</v>
          </cell>
          <cell r="C37">
            <v>3.5110000000000002E-4</v>
          </cell>
          <cell r="D37">
            <v>3.5100000000000002E-4</v>
          </cell>
          <cell r="E37">
            <v>832929</v>
          </cell>
          <cell r="F37"/>
          <cell r="G37">
            <v>128501</v>
          </cell>
          <cell r="H37">
            <v>114336</v>
          </cell>
          <cell r="I37">
            <v>221027</v>
          </cell>
          <cell r="J37">
            <v>0</v>
          </cell>
          <cell r="K37">
            <v>463864</v>
          </cell>
          <cell r="L37"/>
          <cell r="M37">
            <v>4312</v>
          </cell>
          <cell r="N37">
            <v>0</v>
          </cell>
          <cell r="O37">
            <v>35756</v>
          </cell>
          <cell r="P37">
            <v>40068</v>
          </cell>
          <cell r="Q37"/>
          <cell r="R37">
            <v>231365</v>
          </cell>
          <cell r="S37">
            <v>-18400</v>
          </cell>
          <cell r="T37">
            <v>212965</v>
          </cell>
        </row>
        <row r="38">
          <cell r="A38">
            <v>90413</v>
          </cell>
          <cell r="B38" t="str">
            <v>WADESBORO HOUSING AUTHORITY</v>
          </cell>
          <cell r="C38">
            <v>3.4700000000000003E-5</v>
          </cell>
          <cell r="D38">
            <v>3.4600000000000001E-5</v>
          </cell>
          <cell r="E38">
            <v>82320</v>
          </cell>
          <cell r="F38"/>
          <cell r="G38">
            <v>12700</v>
          </cell>
          <cell r="H38">
            <v>11300</v>
          </cell>
          <cell r="I38">
            <v>21845</v>
          </cell>
          <cell r="J38">
            <v>4037</v>
          </cell>
          <cell r="K38">
            <v>49882</v>
          </cell>
          <cell r="L38"/>
          <cell r="M38">
            <v>426</v>
          </cell>
          <cell r="N38">
            <v>0</v>
          </cell>
          <cell r="O38">
            <v>687</v>
          </cell>
          <cell r="P38">
            <v>1113</v>
          </cell>
          <cell r="Q38"/>
          <cell r="R38">
            <v>22866</v>
          </cell>
          <cell r="S38">
            <v>3839</v>
          </cell>
          <cell r="T38">
            <v>26705</v>
          </cell>
        </row>
        <row r="39">
          <cell r="A39">
            <v>90417</v>
          </cell>
          <cell r="B39" t="str">
            <v>WADESBORO ABC BOARD</v>
          </cell>
          <cell r="C39">
            <v>1.19E-5</v>
          </cell>
          <cell r="D39">
            <v>1.17E-5</v>
          </cell>
          <cell r="E39">
            <v>28231</v>
          </cell>
          <cell r="F39"/>
          <cell r="G39">
            <v>4355</v>
          </cell>
          <cell r="H39">
            <v>3875</v>
          </cell>
          <cell r="I39">
            <v>7491</v>
          </cell>
          <cell r="J39">
            <v>4872</v>
          </cell>
          <cell r="K39">
            <v>20593</v>
          </cell>
          <cell r="L39"/>
          <cell r="M39">
            <v>146</v>
          </cell>
          <cell r="N39">
            <v>0</v>
          </cell>
          <cell r="O39">
            <v>0</v>
          </cell>
          <cell r="P39">
            <v>146</v>
          </cell>
          <cell r="Q39"/>
          <cell r="R39">
            <v>7842</v>
          </cell>
          <cell r="S39">
            <v>1871</v>
          </cell>
          <cell r="T39">
            <v>9713</v>
          </cell>
        </row>
        <row r="40">
          <cell r="A40">
            <v>90421</v>
          </cell>
          <cell r="B40" t="str">
            <v xml:space="preserve"> LILESVILLE</v>
          </cell>
          <cell r="C40">
            <v>2.09E-5</v>
          </cell>
          <cell r="D40">
            <v>2.19E-5</v>
          </cell>
          <cell r="E40">
            <v>49582</v>
          </cell>
          <cell r="F40"/>
          <cell r="G40">
            <v>7649</v>
          </cell>
          <cell r="H40">
            <v>6806</v>
          </cell>
          <cell r="I40">
            <v>13157</v>
          </cell>
          <cell r="J40">
            <v>0</v>
          </cell>
          <cell r="K40">
            <v>27612</v>
          </cell>
          <cell r="L40"/>
          <cell r="M40">
            <v>257</v>
          </cell>
          <cell r="N40">
            <v>0</v>
          </cell>
          <cell r="O40">
            <v>4614</v>
          </cell>
          <cell r="P40">
            <v>4871</v>
          </cell>
          <cell r="Q40"/>
          <cell r="R40">
            <v>13773</v>
          </cell>
          <cell r="S40">
            <v>-2235</v>
          </cell>
          <cell r="T40">
            <v>11538</v>
          </cell>
        </row>
        <row r="41">
          <cell r="A41">
            <v>90431</v>
          </cell>
          <cell r="B41" t="str">
            <v xml:space="preserve"> POLKTON</v>
          </cell>
          <cell r="C41">
            <v>4.5099999999999998E-5</v>
          </cell>
          <cell r="D41">
            <v>4.8300000000000002E-5</v>
          </cell>
          <cell r="E41">
            <v>106993</v>
          </cell>
          <cell r="F41"/>
          <cell r="G41">
            <v>16506</v>
          </cell>
          <cell r="H41">
            <v>14687</v>
          </cell>
          <cell r="I41">
            <v>28392</v>
          </cell>
          <cell r="J41">
            <v>4577</v>
          </cell>
          <cell r="K41">
            <v>64162</v>
          </cell>
          <cell r="L41"/>
          <cell r="M41">
            <v>554</v>
          </cell>
          <cell r="N41">
            <v>0</v>
          </cell>
          <cell r="O41">
            <v>2267</v>
          </cell>
          <cell r="P41">
            <v>2821</v>
          </cell>
          <cell r="Q41"/>
          <cell r="R41">
            <v>29720</v>
          </cell>
          <cell r="S41">
            <v>3281</v>
          </cell>
          <cell r="T41">
            <v>33001</v>
          </cell>
        </row>
        <row r="42">
          <cell r="A42">
            <v>90441</v>
          </cell>
          <cell r="B42" t="str">
            <v xml:space="preserve"> PEACHLAND</v>
          </cell>
          <cell r="C42">
            <v>7.5000000000000002E-6</v>
          </cell>
          <cell r="D42">
            <v>8.3999999999999992E-6</v>
          </cell>
          <cell r="E42">
            <v>17793</v>
          </cell>
          <cell r="F42" t="str">
            <v xml:space="preserve">   </v>
          </cell>
          <cell r="G42">
            <v>2745</v>
          </cell>
          <cell r="H42">
            <v>2443</v>
          </cell>
          <cell r="I42">
            <v>4721</v>
          </cell>
          <cell r="J42">
            <v>827</v>
          </cell>
          <cell r="K42">
            <v>10736</v>
          </cell>
          <cell r="L42"/>
          <cell r="M42">
            <v>92</v>
          </cell>
          <cell r="N42">
            <v>0</v>
          </cell>
          <cell r="O42">
            <v>58</v>
          </cell>
          <cell r="P42">
            <v>150</v>
          </cell>
          <cell r="Q42"/>
          <cell r="R42">
            <v>4942</v>
          </cell>
          <cell r="S42">
            <v>771</v>
          </cell>
          <cell r="T42">
            <v>5713</v>
          </cell>
        </row>
        <row r="43">
          <cell r="A43">
            <v>90451</v>
          </cell>
          <cell r="B43" t="str">
            <v xml:space="preserve"> ANSONVILLE</v>
          </cell>
          <cell r="C43">
            <v>2.05E-5</v>
          </cell>
          <cell r="D43">
            <v>1.6699999999999999E-5</v>
          </cell>
          <cell r="E43">
            <v>48633</v>
          </cell>
          <cell r="F43" t="str">
            <v xml:space="preserve">   </v>
          </cell>
          <cell r="G43">
            <v>7503</v>
          </cell>
          <cell r="H43">
            <v>6676</v>
          </cell>
          <cell r="I43">
            <v>12905</v>
          </cell>
          <cell r="J43">
            <v>3881</v>
          </cell>
          <cell r="K43">
            <v>30965</v>
          </cell>
          <cell r="L43"/>
          <cell r="M43">
            <v>252</v>
          </cell>
          <cell r="N43">
            <v>0</v>
          </cell>
          <cell r="O43">
            <v>623</v>
          </cell>
          <cell r="P43">
            <v>875</v>
          </cell>
          <cell r="Q43"/>
          <cell r="R43">
            <v>13509</v>
          </cell>
          <cell r="S43">
            <v>1281</v>
          </cell>
          <cell r="T43">
            <v>14790</v>
          </cell>
        </row>
        <row r="44">
          <cell r="A44">
            <v>90461</v>
          </cell>
          <cell r="B44" t="str">
            <v xml:space="preserve"> MORVEN</v>
          </cell>
          <cell r="C44">
            <v>5.5999999999999997E-6</v>
          </cell>
          <cell r="D44">
            <v>7.4000000000000003E-6</v>
          </cell>
          <cell r="E44">
            <v>13285</v>
          </cell>
          <cell r="F44" t="str">
            <v xml:space="preserve">   </v>
          </cell>
          <cell r="G44">
            <v>2050</v>
          </cell>
          <cell r="H44">
            <v>1823</v>
          </cell>
          <cell r="I44">
            <v>3525</v>
          </cell>
          <cell r="J44">
            <v>1470</v>
          </cell>
          <cell r="K44">
            <v>8868</v>
          </cell>
          <cell r="L44"/>
          <cell r="M44">
            <v>69</v>
          </cell>
          <cell r="N44">
            <v>0</v>
          </cell>
          <cell r="O44">
            <v>4983</v>
          </cell>
          <cell r="P44">
            <v>5052</v>
          </cell>
          <cell r="Q44"/>
          <cell r="R44">
            <v>3690</v>
          </cell>
          <cell r="S44">
            <v>-968</v>
          </cell>
          <cell r="T44">
            <v>2722</v>
          </cell>
        </row>
        <row r="45">
          <cell r="A45">
            <v>90501</v>
          </cell>
          <cell r="B45" t="str">
            <v>ASHE COUNTY</v>
          </cell>
          <cell r="C45">
            <v>1.3675E-3</v>
          </cell>
          <cell r="D45">
            <v>1.4176E-3</v>
          </cell>
          <cell r="E45">
            <v>3244178</v>
          </cell>
          <cell r="F45" t="str">
            <v xml:space="preserve">   </v>
          </cell>
          <cell r="G45">
            <v>500500</v>
          </cell>
          <cell r="H45">
            <v>445329</v>
          </cell>
          <cell r="I45">
            <v>860880</v>
          </cell>
          <cell r="J45">
            <v>26910</v>
          </cell>
          <cell r="K45">
            <v>1833619</v>
          </cell>
          <cell r="L45"/>
          <cell r="M45">
            <v>16794</v>
          </cell>
          <cell r="N45">
            <v>0</v>
          </cell>
          <cell r="O45">
            <v>5948</v>
          </cell>
          <cell r="P45">
            <v>22742</v>
          </cell>
          <cell r="Q45"/>
          <cell r="R45">
            <v>901146</v>
          </cell>
          <cell r="S45">
            <v>25526</v>
          </cell>
          <cell r="T45">
            <v>926672</v>
          </cell>
        </row>
        <row r="46">
          <cell r="A46">
            <v>90507</v>
          </cell>
          <cell r="B46" t="str">
            <v>WEST JEFFERSON ABC BOARD</v>
          </cell>
          <cell r="C46">
            <v>6.3999999999999997E-6</v>
          </cell>
          <cell r="D46">
            <v>6.6000000000000003E-6</v>
          </cell>
          <cell r="E46">
            <v>15183</v>
          </cell>
          <cell r="F46" t="str">
            <v xml:space="preserve">   </v>
          </cell>
          <cell r="G46">
            <v>2342</v>
          </cell>
          <cell r="H46">
            <v>2084</v>
          </cell>
          <cell r="I46">
            <v>4029</v>
          </cell>
          <cell r="J46">
            <v>13580</v>
          </cell>
          <cell r="K46">
            <v>22035</v>
          </cell>
          <cell r="L46"/>
          <cell r="M46">
            <v>79</v>
          </cell>
          <cell r="N46">
            <v>0</v>
          </cell>
          <cell r="O46">
            <v>0</v>
          </cell>
          <cell r="P46">
            <v>79</v>
          </cell>
          <cell r="Q46"/>
          <cell r="R46">
            <v>4217</v>
          </cell>
          <cell r="S46">
            <v>5652</v>
          </cell>
          <cell r="T46">
            <v>9869</v>
          </cell>
        </row>
        <row r="47">
          <cell r="A47">
            <v>90511</v>
          </cell>
          <cell r="B47" t="str">
            <v xml:space="preserve"> JEFFERSON</v>
          </cell>
          <cell r="C47">
            <v>8.25E-5</v>
          </cell>
          <cell r="D47">
            <v>8.7000000000000001E-5</v>
          </cell>
          <cell r="E47">
            <v>195718</v>
          </cell>
          <cell r="F47" t="str">
            <v xml:space="preserve">   </v>
          </cell>
          <cell r="G47">
            <v>30195</v>
          </cell>
          <cell r="H47">
            <v>26866</v>
          </cell>
          <cell r="I47">
            <v>51936</v>
          </cell>
          <cell r="J47">
            <v>16195</v>
          </cell>
          <cell r="K47">
            <v>125192</v>
          </cell>
          <cell r="L47"/>
          <cell r="M47">
            <v>1013</v>
          </cell>
          <cell r="N47">
            <v>0</v>
          </cell>
          <cell r="O47">
            <v>0</v>
          </cell>
          <cell r="P47">
            <v>1013</v>
          </cell>
          <cell r="Q47"/>
          <cell r="R47">
            <v>54365</v>
          </cell>
          <cell r="S47">
            <v>8520</v>
          </cell>
          <cell r="T47">
            <v>62885</v>
          </cell>
        </row>
        <row r="48">
          <cell r="A48">
            <v>90521</v>
          </cell>
          <cell r="B48" t="str">
            <v xml:space="preserve"> WEST JEFFERSON</v>
          </cell>
          <cell r="C48">
            <v>1.281E-4</v>
          </cell>
          <cell r="D48">
            <v>1.3880000000000001E-4</v>
          </cell>
          <cell r="E48">
            <v>303897</v>
          </cell>
          <cell r="F48" t="str">
            <v xml:space="preserve">   </v>
          </cell>
          <cell r="G48">
            <v>46884</v>
          </cell>
          <cell r="H48">
            <v>41717</v>
          </cell>
          <cell r="I48">
            <v>80643</v>
          </cell>
          <cell r="J48">
            <v>0</v>
          </cell>
          <cell r="K48">
            <v>169244</v>
          </cell>
          <cell r="L48"/>
          <cell r="M48">
            <v>1573</v>
          </cell>
          <cell r="N48">
            <v>0</v>
          </cell>
          <cell r="O48">
            <v>24197</v>
          </cell>
          <cell r="P48">
            <v>25770</v>
          </cell>
          <cell r="Q48"/>
          <cell r="R48">
            <v>84414</v>
          </cell>
          <cell r="S48">
            <v>-10337</v>
          </cell>
          <cell r="T48">
            <v>74077</v>
          </cell>
        </row>
        <row r="49">
          <cell r="A49">
            <v>90601</v>
          </cell>
          <cell r="B49" t="str">
            <v>AVERY COUNTY</v>
          </cell>
          <cell r="C49">
            <v>1.1383999999999999E-3</v>
          </cell>
          <cell r="D49">
            <v>1.1888000000000001E-3</v>
          </cell>
          <cell r="E49">
            <v>2700674</v>
          </cell>
          <cell r="F49" t="str">
            <v xml:space="preserve">   </v>
          </cell>
          <cell r="G49">
            <v>416650</v>
          </cell>
          <cell r="H49">
            <v>370722</v>
          </cell>
          <cell r="I49">
            <v>716655</v>
          </cell>
          <cell r="J49">
            <v>5621</v>
          </cell>
          <cell r="K49">
            <v>1509648</v>
          </cell>
          <cell r="L49"/>
          <cell r="M49">
            <v>13981</v>
          </cell>
          <cell r="N49">
            <v>0</v>
          </cell>
          <cell r="O49">
            <v>38880</v>
          </cell>
          <cell r="P49">
            <v>52861</v>
          </cell>
          <cell r="Q49"/>
          <cell r="R49">
            <v>750175</v>
          </cell>
          <cell r="S49">
            <v>1751</v>
          </cell>
          <cell r="T49">
            <v>751926</v>
          </cell>
        </row>
        <row r="50">
          <cell r="A50">
            <v>90602</v>
          </cell>
          <cell r="B50" t="str">
            <v>AVERY COUNTY FIRE COMMISSION</v>
          </cell>
          <cell r="C50">
            <v>6.3100000000000002E-5</v>
          </cell>
          <cell r="D50">
            <v>6.3899999999999995E-5</v>
          </cell>
          <cell r="E50">
            <v>149695</v>
          </cell>
          <cell r="F50" t="str">
            <v xml:space="preserve">   </v>
          </cell>
          <cell r="G50">
            <v>23094</v>
          </cell>
          <cell r="H50">
            <v>20549</v>
          </cell>
          <cell r="I50">
            <v>39723</v>
          </cell>
          <cell r="J50">
            <v>34569</v>
          </cell>
          <cell r="K50">
            <v>117935</v>
          </cell>
          <cell r="L50"/>
          <cell r="M50">
            <v>775</v>
          </cell>
          <cell r="N50">
            <v>0</v>
          </cell>
          <cell r="O50">
            <v>0</v>
          </cell>
          <cell r="P50">
            <v>775</v>
          </cell>
          <cell r="Q50"/>
          <cell r="R50">
            <v>41581</v>
          </cell>
          <cell r="S50">
            <v>16640</v>
          </cell>
          <cell r="T50">
            <v>58221</v>
          </cell>
        </row>
        <row r="51">
          <cell r="A51">
            <v>90605</v>
          </cell>
          <cell r="B51" t="str">
            <v>AVERY-MITCHELL-YANCEY REG LIBRARY</v>
          </cell>
          <cell r="C51">
            <v>3.9199999999999997E-5</v>
          </cell>
          <cell r="D51">
            <v>4.1999999999999998E-5</v>
          </cell>
          <cell r="E51">
            <v>92996</v>
          </cell>
          <cell r="F51" t="str">
            <v xml:space="preserve">   </v>
          </cell>
          <cell r="G51">
            <v>14347</v>
          </cell>
          <cell r="H51">
            <v>12765</v>
          </cell>
          <cell r="I51">
            <v>24677</v>
          </cell>
          <cell r="J51">
            <v>14565</v>
          </cell>
          <cell r="K51">
            <v>66354</v>
          </cell>
          <cell r="L51"/>
          <cell r="M51">
            <v>481</v>
          </cell>
          <cell r="N51">
            <v>0</v>
          </cell>
          <cell r="O51">
            <v>0</v>
          </cell>
          <cell r="P51">
            <v>481</v>
          </cell>
          <cell r="Q51"/>
          <cell r="R51">
            <v>25832</v>
          </cell>
          <cell r="S51">
            <v>6805</v>
          </cell>
          <cell r="T51">
            <v>32637</v>
          </cell>
        </row>
        <row r="52">
          <cell r="A52">
            <v>90611</v>
          </cell>
          <cell r="B52" t="str">
            <v xml:space="preserve"> BANNER ELK</v>
          </cell>
          <cell r="C52">
            <v>1.4009999999999999E-4</v>
          </cell>
          <cell r="D52">
            <v>1.4880000000000001E-4</v>
          </cell>
          <cell r="E52">
            <v>332365</v>
          </cell>
          <cell r="F52" t="str">
            <v xml:space="preserve">   </v>
          </cell>
          <cell r="G52">
            <v>51276</v>
          </cell>
          <cell r="H52">
            <v>45624</v>
          </cell>
          <cell r="I52">
            <v>88197</v>
          </cell>
          <cell r="J52">
            <v>0</v>
          </cell>
          <cell r="K52">
            <v>185097</v>
          </cell>
          <cell r="L52"/>
          <cell r="M52">
            <v>1721</v>
          </cell>
          <cell r="N52">
            <v>0</v>
          </cell>
          <cell r="O52">
            <v>20888</v>
          </cell>
          <cell r="P52">
            <v>22609</v>
          </cell>
          <cell r="Q52"/>
          <cell r="R52">
            <v>92322</v>
          </cell>
          <cell r="S52">
            <v>-5234</v>
          </cell>
          <cell r="T52">
            <v>87088</v>
          </cell>
        </row>
        <row r="53">
          <cell r="A53">
            <v>90617</v>
          </cell>
          <cell r="B53" t="str">
            <v>HIGH COUNTRY ABC BOARD</v>
          </cell>
          <cell r="C53">
            <v>2.72E-5</v>
          </cell>
          <cell r="D53">
            <v>2.5999999999999998E-5</v>
          </cell>
          <cell r="E53">
            <v>64528</v>
          </cell>
          <cell r="F53" t="str">
            <v xml:space="preserve">   </v>
          </cell>
          <cell r="G53">
            <v>9955</v>
          </cell>
          <cell r="H53">
            <v>8857</v>
          </cell>
          <cell r="I53">
            <v>17123</v>
          </cell>
          <cell r="J53">
            <v>5515</v>
          </cell>
          <cell r="K53">
            <v>41450</v>
          </cell>
          <cell r="L53"/>
          <cell r="M53">
            <v>334</v>
          </cell>
          <cell r="N53">
            <v>0</v>
          </cell>
          <cell r="O53">
            <v>0</v>
          </cell>
          <cell r="P53">
            <v>334</v>
          </cell>
          <cell r="Q53"/>
          <cell r="R53">
            <v>17924</v>
          </cell>
          <cell r="S53">
            <v>4552</v>
          </cell>
          <cell r="T53">
            <v>22476</v>
          </cell>
        </row>
        <row r="54">
          <cell r="A54">
            <v>90621</v>
          </cell>
          <cell r="B54" t="str">
            <v xml:space="preserve"> NEWLAND</v>
          </cell>
          <cell r="C54">
            <v>6.5699999999999998E-5</v>
          </cell>
          <cell r="D54">
            <v>6.3999999999999997E-5</v>
          </cell>
          <cell r="E54">
            <v>155863</v>
          </cell>
          <cell r="F54" t="str">
            <v xml:space="preserve">   </v>
          </cell>
          <cell r="G54">
            <v>24046</v>
          </cell>
          <cell r="H54">
            <v>21396</v>
          </cell>
          <cell r="I54">
            <v>41360</v>
          </cell>
          <cell r="J54">
            <v>0</v>
          </cell>
          <cell r="K54">
            <v>86802</v>
          </cell>
          <cell r="L54"/>
          <cell r="M54">
            <v>807</v>
          </cell>
          <cell r="N54">
            <v>0</v>
          </cell>
          <cell r="O54">
            <v>15822</v>
          </cell>
          <cell r="P54">
            <v>16629</v>
          </cell>
          <cell r="Q54"/>
          <cell r="R54">
            <v>43295</v>
          </cell>
          <cell r="S54">
            <v>-6033</v>
          </cell>
          <cell r="T54">
            <v>37262</v>
          </cell>
        </row>
        <row r="55">
          <cell r="A55">
            <v>90631</v>
          </cell>
          <cell r="B55" t="str">
            <v xml:space="preserve"> BEECH MOUNTAIN</v>
          </cell>
          <cell r="C55">
            <v>3.7120000000000002E-4</v>
          </cell>
          <cell r="D55">
            <v>3.9560000000000002E-4</v>
          </cell>
          <cell r="E55">
            <v>880613</v>
          </cell>
          <cell r="F55" t="str">
            <v xml:space="preserve">   </v>
          </cell>
          <cell r="G55">
            <v>135858</v>
          </cell>
          <cell r="H55">
            <v>120882</v>
          </cell>
          <cell r="I55">
            <v>233681</v>
          </cell>
          <cell r="J55">
            <v>12101</v>
          </cell>
          <cell r="K55">
            <v>502522</v>
          </cell>
          <cell r="L55"/>
          <cell r="M55">
            <v>4559</v>
          </cell>
          <cell r="N55">
            <v>0</v>
          </cell>
          <cell r="O55">
            <v>18351</v>
          </cell>
          <cell r="P55">
            <v>22910</v>
          </cell>
          <cell r="Q55"/>
          <cell r="R55">
            <v>244611</v>
          </cell>
          <cell r="S55">
            <v>-4506</v>
          </cell>
          <cell r="T55">
            <v>240105</v>
          </cell>
        </row>
        <row r="56">
          <cell r="A56">
            <v>90641</v>
          </cell>
          <cell r="B56" t="str">
            <v xml:space="preserve"> ELK PARK</v>
          </cell>
          <cell r="C56">
            <v>1.2999999999999999E-5</v>
          </cell>
          <cell r="D56">
            <v>1.38E-5</v>
          </cell>
          <cell r="E56">
            <v>30840</v>
          </cell>
          <cell r="F56" t="str">
            <v xml:space="preserve">   </v>
          </cell>
          <cell r="G56">
            <v>4758</v>
          </cell>
          <cell r="H56">
            <v>4233</v>
          </cell>
          <cell r="I56">
            <v>8184</v>
          </cell>
          <cell r="J56">
            <v>250</v>
          </cell>
          <cell r="K56">
            <v>17425</v>
          </cell>
          <cell r="L56"/>
          <cell r="M56">
            <v>160</v>
          </cell>
          <cell r="N56">
            <v>0</v>
          </cell>
          <cell r="O56">
            <v>254</v>
          </cell>
          <cell r="P56">
            <v>414</v>
          </cell>
          <cell r="Q56"/>
          <cell r="R56">
            <v>8567</v>
          </cell>
          <cell r="S56">
            <v>-102</v>
          </cell>
          <cell r="T56">
            <v>8465</v>
          </cell>
        </row>
        <row r="57">
          <cell r="A57">
            <v>90651</v>
          </cell>
          <cell r="B57" t="str">
            <v xml:space="preserve"> SUGAR MOUNTAIN</v>
          </cell>
          <cell r="C57">
            <v>1.064E-4</v>
          </cell>
          <cell r="D57">
            <v>1E-4</v>
          </cell>
          <cell r="E57">
            <v>252417</v>
          </cell>
          <cell r="F57" t="str">
            <v xml:space="preserve">   </v>
          </cell>
          <cell r="G57">
            <v>38942</v>
          </cell>
          <cell r="H57">
            <v>34650</v>
          </cell>
          <cell r="I57">
            <v>66982</v>
          </cell>
          <cell r="J57">
            <v>100554</v>
          </cell>
          <cell r="K57">
            <v>241128</v>
          </cell>
          <cell r="L57"/>
          <cell r="M57">
            <v>1307</v>
          </cell>
          <cell r="N57">
            <v>0</v>
          </cell>
          <cell r="O57">
            <v>0</v>
          </cell>
          <cell r="P57">
            <v>1307</v>
          </cell>
          <cell r="Q57"/>
          <cell r="R57">
            <v>70115</v>
          </cell>
          <cell r="S57">
            <v>36979</v>
          </cell>
          <cell r="T57">
            <v>107094</v>
          </cell>
        </row>
        <row r="58">
          <cell r="A58">
            <v>90701</v>
          </cell>
          <cell r="B58" t="str">
            <v>BEAUFORT COUNTY</v>
          </cell>
          <cell r="C58">
            <v>2.6327999999999998E-3</v>
          </cell>
          <cell r="D58">
            <v>2.6581E-3</v>
          </cell>
          <cell r="E58">
            <v>6245902</v>
          </cell>
          <cell r="F58" t="str">
            <v xml:space="preserve">   </v>
          </cell>
          <cell r="G58">
            <v>963594</v>
          </cell>
          <cell r="H58">
            <v>857376</v>
          </cell>
          <cell r="I58">
            <v>1657421</v>
          </cell>
          <cell r="J58">
            <v>84751</v>
          </cell>
          <cell r="K58">
            <v>3563142</v>
          </cell>
          <cell r="L58"/>
          <cell r="M58">
            <v>32333</v>
          </cell>
          <cell r="N58">
            <v>0</v>
          </cell>
          <cell r="O58">
            <v>109908</v>
          </cell>
          <cell r="P58">
            <v>142241</v>
          </cell>
          <cell r="Q58"/>
          <cell r="R58">
            <v>1734944</v>
          </cell>
          <cell r="S58">
            <v>11083</v>
          </cell>
          <cell r="T58">
            <v>1746027</v>
          </cell>
        </row>
        <row r="59">
          <cell r="A59">
            <v>90704</v>
          </cell>
          <cell r="B59" t="str">
            <v>BEAUFORT COUNTY ABC BOARD</v>
          </cell>
          <cell r="C59">
            <v>3.4100000000000002E-5</v>
          </cell>
          <cell r="D59">
            <v>3.3300000000000003E-5</v>
          </cell>
          <cell r="E59">
            <v>80897</v>
          </cell>
          <cell r="F59" t="str">
            <v xml:space="preserve">   </v>
          </cell>
          <cell r="G59">
            <v>12480</v>
          </cell>
          <cell r="H59">
            <v>11105</v>
          </cell>
          <cell r="I59">
            <v>21467</v>
          </cell>
          <cell r="J59">
            <v>17851</v>
          </cell>
          <cell r="K59">
            <v>62903</v>
          </cell>
          <cell r="L59"/>
          <cell r="M59">
            <v>419</v>
          </cell>
          <cell r="N59">
            <v>0</v>
          </cell>
          <cell r="O59">
            <v>0</v>
          </cell>
          <cell r="P59">
            <v>419</v>
          </cell>
          <cell r="Q59"/>
          <cell r="R59">
            <v>22471</v>
          </cell>
          <cell r="S59">
            <v>7847</v>
          </cell>
          <cell r="T59">
            <v>30318</v>
          </cell>
        </row>
        <row r="60">
          <cell r="A60">
            <v>90705</v>
          </cell>
          <cell r="B60" t="str">
            <v>B H M REGIONAL LIBRARY</v>
          </cell>
          <cell r="C60">
            <v>3.6000000000000001E-5</v>
          </cell>
          <cell r="D60">
            <v>5.3000000000000001E-5</v>
          </cell>
          <cell r="E60">
            <v>85404</v>
          </cell>
          <cell r="F60" t="str">
            <v xml:space="preserve">   </v>
          </cell>
          <cell r="G60">
            <v>13176</v>
          </cell>
          <cell r="H60">
            <v>11723</v>
          </cell>
          <cell r="I60">
            <v>22663</v>
          </cell>
          <cell r="J60">
            <v>12180</v>
          </cell>
          <cell r="K60">
            <v>59742</v>
          </cell>
          <cell r="L60"/>
          <cell r="M60">
            <v>442</v>
          </cell>
          <cell r="N60">
            <v>0</v>
          </cell>
          <cell r="O60">
            <v>7440</v>
          </cell>
          <cell r="P60">
            <v>7882</v>
          </cell>
          <cell r="Q60"/>
          <cell r="R60">
            <v>23723</v>
          </cell>
          <cell r="S60">
            <v>4327</v>
          </cell>
          <cell r="T60">
            <v>28050</v>
          </cell>
        </row>
        <row r="61">
          <cell r="A61">
            <v>90709</v>
          </cell>
          <cell r="B61" t="str">
            <v>MIDEAST COMMISSION</v>
          </cell>
          <cell r="C61">
            <v>1.683E-4</v>
          </cell>
          <cell r="D61">
            <v>1.2650000000000001E-4</v>
          </cell>
          <cell r="E61">
            <v>399265</v>
          </cell>
          <cell r="F61" t="str">
            <v xml:space="preserve">   </v>
          </cell>
          <cell r="G61">
            <v>61597</v>
          </cell>
          <cell r="H61">
            <v>54807</v>
          </cell>
          <cell r="I61">
            <v>105950</v>
          </cell>
          <cell r="J61">
            <v>39082</v>
          </cell>
          <cell r="K61">
            <v>261436</v>
          </cell>
          <cell r="L61"/>
          <cell r="M61">
            <v>2067</v>
          </cell>
          <cell r="N61">
            <v>0</v>
          </cell>
          <cell r="O61">
            <v>28001</v>
          </cell>
          <cell r="P61">
            <v>30068</v>
          </cell>
          <cell r="Q61"/>
          <cell r="R61">
            <v>110905</v>
          </cell>
          <cell r="S61">
            <v>346</v>
          </cell>
          <cell r="T61">
            <v>111251</v>
          </cell>
        </row>
        <row r="62">
          <cell r="A62">
            <v>90711</v>
          </cell>
          <cell r="B62" t="str">
            <v>CITY OF WASHINGTON</v>
          </cell>
          <cell r="C62">
            <v>1.6165000000000001E-3</v>
          </cell>
          <cell r="D62">
            <v>1.6877000000000001E-3</v>
          </cell>
          <cell r="E62">
            <v>3834891</v>
          </cell>
          <cell r="F62" t="str">
            <v xml:space="preserve">   </v>
          </cell>
          <cell r="G62">
            <v>591633</v>
          </cell>
          <cell r="H62">
            <v>526416</v>
          </cell>
          <cell r="I62">
            <v>1017632</v>
          </cell>
          <cell r="J62">
            <v>0</v>
          </cell>
          <cell r="K62">
            <v>2135681</v>
          </cell>
          <cell r="L62"/>
          <cell r="M62">
            <v>19852</v>
          </cell>
          <cell r="N62">
            <v>0</v>
          </cell>
          <cell r="O62">
            <v>152515</v>
          </cell>
          <cell r="P62">
            <v>172367</v>
          </cell>
          <cell r="Q62"/>
          <cell r="R62">
            <v>1065230</v>
          </cell>
          <cell r="S62">
            <v>-83743</v>
          </cell>
          <cell r="T62">
            <v>981487</v>
          </cell>
        </row>
        <row r="63">
          <cell r="A63">
            <v>90721</v>
          </cell>
          <cell r="B63" t="str">
            <v xml:space="preserve"> AURORA</v>
          </cell>
          <cell r="C63">
            <v>2.8200000000000001E-5</v>
          </cell>
          <cell r="D63">
            <v>2.8600000000000001E-5</v>
          </cell>
          <cell r="E63">
            <v>66900</v>
          </cell>
          <cell r="F63" t="str">
            <v xml:space="preserve">   </v>
          </cell>
          <cell r="G63">
            <v>10321</v>
          </cell>
          <cell r="H63">
            <v>9183</v>
          </cell>
          <cell r="I63">
            <v>17753</v>
          </cell>
          <cell r="J63">
            <v>792</v>
          </cell>
          <cell r="K63">
            <v>38049</v>
          </cell>
          <cell r="L63"/>
          <cell r="M63">
            <v>346</v>
          </cell>
          <cell r="N63">
            <v>0</v>
          </cell>
          <cell r="O63">
            <v>3624</v>
          </cell>
          <cell r="P63">
            <v>3970</v>
          </cell>
          <cell r="Q63"/>
          <cell r="R63">
            <v>18583</v>
          </cell>
          <cell r="S63">
            <v>1108</v>
          </cell>
          <cell r="T63">
            <v>19691</v>
          </cell>
        </row>
        <row r="64">
          <cell r="A64">
            <v>90731</v>
          </cell>
          <cell r="B64" t="str">
            <v xml:space="preserve"> BELHAVEN</v>
          </cell>
          <cell r="C64">
            <v>1.4919999999999999E-4</v>
          </cell>
          <cell r="D64">
            <v>1.741E-4</v>
          </cell>
          <cell r="E64">
            <v>353953</v>
          </cell>
          <cell r="F64" t="str">
            <v xml:space="preserve">   </v>
          </cell>
          <cell r="G64">
            <v>54607</v>
          </cell>
          <cell r="H64">
            <v>48587</v>
          </cell>
          <cell r="I64">
            <v>93926</v>
          </cell>
          <cell r="J64">
            <v>0</v>
          </cell>
          <cell r="K64">
            <v>197120</v>
          </cell>
          <cell r="L64"/>
          <cell r="M64">
            <v>1832</v>
          </cell>
          <cell r="N64">
            <v>0</v>
          </cell>
          <cell r="O64">
            <v>24103</v>
          </cell>
          <cell r="P64">
            <v>25935</v>
          </cell>
          <cell r="Q64"/>
          <cell r="R64">
            <v>98319</v>
          </cell>
          <cell r="S64">
            <v>-10239</v>
          </cell>
          <cell r="T64">
            <v>88080</v>
          </cell>
        </row>
        <row r="65">
          <cell r="A65">
            <v>90741</v>
          </cell>
          <cell r="B65" t="str">
            <v xml:space="preserve"> WASHINGTON PARK</v>
          </cell>
          <cell r="C65">
            <v>1.52E-5</v>
          </cell>
          <cell r="D65">
            <v>9.0999999999999993E-6</v>
          </cell>
          <cell r="E65">
            <v>36060</v>
          </cell>
          <cell r="F65" t="str">
            <v xml:space="preserve">   </v>
          </cell>
          <cell r="G65">
            <v>5563</v>
          </cell>
          <cell r="H65">
            <v>4950</v>
          </cell>
          <cell r="I65">
            <v>9569</v>
          </cell>
          <cell r="J65">
            <v>5141</v>
          </cell>
          <cell r="K65">
            <v>25223</v>
          </cell>
          <cell r="L65"/>
          <cell r="M65">
            <v>187</v>
          </cell>
          <cell r="N65">
            <v>0</v>
          </cell>
          <cell r="O65">
            <v>155</v>
          </cell>
          <cell r="P65">
            <v>342</v>
          </cell>
          <cell r="Q65"/>
          <cell r="R65">
            <v>10016</v>
          </cell>
          <cell r="S65">
            <v>1246</v>
          </cell>
          <cell r="T65">
            <v>11262</v>
          </cell>
        </row>
        <row r="66">
          <cell r="A66">
            <v>90751</v>
          </cell>
          <cell r="B66" t="str">
            <v xml:space="preserve"> CHOCOWINITY</v>
          </cell>
          <cell r="C66">
            <v>7.9499999999999994E-5</v>
          </cell>
          <cell r="D66">
            <v>6.8700000000000003E-5</v>
          </cell>
          <cell r="E66">
            <v>188601</v>
          </cell>
          <cell r="F66" t="str">
            <v xml:space="preserve">   </v>
          </cell>
          <cell r="G66">
            <v>29097</v>
          </cell>
          <cell r="H66">
            <v>25890</v>
          </cell>
          <cell r="I66">
            <v>50047</v>
          </cell>
          <cell r="J66">
            <v>3763</v>
          </cell>
          <cell r="K66">
            <v>108797</v>
          </cell>
          <cell r="L66"/>
          <cell r="M66">
            <v>976</v>
          </cell>
          <cell r="N66">
            <v>0</v>
          </cell>
          <cell r="O66">
            <v>810</v>
          </cell>
          <cell r="P66">
            <v>1786</v>
          </cell>
          <cell r="Q66"/>
          <cell r="R66">
            <v>52388</v>
          </cell>
          <cell r="S66">
            <v>3994</v>
          </cell>
          <cell r="T66">
            <v>56382</v>
          </cell>
        </row>
        <row r="67">
          <cell r="A67">
            <v>90801</v>
          </cell>
          <cell r="B67" t="str">
            <v>BERTIE COUNTY</v>
          </cell>
          <cell r="C67">
            <v>1.338E-3</v>
          </cell>
          <cell r="D67">
            <v>1.3064000000000001E-3</v>
          </cell>
          <cell r="E67">
            <v>3174194</v>
          </cell>
          <cell r="F67" t="str">
            <v xml:space="preserve">   </v>
          </cell>
          <cell r="G67">
            <v>489703</v>
          </cell>
          <cell r="H67">
            <v>435722</v>
          </cell>
          <cell r="I67">
            <v>842308</v>
          </cell>
          <cell r="J67">
            <v>86295</v>
          </cell>
          <cell r="K67">
            <v>1854028</v>
          </cell>
          <cell r="L67"/>
          <cell r="M67">
            <v>16432</v>
          </cell>
          <cell r="N67">
            <v>0</v>
          </cell>
          <cell r="O67">
            <v>50464</v>
          </cell>
          <cell r="P67">
            <v>66896</v>
          </cell>
          <cell r="Q67"/>
          <cell r="R67">
            <v>881706</v>
          </cell>
          <cell r="S67">
            <v>52732</v>
          </cell>
          <cell r="T67">
            <v>934438</v>
          </cell>
        </row>
        <row r="68">
          <cell r="A68">
            <v>90804</v>
          </cell>
          <cell r="B68" t="str">
            <v>BERTIE COUNTY ABC BOARD</v>
          </cell>
          <cell r="C68">
            <v>6.0000000000000002E-6</v>
          </cell>
          <cell r="D68">
            <v>6.1999999999999999E-6</v>
          </cell>
          <cell r="E68">
            <v>14234</v>
          </cell>
          <cell r="F68" t="str">
            <v xml:space="preserve">   </v>
          </cell>
          <cell r="G68">
            <v>2196</v>
          </cell>
          <cell r="H68">
            <v>1954</v>
          </cell>
          <cell r="I68">
            <v>3777</v>
          </cell>
          <cell r="J68">
            <v>574</v>
          </cell>
          <cell r="K68">
            <v>8501</v>
          </cell>
          <cell r="L68"/>
          <cell r="M68">
            <v>74</v>
          </cell>
          <cell r="N68">
            <v>0</v>
          </cell>
          <cell r="O68">
            <v>215</v>
          </cell>
          <cell r="P68">
            <v>289</v>
          </cell>
          <cell r="Q68"/>
          <cell r="R68">
            <v>3954</v>
          </cell>
          <cell r="S68">
            <v>834</v>
          </cell>
          <cell r="T68">
            <v>4788</v>
          </cell>
        </row>
        <row r="69">
          <cell r="A69">
            <v>90805</v>
          </cell>
          <cell r="B69" t="str">
            <v>ALBEMARLE REGIONAL LIBRARY</v>
          </cell>
          <cell r="C69">
            <v>6.6600000000000006E-5</v>
          </cell>
          <cell r="D69">
            <v>5.1900000000000001E-5</v>
          </cell>
          <cell r="E69">
            <v>157998</v>
          </cell>
          <cell r="F69" t="str">
            <v xml:space="preserve">   </v>
          </cell>
          <cell r="G69">
            <v>24375</v>
          </cell>
          <cell r="H69">
            <v>21688</v>
          </cell>
          <cell r="I69">
            <v>41927</v>
          </cell>
          <cell r="J69">
            <v>29750</v>
          </cell>
          <cell r="K69">
            <v>117740</v>
          </cell>
          <cell r="L69"/>
          <cell r="M69">
            <v>818</v>
          </cell>
          <cell r="N69">
            <v>0</v>
          </cell>
          <cell r="O69">
            <v>0</v>
          </cell>
          <cell r="P69">
            <v>818</v>
          </cell>
          <cell r="Q69"/>
          <cell r="R69">
            <v>43888</v>
          </cell>
          <cell r="S69">
            <v>13705</v>
          </cell>
          <cell r="T69">
            <v>57593</v>
          </cell>
        </row>
        <row r="70">
          <cell r="A70">
            <v>90808</v>
          </cell>
          <cell r="B70" t="str">
            <v>BERTIE-MARTIN REGIONAL JAIL COMM</v>
          </cell>
          <cell r="C70">
            <v>1.0119999999999999E-4</v>
          </cell>
          <cell r="D70">
            <v>1.131E-4</v>
          </cell>
          <cell r="E70">
            <v>240081</v>
          </cell>
          <cell r="F70" t="str">
            <v xml:space="preserve">   </v>
          </cell>
          <cell r="G70">
            <v>37039</v>
          </cell>
          <cell r="H70">
            <v>32956</v>
          </cell>
          <cell r="I70">
            <v>63708</v>
          </cell>
          <cell r="J70">
            <v>3985</v>
          </cell>
          <cell r="K70">
            <v>137688</v>
          </cell>
          <cell r="L70"/>
          <cell r="M70">
            <v>1243</v>
          </cell>
          <cell r="N70">
            <v>0</v>
          </cell>
          <cell r="O70">
            <v>1338</v>
          </cell>
          <cell r="P70">
            <v>2581</v>
          </cell>
          <cell r="Q70"/>
          <cell r="R70">
            <v>66688</v>
          </cell>
          <cell r="S70">
            <v>662</v>
          </cell>
          <cell r="T70">
            <v>67350</v>
          </cell>
        </row>
        <row r="71">
          <cell r="A71">
            <v>90811</v>
          </cell>
          <cell r="B71" t="str">
            <v xml:space="preserve"> AULANDER</v>
          </cell>
          <cell r="C71">
            <v>3.6199999999999999E-5</v>
          </cell>
          <cell r="D71">
            <v>3.3599999999999997E-5</v>
          </cell>
          <cell r="E71">
            <v>85879</v>
          </cell>
          <cell r="F71" t="str">
            <v xml:space="preserve">   </v>
          </cell>
          <cell r="G71">
            <v>13249</v>
          </cell>
          <cell r="H71">
            <v>11789</v>
          </cell>
          <cell r="I71">
            <v>22789</v>
          </cell>
          <cell r="J71">
            <v>0</v>
          </cell>
          <cell r="K71">
            <v>47827</v>
          </cell>
          <cell r="L71"/>
          <cell r="M71">
            <v>445</v>
          </cell>
          <cell r="N71">
            <v>0</v>
          </cell>
          <cell r="O71">
            <v>9224</v>
          </cell>
          <cell r="P71">
            <v>9669</v>
          </cell>
          <cell r="Q71"/>
          <cell r="R71">
            <v>23855</v>
          </cell>
          <cell r="S71">
            <v>-2702</v>
          </cell>
          <cell r="T71">
            <v>21153</v>
          </cell>
        </row>
        <row r="72">
          <cell r="A72">
            <v>90812</v>
          </cell>
          <cell r="B72" t="str">
            <v xml:space="preserve"> WINDSOR</v>
          </cell>
          <cell r="C72">
            <v>2.2489999999999999E-4</v>
          </cell>
          <cell r="D72">
            <v>2.2900000000000001E-4</v>
          </cell>
          <cell r="E72">
            <v>533540</v>
          </cell>
          <cell r="F72" t="str">
            <v xml:space="preserve">   </v>
          </cell>
          <cell r="G72">
            <v>82313</v>
          </cell>
          <cell r="H72">
            <v>73239</v>
          </cell>
          <cell r="I72">
            <v>141581</v>
          </cell>
          <cell r="J72">
            <v>8319</v>
          </cell>
          <cell r="K72">
            <v>305452</v>
          </cell>
          <cell r="L72"/>
          <cell r="M72">
            <v>2762</v>
          </cell>
          <cell r="N72">
            <v>0</v>
          </cell>
          <cell r="O72">
            <v>11401</v>
          </cell>
          <cell r="P72">
            <v>14163</v>
          </cell>
          <cell r="Q72"/>
          <cell r="R72">
            <v>148203</v>
          </cell>
          <cell r="S72">
            <v>1945</v>
          </cell>
          <cell r="T72">
            <v>150148</v>
          </cell>
        </row>
        <row r="73">
          <cell r="A73">
            <v>90813</v>
          </cell>
          <cell r="B73" t="str">
            <v xml:space="preserve"> COLERAIN</v>
          </cell>
          <cell r="C73">
            <v>5.0000000000000004E-6</v>
          </cell>
          <cell r="D73">
            <v>5.3000000000000001E-6</v>
          </cell>
          <cell r="E73">
            <v>11862</v>
          </cell>
          <cell r="F73" t="str">
            <v xml:space="preserve">   </v>
          </cell>
          <cell r="G73">
            <v>1830</v>
          </cell>
          <cell r="H73">
            <v>1628</v>
          </cell>
          <cell r="I73">
            <v>3148</v>
          </cell>
          <cell r="J73">
            <v>0</v>
          </cell>
          <cell r="K73">
            <v>6606</v>
          </cell>
          <cell r="L73"/>
          <cell r="M73">
            <v>61</v>
          </cell>
          <cell r="N73">
            <v>0</v>
          </cell>
          <cell r="O73">
            <v>1028</v>
          </cell>
          <cell r="P73">
            <v>1089</v>
          </cell>
          <cell r="Q73"/>
          <cell r="R73">
            <v>3295</v>
          </cell>
          <cell r="S73">
            <v>-607</v>
          </cell>
          <cell r="T73">
            <v>2688</v>
          </cell>
        </row>
        <row r="74">
          <cell r="A74">
            <v>90861</v>
          </cell>
          <cell r="B74" t="str">
            <v xml:space="preserve"> LEWISTON WOODVILLE</v>
          </cell>
          <cell r="C74">
            <v>7.7999999999999999E-6</v>
          </cell>
          <cell r="D74">
            <v>4.1999999999999996E-6</v>
          </cell>
          <cell r="E74">
            <v>18504</v>
          </cell>
          <cell r="F74" t="str">
            <v xml:space="preserve">   </v>
          </cell>
          <cell r="G74">
            <v>2855</v>
          </cell>
          <cell r="H74">
            <v>2540</v>
          </cell>
          <cell r="I74">
            <v>4910</v>
          </cell>
          <cell r="J74">
            <v>6531</v>
          </cell>
          <cell r="K74">
            <v>16836</v>
          </cell>
          <cell r="L74"/>
          <cell r="M74">
            <v>96</v>
          </cell>
          <cell r="N74">
            <v>0</v>
          </cell>
          <cell r="O74">
            <v>0</v>
          </cell>
          <cell r="P74">
            <v>96</v>
          </cell>
          <cell r="Q74"/>
          <cell r="R74">
            <v>5140</v>
          </cell>
          <cell r="S74">
            <v>1362</v>
          </cell>
          <cell r="T74">
            <v>6502</v>
          </cell>
        </row>
        <row r="75">
          <cell r="A75">
            <v>90901</v>
          </cell>
          <cell r="B75" t="str">
            <v>BLADEN COUNTY</v>
          </cell>
          <cell r="C75">
            <v>2.1440000000000001E-3</v>
          </cell>
          <cell r="D75">
            <v>2.1814999999999998E-3</v>
          </cell>
          <cell r="E75">
            <v>5086301</v>
          </cell>
          <cell r="F75" t="str">
            <v xml:space="preserve">   </v>
          </cell>
          <cell r="G75">
            <v>784695</v>
          </cell>
          <cell r="H75">
            <v>698198</v>
          </cell>
          <cell r="I75">
            <v>1349708</v>
          </cell>
          <cell r="J75">
            <v>13390</v>
          </cell>
          <cell r="K75">
            <v>2845991</v>
          </cell>
          <cell r="L75"/>
          <cell r="M75">
            <v>26330</v>
          </cell>
          <cell r="N75">
            <v>0</v>
          </cell>
          <cell r="O75">
            <v>28266</v>
          </cell>
          <cell r="P75">
            <v>54596</v>
          </cell>
          <cell r="Q75"/>
          <cell r="R75">
            <v>1412838</v>
          </cell>
          <cell r="S75">
            <v>-7333</v>
          </cell>
          <cell r="T75">
            <v>1405505</v>
          </cell>
        </row>
        <row r="76">
          <cell r="A76">
            <v>90911</v>
          </cell>
          <cell r="B76" t="str">
            <v xml:space="preserve"> ELIZABETHTOWN</v>
          </cell>
          <cell r="C76">
            <v>4.037E-4</v>
          </cell>
          <cell r="D76">
            <v>3.9780000000000002E-4</v>
          </cell>
          <cell r="E76">
            <v>957714</v>
          </cell>
          <cell r="F76" t="str">
            <v xml:space="preserve">   </v>
          </cell>
          <cell r="G76">
            <v>147753</v>
          </cell>
          <cell r="H76">
            <v>131466</v>
          </cell>
          <cell r="I76">
            <v>254140</v>
          </cell>
          <cell r="J76">
            <v>5104</v>
          </cell>
          <cell r="K76">
            <v>538463</v>
          </cell>
          <cell r="L76"/>
          <cell r="M76">
            <v>4958</v>
          </cell>
          <cell r="N76">
            <v>0</v>
          </cell>
          <cell r="O76">
            <v>27769</v>
          </cell>
          <cell r="P76">
            <v>32727</v>
          </cell>
          <cell r="Q76"/>
          <cell r="R76">
            <v>266027</v>
          </cell>
          <cell r="S76">
            <v>-22253</v>
          </cell>
          <cell r="T76">
            <v>243774</v>
          </cell>
        </row>
        <row r="77">
          <cell r="A77">
            <v>90917</v>
          </cell>
          <cell r="B77" t="str">
            <v>ELIZABETHTOWN ABC BOARD</v>
          </cell>
          <cell r="C77">
            <v>1.1800000000000001E-5</v>
          </cell>
          <cell r="D77">
            <v>1.4399999999999999E-5</v>
          </cell>
          <cell r="E77">
            <v>27994</v>
          </cell>
          <cell r="F77" t="str">
            <v xml:space="preserve"> </v>
          </cell>
          <cell r="G77">
            <v>4319</v>
          </cell>
          <cell r="H77">
            <v>3843</v>
          </cell>
          <cell r="I77">
            <v>7428</v>
          </cell>
          <cell r="J77">
            <v>910</v>
          </cell>
          <cell r="K77">
            <v>16500</v>
          </cell>
          <cell r="L77"/>
          <cell r="M77">
            <v>145</v>
          </cell>
          <cell r="N77">
            <v>0</v>
          </cell>
          <cell r="O77">
            <v>1772</v>
          </cell>
          <cell r="P77">
            <v>1917</v>
          </cell>
          <cell r="Q77"/>
          <cell r="R77">
            <v>7776</v>
          </cell>
          <cell r="S77">
            <v>-363</v>
          </cell>
          <cell r="T77">
            <v>7413</v>
          </cell>
        </row>
        <row r="78">
          <cell r="A78">
            <v>90918</v>
          </cell>
          <cell r="B78" t="str">
            <v>SOUTH EASTERN ECONOMIC DEVELOPMENT COMM</v>
          </cell>
          <cell r="C78">
            <v>1.13E-5</v>
          </cell>
          <cell r="D78">
            <v>1.19E-5</v>
          </cell>
          <cell r="E78">
            <v>26807</v>
          </cell>
          <cell r="F78" t="str">
            <v xml:space="preserve"> </v>
          </cell>
          <cell r="G78">
            <v>4136</v>
          </cell>
          <cell r="H78">
            <v>3680</v>
          </cell>
          <cell r="I78">
            <v>7114</v>
          </cell>
          <cell r="J78">
            <v>0</v>
          </cell>
          <cell r="K78">
            <v>14930</v>
          </cell>
          <cell r="L78"/>
          <cell r="M78">
            <v>139</v>
          </cell>
          <cell r="N78">
            <v>0</v>
          </cell>
          <cell r="O78">
            <v>2292</v>
          </cell>
          <cell r="P78">
            <v>2431</v>
          </cell>
          <cell r="Q78"/>
          <cell r="R78">
            <v>7446</v>
          </cell>
          <cell r="S78">
            <v>-1290</v>
          </cell>
          <cell r="T78">
            <v>6156</v>
          </cell>
        </row>
        <row r="79">
          <cell r="A79">
            <v>90921</v>
          </cell>
          <cell r="B79" t="str">
            <v xml:space="preserve"> WHITE LAKE</v>
          </cell>
          <cell r="C79">
            <v>1.2789999999999999E-4</v>
          </cell>
          <cell r="D79">
            <v>1.2970000000000001E-4</v>
          </cell>
          <cell r="E79">
            <v>303423</v>
          </cell>
          <cell r="F79" t="str">
            <v xml:space="preserve"> </v>
          </cell>
          <cell r="G79">
            <v>46811</v>
          </cell>
          <cell r="H79">
            <v>41651</v>
          </cell>
          <cell r="I79">
            <v>80517</v>
          </cell>
          <cell r="J79">
            <v>22540</v>
          </cell>
          <cell r="K79">
            <v>191519</v>
          </cell>
          <cell r="L79"/>
          <cell r="M79">
            <v>1571</v>
          </cell>
          <cell r="N79">
            <v>0</v>
          </cell>
          <cell r="O79">
            <v>4483</v>
          </cell>
          <cell r="P79">
            <v>6054</v>
          </cell>
          <cell r="Q79"/>
          <cell r="R79">
            <v>84283</v>
          </cell>
          <cell r="S79">
            <v>4862</v>
          </cell>
          <cell r="T79">
            <v>89145</v>
          </cell>
        </row>
        <row r="80">
          <cell r="A80">
            <v>90931</v>
          </cell>
          <cell r="B80" t="str">
            <v xml:space="preserve"> CLARKTON</v>
          </cell>
          <cell r="C80">
            <v>3.8099999999999998E-5</v>
          </cell>
          <cell r="D80">
            <v>4.07E-5</v>
          </cell>
          <cell r="E80">
            <v>90386</v>
          </cell>
          <cell r="F80" t="str">
            <v xml:space="preserve"> </v>
          </cell>
          <cell r="G80">
            <v>13944</v>
          </cell>
          <cell r="H80">
            <v>12407</v>
          </cell>
          <cell r="I80">
            <v>23985</v>
          </cell>
          <cell r="J80">
            <v>1061</v>
          </cell>
          <cell r="K80">
            <v>51397</v>
          </cell>
          <cell r="L80"/>
          <cell r="M80">
            <v>468</v>
          </cell>
          <cell r="N80">
            <v>0</v>
          </cell>
          <cell r="O80">
            <v>13836</v>
          </cell>
          <cell r="P80">
            <v>14304</v>
          </cell>
          <cell r="Q80"/>
          <cell r="R80">
            <v>25107</v>
          </cell>
          <cell r="S80">
            <v>-2235</v>
          </cell>
          <cell r="T80">
            <v>22872</v>
          </cell>
        </row>
        <row r="81">
          <cell r="A81">
            <v>90941</v>
          </cell>
          <cell r="B81" t="str">
            <v xml:space="preserve"> BLADENBORO</v>
          </cell>
          <cell r="C81">
            <v>8.2000000000000001E-5</v>
          </cell>
          <cell r="D81">
            <v>7.0300000000000001E-5</v>
          </cell>
          <cell r="E81">
            <v>194532</v>
          </cell>
          <cell r="F81" t="str">
            <v xml:space="preserve"> </v>
          </cell>
          <cell r="G81">
            <v>30012</v>
          </cell>
          <cell r="H81">
            <v>26704</v>
          </cell>
          <cell r="I81">
            <v>51621</v>
          </cell>
          <cell r="J81">
            <v>8606</v>
          </cell>
          <cell r="K81">
            <v>116943</v>
          </cell>
          <cell r="L81"/>
          <cell r="M81">
            <v>1007</v>
          </cell>
          <cell r="N81">
            <v>0</v>
          </cell>
          <cell r="O81">
            <v>10455</v>
          </cell>
          <cell r="P81">
            <v>11462</v>
          </cell>
          <cell r="Q81"/>
          <cell r="R81">
            <v>54036</v>
          </cell>
          <cell r="S81">
            <v>-3109</v>
          </cell>
          <cell r="T81">
            <v>50927</v>
          </cell>
        </row>
        <row r="82">
          <cell r="A82">
            <v>91001</v>
          </cell>
          <cell r="B82" t="str">
            <v>BRUNSWICK COUNTY</v>
          </cell>
          <cell r="C82">
            <v>6.6366999999999997E-3</v>
          </cell>
          <cell r="D82">
            <v>6.6703999999999999E-3</v>
          </cell>
          <cell r="E82">
            <v>15744522</v>
          </cell>
          <cell r="F82" t="str">
            <v xml:space="preserve"> </v>
          </cell>
          <cell r="G82">
            <v>2429006</v>
          </cell>
          <cell r="H82">
            <v>2161254</v>
          </cell>
          <cell r="I82">
            <v>4177988</v>
          </cell>
          <cell r="J82">
            <v>0</v>
          </cell>
          <cell r="K82">
            <v>8768248</v>
          </cell>
          <cell r="L82"/>
          <cell r="M82">
            <v>81505</v>
          </cell>
          <cell r="N82">
            <v>0</v>
          </cell>
          <cell r="O82">
            <v>332799</v>
          </cell>
          <cell r="P82">
            <v>414304</v>
          </cell>
          <cell r="Q82"/>
          <cell r="R82">
            <v>4373406</v>
          </cell>
          <cell r="S82">
            <v>-87933</v>
          </cell>
          <cell r="T82">
            <v>4285473</v>
          </cell>
        </row>
        <row r="83">
          <cell r="A83">
            <v>91002</v>
          </cell>
          <cell r="B83" t="str">
            <v xml:space="preserve"> LELAND</v>
          </cell>
          <cell r="C83">
            <v>9.4410000000000002E-4</v>
          </cell>
          <cell r="D83">
            <v>6.8860000000000004E-4</v>
          </cell>
          <cell r="E83">
            <v>2239728</v>
          </cell>
          <cell r="F83" t="str">
            <v xml:space="preserve"> </v>
          </cell>
          <cell r="G83">
            <v>345537</v>
          </cell>
          <cell r="H83">
            <v>307448</v>
          </cell>
          <cell r="I83">
            <v>594337</v>
          </cell>
          <cell r="J83">
            <v>166396</v>
          </cell>
          <cell r="K83">
            <v>1413718</v>
          </cell>
          <cell r="L83"/>
          <cell r="M83">
            <v>11594</v>
          </cell>
          <cell r="N83">
            <v>0</v>
          </cell>
          <cell r="O83">
            <v>27902</v>
          </cell>
          <cell r="P83">
            <v>39496</v>
          </cell>
          <cell r="Q83"/>
          <cell r="R83">
            <v>622136</v>
          </cell>
          <cell r="S83">
            <v>25830</v>
          </cell>
          <cell r="T83">
            <v>647966</v>
          </cell>
        </row>
        <row r="84">
          <cell r="A84">
            <v>91003</v>
          </cell>
          <cell r="B84" t="str">
            <v>BRUNSWICK CO HEALTH DEPT</v>
          </cell>
          <cell r="C84">
            <v>5.354E-4</v>
          </cell>
          <cell r="D84">
            <v>5.7260000000000004E-4</v>
          </cell>
          <cell r="E84">
            <v>1270152</v>
          </cell>
          <cell r="F84" t="str">
            <v xml:space="preserve"> </v>
          </cell>
          <cell r="G84">
            <v>195954</v>
          </cell>
          <cell r="H84">
            <v>174354</v>
          </cell>
          <cell r="I84">
            <v>337049</v>
          </cell>
          <cell r="J84">
            <v>10600</v>
          </cell>
          <cell r="K84">
            <v>717957</v>
          </cell>
          <cell r="L84"/>
          <cell r="M84">
            <v>6575</v>
          </cell>
          <cell r="N84">
            <v>0</v>
          </cell>
          <cell r="O84">
            <v>38265</v>
          </cell>
          <cell r="P84">
            <v>44840</v>
          </cell>
          <cell r="Q84"/>
          <cell r="R84">
            <v>352814</v>
          </cell>
          <cell r="S84">
            <v>2232</v>
          </cell>
          <cell r="T84">
            <v>355046</v>
          </cell>
        </row>
        <row r="85">
          <cell r="A85">
            <v>91004</v>
          </cell>
          <cell r="B85" t="str">
            <v>BRUNSWICK COUNTY ABC BOARD</v>
          </cell>
          <cell r="C85">
            <v>3.6600000000000002E-5</v>
          </cell>
          <cell r="D85">
            <v>2.58E-5</v>
          </cell>
          <cell r="E85">
            <v>86828</v>
          </cell>
          <cell r="F85" t="str">
            <v xml:space="preserve"> </v>
          </cell>
          <cell r="G85">
            <v>13395</v>
          </cell>
          <cell r="H85">
            <v>11919</v>
          </cell>
          <cell r="I85">
            <v>23041</v>
          </cell>
          <cell r="J85">
            <v>15071</v>
          </cell>
          <cell r="K85">
            <v>63426</v>
          </cell>
          <cell r="L85"/>
          <cell r="M85">
            <v>449</v>
          </cell>
          <cell r="N85">
            <v>0</v>
          </cell>
          <cell r="O85">
            <v>0</v>
          </cell>
          <cell r="P85">
            <v>449</v>
          </cell>
          <cell r="Q85"/>
          <cell r="R85">
            <v>24118</v>
          </cell>
          <cell r="S85">
            <v>6104</v>
          </cell>
          <cell r="T85">
            <v>30222</v>
          </cell>
        </row>
        <row r="86">
          <cell r="A86">
            <v>91006</v>
          </cell>
          <cell r="B86" t="str">
            <v>BRUNSWICK CO DEPT OF SOCIAL SERVICES</v>
          </cell>
          <cell r="C86">
            <v>1.0660999999999999E-3</v>
          </cell>
          <cell r="D86">
            <v>1.0317E-3</v>
          </cell>
          <cell r="E86">
            <v>2529154</v>
          </cell>
          <cell r="F86" t="str">
            <v xml:space="preserve"> </v>
          </cell>
          <cell r="G86">
            <v>390188</v>
          </cell>
          <cell r="H86">
            <v>347177</v>
          </cell>
          <cell r="I86">
            <v>671140</v>
          </cell>
          <cell r="J86">
            <v>7631</v>
          </cell>
          <cell r="K86">
            <v>1416136</v>
          </cell>
          <cell r="L86"/>
          <cell r="M86">
            <v>13093</v>
          </cell>
          <cell r="N86">
            <v>0</v>
          </cell>
          <cell r="O86">
            <v>29301</v>
          </cell>
          <cell r="P86">
            <v>42394</v>
          </cell>
          <cell r="Q86"/>
          <cell r="R86">
            <v>702531</v>
          </cell>
          <cell r="S86">
            <v>-205</v>
          </cell>
          <cell r="T86">
            <v>702326</v>
          </cell>
        </row>
        <row r="87">
          <cell r="A87">
            <v>91007</v>
          </cell>
          <cell r="B87" t="str">
            <v>CALABASH ABC BOARD</v>
          </cell>
          <cell r="C87">
            <v>8.4999999999999999E-6</v>
          </cell>
          <cell r="D87">
            <v>9.5000000000000005E-6</v>
          </cell>
          <cell r="E87">
            <v>20165</v>
          </cell>
          <cell r="F87" t="str">
            <v xml:space="preserve"> </v>
          </cell>
          <cell r="G87">
            <v>3111</v>
          </cell>
          <cell r="H87">
            <v>2768</v>
          </cell>
          <cell r="I87">
            <v>5351</v>
          </cell>
          <cell r="J87">
            <v>4888</v>
          </cell>
          <cell r="K87">
            <v>16118</v>
          </cell>
          <cell r="L87"/>
          <cell r="M87">
            <v>104</v>
          </cell>
          <cell r="N87">
            <v>0</v>
          </cell>
          <cell r="O87">
            <v>0</v>
          </cell>
          <cell r="P87">
            <v>104</v>
          </cell>
          <cell r="Q87"/>
          <cell r="R87">
            <v>5601</v>
          </cell>
          <cell r="S87">
            <v>2173</v>
          </cell>
          <cell r="T87">
            <v>7774</v>
          </cell>
        </row>
        <row r="88">
          <cell r="A88">
            <v>91008</v>
          </cell>
          <cell r="B88" t="str">
            <v>CAPE FEAR COUNCIL OF GOVERNMENTS</v>
          </cell>
          <cell r="C88">
            <v>1.3909999999999999E-4</v>
          </cell>
          <cell r="D88">
            <v>1.236E-4</v>
          </cell>
          <cell r="E88">
            <v>329993</v>
          </cell>
          <cell r="F88" t="str">
            <v xml:space="preserve"> </v>
          </cell>
          <cell r="G88">
            <v>50910</v>
          </cell>
          <cell r="H88">
            <v>45298</v>
          </cell>
          <cell r="I88">
            <v>87567</v>
          </cell>
          <cell r="J88">
            <v>36233</v>
          </cell>
          <cell r="K88">
            <v>220008</v>
          </cell>
          <cell r="L88"/>
          <cell r="M88">
            <v>1708</v>
          </cell>
          <cell r="N88">
            <v>0</v>
          </cell>
          <cell r="O88">
            <v>0</v>
          </cell>
          <cell r="P88">
            <v>1708</v>
          </cell>
          <cell r="Q88"/>
          <cell r="R88">
            <v>91663</v>
          </cell>
          <cell r="S88">
            <v>21688</v>
          </cell>
          <cell r="T88">
            <v>113351</v>
          </cell>
        </row>
        <row r="89">
          <cell r="A89">
            <v>91009</v>
          </cell>
          <cell r="B89" t="str">
            <v>BRUNSWICK COUNTY TOURISM AUTHORITY</v>
          </cell>
          <cell r="C89">
            <v>1.59E-5</v>
          </cell>
          <cell r="D89">
            <v>1.7499999999999998E-5</v>
          </cell>
          <cell r="E89">
            <v>37720</v>
          </cell>
          <cell r="F89" t="str">
            <v xml:space="preserve"> </v>
          </cell>
          <cell r="G89">
            <v>5819</v>
          </cell>
          <cell r="H89">
            <v>5178</v>
          </cell>
          <cell r="I89">
            <v>10009</v>
          </cell>
          <cell r="J89">
            <v>5304</v>
          </cell>
          <cell r="K89">
            <v>26310</v>
          </cell>
          <cell r="L89"/>
          <cell r="M89">
            <v>195</v>
          </cell>
          <cell r="N89">
            <v>0</v>
          </cell>
          <cell r="O89">
            <v>1101</v>
          </cell>
          <cell r="P89">
            <v>1296</v>
          </cell>
          <cell r="Q89"/>
          <cell r="R89">
            <v>10478</v>
          </cell>
          <cell r="S89">
            <v>660</v>
          </cell>
          <cell r="T89">
            <v>11138</v>
          </cell>
        </row>
        <row r="90">
          <cell r="A90">
            <v>91010</v>
          </cell>
          <cell r="B90" t="str">
            <v xml:space="preserve"> CALABASH</v>
          </cell>
          <cell r="C90">
            <v>5.8699999999999997E-5</v>
          </cell>
          <cell r="D90">
            <v>7.0099999999999996E-5</v>
          </cell>
          <cell r="E90">
            <v>139256</v>
          </cell>
          <cell r="F90" t="str">
            <v xml:space="preserve"> </v>
          </cell>
          <cell r="G90">
            <v>21484</v>
          </cell>
          <cell r="H90">
            <v>19115</v>
          </cell>
          <cell r="I90">
            <v>36953</v>
          </cell>
          <cell r="J90">
            <v>2787</v>
          </cell>
          <cell r="K90">
            <v>80339</v>
          </cell>
          <cell r="L90"/>
          <cell r="M90">
            <v>721</v>
          </cell>
          <cell r="N90">
            <v>0</v>
          </cell>
          <cell r="O90">
            <v>6905</v>
          </cell>
          <cell r="P90">
            <v>7626</v>
          </cell>
          <cell r="Q90"/>
          <cell r="R90">
            <v>38682</v>
          </cell>
          <cell r="S90">
            <v>3034</v>
          </cell>
          <cell r="T90">
            <v>41716</v>
          </cell>
        </row>
        <row r="91">
          <cell r="A91">
            <v>91011</v>
          </cell>
          <cell r="B91" t="str">
            <v>CITY OF SOUTHPORT</v>
          </cell>
          <cell r="C91">
            <v>3.6509999999999998E-4</v>
          </cell>
          <cell r="D91">
            <v>3.5760000000000002E-4</v>
          </cell>
          <cell r="E91">
            <v>866142</v>
          </cell>
          <cell r="F91" t="str">
            <v xml:space="preserve"> </v>
          </cell>
          <cell r="G91">
            <v>133625</v>
          </cell>
          <cell r="H91">
            <v>118896</v>
          </cell>
          <cell r="I91">
            <v>229841</v>
          </cell>
          <cell r="J91">
            <v>27536</v>
          </cell>
          <cell r="K91">
            <v>509898</v>
          </cell>
          <cell r="L91"/>
          <cell r="M91">
            <v>4484</v>
          </cell>
          <cell r="N91">
            <v>0</v>
          </cell>
          <cell r="O91">
            <v>1497</v>
          </cell>
          <cell r="P91">
            <v>5981</v>
          </cell>
          <cell r="Q91"/>
          <cell r="R91">
            <v>240591</v>
          </cell>
          <cell r="S91">
            <v>15734</v>
          </cell>
          <cell r="T91">
            <v>256325</v>
          </cell>
        </row>
        <row r="92">
          <cell r="A92">
            <v>91012</v>
          </cell>
          <cell r="B92" t="str">
            <v>CITY OF NORTHWEST</v>
          </cell>
          <cell r="C92">
            <v>1.42E-5</v>
          </cell>
          <cell r="D92">
            <v>1.9300000000000002E-5</v>
          </cell>
          <cell r="E92">
            <v>33687</v>
          </cell>
          <cell r="F92" t="str">
            <v xml:space="preserve"> </v>
          </cell>
          <cell r="G92">
            <v>5197</v>
          </cell>
          <cell r="H92">
            <v>4624</v>
          </cell>
          <cell r="I92">
            <v>8939</v>
          </cell>
          <cell r="J92">
            <v>3786</v>
          </cell>
          <cell r="K92">
            <v>22546</v>
          </cell>
          <cell r="L92"/>
          <cell r="M92">
            <v>174</v>
          </cell>
          <cell r="N92">
            <v>0</v>
          </cell>
          <cell r="O92">
            <v>3306</v>
          </cell>
          <cell r="P92">
            <v>3480</v>
          </cell>
          <cell r="Q92"/>
          <cell r="R92">
            <v>9357</v>
          </cell>
          <cell r="S92">
            <v>-1418</v>
          </cell>
          <cell r="T92">
            <v>7939</v>
          </cell>
        </row>
        <row r="93">
          <cell r="A93">
            <v>91013</v>
          </cell>
          <cell r="B93" t="str">
            <v>SOUTHEAST BRUNSWICK SANITARY DISTRICT</v>
          </cell>
          <cell r="C93">
            <v>1.9899999999999999E-5</v>
          </cell>
          <cell r="D93">
            <v>2.34E-5</v>
          </cell>
          <cell r="E93">
            <v>47210</v>
          </cell>
          <cell r="F93" t="str">
            <v xml:space="preserve"> </v>
          </cell>
          <cell r="G93">
            <v>7283</v>
          </cell>
          <cell r="H93">
            <v>6481</v>
          </cell>
          <cell r="I93">
            <v>12528</v>
          </cell>
          <cell r="J93">
            <v>39132</v>
          </cell>
          <cell r="K93">
            <v>65424</v>
          </cell>
          <cell r="L93"/>
          <cell r="M93">
            <v>244</v>
          </cell>
          <cell r="N93">
            <v>0</v>
          </cell>
          <cell r="O93">
            <v>0</v>
          </cell>
          <cell r="P93">
            <v>244</v>
          </cell>
          <cell r="Q93"/>
          <cell r="R93">
            <v>13114</v>
          </cell>
          <cell r="S93">
            <v>13739</v>
          </cell>
          <cell r="T93">
            <v>26853</v>
          </cell>
        </row>
        <row r="94">
          <cell r="A94">
            <v>91014</v>
          </cell>
          <cell r="B94" t="str">
            <v xml:space="preserve"> HOLDEN BEACH</v>
          </cell>
          <cell r="C94">
            <v>2.02E-4</v>
          </cell>
          <cell r="D94">
            <v>2.22E-4</v>
          </cell>
          <cell r="E94">
            <v>479213</v>
          </cell>
          <cell r="F94" t="str">
            <v xml:space="preserve"> </v>
          </cell>
          <cell r="G94">
            <v>73931</v>
          </cell>
          <cell r="H94">
            <v>65782</v>
          </cell>
          <cell r="I94">
            <v>127165</v>
          </cell>
          <cell r="J94">
            <v>986</v>
          </cell>
          <cell r="K94">
            <v>267864</v>
          </cell>
          <cell r="L94"/>
          <cell r="M94">
            <v>2481</v>
          </cell>
          <cell r="N94">
            <v>0</v>
          </cell>
          <cell r="O94">
            <v>19420</v>
          </cell>
          <cell r="P94">
            <v>21901</v>
          </cell>
          <cell r="Q94"/>
          <cell r="R94">
            <v>133113</v>
          </cell>
          <cell r="S94">
            <v>-9738</v>
          </cell>
          <cell r="T94">
            <v>123375</v>
          </cell>
        </row>
        <row r="95">
          <cell r="A95">
            <v>91015</v>
          </cell>
          <cell r="B95" t="str">
            <v>CAPE FEAR REGIONAL JETPORT</v>
          </cell>
          <cell r="C95">
            <v>1.9400000000000001E-5</v>
          </cell>
          <cell r="D95">
            <v>0</v>
          </cell>
          <cell r="E95">
            <v>46023</v>
          </cell>
          <cell r="F95" t="str">
            <v xml:space="preserve"> </v>
          </cell>
          <cell r="G95">
            <v>7100</v>
          </cell>
          <cell r="H95">
            <v>6317</v>
          </cell>
          <cell r="I95">
            <v>12213</v>
          </cell>
          <cell r="J95">
            <v>20258</v>
          </cell>
          <cell r="K95">
            <v>45888</v>
          </cell>
          <cell r="L95"/>
          <cell r="M95">
            <v>238</v>
          </cell>
          <cell r="N95">
            <v>0</v>
          </cell>
          <cell r="O95">
            <v>0</v>
          </cell>
          <cell r="P95">
            <v>238</v>
          </cell>
          <cell r="Q95"/>
          <cell r="R95">
            <v>12784</v>
          </cell>
          <cell r="S95">
            <v>5064</v>
          </cell>
          <cell r="T95">
            <v>17848</v>
          </cell>
        </row>
        <row r="96">
          <cell r="A96">
            <v>91017</v>
          </cell>
          <cell r="B96" t="str">
            <v>CITY OF SOUTHPORT ABC BOARD</v>
          </cell>
          <cell r="C96">
            <v>2.3499999999999999E-5</v>
          </cell>
          <cell r="D96">
            <v>2.4300000000000001E-5</v>
          </cell>
          <cell r="E96">
            <v>55750</v>
          </cell>
          <cell r="F96" t="str">
            <v xml:space="preserve"> </v>
          </cell>
          <cell r="G96">
            <v>8601</v>
          </cell>
          <cell r="H96">
            <v>7653</v>
          </cell>
          <cell r="I96">
            <v>14794</v>
          </cell>
          <cell r="J96">
            <v>6947</v>
          </cell>
          <cell r="K96">
            <v>37995</v>
          </cell>
          <cell r="L96"/>
          <cell r="M96">
            <v>289</v>
          </cell>
          <cell r="N96">
            <v>0</v>
          </cell>
          <cell r="O96">
            <v>0</v>
          </cell>
          <cell r="P96">
            <v>289</v>
          </cell>
          <cell r="Q96"/>
          <cell r="R96">
            <v>15486</v>
          </cell>
          <cell r="S96">
            <v>4203</v>
          </cell>
          <cell r="T96">
            <v>19689</v>
          </cell>
        </row>
        <row r="97">
          <cell r="A97">
            <v>91020</v>
          </cell>
          <cell r="B97" t="str">
            <v xml:space="preserve"> BELVILLE</v>
          </cell>
          <cell r="C97">
            <v>2.9200000000000002E-5</v>
          </cell>
          <cell r="D97">
            <v>2.27E-5</v>
          </cell>
          <cell r="E97">
            <v>69272</v>
          </cell>
          <cell r="F97" t="str">
            <v xml:space="preserve"> </v>
          </cell>
          <cell r="G97">
            <v>10687</v>
          </cell>
          <cell r="H97">
            <v>9509</v>
          </cell>
          <cell r="I97">
            <v>18382</v>
          </cell>
          <cell r="J97">
            <v>6791</v>
          </cell>
          <cell r="K97">
            <v>45369</v>
          </cell>
          <cell r="L97"/>
          <cell r="M97">
            <v>359</v>
          </cell>
          <cell r="N97">
            <v>0</v>
          </cell>
          <cell r="O97">
            <v>170</v>
          </cell>
          <cell r="P97">
            <v>529</v>
          </cell>
          <cell r="Q97"/>
          <cell r="R97">
            <v>19242</v>
          </cell>
          <cell r="S97">
            <v>2303</v>
          </cell>
          <cell r="T97">
            <v>21545</v>
          </cell>
        </row>
        <row r="98">
          <cell r="A98">
            <v>91021</v>
          </cell>
          <cell r="B98" t="str">
            <v xml:space="preserve"> OAK ISLAND</v>
          </cell>
          <cell r="C98">
            <v>8.8009999999999998E-4</v>
          </cell>
          <cell r="D98">
            <v>8.6450000000000003E-4</v>
          </cell>
          <cell r="E98">
            <v>2087898</v>
          </cell>
          <cell r="F98" t="str">
            <v xml:space="preserve"> </v>
          </cell>
          <cell r="G98">
            <v>322113</v>
          </cell>
          <cell r="H98">
            <v>286606</v>
          </cell>
          <cell r="I98">
            <v>554048</v>
          </cell>
          <cell r="J98">
            <v>16435</v>
          </cell>
          <cell r="K98">
            <v>1179202</v>
          </cell>
          <cell r="L98"/>
          <cell r="M98">
            <v>10809</v>
          </cell>
          <cell r="N98">
            <v>0</v>
          </cell>
          <cell r="O98">
            <v>34261</v>
          </cell>
          <cell r="P98">
            <v>45070</v>
          </cell>
          <cell r="Q98"/>
          <cell r="R98">
            <v>579962</v>
          </cell>
          <cell r="S98">
            <v>-44308</v>
          </cell>
          <cell r="T98">
            <v>535654</v>
          </cell>
        </row>
        <row r="99">
          <cell r="A99">
            <v>91024</v>
          </cell>
          <cell r="B99" t="str">
            <v xml:space="preserve"> CAROLINA SHORES</v>
          </cell>
          <cell r="C99">
            <v>9.3800000000000003E-5</v>
          </cell>
          <cell r="D99">
            <v>7.2999999999999999E-5</v>
          </cell>
          <cell r="E99">
            <v>222526</v>
          </cell>
          <cell r="F99" t="str">
            <v xml:space="preserve"> </v>
          </cell>
          <cell r="G99">
            <v>34330</v>
          </cell>
          <cell r="H99">
            <v>30546</v>
          </cell>
          <cell r="I99">
            <v>59050</v>
          </cell>
          <cell r="J99">
            <v>29168</v>
          </cell>
          <cell r="K99">
            <v>153094</v>
          </cell>
          <cell r="L99"/>
          <cell r="M99">
            <v>1152</v>
          </cell>
          <cell r="N99">
            <v>0</v>
          </cell>
          <cell r="O99">
            <v>0</v>
          </cell>
          <cell r="P99">
            <v>1152</v>
          </cell>
          <cell r="Q99"/>
          <cell r="R99">
            <v>61812</v>
          </cell>
          <cell r="S99">
            <v>14801</v>
          </cell>
          <cell r="T99">
            <v>76613</v>
          </cell>
        </row>
        <row r="100">
          <cell r="A100">
            <v>91026</v>
          </cell>
          <cell r="B100" t="str">
            <v xml:space="preserve"> NAVASSA</v>
          </cell>
          <cell r="C100">
            <v>4.5599999999999997E-5</v>
          </cell>
          <cell r="D100">
            <v>4.18E-5</v>
          </cell>
          <cell r="E100">
            <v>108179</v>
          </cell>
          <cell r="F100" t="str">
            <v xml:space="preserve"> </v>
          </cell>
          <cell r="G100">
            <v>16689</v>
          </cell>
          <cell r="H100">
            <v>14849</v>
          </cell>
          <cell r="I100">
            <v>28706</v>
          </cell>
          <cell r="J100">
            <v>42442</v>
          </cell>
          <cell r="K100">
            <v>102686</v>
          </cell>
          <cell r="L100"/>
          <cell r="M100">
            <v>560</v>
          </cell>
          <cell r="N100">
            <v>0</v>
          </cell>
          <cell r="O100">
            <v>0</v>
          </cell>
          <cell r="P100">
            <v>560</v>
          </cell>
          <cell r="Q100"/>
          <cell r="R100">
            <v>30049</v>
          </cell>
          <cell r="S100">
            <v>17241</v>
          </cell>
          <cell r="T100">
            <v>47290</v>
          </cell>
        </row>
        <row r="101">
          <cell r="A101">
            <v>91027</v>
          </cell>
          <cell r="B101" t="str">
            <v>OAK ISLAND ABC BD</v>
          </cell>
          <cell r="C101">
            <v>1.6699999999999999E-5</v>
          </cell>
          <cell r="D101">
            <v>1.4E-5</v>
          </cell>
          <cell r="E101">
            <v>39618</v>
          </cell>
          <cell r="F101" t="str">
            <v xml:space="preserve"> </v>
          </cell>
          <cell r="G101">
            <v>6112</v>
          </cell>
          <cell r="H101">
            <v>5439</v>
          </cell>
          <cell r="I101">
            <v>10513</v>
          </cell>
          <cell r="J101">
            <v>16743</v>
          </cell>
          <cell r="K101">
            <v>38807</v>
          </cell>
          <cell r="L101"/>
          <cell r="M101">
            <v>205</v>
          </cell>
          <cell r="N101">
            <v>0</v>
          </cell>
          <cell r="O101">
            <v>0</v>
          </cell>
          <cell r="P101">
            <v>205</v>
          </cell>
          <cell r="Q101"/>
          <cell r="R101">
            <v>11005</v>
          </cell>
          <cell r="S101">
            <v>8336</v>
          </cell>
          <cell r="T101">
            <v>19341</v>
          </cell>
        </row>
        <row r="102">
          <cell r="A102">
            <v>91032</v>
          </cell>
          <cell r="B102" t="str">
            <v xml:space="preserve"> ST JAMES</v>
          </cell>
          <cell r="C102">
            <v>1.6399999999999999E-5</v>
          </cell>
          <cell r="D102">
            <v>1.8E-5</v>
          </cell>
          <cell r="E102">
            <v>38906</v>
          </cell>
          <cell r="F102" t="str">
            <v xml:space="preserve"> </v>
          </cell>
          <cell r="G102">
            <v>6002</v>
          </cell>
          <cell r="H102">
            <v>5341</v>
          </cell>
          <cell r="I102">
            <v>10324</v>
          </cell>
          <cell r="J102">
            <v>16497</v>
          </cell>
          <cell r="K102">
            <v>38164</v>
          </cell>
          <cell r="L102"/>
          <cell r="M102">
            <v>201</v>
          </cell>
          <cell r="N102">
            <v>0</v>
          </cell>
          <cell r="O102">
            <v>0</v>
          </cell>
          <cell r="P102">
            <v>201</v>
          </cell>
          <cell r="Q102"/>
          <cell r="R102">
            <v>10807</v>
          </cell>
          <cell r="S102">
            <v>8433</v>
          </cell>
          <cell r="T102">
            <v>19240</v>
          </cell>
        </row>
        <row r="103">
          <cell r="A103">
            <v>91041</v>
          </cell>
          <cell r="B103" t="str">
            <v xml:space="preserve"> SUNSET BEACH</v>
          </cell>
          <cell r="C103">
            <v>4.373E-4</v>
          </cell>
          <cell r="D103">
            <v>4.0400000000000001E-4</v>
          </cell>
          <cell r="E103">
            <v>1037425</v>
          </cell>
          <cell r="F103" t="str">
            <v xml:space="preserve"> </v>
          </cell>
          <cell r="G103">
            <v>160050</v>
          </cell>
          <cell r="H103">
            <v>142408</v>
          </cell>
          <cell r="I103">
            <v>275293</v>
          </cell>
          <cell r="J103">
            <v>0</v>
          </cell>
          <cell r="K103">
            <v>577751</v>
          </cell>
          <cell r="L103"/>
          <cell r="M103">
            <v>5370</v>
          </cell>
          <cell r="N103">
            <v>0</v>
          </cell>
          <cell r="O103">
            <v>74844</v>
          </cell>
          <cell r="P103">
            <v>80214</v>
          </cell>
          <cell r="Q103"/>
          <cell r="R103">
            <v>288169</v>
          </cell>
          <cell r="S103">
            <v>-40195</v>
          </cell>
          <cell r="T103">
            <v>247974</v>
          </cell>
        </row>
        <row r="104">
          <cell r="A104">
            <v>91042</v>
          </cell>
          <cell r="B104" t="str">
            <v>BRUNSWICK REGIONAL WATER AND SEWER H2GO</v>
          </cell>
          <cell r="C104">
            <v>2.6630000000000002E-4</v>
          </cell>
          <cell r="D104">
            <v>2.3360000000000001E-4</v>
          </cell>
          <cell r="E104">
            <v>631755</v>
          </cell>
          <cell r="F104" t="str">
            <v xml:space="preserve"> </v>
          </cell>
          <cell r="G104">
            <v>97465</v>
          </cell>
          <cell r="H104">
            <v>86722</v>
          </cell>
          <cell r="I104">
            <v>167643</v>
          </cell>
          <cell r="J104">
            <v>20600</v>
          </cell>
          <cell r="K104">
            <v>372430</v>
          </cell>
          <cell r="L104"/>
          <cell r="M104">
            <v>3270</v>
          </cell>
          <cell r="N104">
            <v>0</v>
          </cell>
          <cell r="O104">
            <v>4544</v>
          </cell>
          <cell r="P104">
            <v>7814</v>
          </cell>
          <cell r="Q104"/>
          <cell r="R104">
            <v>175485</v>
          </cell>
          <cell r="S104">
            <v>3567</v>
          </cell>
          <cell r="T104">
            <v>179052</v>
          </cell>
        </row>
        <row r="105">
          <cell r="A105">
            <v>91047</v>
          </cell>
          <cell r="B105" t="str">
            <v xml:space="preserve"> SUNSET BEACH ABC BOARD</v>
          </cell>
          <cell r="C105">
            <v>1.24E-5</v>
          </cell>
          <cell r="D105">
            <v>1.31E-5</v>
          </cell>
          <cell r="E105">
            <v>29417</v>
          </cell>
          <cell r="F105" t="str">
            <v xml:space="preserve"> </v>
          </cell>
          <cell r="G105">
            <v>4538</v>
          </cell>
          <cell r="H105">
            <v>4038</v>
          </cell>
          <cell r="I105">
            <v>7806</v>
          </cell>
          <cell r="J105">
            <v>22020</v>
          </cell>
          <cell r="K105">
            <v>38402</v>
          </cell>
          <cell r="L105"/>
          <cell r="M105">
            <v>152</v>
          </cell>
          <cell r="N105">
            <v>0</v>
          </cell>
          <cell r="O105">
            <v>0</v>
          </cell>
          <cell r="P105">
            <v>152</v>
          </cell>
          <cell r="Q105"/>
          <cell r="R105">
            <v>8171</v>
          </cell>
          <cell r="S105">
            <v>9821</v>
          </cell>
          <cell r="T105">
            <v>17992</v>
          </cell>
        </row>
        <row r="106">
          <cell r="A106">
            <v>91051</v>
          </cell>
          <cell r="B106" t="str">
            <v xml:space="preserve"> CASWELL BEACH</v>
          </cell>
          <cell r="C106">
            <v>6.7999999999999999E-5</v>
          </cell>
          <cell r="D106">
            <v>6.6400000000000001E-5</v>
          </cell>
          <cell r="E106">
            <v>161319</v>
          </cell>
          <cell r="F106" t="str">
            <v xml:space="preserve"> </v>
          </cell>
          <cell r="G106">
            <v>24888</v>
          </cell>
          <cell r="H106">
            <v>22144</v>
          </cell>
          <cell r="I106">
            <v>42808</v>
          </cell>
          <cell r="J106">
            <v>1891</v>
          </cell>
          <cell r="K106">
            <v>91731</v>
          </cell>
          <cell r="L106"/>
          <cell r="M106">
            <v>835</v>
          </cell>
          <cell r="N106">
            <v>0</v>
          </cell>
          <cell r="O106">
            <v>5967</v>
          </cell>
          <cell r="P106">
            <v>6802</v>
          </cell>
          <cell r="Q106"/>
          <cell r="R106">
            <v>44810</v>
          </cell>
          <cell r="S106">
            <v>-1282</v>
          </cell>
          <cell r="T106">
            <v>43528</v>
          </cell>
        </row>
        <row r="107">
          <cell r="A107">
            <v>91057</v>
          </cell>
          <cell r="B107" t="str">
            <v>SHALLOTTE ABC BOARD</v>
          </cell>
          <cell r="C107">
            <v>1.3699999999999999E-5</v>
          </cell>
          <cell r="D107">
            <v>1.4399999999999999E-5</v>
          </cell>
          <cell r="E107">
            <v>32501</v>
          </cell>
          <cell r="F107" t="str">
            <v xml:space="preserve"> </v>
          </cell>
          <cell r="G107">
            <v>5014</v>
          </cell>
          <cell r="H107">
            <v>4461</v>
          </cell>
          <cell r="I107">
            <v>8625</v>
          </cell>
          <cell r="J107">
            <v>6313</v>
          </cell>
          <cell r="K107">
            <v>24413</v>
          </cell>
          <cell r="L107"/>
          <cell r="M107">
            <v>168</v>
          </cell>
          <cell r="N107">
            <v>0</v>
          </cell>
          <cell r="O107">
            <v>0</v>
          </cell>
          <cell r="P107">
            <v>168</v>
          </cell>
          <cell r="Q107"/>
          <cell r="R107">
            <v>9028</v>
          </cell>
          <cell r="S107">
            <v>2864</v>
          </cell>
          <cell r="T107">
            <v>11892</v>
          </cell>
        </row>
        <row r="108">
          <cell r="A108">
            <v>91061</v>
          </cell>
          <cell r="B108" t="str">
            <v xml:space="preserve"> OCEAN ISLE BEACH</v>
          </cell>
          <cell r="C108">
            <v>3.657E-4</v>
          </cell>
          <cell r="D108">
            <v>4.104E-4</v>
          </cell>
          <cell r="E108">
            <v>867565</v>
          </cell>
          <cell r="F108" t="str">
            <v xml:space="preserve"> </v>
          </cell>
          <cell r="G108">
            <v>133845</v>
          </cell>
          <cell r="H108">
            <v>119091</v>
          </cell>
          <cell r="I108">
            <v>230218</v>
          </cell>
          <cell r="J108">
            <v>13475</v>
          </cell>
          <cell r="K108">
            <v>496629</v>
          </cell>
          <cell r="L108"/>
          <cell r="M108">
            <v>4491</v>
          </cell>
          <cell r="N108">
            <v>0</v>
          </cell>
          <cell r="O108">
            <v>35188</v>
          </cell>
          <cell r="P108">
            <v>39679</v>
          </cell>
          <cell r="Q108"/>
          <cell r="R108">
            <v>240986</v>
          </cell>
          <cell r="S108">
            <v>-19918</v>
          </cell>
          <cell r="T108">
            <v>221068</v>
          </cell>
        </row>
        <row r="109">
          <cell r="A109">
            <v>91067</v>
          </cell>
          <cell r="B109" t="str">
            <v>OCEAN ISLE BEACH ABC BOARD</v>
          </cell>
          <cell r="C109">
            <v>1.6900000000000001E-5</v>
          </cell>
          <cell r="D109">
            <v>1.5699999999999999E-5</v>
          </cell>
          <cell r="E109">
            <v>40093</v>
          </cell>
          <cell r="F109" t="str">
            <v xml:space="preserve"> </v>
          </cell>
          <cell r="G109">
            <v>6185</v>
          </cell>
          <cell r="H109">
            <v>5503</v>
          </cell>
          <cell r="I109">
            <v>10639</v>
          </cell>
          <cell r="J109">
            <v>2715</v>
          </cell>
          <cell r="K109">
            <v>25042</v>
          </cell>
          <cell r="L109"/>
          <cell r="M109">
            <v>208</v>
          </cell>
          <cell r="N109">
            <v>0</v>
          </cell>
          <cell r="O109">
            <v>305</v>
          </cell>
          <cell r="P109">
            <v>513</v>
          </cell>
          <cell r="Q109"/>
          <cell r="R109">
            <v>11137</v>
          </cell>
          <cell r="S109">
            <v>1543</v>
          </cell>
          <cell r="T109">
            <v>12680</v>
          </cell>
        </row>
        <row r="110">
          <cell r="A110">
            <v>91071</v>
          </cell>
          <cell r="B110" t="str">
            <v>CITY OF BOILING SPRG LAKES</v>
          </cell>
          <cell r="C110">
            <v>2.354E-4</v>
          </cell>
          <cell r="D110">
            <v>2.2770000000000001E-4</v>
          </cell>
          <cell r="E110">
            <v>558449</v>
          </cell>
          <cell r="F110" t="str">
            <v xml:space="preserve"> </v>
          </cell>
          <cell r="G110">
            <v>86155</v>
          </cell>
          <cell r="H110">
            <v>76659</v>
          </cell>
          <cell r="I110">
            <v>148191</v>
          </cell>
          <cell r="J110">
            <v>0</v>
          </cell>
          <cell r="K110">
            <v>311005</v>
          </cell>
          <cell r="L110"/>
          <cell r="M110">
            <v>2891</v>
          </cell>
          <cell r="N110">
            <v>0</v>
          </cell>
          <cell r="O110">
            <v>17112</v>
          </cell>
          <cell r="P110">
            <v>20003</v>
          </cell>
          <cell r="Q110"/>
          <cell r="R110">
            <v>155122</v>
          </cell>
          <cell r="S110">
            <v>2083</v>
          </cell>
          <cell r="T110">
            <v>157205</v>
          </cell>
        </row>
        <row r="111">
          <cell r="A111">
            <v>91077</v>
          </cell>
          <cell r="B111" t="str">
            <v>BOILING SPRING LAKES ABC BOARD</v>
          </cell>
          <cell r="C111">
            <v>3.1E-6</v>
          </cell>
          <cell r="D111">
            <v>3.5999999999999998E-6</v>
          </cell>
          <cell r="E111">
            <v>7354</v>
          </cell>
          <cell r="F111" t="str">
            <v xml:space="preserve"> </v>
          </cell>
          <cell r="G111">
            <v>1135</v>
          </cell>
          <cell r="H111">
            <v>1009</v>
          </cell>
          <cell r="I111">
            <v>1952</v>
          </cell>
          <cell r="J111">
            <v>1928</v>
          </cell>
          <cell r="K111">
            <v>6024</v>
          </cell>
          <cell r="L111"/>
          <cell r="M111">
            <v>38</v>
          </cell>
          <cell r="N111">
            <v>0</v>
          </cell>
          <cell r="O111">
            <v>0</v>
          </cell>
          <cell r="P111">
            <v>38</v>
          </cell>
          <cell r="Q111"/>
          <cell r="R111">
            <v>2043</v>
          </cell>
          <cell r="S111">
            <v>728</v>
          </cell>
          <cell r="T111">
            <v>2771</v>
          </cell>
        </row>
        <row r="112">
          <cell r="A112">
            <v>91081</v>
          </cell>
          <cell r="B112" t="str">
            <v xml:space="preserve"> SHALLOTTE</v>
          </cell>
          <cell r="C112">
            <v>3.8870000000000002E-4</v>
          </cell>
          <cell r="D112">
            <v>3.6240000000000003E-4</v>
          </cell>
          <cell r="E112">
            <v>922129</v>
          </cell>
          <cell r="F112" t="str">
            <v xml:space="preserve"> </v>
          </cell>
          <cell r="G112">
            <v>142263</v>
          </cell>
          <cell r="H112">
            <v>126581</v>
          </cell>
          <cell r="I112">
            <v>244698</v>
          </cell>
          <cell r="J112">
            <v>20151</v>
          </cell>
          <cell r="K112">
            <v>533693</v>
          </cell>
          <cell r="L112"/>
          <cell r="M112">
            <v>4774</v>
          </cell>
          <cell r="N112">
            <v>0</v>
          </cell>
          <cell r="O112">
            <v>0</v>
          </cell>
          <cell r="P112">
            <v>4774</v>
          </cell>
          <cell r="Q112"/>
          <cell r="R112">
            <v>256143</v>
          </cell>
          <cell r="S112">
            <v>-8184</v>
          </cell>
          <cell r="T112">
            <v>247959</v>
          </cell>
        </row>
        <row r="113">
          <cell r="A113">
            <v>91091</v>
          </cell>
          <cell r="B113" t="str">
            <v xml:space="preserve"> BALD HEAD ISLAND</v>
          </cell>
          <cell r="C113">
            <v>5.0319999999999998E-4</v>
          </cell>
          <cell r="D113">
            <v>5.3790000000000001E-4</v>
          </cell>
          <cell r="E113">
            <v>1193762</v>
          </cell>
          <cell r="F113" t="str">
            <v xml:space="preserve"> </v>
          </cell>
          <cell r="G113">
            <v>184169</v>
          </cell>
          <cell r="H113">
            <v>163868</v>
          </cell>
          <cell r="I113">
            <v>316778</v>
          </cell>
          <cell r="J113">
            <v>0</v>
          </cell>
          <cell r="K113">
            <v>664815</v>
          </cell>
          <cell r="L113"/>
          <cell r="M113">
            <v>6180</v>
          </cell>
          <cell r="N113">
            <v>0</v>
          </cell>
          <cell r="O113">
            <v>63597</v>
          </cell>
          <cell r="P113">
            <v>69777</v>
          </cell>
          <cell r="Q113"/>
          <cell r="R113">
            <v>331595</v>
          </cell>
          <cell r="S113">
            <v>-37735</v>
          </cell>
          <cell r="T113">
            <v>293860</v>
          </cell>
        </row>
        <row r="114">
          <cell r="A114">
            <v>91101</v>
          </cell>
          <cell r="B114" t="str">
            <v>BUNCOMBE COUNTY</v>
          </cell>
          <cell r="C114">
            <v>1.3608800000000001E-2</v>
          </cell>
          <cell r="D114">
            <v>1.35581E-2</v>
          </cell>
          <cell r="E114">
            <v>32284728</v>
          </cell>
          <cell r="F114" t="str">
            <v xml:space="preserve"> </v>
          </cell>
          <cell r="G114">
            <v>4980766</v>
          </cell>
          <cell r="H114">
            <v>4431733</v>
          </cell>
          <cell r="I114">
            <v>8567121</v>
          </cell>
          <cell r="J114">
            <v>153266</v>
          </cell>
          <cell r="K114">
            <v>18132886</v>
          </cell>
          <cell r="L114"/>
          <cell r="M114">
            <v>167130</v>
          </cell>
          <cell r="N114">
            <v>0</v>
          </cell>
          <cell r="O114">
            <v>611807</v>
          </cell>
          <cell r="P114">
            <v>778937</v>
          </cell>
          <cell r="Q114"/>
          <cell r="R114">
            <v>8967832</v>
          </cell>
          <cell r="S114">
            <v>97540</v>
          </cell>
          <cell r="T114">
            <v>9065372</v>
          </cell>
        </row>
        <row r="115">
          <cell r="A115">
            <v>91102</v>
          </cell>
          <cell r="B115" t="str">
            <v>LAND-OF-SKY REGIONAL COUNCIL</v>
          </cell>
          <cell r="C115">
            <v>3.2509999999999999E-4</v>
          </cell>
          <cell r="D115">
            <v>3.2919999999999998E-4</v>
          </cell>
          <cell r="E115">
            <v>771248</v>
          </cell>
          <cell r="F115" t="str">
            <v xml:space="preserve"> </v>
          </cell>
          <cell r="G115">
            <v>118985</v>
          </cell>
          <cell r="H115">
            <v>105870</v>
          </cell>
          <cell r="I115">
            <v>204660</v>
          </cell>
          <cell r="J115">
            <v>24895</v>
          </cell>
          <cell r="K115">
            <v>454410</v>
          </cell>
          <cell r="L115"/>
          <cell r="M115">
            <v>3993</v>
          </cell>
          <cell r="N115">
            <v>0</v>
          </cell>
          <cell r="O115">
            <v>16541</v>
          </cell>
          <cell r="P115">
            <v>20534</v>
          </cell>
          <cell r="Q115"/>
          <cell r="R115">
            <v>214232</v>
          </cell>
          <cell r="S115">
            <v>-8634</v>
          </cell>
          <cell r="T115">
            <v>205598</v>
          </cell>
        </row>
        <row r="116">
          <cell r="A116">
            <v>91104</v>
          </cell>
          <cell r="B116" t="str">
            <v>WOODFIN ABC COMMISSION</v>
          </cell>
          <cell r="C116">
            <v>6.9999999999999999E-6</v>
          </cell>
          <cell r="D116">
            <v>7.9000000000000006E-6</v>
          </cell>
          <cell r="E116">
            <v>16606</v>
          </cell>
          <cell r="F116" t="str">
            <v xml:space="preserve"> </v>
          </cell>
          <cell r="G116">
            <v>2562</v>
          </cell>
          <cell r="H116">
            <v>2279</v>
          </cell>
          <cell r="I116">
            <v>4407</v>
          </cell>
          <cell r="J116">
            <v>4377</v>
          </cell>
          <cell r="K116">
            <v>13625</v>
          </cell>
          <cell r="L116"/>
          <cell r="M116">
            <v>86</v>
          </cell>
          <cell r="N116">
            <v>0</v>
          </cell>
          <cell r="O116">
            <v>0</v>
          </cell>
          <cell r="P116">
            <v>86</v>
          </cell>
          <cell r="Q116"/>
          <cell r="R116">
            <v>4613</v>
          </cell>
          <cell r="S116">
            <v>1311</v>
          </cell>
          <cell r="T116">
            <v>5924</v>
          </cell>
        </row>
        <row r="117">
          <cell r="A117">
            <v>91107</v>
          </cell>
          <cell r="B117" t="str">
            <v>WESTERN NC REGIONAL AIR QUALITY</v>
          </cell>
          <cell r="C117">
            <v>5.8999999999999998E-5</v>
          </cell>
          <cell r="D117">
            <v>7.08E-5</v>
          </cell>
          <cell r="E117">
            <v>139968</v>
          </cell>
          <cell r="F117" t="str">
            <v xml:space="preserve"> </v>
          </cell>
          <cell r="G117">
            <v>21594</v>
          </cell>
          <cell r="H117">
            <v>19214</v>
          </cell>
          <cell r="I117">
            <v>37142</v>
          </cell>
          <cell r="J117">
            <v>7995</v>
          </cell>
          <cell r="K117">
            <v>85945</v>
          </cell>
          <cell r="L117"/>
          <cell r="M117">
            <v>725</v>
          </cell>
          <cell r="N117">
            <v>0</v>
          </cell>
          <cell r="O117">
            <v>3010</v>
          </cell>
          <cell r="P117">
            <v>3735</v>
          </cell>
          <cell r="Q117"/>
          <cell r="R117">
            <v>38879</v>
          </cell>
          <cell r="S117">
            <v>4395</v>
          </cell>
          <cell r="T117">
            <v>43274</v>
          </cell>
        </row>
        <row r="118">
          <cell r="A118">
            <v>91108</v>
          </cell>
          <cell r="B118" t="str">
            <v>METRO SEWERAGE DIST OF BUNCOMBE COUNTY</v>
          </cell>
          <cell r="C118">
            <v>1.2019000000000001E-3</v>
          </cell>
          <cell r="D118">
            <v>1.2413999999999999E-3</v>
          </cell>
          <cell r="E118">
            <v>2851318</v>
          </cell>
          <cell r="F118" t="str">
            <v xml:space="preserve"> </v>
          </cell>
          <cell r="G118">
            <v>439891</v>
          </cell>
          <cell r="H118">
            <v>391401</v>
          </cell>
          <cell r="I118">
            <v>756630</v>
          </cell>
          <cell r="J118">
            <v>64196</v>
          </cell>
          <cell r="K118">
            <v>1652118</v>
          </cell>
          <cell r="L118"/>
          <cell r="M118">
            <v>14761</v>
          </cell>
          <cell r="N118">
            <v>0</v>
          </cell>
          <cell r="O118">
            <v>0</v>
          </cell>
          <cell r="P118">
            <v>14761</v>
          </cell>
          <cell r="Q118"/>
          <cell r="R118">
            <v>792020</v>
          </cell>
          <cell r="S118">
            <v>40803</v>
          </cell>
          <cell r="T118">
            <v>832823</v>
          </cell>
        </row>
        <row r="119">
          <cell r="A119">
            <v>91109</v>
          </cell>
          <cell r="B119" t="str">
            <v>WOODFIN SANITARY WATER AND SEWER DIST</v>
          </cell>
          <cell r="C119">
            <v>1E-4</v>
          </cell>
          <cell r="D119">
            <v>9.9599999999999995E-5</v>
          </cell>
          <cell r="E119">
            <v>237234</v>
          </cell>
          <cell r="F119" t="str">
            <v xml:space="preserve"> </v>
          </cell>
          <cell r="G119">
            <v>36600</v>
          </cell>
          <cell r="H119">
            <v>32565</v>
          </cell>
          <cell r="I119">
            <v>62953</v>
          </cell>
          <cell r="J119">
            <v>7411</v>
          </cell>
          <cell r="K119">
            <v>139529</v>
          </cell>
          <cell r="L119"/>
          <cell r="M119">
            <v>1228</v>
          </cell>
          <cell r="N119">
            <v>0</v>
          </cell>
          <cell r="O119">
            <v>235</v>
          </cell>
          <cell r="P119">
            <v>1463</v>
          </cell>
          <cell r="Q119"/>
          <cell r="R119">
            <v>65897</v>
          </cell>
          <cell r="S119">
            <v>2068</v>
          </cell>
          <cell r="T119">
            <v>67965</v>
          </cell>
        </row>
        <row r="120">
          <cell r="A120">
            <v>91111</v>
          </cell>
          <cell r="B120" t="str">
            <v xml:space="preserve"> BILTMORE FOREST</v>
          </cell>
          <cell r="C120">
            <v>2.3499999999999999E-4</v>
          </cell>
          <cell r="D120">
            <v>2.2719999999999999E-4</v>
          </cell>
          <cell r="E120">
            <v>557500</v>
          </cell>
          <cell r="F120" t="str">
            <v xml:space="preserve"> </v>
          </cell>
          <cell r="G120">
            <v>86009</v>
          </cell>
          <cell r="H120">
            <v>76528</v>
          </cell>
          <cell r="I120">
            <v>147939</v>
          </cell>
          <cell r="J120">
            <v>19329</v>
          </cell>
          <cell r="K120">
            <v>329805</v>
          </cell>
          <cell r="L120"/>
          <cell r="M120">
            <v>2886</v>
          </cell>
          <cell r="N120">
            <v>0</v>
          </cell>
          <cell r="O120">
            <v>0</v>
          </cell>
          <cell r="P120">
            <v>2886</v>
          </cell>
          <cell r="Q120"/>
          <cell r="R120">
            <v>154859</v>
          </cell>
          <cell r="S120">
            <v>11947</v>
          </cell>
          <cell r="T120">
            <v>166806</v>
          </cell>
        </row>
        <row r="121">
          <cell r="A121">
            <v>91119</v>
          </cell>
          <cell r="B121" t="str">
            <v>WESTERN HIGHLAND AREA AUTHORITY</v>
          </cell>
          <cell r="C121">
            <v>0</v>
          </cell>
          <cell r="D121">
            <v>0</v>
          </cell>
          <cell r="E121">
            <v>0</v>
          </cell>
          <cell r="F121" t="str">
            <v xml:space="preserve"> </v>
          </cell>
          <cell r="G121">
            <v>0</v>
          </cell>
          <cell r="H121">
            <v>0</v>
          </cell>
          <cell r="I121">
            <v>0</v>
          </cell>
          <cell r="J121">
            <v>0</v>
          </cell>
          <cell r="K121">
            <v>0</v>
          </cell>
          <cell r="L121"/>
          <cell r="M121">
            <v>0</v>
          </cell>
          <cell r="N121">
            <v>0</v>
          </cell>
          <cell r="O121">
            <v>0</v>
          </cell>
          <cell r="P121">
            <v>0</v>
          </cell>
          <cell r="Q121"/>
          <cell r="R121">
            <v>0</v>
          </cell>
          <cell r="S121">
            <v>-321091</v>
          </cell>
          <cell r="T121">
            <v>-321091</v>
          </cell>
        </row>
        <row r="122">
          <cell r="A122">
            <v>91120</v>
          </cell>
          <cell r="B122" t="str">
            <v>WEST BUNCOMBE FIRE DEPT</v>
          </cell>
          <cell r="C122">
            <v>1.2679999999999999E-4</v>
          </cell>
          <cell r="D122">
            <v>1.3019999999999999E-4</v>
          </cell>
          <cell r="E122">
            <v>300813</v>
          </cell>
          <cell r="F122" t="str">
            <v xml:space="preserve"> </v>
          </cell>
          <cell r="G122">
            <v>46408</v>
          </cell>
          <cell r="H122">
            <v>41293</v>
          </cell>
          <cell r="I122">
            <v>79824</v>
          </cell>
          <cell r="J122">
            <v>0</v>
          </cell>
          <cell r="K122">
            <v>167525</v>
          </cell>
          <cell r="L122"/>
          <cell r="M122">
            <v>1557</v>
          </cell>
          <cell r="N122">
            <v>0</v>
          </cell>
          <cell r="O122">
            <v>20743</v>
          </cell>
          <cell r="P122">
            <v>22300</v>
          </cell>
          <cell r="Q122"/>
          <cell r="R122">
            <v>83558</v>
          </cell>
          <cell r="S122">
            <v>-14819</v>
          </cell>
          <cell r="T122">
            <v>68739</v>
          </cell>
        </row>
        <row r="123">
          <cell r="A123">
            <v>91121</v>
          </cell>
          <cell r="B123" t="str">
            <v>CITY OF ASHEVILLE</v>
          </cell>
          <cell r="C123">
            <v>1.02925E-2</v>
          </cell>
          <cell r="D123">
            <v>9.9927999999999996E-3</v>
          </cell>
          <cell r="E123">
            <v>24417330</v>
          </cell>
          <cell r="F123" t="str">
            <v xml:space="preserve"> </v>
          </cell>
          <cell r="G123">
            <v>3767014</v>
          </cell>
          <cell r="H123">
            <v>3351774</v>
          </cell>
          <cell r="I123">
            <v>6479417</v>
          </cell>
          <cell r="J123">
            <v>0</v>
          </cell>
          <cell r="K123">
            <v>13598205</v>
          </cell>
          <cell r="L123"/>
          <cell r="M123">
            <v>126402</v>
          </cell>
          <cell r="N123">
            <v>0</v>
          </cell>
          <cell r="O123">
            <v>408831</v>
          </cell>
          <cell r="P123">
            <v>535233</v>
          </cell>
          <cell r="Q123"/>
          <cell r="R123">
            <v>6782480</v>
          </cell>
          <cell r="S123">
            <v>-342903</v>
          </cell>
          <cell r="T123">
            <v>6439577</v>
          </cell>
        </row>
        <row r="124">
          <cell r="A124">
            <v>91127</v>
          </cell>
          <cell r="B124" t="str">
            <v>ASHEVILLE ABC BOARD</v>
          </cell>
          <cell r="C124">
            <v>2.8370000000000001E-4</v>
          </cell>
          <cell r="D124">
            <v>2.6879999999999997E-4</v>
          </cell>
          <cell r="E124">
            <v>673033</v>
          </cell>
          <cell r="F124" t="str">
            <v xml:space="preserve"> </v>
          </cell>
          <cell r="G124">
            <v>103833</v>
          </cell>
          <cell r="H124">
            <v>92387</v>
          </cell>
          <cell r="I124">
            <v>178597</v>
          </cell>
          <cell r="J124">
            <v>49510</v>
          </cell>
          <cell r="K124">
            <v>424327</v>
          </cell>
          <cell r="L124"/>
          <cell r="M124">
            <v>3484</v>
          </cell>
          <cell r="N124">
            <v>0</v>
          </cell>
          <cell r="O124">
            <v>0</v>
          </cell>
          <cell r="P124">
            <v>3484</v>
          </cell>
          <cell r="Q124"/>
          <cell r="R124">
            <v>186951</v>
          </cell>
          <cell r="S124">
            <v>31849</v>
          </cell>
          <cell r="T124">
            <v>218800</v>
          </cell>
        </row>
        <row r="125">
          <cell r="A125">
            <v>91128</v>
          </cell>
          <cell r="B125" t="str">
            <v>ASHEVILLE REGIONAL AIRPORT AUTHORITY</v>
          </cell>
          <cell r="C125">
            <v>5.1060000000000005E-4</v>
          </cell>
          <cell r="D125">
            <v>5.2380000000000005E-4</v>
          </cell>
          <cell r="E125">
            <v>1211318</v>
          </cell>
          <cell r="F125" t="str">
            <v xml:space="preserve"> </v>
          </cell>
          <cell r="G125">
            <v>186878</v>
          </cell>
          <cell r="H125">
            <v>166278</v>
          </cell>
          <cell r="I125">
            <v>321437</v>
          </cell>
          <cell r="J125">
            <v>9519</v>
          </cell>
          <cell r="K125">
            <v>684112</v>
          </cell>
          <cell r="L125"/>
          <cell r="M125">
            <v>6271</v>
          </cell>
          <cell r="N125">
            <v>0</v>
          </cell>
          <cell r="O125">
            <v>11235</v>
          </cell>
          <cell r="P125">
            <v>17506</v>
          </cell>
          <cell r="Q125"/>
          <cell r="R125">
            <v>336472</v>
          </cell>
          <cell r="S125">
            <v>-3424</v>
          </cell>
          <cell r="T125">
            <v>333048</v>
          </cell>
        </row>
        <row r="126">
          <cell r="A126">
            <v>91138</v>
          </cell>
          <cell r="B126" t="str">
            <v>SKYLAND VOL FIRE DEPT</v>
          </cell>
          <cell r="C126">
            <v>4.8819999999999999E-4</v>
          </cell>
          <cell r="D126">
            <v>6.2629999999999999E-4</v>
          </cell>
          <cell r="E126">
            <v>1158177</v>
          </cell>
          <cell r="F126" t="str">
            <v xml:space="preserve"> </v>
          </cell>
          <cell r="G126">
            <v>178679</v>
          </cell>
          <cell r="H126">
            <v>158983</v>
          </cell>
          <cell r="I126">
            <v>307336</v>
          </cell>
          <cell r="J126">
            <v>0</v>
          </cell>
          <cell r="K126">
            <v>644998</v>
          </cell>
          <cell r="L126"/>
          <cell r="M126">
            <v>5996</v>
          </cell>
          <cell r="N126">
            <v>0</v>
          </cell>
          <cell r="O126">
            <v>212777</v>
          </cell>
          <cell r="P126">
            <v>218773</v>
          </cell>
          <cell r="Q126"/>
          <cell r="R126">
            <v>321711</v>
          </cell>
          <cell r="S126">
            <v>-81735</v>
          </cell>
          <cell r="T126">
            <v>239976</v>
          </cell>
        </row>
        <row r="127">
          <cell r="A127">
            <v>91141</v>
          </cell>
          <cell r="B127" t="str">
            <v xml:space="preserve"> WEAVERVILLE</v>
          </cell>
          <cell r="C127">
            <v>5.5960000000000005E-4</v>
          </cell>
          <cell r="D127">
            <v>5.7569999999999995E-4</v>
          </cell>
          <cell r="E127">
            <v>1327563</v>
          </cell>
          <cell r="F127" t="str">
            <v xml:space="preserve"> </v>
          </cell>
          <cell r="G127">
            <v>204811</v>
          </cell>
          <cell r="H127">
            <v>182235</v>
          </cell>
          <cell r="I127">
            <v>352284</v>
          </cell>
          <cell r="J127">
            <v>0</v>
          </cell>
          <cell r="K127">
            <v>739330</v>
          </cell>
          <cell r="L127"/>
          <cell r="M127">
            <v>6872</v>
          </cell>
          <cell r="N127">
            <v>0</v>
          </cell>
          <cell r="O127">
            <v>65730</v>
          </cell>
          <cell r="P127">
            <v>72602</v>
          </cell>
          <cell r="Q127"/>
          <cell r="R127">
            <v>368761</v>
          </cell>
          <cell r="S127">
            <v>-43880</v>
          </cell>
          <cell r="T127">
            <v>324881</v>
          </cell>
        </row>
        <row r="128">
          <cell r="A128">
            <v>91147</v>
          </cell>
          <cell r="B128" t="str">
            <v>WEAVERVILLE ABC BOARD</v>
          </cell>
          <cell r="C128">
            <v>2.87E-5</v>
          </cell>
          <cell r="D128">
            <v>2.6699999999999998E-5</v>
          </cell>
          <cell r="E128">
            <v>68086</v>
          </cell>
          <cell r="F128" t="str">
            <v xml:space="preserve"> </v>
          </cell>
          <cell r="G128">
            <v>10504</v>
          </cell>
          <cell r="H128">
            <v>9346</v>
          </cell>
          <cell r="I128">
            <v>18067</v>
          </cell>
          <cell r="J128">
            <v>5905</v>
          </cell>
          <cell r="K128">
            <v>43822</v>
          </cell>
          <cell r="L128"/>
          <cell r="M128">
            <v>352</v>
          </cell>
          <cell r="N128">
            <v>0</v>
          </cell>
          <cell r="O128">
            <v>0</v>
          </cell>
          <cell r="P128">
            <v>352</v>
          </cell>
          <cell r="Q128"/>
          <cell r="R128">
            <v>18913</v>
          </cell>
          <cell r="S128">
            <v>4757</v>
          </cell>
          <cell r="T128">
            <v>23670</v>
          </cell>
        </row>
        <row r="129">
          <cell r="A129">
            <v>91151</v>
          </cell>
          <cell r="B129" t="str">
            <v xml:space="preserve"> BLACK MOUNTAIN</v>
          </cell>
          <cell r="C129">
            <v>6.2589999999999998E-4</v>
          </cell>
          <cell r="D129">
            <v>6.3409999999999996E-4</v>
          </cell>
          <cell r="E129">
            <v>1484849</v>
          </cell>
          <cell r="F129" t="str">
            <v xml:space="preserve"> </v>
          </cell>
          <cell r="G129">
            <v>229077</v>
          </cell>
          <cell r="H129">
            <v>203826</v>
          </cell>
          <cell r="I129">
            <v>394022</v>
          </cell>
          <cell r="J129">
            <v>3112</v>
          </cell>
          <cell r="K129">
            <v>830037</v>
          </cell>
          <cell r="L129"/>
          <cell r="M129">
            <v>7687</v>
          </cell>
          <cell r="N129">
            <v>0</v>
          </cell>
          <cell r="O129">
            <v>68725</v>
          </cell>
          <cell r="P129">
            <v>76412</v>
          </cell>
          <cell r="Q129"/>
          <cell r="R129">
            <v>412451</v>
          </cell>
          <cell r="S129">
            <v>-24854</v>
          </cell>
          <cell r="T129">
            <v>387597</v>
          </cell>
        </row>
        <row r="130">
          <cell r="A130">
            <v>91154</v>
          </cell>
          <cell r="B130" t="str">
            <v>BLACK MTN ABC BOARD</v>
          </cell>
          <cell r="C130">
            <v>2.41E-5</v>
          </cell>
          <cell r="D130">
            <v>2.6299999999999999E-5</v>
          </cell>
          <cell r="E130">
            <v>57173</v>
          </cell>
          <cell r="F130" t="str">
            <v xml:space="preserve"> </v>
          </cell>
          <cell r="G130">
            <v>8821</v>
          </cell>
          <cell r="H130">
            <v>7848</v>
          </cell>
          <cell r="I130">
            <v>15172</v>
          </cell>
          <cell r="J130">
            <v>4369</v>
          </cell>
          <cell r="K130">
            <v>36210</v>
          </cell>
          <cell r="L130"/>
          <cell r="M130">
            <v>296</v>
          </cell>
          <cell r="N130">
            <v>0</v>
          </cell>
          <cell r="O130">
            <v>2182</v>
          </cell>
          <cell r="P130">
            <v>2478</v>
          </cell>
          <cell r="Q130"/>
          <cell r="R130">
            <v>15881</v>
          </cell>
          <cell r="S130">
            <v>2411</v>
          </cell>
          <cell r="T130">
            <v>18292</v>
          </cell>
        </row>
        <row r="131">
          <cell r="A131">
            <v>91161</v>
          </cell>
          <cell r="B131" t="str">
            <v xml:space="preserve"> MONTREAT</v>
          </cell>
          <cell r="C131">
            <v>7.9699999999999999E-5</v>
          </cell>
          <cell r="D131">
            <v>9.2600000000000001E-5</v>
          </cell>
          <cell r="E131">
            <v>189076</v>
          </cell>
          <cell r="F131" t="str">
            <v xml:space="preserve"> </v>
          </cell>
          <cell r="G131">
            <v>29170</v>
          </cell>
          <cell r="H131">
            <v>25954</v>
          </cell>
          <cell r="I131">
            <v>50173</v>
          </cell>
          <cell r="J131">
            <v>2466</v>
          </cell>
          <cell r="K131">
            <v>107763</v>
          </cell>
          <cell r="L131"/>
          <cell r="M131">
            <v>979</v>
          </cell>
          <cell r="N131">
            <v>0</v>
          </cell>
          <cell r="O131">
            <v>9902</v>
          </cell>
          <cell r="P131">
            <v>10881</v>
          </cell>
          <cell r="Q131"/>
          <cell r="R131">
            <v>52520</v>
          </cell>
          <cell r="S131">
            <v>-1236</v>
          </cell>
          <cell r="T131">
            <v>51284</v>
          </cell>
        </row>
        <row r="132">
          <cell r="A132">
            <v>91171</v>
          </cell>
          <cell r="B132" t="str">
            <v xml:space="preserve"> WOODFIN</v>
          </cell>
          <cell r="C132">
            <v>2.3790000000000001E-4</v>
          </cell>
          <cell r="D132">
            <v>1.95E-4</v>
          </cell>
          <cell r="E132">
            <v>564380</v>
          </cell>
          <cell r="F132" t="str">
            <v xml:space="preserve"> </v>
          </cell>
          <cell r="G132">
            <v>87070</v>
          </cell>
          <cell r="H132">
            <v>77473</v>
          </cell>
          <cell r="I132">
            <v>149765</v>
          </cell>
          <cell r="J132">
            <v>24306</v>
          </cell>
          <cell r="K132">
            <v>338614</v>
          </cell>
          <cell r="L132"/>
          <cell r="M132">
            <v>2922</v>
          </cell>
          <cell r="N132">
            <v>0</v>
          </cell>
          <cell r="O132">
            <v>36666</v>
          </cell>
          <cell r="P132">
            <v>39588</v>
          </cell>
          <cell r="Q132"/>
          <cell r="R132">
            <v>156770</v>
          </cell>
          <cell r="S132">
            <v>-15275</v>
          </cell>
          <cell r="T132">
            <v>141495</v>
          </cell>
        </row>
        <row r="133">
          <cell r="A133">
            <v>91201</v>
          </cell>
          <cell r="B133" t="str">
            <v>BURKE COUNTY</v>
          </cell>
          <cell r="C133">
            <v>2.2587000000000002E-3</v>
          </cell>
          <cell r="D133">
            <v>2.2878E-3</v>
          </cell>
          <cell r="E133">
            <v>5358409</v>
          </cell>
          <cell r="F133" t="str">
            <v xml:space="preserve"> </v>
          </cell>
          <cell r="G133">
            <v>826675</v>
          </cell>
          <cell r="H133">
            <v>735550</v>
          </cell>
          <cell r="I133">
            <v>1421915</v>
          </cell>
          <cell r="J133">
            <v>15312</v>
          </cell>
          <cell r="K133">
            <v>2999452</v>
          </cell>
          <cell r="L133"/>
          <cell r="M133">
            <v>27739</v>
          </cell>
          <cell r="N133">
            <v>0</v>
          </cell>
          <cell r="O133">
            <v>131332</v>
          </cell>
          <cell r="P133">
            <v>159071</v>
          </cell>
          <cell r="Q133"/>
          <cell r="R133">
            <v>1488422</v>
          </cell>
          <cell r="S133">
            <v>-15775</v>
          </cell>
          <cell r="T133">
            <v>1472647</v>
          </cell>
        </row>
        <row r="134">
          <cell r="A134">
            <v>91202</v>
          </cell>
          <cell r="B134" t="str">
            <v>BURKE-CATAWBA DIST CONFINEMENT</v>
          </cell>
          <cell r="C134">
            <v>1.9579999999999999E-4</v>
          </cell>
          <cell r="D134">
            <v>1.9330000000000001E-4</v>
          </cell>
          <cell r="E134">
            <v>464505</v>
          </cell>
          <cell r="F134" t="str">
            <v xml:space="preserve"> </v>
          </cell>
          <cell r="G134">
            <v>71662</v>
          </cell>
          <cell r="H134">
            <v>63762</v>
          </cell>
          <cell r="I134">
            <v>123262</v>
          </cell>
          <cell r="J134">
            <v>19480</v>
          </cell>
          <cell r="K134">
            <v>278166</v>
          </cell>
          <cell r="L134"/>
          <cell r="M134">
            <v>2405</v>
          </cell>
          <cell r="N134">
            <v>0</v>
          </cell>
          <cell r="O134">
            <v>0</v>
          </cell>
          <cell r="P134">
            <v>2405</v>
          </cell>
          <cell r="Q134"/>
          <cell r="R134">
            <v>129027</v>
          </cell>
          <cell r="S134">
            <v>13312</v>
          </cell>
          <cell r="T134">
            <v>142339</v>
          </cell>
        </row>
        <row r="135">
          <cell r="A135">
            <v>91203</v>
          </cell>
          <cell r="B135" t="str">
            <v>BURKE CO HEALTH DEPT</v>
          </cell>
          <cell r="C135">
            <v>2.3000000000000001E-4</v>
          </cell>
          <cell r="D135">
            <v>2.1939999999999999E-4</v>
          </cell>
          <cell r="E135">
            <v>545639</v>
          </cell>
          <cell r="F135" t="str">
            <v xml:space="preserve"> </v>
          </cell>
          <cell r="G135">
            <v>84179</v>
          </cell>
          <cell r="H135">
            <v>74900</v>
          </cell>
          <cell r="I135">
            <v>144791</v>
          </cell>
          <cell r="J135">
            <v>39994</v>
          </cell>
          <cell r="K135">
            <v>343864</v>
          </cell>
          <cell r="L135"/>
          <cell r="M135">
            <v>2825</v>
          </cell>
          <cell r="N135">
            <v>0</v>
          </cell>
          <cell r="O135">
            <v>0</v>
          </cell>
          <cell r="P135">
            <v>2825</v>
          </cell>
          <cell r="Q135"/>
          <cell r="R135">
            <v>151564</v>
          </cell>
          <cell r="S135">
            <v>19261</v>
          </cell>
          <cell r="T135">
            <v>170825</v>
          </cell>
        </row>
        <row r="136">
          <cell r="A136">
            <v>91206</v>
          </cell>
          <cell r="B136" t="str">
            <v>BURKE CO DEPT OF SOCIAL SERVICES</v>
          </cell>
          <cell r="C136">
            <v>9.0660000000000003E-4</v>
          </cell>
          <cell r="D136">
            <v>8.6450000000000003E-4</v>
          </cell>
          <cell r="E136">
            <v>2150765</v>
          </cell>
          <cell r="F136" t="str">
            <v xml:space="preserve"> </v>
          </cell>
          <cell r="G136">
            <v>331812</v>
          </cell>
          <cell r="H136">
            <v>295237</v>
          </cell>
          <cell r="I136">
            <v>570730</v>
          </cell>
          <cell r="J136">
            <v>45439</v>
          </cell>
          <cell r="K136">
            <v>1243218</v>
          </cell>
          <cell r="L136"/>
          <cell r="M136">
            <v>11134</v>
          </cell>
          <cell r="N136">
            <v>0</v>
          </cell>
          <cell r="O136">
            <v>736</v>
          </cell>
          <cell r="P136">
            <v>11870</v>
          </cell>
          <cell r="Q136"/>
          <cell r="R136">
            <v>597425</v>
          </cell>
          <cell r="S136">
            <v>22732</v>
          </cell>
          <cell r="T136">
            <v>620157</v>
          </cell>
        </row>
        <row r="137">
          <cell r="A137">
            <v>91208</v>
          </cell>
          <cell r="B137" t="str">
            <v>BURKE COUNTY TOURISM DEV. AUTHORITY</v>
          </cell>
          <cell r="C137">
            <v>1.3200000000000001E-5</v>
          </cell>
          <cell r="D137">
            <v>1.42E-5</v>
          </cell>
          <cell r="E137">
            <v>31315</v>
          </cell>
          <cell r="F137" t="str">
            <v xml:space="preserve"> </v>
          </cell>
          <cell r="G137">
            <v>4831</v>
          </cell>
          <cell r="H137">
            <v>4299</v>
          </cell>
          <cell r="I137">
            <v>8310</v>
          </cell>
          <cell r="J137">
            <v>529</v>
          </cell>
          <cell r="K137">
            <v>17969</v>
          </cell>
          <cell r="L137"/>
          <cell r="M137">
            <v>162</v>
          </cell>
          <cell r="N137">
            <v>0</v>
          </cell>
          <cell r="O137">
            <v>522</v>
          </cell>
          <cell r="P137">
            <v>684</v>
          </cell>
          <cell r="Q137"/>
          <cell r="R137">
            <v>8698</v>
          </cell>
          <cell r="S137">
            <v>3299</v>
          </cell>
          <cell r="T137">
            <v>11997</v>
          </cell>
        </row>
        <row r="138">
          <cell r="A138">
            <v>91211</v>
          </cell>
          <cell r="B138" t="str">
            <v xml:space="preserve"> VALDESE</v>
          </cell>
          <cell r="C138">
            <v>4.526E-4</v>
          </cell>
          <cell r="D138">
            <v>4.5530000000000001E-4</v>
          </cell>
          <cell r="E138">
            <v>1073722</v>
          </cell>
          <cell r="F138" t="str">
            <v xml:space="preserve"> </v>
          </cell>
          <cell r="G138">
            <v>165650</v>
          </cell>
          <cell r="H138">
            <v>147390</v>
          </cell>
          <cell r="I138">
            <v>284924</v>
          </cell>
          <cell r="J138">
            <v>3586</v>
          </cell>
          <cell r="K138">
            <v>601550</v>
          </cell>
          <cell r="L138"/>
          <cell r="M138">
            <v>5558</v>
          </cell>
          <cell r="N138">
            <v>0</v>
          </cell>
          <cell r="O138">
            <v>16402</v>
          </cell>
          <cell r="P138">
            <v>21960</v>
          </cell>
          <cell r="Q138"/>
          <cell r="R138">
            <v>298251</v>
          </cell>
          <cell r="S138">
            <v>-2389</v>
          </cell>
          <cell r="T138">
            <v>295862</v>
          </cell>
        </row>
        <row r="139">
          <cell r="A139">
            <v>91213</v>
          </cell>
          <cell r="B139" t="str">
            <v>VALDESE HOUSING AUTHORITY</v>
          </cell>
          <cell r="C139">
            <v>2.4700000000000001E-5</v>
          </cell>
          <cell r="D139">
            <v>3.2499999999999997E-5</v>
          </cell>
          <cell r="E139">
            <v>58597</v>
          </cell>
          <cell r="F139" t="str">
            <v xml:space="preserve"> </v>
          </cell>
          <cell r="G139">
            <v>9040</v>
          </cell>
          <cell r="H139">
            <v>8043</v>
          </cell>
          <cell r="I139">
            <v>15549</v>
          </cell>
          <cell r="J139">
            <v>0</v>
          </cell>
          <cell r="K139">
            <v>32632</v>
          </cell>
          <cell r="L139"/>
          <cell r="M139">
            <v>303</v>
          </cell>
          <cell r="N139">
            <v>0</v>
          </cell>
          <cell r="O139">
            <v>10895</v>
          </cell>
          <cell r="P139">
            <v>11198</v>
          </cell>
          <cell r="Q139"/>
          <cell r="R139">
            <v>16277</v>
          </cell>
          <cell r="S139">
            <v>-4124</v>
          </cell>
          <cell r="T139">
            <v>12153</v>
          </cell>
        </row>
        <row r="140">
          <cell r="A140">
            <v>91214</v>
          </cell>
          <cell r="B140" t="str">
            <v xml:space="preserve"> RUTHERFORD COLLEGE</v>
          </cell>
          <cell r="C140">
            <v>3.0499999999999999E-5</v>
          </cell>
          <cell r="D140">
            <v>2.9300000000000001E-5</v>
          </cell>
          <cell r="E140">
            <v>72356</v>
          </cell>
          <cell r="F140" t="str">
            <v xml:space="preserve"> </v>
          </cell>
          <cell r="G140">
            <v>11163</v>
          </cell>
          <cell r="H140">
            <v>9932</v>
          </cell>
          <cell r="I140">
            <v>19201</v>
          </cell>
          <cell r="J140">
            <v>530</v>
          </cell>
          <cell r="K140">
            <v>40826</v>
          </cell>
          <cell r="L140"/>
          <cell r="M140">
            <v>375</v>
          </cell>
          <cell r="N140">
            <v>0</v>
          </cell>
          <cell r="O140">
            <v>4250</v>
          </cell>
          <cell r="P140">
            <v>4625</v>
          </cell>
          <cell r="Q140"/>
          <cell r="R140">
            <v>20099</v>
          </cell>
          <cell r="S140">
            <v>-694</v>
          </cell>
          <cell r="T140">
            <v>19405</v>
          </cell>
        </row>
        <row r="141">
          <cell r="A141">
            <v>91217</v>
          </cell>
          <cell r="B141" t="str">
            <v>MORGANTON ABC BOARD</v>
          </cell>
          <cell r="C141">
            <v>1.77E-5</v>
          </cell>
          <cell r="D141">
            <v>2.8799999999999999E-5</v>
          </cell>
          <cell r="E141">
            <v>41990</v>
          </cell>
          <cell r="F141" t="str">
            <v xml:space="preserve"> </v>
          </cell>
          <cell r="G141">
            <v>6478</v>
          </cell>
          <cell r="H141">
            <v>5764</v>
          </cell>
          <cell r="I141">
            <v>11143</v>
          </cell>
          <cell r="J141">
            <v>6480</v>
          </cell>
          <cell r="K141">
            <v>29865</v>
          </cell>
          <cell r="L141"/>
          <cell r="M141">
            <v>217</v>
          </cell>
          <cell r="N141">
            <v>0</v>
          </cell>
          <cell r="O141">
            <v>3242</v>
          </cell>
          <cell r="P141">
            <v>3459</v>
          </cell>
          <cell r="Q141"/>
          <cell r="R141">
            <v>11664</v>
          </cell>
          <cell r="S141">
            <v>3494</v>
          </cell>
          <cell r="T141">
            <v>15158</v>
          </cell>
        </row>
        <row r="142">
          <cell r="A142">
            <v>91221</v>
          </cell>
          <cell r="B142" t="str">
            <v xml:space="preserve"> DREXEL</v>
          </cell>
          <cell r="C142">
            <v>1.2329999999999999E-4</v>
          </cell>
          <cell r="D142">
            <v>1.3359999999999999E-4</v>
          </cell>
          <cell r="E142">
            <v>292510</v>
          </cell>
          <cell r="F142" t="str">
            <v xml:space="preserve"> </v>
          </cell>
          <cell r="G142">
            <v>45127</v>
          </cell>
          <cell r="H142">
            <v>40153</v>
          </cell>
          <cell r="I142">
            <v>77621</v>
          </cell>
          <cell r="J142">
            <v>981</v>
          </cell>
          <cell r="K142">
            <v>163882</v>
          </cell>
          <cell r="L142"/>
          <cell r="M142">
            <v>1514</v>
          </cell>
          <cell r="N142">
            <v>0</v>
          </cell>
          <cell r="O142">
            <v>13939</v>
          </cell>
          <cell r="P142">
            <v>15453</v>
          </cell>
          <cell r="Q142"/>
          <cell r="R142">
            <v>81251</v>
          </cell>
          <cell r="S142">
            <v>-1021</v>
          </cell>
          <cell r="T142">
            <v>80230</v>
          </cell>
        </row>
        <row r="143">
          <cell r="A143">
            <v>91231</v>
          </cell>
          <cell r="B143" t="str">
            <v>CITY OF MORGANTON</v>
          </cell>
          <cell r="C143">
            <v>1.8527000000000001E-3</v>
          </cell>
          <cell r="D143">
            <v>1.8856000000000001E-3</v>
          </cell>
          <cell r="E143">
            <v>4395238</v>
          </cell>
          <cell r="F143" t="str">
            <v xml:space="preserve"> </v>
          </cell>
          <cell r="G143">
            <v>678081</v>
          </cell>
          <cell r="H143">
            <v>603336</v>
          </cell>
          <cell r="I143">
            <v>1166327</v>
          </cell>
          <cell r="J143">
            <v>0</v>
          </cell>
          <cell r="K143">
            <v>2447744</v>
          </cell>
          <cell r="L143"/>
          <cell r="M143">
            <v>22753</v>
          </cell>
          <cell r="N143">
            <v>0</v>
          </cell>
          <cell r="O143">
            <v>112717</v>
          </cell>
          <cell r="P143">
            <v>135470</v>
          </cell>
          <cell r="Q143"/>
          <cell r="R143">
            <v>1220879</v>
          </cell>
          <cell r="S143">
            <v>-37802</v>
          </cell>
          <cell r="T143">
            <v>1183077</v>
          </cell>
        </row>
        <row r="144">
          <cell r="A144">
            <v>91233</v>
          </cell>
          <cell r="B144" t="str">
            <v>MORGANTON HOUSING AUTHORITY</v>
          </cell>
          <cell r="C144">
            <v>5.3499999999999999E-5</v>
          </cell>
          <cell r="D144">
            <v>5.8100000000000003E-5</v>
          </cell>
          <cell r="E144">
            <v>126920</v>
          </cell>
          <cell r="F144" t="str">
            <v xml:space="preserve"> </v>
          </cell>
          <cell r="G144">
            <v>19581</v>
          </cell>
          <cell r="H144">
            <v>17422</v>
          </cell>
          <cell r="I144">
            <v>33680</v>
          </cell>
          <cell r="J144">
            <v>5224</v>
          </cell>
          <cell r="K144">
            <v>75907</v>
          </cell>
          <cell r="L144"/>
          <cell r="M144">
            <v>657</v>
          </cell>
          <cell r="N144">
            <v>0</v>
          </cell>
          <cell r="O144">
            <v>6405</v>
          </cell>
          <cell r="P144">
            <v>7062</v>
          </cell>
          <cell r="Q144"/>
          <cell r="R144">
            <v>35255</v>
          </cell>
          <cell r="S144">
            <v>2697</v>
          </cell>
          <cell r="T144">
            <v>37952</v>
          </cell>
        </row>
        <row r="145">
          <cell r="A145">
            <v>91241</v>
          </cell>
          <cell r="B145" t="str">
            <v xml:space="preserve"> GLEN ALPINE</v>
          </cell>
          <cell r="C145">
            <v>4.3099999999999997E-5</v>
          </cell>
          <cell r="D145">
            <v>3.5500000000000002E-5</v>
          </cell>
          <cell r="E145">
            <v>102248</v>
          </cell>
          <cell r="F145" t="str">
            <v xml:space="preserve"> </v>
          </cell>
          <cell r="G145">
            <v>15774</v>
          </cell>
          <cell r="H145">
            <v>14035</v>
          </cell>
          <cell r="I145">
            <v>27133</v>
          </cell>
          <cell r="J145">
            <v>11777</v>
          </cell>
          <cell r="K145">
            <v>68719</v>
          </cell>
          <cell r="L145"/>
          <cell r="M145">
            <v>529</v>
          </cell>
          <cell r="N145">
            <v>0</v>
          </cell>
          <cell r="O145">
            <v>1842</v>
          </cell>
          <cell r="P145">
            <v>2371</v>
          </cell>
          <cell r="Q145"/>
          <cell r="R145">
            <v>28402</v>
          </cell>
          <cell r="S145">
            <v>394</v>
          </cell>
          <cell r="T145">
            <v>28796</v>
          </cell>
        </row>
        <row r="146">
          <cell r="A146">
            <v>91251</v>
          </cell>
          <cell r="B146" t="str">
            <v xml:space="preserve"> HILDEBRAN</v>
          </cell>
          <cell r="C146">
            <v>2.9499999999999999E-5</v>
          </cell>
          <cell r="D146">
            <v>1.9899999999999999E-5</v>
          </cell>
          <cell r="E146">
            <v>69984</v>
          </cell>
          <cell r="F146" t="str">
            <v xml:space="preserve"> </v>
          </cell>
          <cell r="G146">
            <v>10797</v>
          </cell>
          <cell r="H146">
            <v>9607</v>
          </cell>
          <cell r="I146">
            <v>18571</v>
          </cell>
          <cell r="J146">
            <v>9082</v>
          </cell>
          <cell r="K146">
            <v>48057</v>
          </cell>
          <cell r="L146"/>
          <cell r="M146">
            <v>362</v>
          </cell>
          <cell r="N146">
            <v>0</v>
          </cell>
          <cell r="O146">
            <v>2515</v>
          </cell>
          <cell r="P146">
            <v>2877</v>
          </cell>
          <cell r="Q146"/>
          <cell r="R146">
            <v>19440</v>
          </cell>
          <cell r="S146">
            <v>3588</v>
          </cell>
          <cell r="T146">
            <v>23028</v>
          </cell>
        </row>
        <row r="147">
          <cell r="A147">
            <v>91261</v>
          </cell>
          <cell r="B147" t="str">
            <v xml:space="preserve"> CONNELLY SPRINGS</v>
          </cell>
          <cell r="C147">
            <v>1.06E-5</v>
          </cell>
          <cell r="D147">
            <v>1.03E-5</v>
          </cell>
          <cell r="E147">
            <v>25147</v>
          </cell>
          <cell r="F147" t="str">
            <v xml:space="preserve"> </v>
          </cell>
          <cell r="G147">
            <v>3880</v>
          </cell>
          <cell r="H147">
            <v>3452</v>
          </cell>
          <cell r="I147">
            <v>6673</v>
          </cell>
          <cell r="J147">
            <v>939</v>
          </cell>
          <cell r="K147">
            <v>14944</v>
          </cell>
          <cell r="L147"/>
          <cell r="M147">
            <v>130</v>
          </cell>
          <cell r="N147">
            <v>0</v>
          </cell>
          <cell r="O147">
            <v>0</v>
          </cell>
          <cell r="P147">
            <v>130</v>
          </cell>
          <cell r="Q147"/>
          <cell r="R147">
            <v>6985</v>
          </cell>
          <cell r="S147">
            <v>848</v>
          </cell>
          <cell r="T147">
            <v>7833</v>
          </cell>
        </row>
        <row r="148">
          <cell r="A148">
            <v>91301</v>
          </cell>
          <cell r="B148" t="str">
            <v>CABARRUS COUNTY</v>
          </cell>
          <cell r="C148">
            <v>7.7812000000000003E-3</v>
          </cell>
          <cell r="D148">
            <v>7.6985999999999999E-3</v>
          </cell>
          <cell r="E148">
            <v>18459668</v>
          </cell>
          <cell r="F148" t="str">
            <v xml:space="preserve"> </v>
          </cell>
          <cell r="G148">
            <v>2847888</v>
          </cell>
          <cell r="H148">
            <v>2533963</v>
          </cell>
          <cell r="I148">
            <v>4898483</v>
          </cell>
          <cell r="J148">
            <v>12950</v>
          </cell>
          <cell r="K148">
            <v>10293284</v>
          </cell>
          <cell r="L148"/>
          <cell r="M148">
            <v>95561</v>
          </cell>
          <cell r="N148">
            <v>0</v>
          </cell>
          <cell r="O148">
            <v>224172</v>
          </cell>
          <cell r="P148">
            <v>319733</v>
          </cell>
          <cell r="Q148"/>
          <cell r="R148">
            <v>5127601</v>
          </cell>
          <cell r="S148">
            <v>-118489</v>
          </cell>
          <cell r="T148">
            <v>5009112</v>
          </cell>
        </row>
        <row r="149">
          <cell r="A149">
            <v>91302</v>
          </cell>
          <cell r="B149" t="str">
            <v>WATER &amp; SEWER AUTHORITY OF CABARRUS CNTY</v>
          </cell>
          <cell r="C149">
            <v>5.4440000000000001E-4</v>
          </cell>
          <cell r="D149">
            <v>6.0300000000000002E-4</v>
          </cell>
          <cell r="E149">
            <v>1291503</v>
          </cell>
          <cell r="F149" t="str">
            <v xml:space="preserve"> </v>
          </cell>
          <cell r="G149">
            <v>199248</v>
          </cell>
          <cell r="H149">
            <v>177285</v>
          </cell>
          <cell r="I149">
            <v>342715</v>
          </cell>
          <cell r="J149">
            <v>12855</v>
          </cell>
          <cell r="K149">
            <v>732103</v>
          </cell>
          <cell r="L149"/>
          <cell r="M149">
            <v>6686</v>
          </cell>
          <cell r="N149">
            <v>0</v>
          </cell>
          <cell r="O149">
            <v>55205</v>
          </cell>
          <cell r="P149">
            <v>61891</v>
          </cell>
          <cell r="Q149"/>
          <cell r="R149">
            <v>358745</v>
          </cell>
          <cell r="S149">
            <v>5826</v>
          </cell>
          <cell r="T149">
            <v>364571</v>
          </cell>
        </row>
        <row r="150">
          <cell r="A150">
            <v>91306</v>
          </cell>
          <cell r="B150" t="str">
            <v>CABARRUS CO PUBLIC HEALTH AUTHORITY</v>
          </cell>
          <cell r="C150">
            <v>1.8347000000000001E-3</v>
          </cell>
          <cell r="D150">
            <v>1.6412E-3</v>
          </cell>
          <cell r="E150">
            <v>4352536</v>
          </cell>
          <cell r="F150" t="str">
            <v xml:space="preserve"> </v>
          </cell>
          <cell r="G150">
            <v>671493</v>
          </cell>
          <cell r="H150">
            <v>597473</v>
          </cell>
          <cell r="I150">
            <v>1154995</v>
          </cell>
          <cell r="J150">
            <v>204148</v>
          </cell>
          <cell r="K150">
            <v>2628109</v>
          </cell>
          <cell r="L150"/>
          <cell r="M150">
            <v>22532</v>
          </cell>
          <cell r="N150">
            <v>0</v>
          </cell>
          <cell r="O150">
            <v>5325</v>
          </cell>
          <cell r="P150">
            <v>27857</v>
          </cell>
          <cell r="Q150"/>
          <cell r="R150">
            <v>1209018</v>
          </cell>
          <cell r="S150">
            <v>96839</v>
          </cell>
          <cell r="T150">
            <v>1305857</v>
          </cell>
        </row>
        <row r="151">
          <cell r="A151">
            <v>91308</v>
          </cell>
          <cell r="B151" t="str">
            <v>CABARRUS COUNTY TOURISM AUTHORITY</v>
          </cell>
          <cell r="C151">
            <v>1.7149999999999999E-4</v>
          </cell>
          <cell r="D151">
            <v>1.8009999999999999E-4</v>
          </cell>
          <cell r="E151">
            <v>406857</v>
          </cell>
          <cell r="F151" t="str">
            <v xml:space="preserve"> </v>
          </cell>
          <cell r="G151">
            <v>62768</v>
          </cell>
          <cell r="H151">
            <v>55849</v>
          </cell>
          <cell r="I151">
            <v>107964</v>
          </cell>
          <cell r="J151">
            <v>117</v>
          </cell>
          <cell r="K151">
            <v>226698</v>
          </cell>
          <cell r="L151"/>
          <cell r="M151">
            <v>2106</v>
          </cell>
          <cell r="N151">
            <v>0</v>
          </cell>
          <cell r="O151">
            <v>22928</v>
          </cell>
          <cell r="P151">
            <v>25034</v>
          </cell>
          <cell r="Q151"/>
          <cell r="R151">
            <v>113014</v>
          </cell>
          <cell r="S151">
            <v>-5660</v>
          </cell>
          <cell r="T151">
            <v>107354</v>
          </cell>
        </row>
        <row r="152">
          <cell r="A152">
            <v>91311</v>
          </cell>
          <cell r="B152" t="str">
            <v>CITY OF CONCORD</v>
          </cell>
          <cell r="C152">
            <v>7.7199E-3</v>
          </cell>
          <cell r="D152">
            <v>7.6685E-3</v>
          </cell>
          <cell r="E152">
            <v>18314243</v>
          </cell>
          <cell r="F152" t="str">
            <v xml:space="preserve"> </v>
          </cell>
          <cell r="G152">
            <v>2825453</v>
          </cell>
          <cell r="H152">
            <v>2514000</v>
          </cell>
          <cell r="I152">
            <v>4859893</v>
          </cell>
          <cell r="J152">
            <v>35298</v>
          </cell>
          <cell r="K152">
            <v>10234644</v>
          </cell>
          <cell r="L152"/>
          <cell r="M152">
            <v>94808</v>
          </cell>
          <cell r="N152">
            <v>0</v>
          </cell>
          <cell r="O152">
            <v>364413</v>
          </cell>
          <cell r="P152">
            <v>459221</v>
          </cell>
          <cell r="Q152"/>
          <cell r="R152">
            <v>5087206</v>
          </cell>
          <cell r="S152">
            <v>-205799</v>
          </cell>
          <cell r="T152">
            <v>4881407</v>
          </cell>
        </row>
        <row r="153">
          <cell r="A153">
            <v>91317</v>
          </cell>
          <cell r="B153" t="str">
            <v>CONCORD ABC BOARD</v>
          </cell>
          <cell r="C153">
            <v>1.004E-4</v>
          </cell>
          <cell r="D153">
            <v>1.016E-4</v>
          </cell>
          <cell r="E153">
            <v>238183</v>
          </cell>
          <cell r="F153" t="str">
            <v xml:space="preserve"> </v>
          </cell>
          <cell r="G153">
            <v>36746</v>
          </cell>
          <cell r="H153">
            <v>32696</v>
          </cell>
          <cell r="I153">
            <v>63205</v>
          </cell>
          <cell r="J153">
            <v>13218</v>
          </cell>
          <cell r="K153">
            <v>145865</v>
          </cell>
          <cell r="L153"/>
          <cell r="M153">
            <v>1233</v>
          </cell>
          <cell r="N153">
            <v>0</v>
          </cell>
          <cell r="O153">
            <v>602</v>
          </cell>
          <cell r="P153">
            <v>1835</v>
          </cell>
          <cell r="Q153"/>
          <cell r="R153">
            <v>66161</v>
          </cell>
          <cell r="S153">
            <v>3844</v>
          </cell>
          <cell r="T153">
            <v>70005</v>
          </cell>
        </row>
        <row r="154">
          <cell r="A154">
            <v>91321</v>
          </cell>
          <cell r="B154" t="str">
            <v xml:space="preserve"> MOUNT PLEASANT</v>
          </cell>
          <cell r="C154">
            <v>4.5899999999999998E-5</v>
          </cell>
          <cell r="D154">
            <v>4.2799999999999997E-5</v>
          </cell>
          <cell r="E154">
            <v>108890</v>
          </cell>
          <cell r="F154" t="str">
            <v xml:space="preserve"> </v>
          </cell>
          <cell r="G154">
            <v>16799</v>
          </cell>
          <cell r="H154">
            <v>14947</v>
          </cell>
          <cell r="I154">
            <v>28895</v>
          </cell>
          <cell r="J154">
            <v>34886</v>
          </cell>
          <cell r="K154">
            <v>95527</v>
          </cell>
          <cell r="L154"/>
          <cell r="M154">
            <v>564</v>
          </cell>
          <cell r="N154">
            <v>0</v>
          </cell>
          <cell r="O154">
            <v>1694</v>
          </cell>
          <cell r="P154">
            <v>2258</v>
          </cell>
          <cell r="Q154"/>
          <cell r="R154">
            <v>30247</v>
          </cell>
          <cell r="S154">
            <v>8780</v>
          </cell>
          <cell r="T154">
            <v>39027</v>
          </cell>
        </row>
        <row r="155">
          <cell r="A155">
            <v>91327</v>
          </cell>
          <cell r="B155" t="str">
            <v>MT PLEASANT ABC BOARD</v>
          </cell>
          <cell r="C155">
            <v>7.7000000000000008E-6</v>
          </cell>
          <cell r="D155">
            <v>8.1999999999999994E-6</v>
          </cell>
          <cell r="E155">
            <v>18267</v>
          </cell>
          <cell r="F155" t="str">
            <v xml:space="preserve"> </v>
          </cell>
          <cell r="G155">
            <v>2818</v>
          </cell>
          <cell r="H155">
            <v>2507</v>
          </cell>
          <cell r="I155">
            <v>4847</v>
          </cell>
          <cell r="J155">
            <v>526</v>
          </cell>
          <cell r="K155">
            <v>10698</v>
          </cell>
          <cell r="L155"/>
          <cell r="M155">
            <v>95</v>
          </cell>
          <cell r="N155">
            <v>0</v>
          </cell>
          <cell r="O155">
            <v>1045</v>
          </cell>
          <cell r="P155">
            <v>1140</v>
          </cell>
          <cell r="Q155"/>
          <cell r="R155">
            <v>5074</v>
          </cell>
          <cell r="S155">
            <v>-349</v>
          </cell>
          <cell r="T155">
            <v>4725</v>
          </cell>
        </row>
        <row r="156">
          <cell r="A156">
            <v>91331</v>
          </cell>
          <cell r="B156" t="str">
            <v>CITY OF KANNAPOLIS</v>
          </cell>
          <cell r="C156">
            <v>3.0000000000000001E-3</v>
          </cell>
          <cell r="D156">
            <v>3.0033E-3</v>
          </cell>
          <cell r="E156">
            <v>7117026</v>
          </cell>
          <cell r="F156" t="str">
            <v xml:space="preserve"> </v>
          </cell>
          <cell r="G156">
            <v>1097988</v>
          </cell>
          <cell r="H156">
            <v>976956</v>
          </cell>
          <cell r="I156">
            <v>1888584</v>
          </cell>
          <cell r="J156">
            <v>0</v>
          </cell>
          <cell r="K156">
            <v>3963528</v>
          </cell>
          <cell r="L156"/>
          <cell r="M156">
            <v>36843</v>
          </cell>
          <cell r="N156">
            <v>0</v>
          </cell>
          <cell r="O156">
            <v>309037</v>
          </cell>
          <cell r="P156">
            <v>345880</v>
          </cell>
          <cell r="Q156"/>
          <cell r="R156">
            <v>1976919</v>
          </cell>
          <cell r="S156">
            <v>-211269</v>
          </cell>
          <cell r="T156">
            <v>1765650</v>
          </cell>
        </row>
        <row r="157">
          <cell r="A157">
            <v>91341</v>
          </cell>
          <cell r="B157" t="str">
            <v xml:space="preserve"> MIDLAND</v>
          </cell>
          <cell r="C157">
            <v>2.44E-5</v>
          </cell>
          <cell r="D157">
            <v>2.51E-5</v>
          </cell>
          <cell r="E157">
            <v>57885</v>
          </cell>
          <cell r="F157" t="str">
            <v xml:space="preserve"> </v>
          </cell>
          <cell r="G157">
            <v>8930</v>
          </cell>
          <cell r="H157">
            <v>7946</v>
          </cell>
          <cell r="I157">
            <v>15360</v>
          </cell>
          <cell r="J157">
            <v>5509</v>
          </cell>
          <cell r="K157">
            <v>37745</v>
          </cell>
          <cell r="L157"/>
          <cell r="M157">
            <v>300</v>
          </cell>
          <cell r="N157">
            <v>0</v>
          </cell>
          <cell r="O157">
            <v>1144</v>
          </cell>
          <cell r="P157">
            <v>1444</v>
          </cell>
          <cell r="Q157"/>
          <cell r="R157">
            <v>16079</v>
          </cell>
          <cell r="S157">
            <v>1311</v>
          </cell>
          <cell r="T157">
            <v>17390</v>
          </cell>
        </row>
        <row r="158">
          <cell r="A158">
            <v>91401</v>
          </cell>
          <cell r="B158" t="str">
            <v>CALDWELL COUNTY</v>
          </cell>
          <cell r="C158">
            <v>3.5492000000000002E-3</v>
          </cell>
          <cell r="D158">
            <v>3.5885000000000001E-3</v>
          </cell>
          <cell r="E158">
            <v>8419916</v>
          </cell>
          <cell r="F158" t="str">
            <v xml:space="preserve"> </v>
          </cell>
          <cell r="G158">
            <v>1298993</v>
          </cell>
          <cell r="H158">
            <v>1155804</v>
          </cell>
          <cell r="I158">
            <v>2234321</v>
          </cell>
          <cell r="J158">
            <v>4118</v>
          </cell>
          <cell r="K158">
            <v>4693236</v>
          </cell>
          <cell r="L158"/>
          <cell r="M158">
            <v>43588</v>
          </cell>
          <cell r="N158">
            <v>0</v>
          </cell>
          <cell r="O158">
            <v>191268</v>
          </cell>
          <cell r="P158">
            <v>234856</v>
          </cell>
          <cell r="Q158"/>
          <cell r="R158">
            <v>2338827</v>
          </cell>
          <cell r="S158">
            <v>-44473</v>
          </cell>
          <cell r="T158">
            <v>2294354</v>
          </cell>
        </row>
        <row r="159">
          <cell r="A159">
            <v>91411</v>
          </cell>
          <cell r="B159" t="str">
            <v xml:space="preserve"> GRANITE FALLS</v>
          </cell>
          <cell r="C159">
            <v>3.8479999999999997E-4</v>
          </cell>
          <cell r="D159">
            <v>3.7829999999999998E-4</v>
          </cell>
          <cell r="E159">
            <v>912877</v>
          </cell>
          <cell r="F159" t="str">
            <v xml:space="preserve"> </v>
          </cell>
          <cell r="G159">
            <v>140835</v>
          </cell>
          <cell r="H159">
            <v>125311</v>
          </cell>
          <cell r="I159">
            <v>242242</v>
          </cell>
          <cell r="J159">
            <v>20796</v>
          </cell>
          <cell r="K159">
            <v>529184</v>
          </cell>
          <cell r="L159"/>
          <cell r="M159">
            <v>4726</v>
          </cell>
          <cell r="N159">
            <v>0</v>
          </cell>
          <cell r="O159">
            <v>0</v>
          </cell>
          <cell r="P159">
            <v>4726</v>
          </cell>
          <cell r="Q159"/>
          <cell r="R159">
            <v>253573</v>
          </cell>
          <cell r="S159">
            <v>8126</v>
          </cell>
          <cell r="T159">
            <v>261699</v>
          </cell>
        </row>
        <row r="160">
          <cell r="A160">
            <v>91417</v>
          </cell>
          <cell r="B160" t="str">
            <v>GRANITE FALLS ABC BOARD</v>
          </cell>
          <cell r="C160">
            <v>8.3999999999999992E-6</v>
          </cell>
          <cell r="D160">
            <v>9.3000000000000007E-6</v>
          </cell>
          <cell r="E160">
            <v>19928</v>
          </cell>
          <cell r="F160" t="str">
            <v xml:space="preserve"> </v>
          </cell>
          <cell r="G160">
            <v>3074</v>
          </cell>
          <cell r="H160">
            <v>2735</v>
          </cell>
          <cell r="I160">
            <v>5288</v>
          </cell>
          <cell r="J160">
            <v>1077</v>
          </cell>
          <cell r="K160">
            <v>12174</v>
          </cell>
          <cell r="L160"/>
          <cell r="M160">
            <v>103</v>
          </cell>
          <cell r="N160">
            <v>0</v>
          </cell>
          <cell r="O160">
            <v>0</v>
          </cell>
          <cell r="P160">
            <v>103</v>
          </cell>
          <cell r="Q160"/>
          <cell r="R160">
            <v>5535</v>
          </cell>
          <cell r="S160">
            <v>1921</v>
          </cell>
          <cell r="T160">
            <v>7456</v>
          </cell>
        </row>
        <row r="161">
          <cell r="A161">
            <v>91421</v>
          </cell>
          <cell r="B161" t="str">
            <v xml:space="preserve"> SAWMILLS</v>
          </cell>
          <cell r="C161">
            <v>7.2299999999999996E-5</v>
          </cell>
          <cell r="D161">
            <v>6.9499999999999995E-5</v>
          </cell>
          <cell r="E161">
            <v>171520</v>
          </cell>
          <cell r="F161" t="str">
            <v xml:space="preserve"> </v>
          </cell>
          <cell r="G161">
            <v>26462</v>
          </cell>
          <cell r="H161">
            <v>23545</v>
          </cell>
          <cell r="I161">
            <v>45515</v>
          </cell>
          <cell r="J161">
            <v>7066</v>
          </cell>
          <cell r="K161">
            <v>102588</v>
          </cell>
          <cell r="L161"/>
          <cell r="M161">
            <v>888</v>
          </cell>
          <cell r="N161">
            <v>0</v>
          </cell>
          <cell r="O161">
            <v>1453</v>
          </cell>
          <cell r="P161">
            <v>2341</v>
          </cell>
          <cell r="Q161"/>
          <cell r="R161">
            <v>47644</v>
          </cell>
          <cell r="S161">
            <v>1546</v>
          </cell>
          <cell r="T161">
            <v>49190</v>
          </cell>
        </row>
        <row r="162">
          <cell r="A162">
            <v>91423</v>
          </cell>
          <cell r="B162" t="str">
            <v>LENOIR HOUSING AUTHORITY</v>
          </cell>
          <cell r="C162">
            <v>4.88E-5</v>
          </cell>
          <cell r="D162">
            <v>5.38E-5</v>
          </cell>
          <cell r="E162">
            <v>115770</v>
          </cell>
          <cell r="F162" t="str">
            <v xml:space="preserve"> </v>
          </cell>
          <cell r="G162">
            <v>17861</v>
          </cell>
          <cell r="H162">
            <v>15892</v>
          </cell>
          <cell r="I162">
            <v>30721</v>
          </cell>
          <cell r="J162">
            <v>8202</v>
          </cell>
          <cell r="K162">
            <v>72676</v>
          </cell>
          <cell r="L162"/>
          <cell r="M162">
            <v>599</v>
          </cell>
          <cell r="N162">
            <v>0</v>
          </cell>
          <cell r="O162">
            <v>6851</v>
          </cell>
          <cell r="P162">
            <v>7450</v>
          </cell>
          <cell r="Q162"/>
          <cell r="R162">
            <v>32158</v>
          </cell>
          <cell r="S162">
            <v>1514</v>
          </cell>
          <cell r="T162">
            <v>33672</v>
          </cell>
        </row>
        <row r="163">
          <cell r="A163">
            <v>91431</v>
          </cell>
          <cell r="B163" t="str">
            <v xml:space="preserve"> HUDSON</v>
          </cell>
          <cell r="C163">
            <v>1.6229999999999999E-4</v>
          </cell>
          <cell r="D163">
            <v>1.562E-4</v>
          </cell>
          <cell r="E163">
            <v>385031</v>
          </cell>
          <cell r="F163" t="str">
            <v xml:space="preserve"> </v>
          </cell>
          <cell r="G163">
            <v>59401</v>
          </cell>
          <cell r="H163">
            <v>52853</v>
          </cell>
          <cell r="I163">
            <v>102172</v>
          </cell>
          <cell r="J163">
            <v>24735</v>
          </cell>
          <cell r="K163">
            <v>239161</v>
          </cell>
          <cell r="L163"/>
          <cell r="M163">
            <v>1993</v>
          </cell>
          <cell r="N163">
            <v>0</v>
          </cell>
          <cell r="O163">
            <v>1035</v>
          </cell>
          <cell r="P163">
            <v>3028</v>
          </cell>
          <cell r="Q163"/>
          <cell r="R163">
            <v>106951</v>
          </cell>
          <cell r="S163">
            <v>6979</v>
          </cell>
          <cell r="T163">
            <v>113930</v>
          </cell>
        </row>
        <row r="164">
          <cell r="A164">
            <v>91441</v>
          </cell>
          <cell r="B164" t="str">
            <v xml:space="preserve"> HARRISBURG</v>
          </cell>
          <cell r="C164">
            <v>9.4680000000000003E-4</v>
          </cell>
          <cell r="D164">
            <v>9.5140000000000003E-4</v>
          </cell>
          <cell r="E164">
            <v>2246133</v>
          </cell>
          <cell r="F164" t="str">
            <v xml:space="preserve"> </v>
          </cell>
          <cell r="G164">
            <v>346525</v>
          </cell>
          <cell r="H164">
            <v>308327</v>
          </cell>
          <cell r="I164">
            <v>596037</v>
          </cell>
          <cell r="J164">
            <v>35215</v>
          </cell>
          <cell r="K164">
            <v>1286104</v>
          </cell>
          <cell r="L164"/>
          <cell r="M164">
            <v>11628</v>
          </cell>
          <cell r="N164">
            <v>0</v>
          </cell>
          <cell r="O164">
            <v>145358</v>
          </cell>
          <cell r="P164">
            <v>156986</v>
          </cell>
          <cell r="Q164"/>
          <cell r="R164">
            <v>623916</v>
          </cell>
          <cell r="S164">
            <v>-63164</v>
          </cell>
          <cell r="T164">
            <v>560752</v>
          </cell>
        </row>
        <row r="165">
          <cell r="A165">
            <v>91451</v>
          </cell>
          <cell r="B165" t="str">
            <v>CITY OF LENOIR</v>
          </cell>
          <cell r="C165">
            <v>1.4832000000000001E-3</v>
          </cell>
          <cell r="D165">
            <v>1.4760000000000001E-3</v>
          </cell>
          <cell r="E165">
            <v>3518658</v>
          </cell>
          <cell r="F165" t="str">
            <v xml:space="preserve"> </v>
          </cell>
          <cell r="G165">
            <v>542845</v>
          </cell>
          <cell r="H165">
            <v>483007</v>
          </cell>
          <cell r="I165">
            <v>933716</v>
          </cell>
          <cell r="J165">
            <v>0</v>
          </cell>
          <cell r="K165">
            <v>1959568</v>
          </cell>
          <cell r="L165"/>
          <cell r="M165">
            <v>18215</v>
          </cell>
          <cell r="N165">
            <v>0</v>
          </cell>
          <cell r="O165">
            <v>115272</v>
          </cell>
          <cell r="P165">
            <v>133487</v>
          </cell>
          <cell r="Q165"/>
          <cell r="R165">
            <v>977389</v>
          </cell>
          <cell r="S165">
            <v>-84871</v>
          </cell>
          <cell r="T165">
            <v>892518</v>
          </cell>
        </row>
        <row r="166">
          <cell r="A166">
            <v>91457</v>
          </cell>
          <cell r="B166" t="str">
            <v>CITY OF LENOIR ABC BRD</v>
          </cell>
          <cell r="C166">
            <v>2.2099999999999998E-5</v>
          </cell>
          <cell r="D166">
            <v>2.23E-5</v>
          </cell>
          <cell r="E166">
            <v>52429</v>
          </cell>
          <cell r="F166" t="str">
            <v xml:space="preserve"> </v>
          </cell>
          <cell r="G166">
            <v>8089</v>
          </cell>
          <cell r="H166">
            <v>7197</v>
          </cell>
          <cell r="I166">
            <v>13913</v>
          </cell>
          <cell r="J166">
            <v>34989</v>
          </cell>
          <cell r="K166">
            <v>64188</v>
          </cell>
          <cell r="L166"/>
          <cell r="M166">
            <v>271</v>
          </cell>
          <cell r="N166">
            <v>0</v>
          </cell>
          <cell r="O166">
            <v>0</v>
          </cell>
          <cell r="P166">
            <v>271</v>
          </cell>
          <cell r="Q166"/>
          <cell r="R166">
            <v>14563</v>
          </cell>
          <cell r="S166">
            <v>14690</v>
          </cell>
          <cell r="T166">
            <v>29253</v>
          </cell>
        </row>
        <row r="167">
          <cell r="A167">
            <v>91461</v>
          </cell>
          <cell r="B167" t="str">
            <v xml:space="preserve"> CAJAH'S MOUNTAIN</v>
          </cell>
          <cell r="C167">
            <v>9.5999999999999996E-6</v>
          </cell>
          <cell r="D167">
            <v>9.3999999999999998E-6</v>
          </cell>
          <cell r="E167">
            <v>22774</v>
          </cell>
          <cell r="F167" t="str">
            <v xml:space="preserve"> </v>
          </cell>
          <cell r="G167">
            <v>3514</v>
          </cell>
          <cell r="H167">
            <v>3126</v>
          </cell>
          <cell r="I167">
            <v>6043</v>
          </cell>
          <cell r="J167">
            <v>951</v>
          </cell>
          <cell r="K167">
            <v>13634</v>
          </cell>
          <cell r="L167"/>
          <cell r="M167">
            <v>118</v>
          </cell>
          <cell r="N167">
            <v>0</v>
          </cell>
          <cell r="O167">
            <v>1594</v>
          </cell>
          <cell r="P167">
            <v>1712</v>
          </cell>
          <cell r="Q167"/>
          <cell r="R167">
            <v>6326</v>
          </cell>
          <cell r="S167">
            <v>664</v>
          </cell>
          <cell r="T167">
            <v>6990</v>
          </cell>
        </row>
        <row r="168">
          <cell r="A168">
            <v>91501</v>
          </cell>
          <cell r="B168" t="str">
            <v>CAMDEN COUNTY</v>
          </cell>
          <cell r="C168">
            <v>4.6460000000000002E-4</v>
          </cell>
          <cell r="D168">
            <v>4.9700000000000005E-4</v>
          </cell>
          <cell r="E168">
            <v>1102190</v>
          </cell>
          <cell r="F168" t="str">
            <v xml:space="preserve"> </v>
          </cell>
          <cell r="G168">
            <v>170042</v>
          </cell>
          <cell r="H168">
            <v>151298</v>
          </cell>
          <cell r="I168">
            <v>292479</v>
          </cell>
          <cell r="J168">
            <v>7231</v>
          </cell>
          <cell r="K168">
            <v>621050</v>
          </cell>
          <cell r="L168"/>
          <cell r="M168">
            <v>5706</v>
          </cell>
          <cell r="N168">
            <v>0</v>
          </cell>
          <cell r="O168">
            <v>20696</v>
          </cell>
          <cell r="P168">
            <v>26402</v>
          </cell>
          <cell r="Q168"/>
          <cell r="R168">
            <v>306159</v>
          </cell>
          <cell r="S168">
            <v>11595</v>
          </cell>
          <cell r="T168">
            <v>317754</v>
          </cell>
        </row>
        <row r="169">
          <cell r="A169">
            <v>91504</v>
          </cell>
          <cell r="B169" t="str">
            <v>CAMDEN COUNTY ABC BOARD</v>
          </cell>
          <cell r="C169">
            <v>9.7999999999999993E-6</v>
          </cell>
          <cell r="D169">
            <v>9.7000000000000003E-6</v>
          </cell>
          <cell r="E169">
            <v>23249</v>
          </cell>
          <cell r="F169" t="str">
            <v xml:space="preserve"> </v>
          </cell>
          <cell r="G169">
            <v>3587</v>
          </cell>
          <cell r="H169">
            <v>3191</v>
          </cell>
          <cell r="I169">
            <v>6169</v>
          </cell>
          <cell r="J169">
            <v>4807</v>
          </cell>
          <cell r="K169">
            <v>17754</v>
          </cell>
          <cell r="L169"/>
          <cell r="M169">
            <v>120</v>
          </cell>
          <cell r="N169">
            <v>0</v>
          </cell>
          <cell r="O169">
            <v>0</v>
          </cell>
          <cell r="P169">
            <v>120</v>
          </cell>
          <cell r="Q169"/>
          <cell r="R169">
            <v>6458</v>
          </cell>
          <cell r="S169">
            <v>3045</v>
          </cell>
          <cell r="T169">
            <v>9503</v>
          </cell>
        </row>
        <row r="170">
          <cell r="A170">
            <v>91601</v>
          </cell>
          <cell r="B170" t="str">
            <v>CARTERET COUNTY</v>
          </cell>
          <cell r="C170">
            <v>2.7648E-3</v>
          </cell>
          <cell r="D170">
            <v>2.8040000000000001E-3</v>
          </cell>
          <cell r="E170">
            <v>6559051</v>
          </cell>
          <cell r="F170" t="str">
            <v xml:space="preserve"> </v>
          </cell>
          <cell r="G170">
            <v>1011906</v>
          </cell>
          <cell r="H170">
            <v>900363</v>
          </cell>
          <cell r="I170">
            <v>1740519</v>
          </cell>
          <cell r="J170">
            <v>84439</v>
          </cell>
          <cell r="K170">
            <v>3737227</v>
          </cell>
          <cell r="L170"/>
          <cell r="M170">
            <v>33955</v>
          </cell>
          <cell r="N170">
            <v>0</v>
          </cell>
          <cell r="O170">
            <v>30275</v>
          </cell>
          <cell r="P170">
            <v>64230</v>
          </cell>
          <cell r="Q170"/>
          <cell r="R170">
            <v>1821929</v>
          </cell>
          <cell r="S170">
            <v>76277</v>
          </cell>
          <cell r="T170">
            <v>1898206</v>
          </cell>
        </row>
        <row r="171">
          <cell r="A171">
            <v>91604</v>
          </cell>
          <cell r="B171" t="str">
            <v>CARTERET COUNTY ABC BOARD</v>
          </cell>
          <cell r="C171">
            <v>8.5000000000000006E-5</v>
          </cell>
          <cell r="D171">
            <v>8.8499999999999996E-5</v>
          </cell>
          <cell r="E171">
            <v>201649</v>
          </cell>
          <cell r="F171" t="str">
            <v xml:space="preserve"> </v>
          </cell>
          <cell r="G171">
            <v>31110</v>
          </cell>
          <cell r="H171">
            <v>27680</v>
          </cell>
          <cell r="I171">
            <v>53510</v>
          </cell>
          <cell r="J171">
            <v>22196</v>
          </cell>
          <cell r="K171">
            <v>134496</v>
          </cell>
          <cell r="L171"/>
          <cell r="M171">
            <v>1044</v>
          </cell>
          <cell r="N171">
            <v>0</v>
          </cell>
          <cell r="O171">
            <v>0</v>
          </cell>
          <cell r="P171">
            <v>1044</v>
          </cell>
          <cell r="Q171"/>
          <cell r="R171">
            <v>56013</v>
          </cell>
          <cell r="S171">
            <v>9895</v>
          </cell>
          <cell r="T171">
            <v>65908</v>
          </cell>
        </row>
        <row r="172">
          <cell r="A172">
            <v>91608</v>
          </cell>
          <cell r="B172" t="str">
            <v>WESTERN CARTERET INTERLOCAL COOPERATION AGENCY</v>
          </cell>
          <cell r="C172">
            <v>1.5909999999999999E-4</v>
          </cell>
          <cell r="D172">
            <v>1.5349999999999999E-4</v>
          </cell>
          <cell r="E172">
            <v>377440</v>
          </cell>
          <cell r="F172" t="str">
            <v xml:space="preserve"> </v>
          </cell>
          <cell r="G172">
            <v>58230</v>
          </cell>
          <cell r="H172">
            <v>51811</v>
          </cell>
          <cell r="I172">
            <v>100158</v>
          </cell>
          <cell r="J172">
            <v>1169</v>
          </cell>
          <cell r="K172">
            <v>211368</v>
          </cell>
          <cell r="L172"/>
          <cell r="M172">
            <v>1954</v>
          </cell>
          <cell r="N172">
            <v>0</v>
          </cell>
          <cell r="O172">
            <v>30984</v>
          </cell>
          <cell r="P172">
            <v>32938</v>
          </cell>
          <cell r="Q172"/>
          <cell r="R172">
            <v>104843</v>
          </cell>
          <cell r="S172">
            <v>-16992</v>
          </cell>
          <cell r="T172">
            <v>87851</v>
          </cell>
        </row>
        <row r="173">
          <cell r="A173">
            <v>91611</v>
          </cell>
          <cell r="B173" t="str">
            <v xml:space="preserve"> MOREHEAD CITY</v>
          </cell>
          <cell r="C173">
            <v>1.4744000000000001E-3</v>
          </cell>
          <cell r="D173">
            <v>1.4708E-3</v>
          </cell>
          <cell r="E173">
            <v>3497781</v>
          </cell>
          <cell r="F173" t="str">
            <v xml:space="preserve"> </v>
          </cell>
          <cell r="G173">
            <v>539625</v>
          </cell>
          <cell r="H173">
            <v>480141</v>
          </cell>
          <cell r="I173">
            <v>928176</v>
          </cell>
          <cell r="J173">
            <v>2046</v>
          </cell>
          <cell r="K173">
            <v>1949988</v>
          </cell>
          <cell r="L173"/>
          <cell r="M173">
            <v>18107</v>
          </cell>
          <cell r="N173">
            <v>0</v>
          </cell>
          <cell r="O173">
            <v>121302</v>
          </cell>
          <cell r="P173">
            <v>139409</v>
          </cell>
          <cell r="Q173"/>
          <cell r="R173">
            <v>971590</v>
          </cell>
          <cell r="S173">
            <v>-18398</v>
          </cell>
          <cell r="T173">
            <v>953192</v>
          </cell>
        </row>
        <row r="174">
          <cell r="A174">
            <v>91621</v>
          </cell>
          <cell r="B174" t="str">
            <v xml:space="preserve"> NEWPORT</v>
          </cell>
          <cell r="C174">
            <v>2.6800000000000001E-4</v>
          </cell>
          <cell r="D174">
            <v>2.7050000000000002E-4</v>
          </cell>
          <cell r="E174">
            <v>635788</v>
          </cell>
          <cell r="F174" t="str">
            <v xml:space="preserve"> </v>
          </cell>
          <cell r="G174">
            <v>98087</v>
          </cell>
          <cell r="H174">
            <v>87275</v>
          </cell>
          <cell r="I174">
            <v>168714</v>
          </cell>
          <cell r="J174">
            <v>5973</v>
          </cell>
          <cell r="K174">
            <v>360049</v>
          </cell>
          <cell r="L174"/>
          <cell r="M174">
            <v>3291</v>
          </cell>
          <cell r="N174">
            <v>0</v>
          </cell>
          <cell r="O174">
            <v>10529</v>
          </cell>
          <cell r="P174">
            <v>13820</v>
          </cell>
          <cell r="Q174"/>
          <cell r="R174">
            <v>176605</v>
          </cell>
          <cell r="S174">
            <v>-5908</v>
          </cell>
          <cell r="T174">
            <v>170697</v>
          </cell>
        </row>
        <row r="175">
          <cell r="A175">
            <v>91631</v>
          </cell>
          <cell r="B175" t="str">
            <v xml:space="preserve"> BEAUFORT</v>
          </cell>
          <cell r="C175">
            <v>5.509E-4</v>
          </cell>
          <cell r="D175">
            <v>5.2249999999999996E-4</v>
          </cell>
          <cell r="E175">
            <v>1306923</v>
          </cell>
          <cell r="F175" t="str">
            <v xml:space="preserve"> </v>
          </cell>
          <cell r="G175">
            <v>201627</v>
          </cell>
          <cell r="H175">
            <v>179401</v>
          </cell>
          <cell r="I175">
            <v>346807</v>
          </cell>
          <cell r="J175">
            <v>0</v>
          </cell>
          <cell r="K175">
            <v>727835</v>
          </cell>
          <cell r="L175"/>
          <cell r="M175">
            <v>6766</v>
          </cell>
          <cell r="N175">
            <v>0</v>
          </cell>
          <cell r="O175">
            <v>39359</v>
          </cell>
          <cell r="P175">
            <v>46125</v>
          </cell>
          <cell r="Q175"/>
          <cell r="R175">
            <v>363028</v>
          </cell>
          <cell r="S175">
            <v>-17688</v>
          </cell>
          <cell r="T175">
            <v>345340</v>
          </cell>
        </row>
        <row r="176">
          <cell r="A176">
            <v>91633</v>
          </cell>
          <cell r="B176" t="str">
            <v>BEAUFORT HOUSING AUTHORITY</v>
          </cell>
          <cell r="C176">
            <v>1.8600000000000001E-5</v>
          </cell>
          <cell r="D176">
            <v>2.51E-5</v>
          </cell>
          <cell r="E176">
            <v>44126</v>
          </cell>
          <cell r="F176" t="str">
            <v xml:space="preserve"> </v>
          </cell>
          <cell r="G176">
            <v>6808</v>
          </cell>
          <cell r="H176">
            <v>6058</v>
          </cell>
          <cell r="I176">
            <v>11709</v>
          </cell>
          <cell r="J176">
            <v>1031</v>
          </cell>
          <cell r="K176">
            <v>25606</v>
          </cell>
          <cell r="L176"/>
          <cell r="M176">
            <v>228</v>
          </cell>
          <cell r="N176">
            <v>0</v>
          </cell>
          <cell r="O176">
            <v>5120</v>
          </cell>
          <cell r="P176">
            <v>5348</v>
          </cell>
          <cell r="Q176"/>
          <cell r="R176">
            <v>12257</v>
          </cell>
          <cell r="S176">
            <v>-2305</v>
          </cell>
          <cell r="T176">
            <v>9952</v>
          </cell>
        </row>
        <row r="177">
          <cell r="A177">
            <v>91641</v>
          </cell>
          <cell r="B177" t="str">
            <v xml:space="preserve"> PINE KNOLL SHORES</v>
          </cell>
          <cell r="C177">
            <v>2.652E-4</v>
          </cell>
          <cell r="D177">
            <v>3.1139999999999998E-4</v>
          </cell>
          <cell r="E177">
            <v>629145</v>
          </cell>
          <cell r="F177" t="str">
            <v xml:space="preserve"> </v>
          </cell>
          <cell r="G177">
            <v>97062</v>
          </cell>
          <cell r="H177">
            <v>86363</v>
          </cell>
          <cell r="I177">
            <v>166951</v>
          </cell>
          <cell r="J177">
            <v>0</v>
          </cell>
          <cell r="K177">
            <v>350376</v>
          </cell>
          <cell r="L177"/>
          <cell r="M177">
            <v>3257</v>
          </cell>
          <cell r="N177">
            <v>0</v>
          </cell>
          <cell r="O177">
            <v>74135</v>
          </cell>
          <cell r="P177">
            <v>77392</v>
          </cell>
          <cell r="Q177"/>
          <cell r="R177">
            <v>174760</v>
          </cell>
          <cell r="S177">
            <v>-37016</v>
          </cell>
          <cell r="T177">
            <v>137744</v>
          </cell>
        </row>
        <row r="178">
          <cell r="A178">
            <v>91651</v>
          </cell>
          <cell r="B178" t="str">
            <v xml:space="preserve"> EMERALD ISLE</v>
          </cell>
          <cell r="C178">
            <v>4.73E-4</v>
          </cell>
          <cell r="D178">
            <v>4.4440000000000001E-4</v>
          </cell>
          <cell r="E178">
            <v>1122118</v>
          </cell>
          <cell r="F178" t="str">
            <v xml:space="preserve"> </v>
          </cell>
          <cell r="G178">
            <v>173116</v>
          </cell>
          <cell r="H178">
            <v>154033</v>
          </cell>
          <cell r="I178">
            <v>297767</v>
          </cell>
          <cell r="J178">
            <v>25871</v>
          </cell>
          <cell r="K178">
            <v>650787</v>
          </cell>
          <cell r="L178"/>
          <cell r="M178">
            <v>5809</v>
          </cell>
          <cell r="N178">
            <v>0</v>
          </cell>
          <cell r="O178">
            <v>18310</v>
          </cell>
          <cell r="P178">
            <v>24119</v>
          </cell>
          <cell r="Q178"/>
          <cell r="R178">
            <v>311694</v>
          </cell>
          <cell r="S178">
            <v>-5917</v>
          </cell>
          <cell r="T178">
            <v>305777</v>
          </cell>
        </row>
        <row r="179">
          <cell r="A179">
            <v>91661</v>
          </cell>
          <cell r="B179" t="str">
            <v xml:space="preserve"> INDIAN BEACH</v>
          </cell>
          <cell r="C179">
            <v>1.8259999999999999E-4</v>
          </cell>
          <cell r="D179">
            <v>1.673E-4</v>
          </cell>
          <cell r="E179">
            <v>433190</v>
          </cell>
          <cell r="F179" t="str">
            <v xml:space="preserve"> </v>
          </cell>
          <cell r="G179">
            <v>66831</v>
          </cell>
          <cell r="H179">
            <v>59464</v>
          </cell>
          <cell r="I179">
            <v>114952</v>
          </cell>
          <cell r="J179">
            <v>0</v>
          </cell>
          <cell r="K179">
            <v>241247</v>
          </cell>
          <cell r="L179"/>
          <cell r="M179">
            <v>2243</v>
          </cell>
          <cell r="N179">
            <v>0</v>
          </cell>
          <cell r="O179">
            <v>36351</v>
          </cell>
          <cell r="P179">
            <v>38594</v>
          </cell>
          <cell r="Q179"/>
          <cell r="R179">
            <v>120328</v>
          </cell>
          <cell r="S179">
            <v>-17938</v>
          </cell>
          <cell r="T179">
            <v>102390</v>
          </cell>
        </row>
        <row r="180">
          <cell r="A180">
            <v>91671</v>
          </cell>
          <cell r="B180" t="str">
            <v xml:space="preserve"> CAPE CARTERET</v>
          </cell>
          <cell r="C180">
            <v>1.132E-4</v>
          </cell>
          <cell r="D180">
            <v>9.6700000000000006E-5</v>
          </cell>
          <cell r="E180">
            <v>268549</v>
          </cell>
          <cell r="F180" t="str">
            <v xml:space="preserve"> </v>
          </cell>
          <cell r="G180">
            <v>41431</v>
          </cell>
          <cell r="H180">
            <v>36864</v>
          </cell>
          <cell r="I180">
            <v>71263</v>
          </cell>
          <cell r="J180">
            <v>10756</v>
          </cell>
          <cell r="K180">
            <v>160314</v>
          </cell>
          <cell r="L180"/>
          <cell r="M180">
            <v>1390</v>
          </cell>
          <cell r="N180">
            <v>0</v>
          </cell>
          <cell r="O180">
            <v>898</v>
          </cell>
          <cell r="P180">
            <v>2288</v>
          </cell>
          <cell r="Q180"/>
          <cell r="R180">
            <v>74596</v>
          </cell>
          <cell r="S180">
            <v>7037</v>
          </cell>
          <cell r="T180">
            <v>81633</v>
          </cell>
        </row>
        <row r="181">
          <cell r="A181">
            <v>91681</v>
          </cell>
          <cell r="B181" t="str">
            <v xml:space="preserve"> ATLANTIC BEACH</v>
          </cell>
          <cell r="C181">
            <v>4.6460000000000002E-4</v>
          </cell>
          <cell r="D181">
            <v>4.728E-4</v>
          </cell>
          <cell r="E181">
            <v>1102190</v>
          </cell>
          <cell r="F181" t="str">
            <v xml:space="preserve"> </v>
          </cell>
          <cell r="G181">
            <v>170042</v>
          </cell>
          <cell r="H181">
            <v>151298</v>
          </cell>
          <cell r="I181">
            <v>292479</v>
          </cell>
          <cell r="J181">
            <v>312404</v>
          </cell>
          <cell r="K181">
            <v>926223</v>
          </cell>
          <cell r="L181"/>
          <cell r="M181">
            <v>5706</v>
          </cell>
          <cell r="N181">
            <v>0</v>
          </cell>
          <cell r="O181">
            <v>0</v>
          </cell>
          <cell r="P181">
            <v>5706</v>
          </cell>
          <cell r="Q181"/>
          <cell r="R181">
            <v>306159</v>
          </cell>
          <cell r="S181">
            <v>122769</v>
          </cell>
          <cell r="T181">
            <v>428928</v>
          </cell>
        </row>
        <row r="182">
          <cell r="A182">
            <v>91691</v>
          </cell>
          <cell r="B182" t="str">
            <v xml:space="preserve"> CEDAR POINT</v>
          </cell>
          <cell r="C182">
            <v>2.26E-5</v>
          </cell>
          <cell r="D182">
            <v>2.3200000000000001E-5</v>
          </cell>
          <cell r="E182">
            <v>53615</v>
          </cell>
          <cell r="F182" t="str">
            <v xml:space="preserve"> </v>
          </cell>
          <cell r="G182">
            <v>8272</v>
          </cell>
          <cell r="H182">
            <v>7360</v>
          </cell>
          <cell r="I182">
            <v>14227</v>
          </cell>
          <cell r="J182">
            <v>1115</v>
          </cell>
          <cell r="K182">
            <v>30974</v>
          </cell>
          <cell r="L182"/>
          <cell r="M182">
            <v>278</v>
          </cell>
          <cell r="N182">
            <v>0</v>
          </cell>
          <cell r="O182">
            <v>1387</v>
          </cell>
          <cell r="P182">
            <v>1665</v>
          </cell>
          <cell r="Q182"/>
          <cell r="R182">
            <v>14893</v>
          </cell>
          <cell r="S182">
            <v>30</v>
          </cell>
          <cell r="T182">
            <v>14923</v>
          </cell>
        </row>
        <row r="183">
          <cell r="A183">
            <v>91701</v>
          </cell>
          <cell r="B183" t="str">
            <v>CASWELL COUNTY</v>
          </cell>
          <cell r="C183">
            <v>1.2348999999999999E-3</v>
          </cell>
          <cell r="D183">
            <v>1.2451999999999999E-3</v>
          </cell>
          <cell r="E183">
            <v>2929605</v>
          </cell>
          <cell r="F183" t="str">
            <v xml:space="preserve"> </v>
          </cell>
          <cell r="G183">
            <v>451968</v>
          </cell>
          <cell r="H183">
            <v>402148</v>
          </cell>
          <cell r="I183">
            <v>777404</v>
          </cell>
          <cell r="J183">
            <v>70220</v>
          </cell>
          <cell r="K183">
            <v>1701740</v>
          </cell>
          <cell r="L183"/>
          <cell r="M183">
            <v>15166</v>
          </cell>
          <cell r="N183">
            <v>0</v>
          </cell>
          <cell r="O183">
            <v>39266</v>
          </cell>
          <cell r="P183">
            <v>54432</v>
          </cell>
          <cell r="Q183"/>
          <cell r="R183">
            <v>813766</v>
          </cell>
          <cell r="S183">
            <v>8978</v>
          </cell>
          <cell r="T183">
            <v>822744</v>
          </cell>
        </row>
        <row r="184">
          <cell r="A184">
            <v>91704</v>
          </cell>
          <cell r="B184" t="str">
            <v>CASWELL COUNTY ABC BOARD</v>
          </cell>
          <cell r="C184">
            <v>1.73E-5</v>
          </cell>
          <cell r="D184">
            <v>1.73E-5</v>
          </cell>
          <cell r="E184">
            <v>41042</v>
          </cell>
          <cell r="F184" t="str">
            <v xml:space="preserve"> </v>
          </cell>
          <cell r="G184">
            <v>6332</v>
          </cell>
          <cell r="H184">
            <v>5634</v>
          </cell>
          <cell r="I184">
            <v>10891</v>
          </cell>
          <cell r="J184">
            <v>560</v>
          </cell>
          <cell r="K184">
            <v>23417</v>
          </cell>
          <cell r="L184"/>
          <cell r="M184">
            <v>212</v>
          </cell>
          <cell r="N184">
            <v>0</v>
          </cell>
          <cell r="O184">
            <v>0</v>
          </cell>
          <cell r="P184">
            <v>212</v>
          </cell>
          <cell r="Q184"/>
          <cell r="R184">
            <v>11400</v>
          </cell>
          <cell r="S184">
            <v>666</v>
          </cell>
          <cell r="T184">
            <v>12066</v>
          </cell>
        </row>
        <row r="185">
          <cell r="A185">
            <v>91706</v>
          </cell>
          <cell r="B185" t="str">
            <v>CASWELL CO DEPT OF SOCIAL SERVICES</v>
          </cell>
          <cell r="C185">
            <v>2.2139999999999999E-4</v>
          </cell>
          <cell r="D185">
            <v>2.4340000000000001E-4</v>
          </cell>
          <cell r="E185">
            <v>525237</v>
          </cell>
          <cell r="F185" t="str">
            <v xml:space="preserve"> </v>
          </cell>
          <cell r="G185">
            <v>81032</v>
          </cell>
          <cell r="H185">
            <v>72099</v>
          </cell>
          <cell r="I185">
            <v>139377</v>
          </cell>
          <cell r="J185">
            <v>37061</v>
          </cell>
          <cell r="K185">
            <v>329569</v>
          </cell>
          <cell r="L185"/>
          <cell r="M185">
            <v>2719</v>
          </cell>
          <cell r="N185">
            <v>0</v>
          </cell>
          <cell r="O185">
            <v>1775</v>
          </cell>
          <cell r="P185">
            <v>4494</v>
          </cell>
          <cell r="Q185"/>
          <cell r="R185">
            <v>145897</v>
          </cell>
          <cell r="S185">
            <v>3534</v>
          </cell>
          <cell r="T185">
            <v>149431</v>
          </cell>
        </row>
        <row r="186">
          <cell r="A186">
            <v>91719</v>
          </cell>
          <cell r="B186" t="str">
            <v xml:space="preserve"> YANCEYVILLE</v>
          </cell>
          <cell r="C186">
            <v>5.6799999999999998E-5</v>
          </cell>
          <cell r="D186">
            <v>4.9700000000000002E-5</v>
          </cell>
          <cell r="E186">
            <v>134749</v>
          </cell>
          <cell r="F186" t="str">
            <v xml:space="preserve"> </v>
          </cell>
          <cell r="G186">
            <v>20789</v>
          </cell>
          <cell r="H186">
            <v>18497</v>
          </cell>
          <cell r="I186">
            <v>35757</v>
          </cell>
          <cell r="J186">
            <v>2513</v>
          </cell>
          <cell r="K186">
            <v>77556</v>
          </cell>
          <cell r="L186"/>
          <cell r="M186">
            <v>698</v>
          </cell>
          <cell r="N186">
            <v>0</v>
          </cell>
          <cell r="O186">
            <v>2058</v>
          </cell>
          <cell r="P186">
            <v>2756</v>
          </cell>
          <cell r="Q186"/>
          <cell r="R186">
            <v>37430</v>
          </cell>
          <cell r="S186">
            <v>186</v>
          </cell>
          <cell r="T186">
            <v>37616</v>
          </cell>
        </row>
        <row r="187">
          <cell r="A187">
            <v>91801</v>
          </cell>
          <cell r="B187" t="str">
            <v>CATAWBA COUNTY</v>
          </cell>
          <cell r="C187">
            <v>7.9632999999999995E-3</v>
          </cell>
          <cell r="D187">
            <v>8.0961000000000002E-3</v>
          </cell>
          <cell r="E187">
            <v>18891671</v>
          </cell>
          <cell r="F187" t="str">
            <v xml:space="preserve"> </v>
          </cell>
          <cell r="G187">
            <v>2914536</v>
          </cell>
          <cell r="H187">
            <v>2593265</v>
          </cell>
          <cell r="I187">
            <v>5013120</v>
          </cell>
          <cell r="J187">
            <v>0</v>
          </cell>
          <cell r="K187">
            <v>10520921</v>
          </cell>
          <cell r="L187"/>
          <cell r="M187">
            <v>97797</v>
          </cell>
          <cell r="N187">
            <v>0</v>
          </cell>
          <cell r="O187">
            <v>291905</v>
          </cell>
          <cell r="P187">
            <v>389702</v>
          </cell>
          <cell r="Q187"/>
          <cell r="R187">
            <v>5247600</v>
          </cell>
          <cell r="S187">
            <v>-120864</v>
          </cell>
          <cell r="T187">
            <v>5126736</v>
          </cell>
        </row>
        <row r="188">
          <cell r="A188">
            <v>91804</v>
          </cell>
          <cell r="B188" t="str">
            <v>CATAWBA COUNTY ABC BOARD</v>
          </cell>
          <cell r="C188">
            <v>1.4770000000000001E-4</v>
          </cell>
          <cell r="D188">
            <v>1.3439999999999999E-4</v>
          </cell>
          <cell r="E188">
            <v>350395</v>
          </cell>
          <cell r="F188" t="str">
            <v xml:space="preserve"> </v>
          </cell>
          <cell r="G188">
            <v>54058</v>
          </cell>
          <cell r="H188">
            <v>48099</v>
          </cell>
          <cell r="I188">
            <v>92981</v>
          </cell>
          <cell r="J188">
            <v>68194</v>
          </cell>
          <cell r="K188">
            <v>263332</v>
          </cell>
          <cell r="L188"/>
          <cell r="M188">
            <v>1814</v>
          </cell>
          <cell r="N188">
            <v>0</v>
          </cell>
          <cell r="O188">
            <v>0</v>
          </cell>
          <cell r="P188">
            <v>1814</v>
          </cell>
          <cell r="Q188"/>
          <cell r="R188">
            <v>97330</v>
          </cell>
          <cell r="S188">
            <v>32579</v>
          </cell>
          <cell r="T188">
            <v>129909</v>
          </cell>
        </row>
        <row r="189">
          <cell r="A189">
            <v>91811</v>
          </cell>
          <cell r="B189" t="str">
            <v>CITY OF HICKORY</v>
          </cell>
          <cell r="C189">
            <v>4.4413999999999999E-3</v>
          </cell>
          <cell r="D189">
            <v>4.5555999999999999E-3</v>
          </cell>
          <cell r="E189">
            <v>10536520</v>
          </cell>
          <cell r="F189" t="str">
            <v xml:space="preserve"> </v>
          </cell>
          <cell r="G189">
            <v>1625535</v>
          </cell>
          <cell r="H189">
            <v>1446350</v>
          </cell>
          <cell r="I189">
            <v>2795986</v>
          </cell>
          <cell r="J189">
            <v>0</v>
          </cell>
          <cell r="K189">
            <v>5867871</v>
          </cell>
          <cell r="L189"/>
          <cell r="M189">
            <v>54545</v>
          </cell>
          <cell r="N189">
            <v>0</v>
          </cell>
          <cell r="O189">
            <v>497047</v>
          </cell>
          <cell r="P189">
            <v>551592</v>
          </cell>
          <cell r="Q189"/>
          <cell r="R189">
            <v>2926763</v>
          </cell>
          <cell r="S189">
            <v>-241160</v>
          </cell>
          <cell r="T189">
            <v>2685603</v>
          </cell>
        </row>
        <row r="190">
          <cell r="A190">
            <v>91812</v>
          </cell>
          <cell r="B190" t="str">
            <v>HICKORY CONOVER TOURISM DEV AUTHORITY</v>
          </cell>
          <cell r="C190">
            <v>5.3600000000000002E-5</v>
          </cell>
          <cell r="D190">
            <v>5.0800000000000002E-5</v>
          </cell>
          <cell r="E190">
            <v>127158</v>
          </cell>
          <cell r="F190" t="str">
            <v xml:space="preserve"> </v>
          </cell>
          <cell r="G190">
            <v>19617</v>
          </cell>
          <cell r="H190">
            <v>17455</v>
          </cell>
          <cell r="I190">
            <v>33743</v>
          </cell>
          <cell r="J190">
            <v>9789</v>
          </cell>
          <cell r="K190">
            <v>80604</v>
          </cell>
          <cell r="L190"/>
          <cell r="M190">
            <v>658</v>
          </cell>
          <cell r="N190">
            <v>0</v>
          </cell>
          <cell r="O190">
            <v>2033</v>
          </cell>
          <cell r="P190">
            <v>2691</v>
          </cell>
          <cell r="Q190"/>
          <cell r="R190">
            <v>35321</v>
          </cell>
          <cell r="S190">
            <v>5503</v>
          </cell>
          <cell r="T190">
            <v>40824</v>
          </cell>
        </row>
        <row r="191">
          <cell r="A191">
            <v>91813</v>
          </cell>
          <cell r="B191" t="str">
            <v>HICKORY PUBLIC HOUSING AUTHORITY</v>
          </cell>
          <cell r="C191">
            <v>8.1299999999999997E-5</v>
          </cell>
          <cell r="D191">
            <v>8.6100000000000006E-5</v>
          </cell>
          <cell r="E191">
            <v>192871</v>
          </cell>
          <cell r="F191" t="str">
            <v xml:space="preserve"> </v>
          </cell>
          <cell r="G191">
            <v>29755</v>
          </cell>
          <cell r="H191">
            <v>26476</v>
          </cell>
          <cell r="I191">
            <v>51181</v>
          </cell>
          <cell r="J191">
            <v>5758</v>
          </cell>
          <cell r="K191">
            <v>113170</v>
          </cell>
          <cell r="L191"/>
          <cell r="M191">
            <v>998</v>
          </cell>
          <cell r="N191">
            <v>0</v>
          </cell>
          <cell r="O191">
            <v>10114</v>
          </cell>
          <cell r="P191">
            <v>11112</v>
          </cell>
          <cell r="Q191"/>
          <cell r="R191">
            <v>53575</v>
          </cell>
          <cell r="S191">
            <v>-606</v>
          </cell>
          <cell r="T191">
            <v>52969</v>
          </cell>
        </row>
        <row r="192">
          <cell r="A192">
            <v>91818</v>
          </cell>
          <cell r="B192" t="str">
            <v>WESTERN PIEDMONT COUNCIL OF GVMTS</v>
          </cell>
          <cell r="C192">
            <v>3.9429999999999999E-4</v>
          </cell>
          <cell r="D192">
            <v>4.0079999999999998E-4</v>
          </cell>
          <cell r="E192">
            <v>935414</v>
          </cell>
          <cell r="F192" t="str">
            <v xml:space="preserve"> </v>
          </cell>
          <cell r="G192">
            <v>144312</v>
          </cell>
          <cell r="H192">
            <v>128404</v>
          </cell>
          <cell r="I192">
            <v>248223</v>
          </cell>
          <cell r="J192">
            <v>524689</v>
          </cell>
          <cell r="K192">
            <v>1045628</v>
          </cell>
          <cell r="L192"/>
          <cell r="M192">
            <v>4842</v>
          </cell>
          <cell r="N192">
            <v>0</v>
          </cell>
          <cell r="O192">
            <v>0</v>
          </cell>
          <cell r="P192">
            <v>4842</v>
          </cell>
          <cell r="Q192"/>
          <cell r="R192">
            <v>259833</v>
          </cell>
          <cell r="S192">
            <v>209067</v>
          </cell>
          <cell r="T192">
            <v>468900</v>
          </cell>
        </row>
        <row r="193">
          <cell r="A193">
            <v>91819</v>
          </cell>
          <cell r="B193" t="str">
            <v>WESTERN PIEDMONT REGIONAL TRANSIT AUTHORITY</v>
          </cell>
          <cell r="C193">
            <v>3.0469999999999998E-4</v>
          </cell>
          <cell r="D193">
            <v>2.8489999999999999E-4</v>
          </cell>
          <cell r="E193">
            <v>722853</v>
          </cell>
          <cell r="F193" t="str">
            <v xml:space="preserve"> </v>
          </cell>
          <cell r="G193">
            <v>111519</v>
          </cell>
          <cell r="H193">
            <v>99226</v>
          </cell>
          <cell r="I193">
            <v>191817</v>
          </cell>
          <cell r="J193">
            <v>26641</v>
          </cell>
          <cell r="K193">
            <v>429203</v>
          </cell>
          <cell r="L193"/>
          <cell r="M193">
            <v>3742</v>
          </cell>
          <cell r="N193">
            <v>0</v>
          </cell>
          <cell r="O193">
            <v>4590</v>
          </cell>
          <cell r="P193">
            <v>8332</v>
          </cell>
          <cell r="Q193"/>
          <cell r="R193">
            <v>200789</v>
          </cell>
          <cell r="S193">
            <v>10326</v>
          </cell>
          <cell r="T193">
            <v>211115</v>
          </cell>
        </row>
        <row r="194">
          <cell r="A194">
            <v>91821</v>
          </cell>
          <cell r="B194" t="str">
            <v>CITY OF CLAREMONT</v>
          </cell>
          <cell r="C194">
            <v>1.671E-4</v>
          </cell>
          <cell r="D194">
            <v>1.7330000000000001E-4</v>
          </cell>
          <cell r="E194">
            <v>396418</v>
          </cell>
          <cell r="F194" t="str">
            <v xml:space="preserve"> </v>
          </cell>
          <cell r="G194">
            <v>61158</v>
          </cell>
          <cell r="H194">
            <v>54416</v>
          </cell>
          <cell r="I194">
            <v>105194</v>
          </cell>
          <cell r="J194">
            <v>487</v>
          </cell>
          <cell r="K194">
            <v>221255</v>
          </cell>
          <cell r="L194"/>
          <cell r="M194">
            <v>2052</v>
          </cell>
          <cell r="N194">
            <v>0</v>
          </cell>
          <cell r="O194">
            <v>9930</v>
          </cell>
          <cell r="P194">
            <v>11982</v>
          </cell>
          <cell r="Q194"/>
          <cell r="R194">
            <v>110114</v>
          </cell>
          <cell r="S194">
            <v>-745</v>
          </cell>
          <cell r="T194">
            <v>109369</v>
          </cell>
        </row>
        <row r="195">
          <cell r="A195">
            <v>91831</v>
          </cell>
          <cell r="B195" t="str">
            <v xml:space="preserve"> MAIDEN</v>
          </cell>
          <cell r="C195">
            <v>3.7740000000000001E-4</v>
          </cell>
          <cell r="D195">
            <v>3.366E-4</v>
          </cell>
          <cell r="E195">
            <v>895322</v>
          </cell>
          <cell r="F195" t="str">
            <v xml:space="preserve"> </v>
          </cell>
          <cell r="G195">
            <v>138127</v>
          </cell>
          <cell r="H195">
            <v>122901</v>
          </cell>
          <cell r="I195">
            <v>237584</v>
          </cell>
          <cell r="J195">
            <v>17106</v>
          </cell>
          <cell r="K195">
            <v>515718</v>
          </cell>
          <cell r="L195"/>
          <cell r="M195">
            <v>4635</v>
          </cell>
          <cell r="N195">
            <v>0</v>
          </cell>
          <cell r="O195">
            <v>9431</v>
          </cell>
          <cell r="P195">
            <v>14066</v>
          </cell>
          <cell r="Q195"/>
          <cell r="R195">
            <v>248696</v>
          </cell>
          <cell r="S195">
            <v>3967</v>
          </cell>
          <cell r="T195">
            <v>252663</v>
          </cell>
        </row>
        <row r="196">
          <cell r="A196">
            <v>91841</v>
          </cell>
          <cell r="B196" t="str">
            <v>THE  LONGVIEW</v>
          </cell>
          <cell r="C196">
            <v>2.6479999999999999E-4</v>
          </cell>
          <cell r="D196">
            <v>2.5339999999999998E-4</v>
          </cell>
          <cell r="E196">
            <v>628196</v>
          </cell>
          <cell r="F196" t="str">
            <v xml:space="preserve"> </v>
          </cell>
          <cell r="G196">
            <v>96916</v>
          </cell>
          <cell r="H196">
            <v>86233</v>
          </cell>
          <cell r="I196">
            <v>166699</v>
          </cell>
          <cell r="J196">
            <v>5951</v>
          </cell>
          <cell r="K196">
            <v>355799</v>
          </cell>
          <cell r="L196"/>
          <cell r="M196">
            <v>3252</v>
          </cell>
          <cell r="N196">
            <v>0</v>
          </cell>
          <cell r="O196">
            <v>4615</v>
          </cell>
          <cell r="P196">
            <v>7867</v>
          </cell>
          <cell r="Q196"/>
          <cell r="R196">
            <v>174496</v>
          </cell>
          <cell r="S196">
            <v>-8503</v>
          </cell>
          <cell r="T196">
            <v>165993</v>
          </cell>
        </row>
        <row r="197">
          <cell r="A197">
            <v>91851</v>
          </cell>
          <cell r="B197" t="str">
            <v xml:space="preserve"> CONOVER</v>
          </cell>
          <cell r="C197">
            <v>7.3039999999999997E-4</v>
          </cell>
          <cell r="D197">
            <v>7.4910000000000005E-4</v>
          </cell>
          <cell r="E197">
            <v>1732759</v>
          </cell>
          <cell r="F197" t="str">
            <v xml:space="preserve"> </v>
          </cell>
          <cell r="G197">
            <v>267323</v>
          </cell>
          <cell r="H197">
            <v>237856</v>
          </cell>
          <cell r="I197">
            <v>459807</v>
          </cell>
          <cell r="J197">
            <v>4093</v>
          </cell>
          <cell r="K197">
            <v>969079</v>
          </cell>
          <cell r="L197"/>
          <cell r="M197">
            <v>8970</v>
          </cell>
          <cell r="N197">
            <v>0</v>
          </cell>
          <cell r="O197">
            <v>35449</v>
          </cell>
          <cell r="P197">
            <v>44419</v>
          </cell>
          <cell r="Q197"/>
          <cell r="R197">
            <v>481314</v>
          </cell>
          <cell r="S197">
            <v>-15851</v>
          </cell>
          <cell r="T197">
            <v>465463</v>
          </cell>
        </row>
        <row r="198">
          <cell r="A198">
            <v>91861</v>
          </cell>
          <cell r="B198" t="str">
            <v xml:space="preserve"> BROOKFORD</v>
          </cell>
          <cell r="C198">
            <v>1.1800000000000001E-5</v>
          </cell>
          <cell r="D198">
            <v>1.9700000000000001E-5</v>
          </cell>
          <cell r="E198">
            <v>27994</v>
          </cell>
          <cell r="F198" t="str">
            <v xml:space="preserve"> </v>
          </cell>
          <cell r="G198">
            <v>4319</v>
          </cell>
          <cell r="H198">
            <v>3843</v>
          </cell>
          <cell r="I198">
            <v>7428</v>
          </cell>
          <cell r="J198">
            <v>1009</v>
          </cell>
          <cell r="K198">
            <v>16599</v>
          </cell>
          <cell r="L198"/>
          <cell r="M198">
            <v>145</v>
          </cell>
          <cell r="N198">
            <v>0</v>
          </cell>
          <cell r="O198">
            <v>5115</v>
          </cell>
          <cell r="P198">
            <v>5260</v>
          </cell>
          <cell r="Q198"/>
          <cell r="R198">
            <v>7776</v>
          </cell>
          <cell r="S198">
            <v>-408</v>
          </cell>
          <cell r="T198">
            <v>7368</v>
          </cell>
        </row>
        <row r="199">
          <cell r="A199">
            <v>91871</v>
          </cell>
          <cell r="B199" t="str">
            <v>CITY OF NEWTON</v>
          </cell>
          <cell r="C199">
            <v>1.3219E-3</v>
          </cell>
          <cell r="D199">
            <v>1.3319E-3</v>
          </cell>
          <cell r="E199">
            <v>3135999</v>
          </cell>
          <cell r="F199" t="str">
            <v xml:space="preserve"> </v>
          </cell>
          <cell r="G199">
            <v>483810</v>
          </cell>
          <cell r="H199">
            <v>430480</v>
          </cell>
          <cell r="I199">
            <v>832173</v>
          </cell>
          <cell r="J199">
            <v>16903</v>
          </cell>
          <cell r="K199">
            <v>1763366</v>
          </cell>
          <cell r="L199"/>
          <cell r="M199">
            <v>16234</v>
          </cell>
          <cell r="N199">
            <v>0</v>
          </cell>
          <cell r="O199">
            <v>71958</v>
          </cell>
          <cell r="P199">
            <v>88192</v>
          </cell>
          <cell r="Q199"/>
          <cell r="R199">
            <v>871096</v>
          </cell>
          <cell r="S199">
            <v>-36895</v>
          </cell>
          <cell r="T199">
            <v>834201</v>
          </cell>
        </row>
        <row r="200">
          <cell r="A200">
            <v>91881</v>
          </cell>
          <cell r="B200" t="str">
            <v xml:space="preserve"> CATAWBA</v>
          </cell>
          <cell r="C200">
            <v>8.1000000000000004E-6</v>
          </cell>
          <cell r="D200">
            <v>9.3000000000000007E-6</v>
          </cell>
          <cell r="E200">
            <v>19216</v>
          </cell>
          <cell r="F200" t="str">
            <v xml:space="preserve"> </v>
          </cell>
          <cell r="G200">
            <v>2965</v>
          </cell>
          <cell r="H200">
            <v>2638</v>
          </cell>
          <cell r="I200">
            <v>5099</v>
          </cell>
          <cell r="J200">
            <v>917</v>
          </cell>
          <cell r="K200">
            <v>11619</v>
          </cell>
          <cell r="L200"/>
          <cell r="M200">
            <v>99</v>
          </cell>
          <cell r="N200">
            <v>0</v>
          </cell>
          <cell r="O200">
            <v>2944</v>
          </cell>
          <cell r="P200">
            <v>3043</v>
          </cell>
          <cell r="Q200"/>
          <cell r="R200">
            <v>5338</v>
          </cell>
          <cell r="S200">
            <v>-5564</v>
          </cell>
          <cell r="T200">
            <v>-226</v>
          </cell>
        </row>
        <row r="201">
          <cell r="A201">
            <v>91901</v>
          </cell>
          <cell r="B201" t="str">
            <v>CHATHAM COUNTY</v>
          </cell>
          <cell r="C201">
            <v>3.6922000000000001E-3</v>
          </cell>
          <cell r="D201">
            <v>3.6706999999999998E-3</v>
          </cell>
          <cell r="E201">
            <v>8759161</v>
          </cell>
          <cell r="F201" t="str">
            <v xml:space="preserve"> </v>
          </cell>
          <cell r="G201">
            <v>1351330</v>
          </cell>
          <cell r="H201">
            <v>1202373</v>
          </cell>
          <cell r="I201">
            <v>2324343</v>
          </cell>
          <cell r="J201">
            <v>32174</v>
          </cell>
          <cell r="K201">
            <v>4910220</v>
          </cell>
          <cell r="L201"/>
          <cell r="M201">
            <v>45344</v>
          </cell>
          <cell r="N201">
            <v>0</v>
          </cell>
          <cell r="O201">
            <v>47401</v>
          </cell>
          <cell r="P201">
            <v>92745</v>
          </cell>
          <cell r="Q201"/>
          <cell r="R201">
            <v>2433060</v>
          </cell>
          <cell r="S201">
            <v>44660</v>
          </cell>
          <cell r="T201">
            <v>2477720</v>
          </cell>
        </row>
        <row r="202">
          <cell r="A202">
            <v>91903</v>
          </cell>
          <cell r="B202" t="str">
            <v>CHATHAM CO HOUSING AUTHORITY</v>
          </cell>
          <cell r="C202">
            <v>8.8000000000000004E-6</v>
          </cell>
          <cell r="D202">
            <v>8.6999999999999997E-6</v>
          </cell>
          <cell r="E202">
            <v>20877</v>
          </cell>
          <cell r="F202" t="str">
            <v xml:space="preserve"> </v>
          </cell>
          <cell r="G202">
            <v>3221</v>
          </cell>
          <cell r="H202">
            <v>2866</v>
          </cell>
          <cell r="I202">
            <v>5540</v>
          </cell>
          <cell r="J202">
            <v>3278</v>
          </cell>
          <cell r="K202">
            <v>14905</v>
          </cell>
          <cell r="L202"/>
          <cell r="M202">
            <v>108</v>
          </cell>
          <cell r="N202">
            <v>0</v>
          </cell>
          <cell r="O202">
            <v>0</v>
          </cell>
          <cell r="P202">
            <v>108</v>
          </cell>
          <cell r="Q202"/>
          <cell r="R202">
            <v>5799</v>
          </cell>
          <cell r="S202">
            <v>-1932</v>
          </cell>
          <cell r="T202">
            <v>3867</v>
          </cell>
        </row>
        <row r="203">
          <cell r="A203">
            <v>91904</v>
          </cell>
          <cell r="B203" t="str">
            <v>CHATHAM COUNTY ABC BOARD</v>
          </cell>
          <cell r="C203">
            <v>3.1399999999999998E-5</v>
          </cell>
          <cell r="D203">
            <v>3.3399999999999999E-5</v>
          </cell>
          <cell r="E203">
            <v>74492</v>
          </cell>
          <cell r="F203" t="str">
            <v xml:space="preserve"> </v>
          </cell>
          <cell r="G203">
            <v>11492</v>
          </cell>
          <cell r="H203">
            <v>10225</v>
          </cell>
          <cell r="I203">
            <v>19767</v>
          </cell>
          <cell r="J203">
            <v>6870</v>
          </cell>
          <cell r="K203">
            <v>48354</v>
          </cell>
          <cell r="L203"/>
          <cell r="M203">
            <v>386</v>
          </cell>
          <cell r="N203">
            <v>0</v>
          </cell>
          <cell r="O203">
            <v>434</v>
          </cell>
          <cell r="P203">
            <v>820</v>
          </cell>
          <cell r="Q203"/>
          <cell r="R203">
            <v>20692</v>
          </cell>
          <cell r="S203">
            <v>4213</v>
          </cell>
          <cell r="T203">
            <v>24905</v>
          </cell>
        </row>
        <row r="204">
          <cell r="A204">
            <v>91908</v>
          </cell>
          <cell r="B204" t="str">
            <v>GOLDSTON-GULF SANITARY DISTRICT</v>
          </cell>
          <cell r="C204">
            <v>1.5299999999999999E-5</v>
          </cell>
          <cell r="D204">
            <v>1.6900000000000001E-5</v>
          </cell>
          <cell r="E204">
            <v>36297</v>
          </cell>
          <cell r="F204" t="str">
            <v xml:space="preserve"> </v>
          </cell>
          <cell r="G204">
            <v>5600</v>
          </cell>
          <cell r="H204">
            <v>4983</v>
          </cell>
          <cell r="I204">
            <v>9632</v>
          </cell>
          <cell r="J204">
            <v>106</v>
          </cell>
          <cell r="K204">
            <v>20321</v>
          </cell>
          <cell r="L204"/>
          <cell r="M204">
            <v>188</v>
          </cell>
          <cell r="N204">
            <v>0</v>
          </cell>
          <cell r="O204">
            <v>4660</v>
          </cell>
          <cell r="P204">
            <v>4848</v>
          </cell>
          <cell r="Q204"/>
          <cell r="R204">
            <v>10082</v>
          </cell>
          <cell r="S204">
            <v>-814</v>
          </cell>
          <cell r="T204">
            <v>9268</v>
          </cell>
        </row>
        <row r="205">
          <cell r="A205">
            <v>91911</v>
          </cell>
          <cell r="B205" t="str">
            <v xml:space="preserve"> SILER CITY</v>
          </cell>
          <cell r="C205">
            <v>4.8529999999999998E-4</v>
          </cell>
          <cell r="D205">
            <v>4.5580000000000002E-4</v>
          </cell>
          <cell r="E205">
            <v>1151298</v>
          </cell>
          <cell r="F205" t="str">
            <v xml:space="preserve"> </v>
          </cell>
          <cell r="G205">
            <v>177618</v>
          </cell>
          <cell r="H205">
            <v>158038</v>
          </cell>
          <cell r="I205">
            <v>305510</v>
          </cell>
          <cell r="J205">
            <v>25824</v>
          </cell>
          <cell r="K205">
            <v>666990</v>
          </cell>
          <cell r="L205"/>
          <cell r="M205">
            <v>5960</v>
          </cell>
          <cell r="N205">
            <v>0</v>
          </cell>
          <cell r="O205">
            <v>1556</v>
          </cell>
          <cell r="P205">
            <v>7516</v>
          </cell>
          <cell r="Q205"/>
          <cell r="R205">
            <v>319800</v>
          </cell>
          <cell r="S205">
            <v>4709</v>
          </cell>
          <cell r="T205">
            <v>324509</v>
          </cell>
        </row>
        <row r="206">
          <cell r="A206">
            <v>91917</v>
          </cell>
          <cell r="B206" t="str">
            <v>SILER CITY ABC BOARD</v>
          </cell>
          <cell r="C206">
            <v>1.04E-5</v>
          </cell>
          <cell r="D206">
            <v>1.22E-5</v>
          </cell>
          <cell r="E206">
            <v>24672</v>
          </cell>
          <cell r="F206" t="str">
            <v xml:space="preserve"> </v>
          </cell>
          <cell r="G206">
            <v>3806</v>
          </cell>
          <cell r="H206">
            <v>3387</v>
          </cell>
          <cell r="I206">
            <v>6547</v>
          </cell>
          <cell r="J206">
            <v>521</v>
          </cell>
          <cell r="K206">
            <v>14261</v>
          </cell>
          <cell r="L206"/>
          <cell r="M206">
            <v>128</v>
          </cell>
          <cell r="N206">
            <v>0</v>
          </cell>
          <cell r="O206">
            <v>233</v>
          </cell>
          <cell r="P206">
            <v>361</v>
          </cell>
          <cell r="Q206"/>
          <cell r="R206">
            <v>6853</v>
          </cell>
          <cell r="S206">
            <v>175</v>
          </cell>
          <cell r="T206">
            <v>7028</v>
          </cell>
        </row>
        <row r="207">
          <cell r="A207">
            <v>91921</v>
          </cell>
          <cell r="B207" t="str">
            <v xml:space="preserve"> PITTSBORO</v>
          </cell>
          <cell r="C207">
            <v>3.5619999999999998E-4</v>
          </cell>
          <cell r="D207">
            <v>3.769E-4</v>
          </cell>
          <cell r="E207">
            <v>845028</v>
          </cell>
          <cell r="F207" t="str">
            <v xml:space="preserve"> </v>
          </cell>
          <cell r="G207">
            <v>130368</v>
          </cell>
          <cell r="H207">
            <v>115997</v>
          </cell>
          <cell r="I207">
            <v>224238</v>
          </cell>
          <cell r="J207">
            <v>0</v>
          </cell>
          <cell r="K207">
            <v>470603</v>
          </cell>
          <cell r="L207"/>
          <cell r="M207">
            <v>4374</v>
          </cell>
          <cell r="N207">
            <v>0</v>
          </cell>
          <cell r="O207">
            <v>26775</v>
          </cell>
          <cell r="P207">
            <v>31149</v>
          </cell>
          <cell r="Q207"/>
          <cell r="R207">
            <v>234726</v>
          </cell>
          <cell r="S207">
            <v>-10664</v>
          </cell>
          <cell r="T207">
            <v>224062</v>
          </cell>
        </row>
        <row r="208">
          <cell r="A208">
            <v>92001</v>
          </cell>
          <cell r="B208" t="str">
            <v>CHEROKEE COUNTY</v>
          </cell>
          <cell r="C208">
            <v>1.8332999999999999E-3</v>
          </cell>
          <cell r="D208">
            <v>1.8143E-3</v>
          </cell>
          <cell r="E208">
            <v>4349215</v>
          </cell>
          <cell r="F208" t="str">
            <v xml:space="preserve"> </v>
          </cell>
          <cell r="G208">
            <v>670980</v>
          </cell>
          <cell r="H208">
            <v>597017</v>
          </cell>
          <cell r="I208">
            <v>1154114</v>
          </cell>
          <cell r="J208">
            <v>30924</v>
          </cell>
          <cell r="K208">
            <v>2453035</v>
          </cell>
          <cell r="L208"/>
          <cell r="M208">
            <v>22515</v>
          </cell>
          <cell r="N208">
            <v>0</v>
          </cell>
          <cell r="O208">
            <v>112538</v>
          </cell>
          <cell r="P208">
            <v>135053</v>
          </cell>
          <cell r="Q208"/>
          <cell r="R208">
            <v>1208095</v>
          </cell>
          <cell r="S208">
            <v>-45166</v>
          </cell>
          <cell r="T208">
            <v>1162929</v>
          </cell>
        </row>
        <row r="209">
          <cell r="A209">
            <v>92005</v>
          </cell>
          <cell r="B209" t="str">
            <v>NANTAHALA REGIONAL LIBRARY</v>
          </cell>
          <cell r="C209">
            <v>4.2700000000000001E-5</v>
          </cell>
          <cell r="D209">
            <v>4.1399999999999997E-5</v>
          </cell>
          <cell r="E209">
            <v>101299</v>
          </cell>
          <cell r="F209" t="str">
            <v xml:space="preserve"> </v>
          </cell>
          <cell r="G209">
            <v>15628</v>
          </cell>
          <cell r="H209">
            <v>13906</v>
          </cell>
          <cell r="I209">
            <v>26881</v>
          </cell>
          <cell r="J209">
            <v>4118</v>
          </cell>
          <cell r="K209">
            <v>60533</v>
          </cell>
          <cell r="L209"/>
          <cell r="M209">
            <v>524</v>
          </cell>
          <cell r="N209">
            <v>0</v>
          </cell>
          <cell r="O209">
            <v>1571</v>
          </cell>
          <cell r="P209">
            <v>2095</v>
          </cell>
          <cell r="Q209"/>
          <cell r="R209">
            <v>28138</v>
          </cell>
          <cell r="S209">
            <v>1018</v>
          </cell>
          <cell r="T209">
            <v>29156</v>
          </cell>
        </row>
        <row r="210">
          <cell r="A210">
            <v>92011</v>
          </cell>
          <cell r="B210" t="str">
            <v xml:space="preserve"> MURPHY</v>
          </cell>
          <cell r="C210">
            <v>1.916E-4</v>
          </cell>
          <cell r="D210">
            <v>2.0049999999999999E-4</v>
          </cell>
          <cell r="E210">
            <v>454541</v>
          </cell>
          <cell r="F210" t="str">
            <v xml:space="preserve"> </v>
          </cell>
          <cell r="G210">
            <v>70125</v>
          </cell>
          <cell r="H210">
            <v>62395</v>
          </cell>
          <cell r="I210">
            <v>120618</v>
          </cell>
          <cell r="J210">
            <v>7900</v>
          </cell>
          <cell r="K210">
            <v>261038</v>
          </cell>
          <cell r="L210"/>
          <cell r="M210">
            <v>2353</v>
          </cell>
          <cell r="N210">
            <v>0</v>
          </cell>
          <cell r="O210">
            <v>5785</v>
          </cell>
          <cell r="P210">
            <v>8138</v>
          </cell>
          <cell r="Q210"/>
          <cell r="R210">
            <v>126259</v>
          </cell>
          <cell r="S210">
            <v>8269</v>
          </cell>
          <cell r="T210">
            <v>134528</v>
          </cell>
        </row>
        <row r="211">
          <cell r="A211">
            <v>92017</v>
          </cell>
          <cell r="B211" t="str">
            <v>MURPHY ABC BOARD</v>
          </cell>
          <cell r="C211">
            <v>3.3200000000000001E-5</v>
          </cell>
          <cell r="D211">
            <v>3.4199999999999998E-5</v>
          </cell>
          <cell r="E211">
            <v>78762</v>
          </cell>
          <cell r="F211" t="str">
            <v xml:space="preserve"> </v>
          </cell>
          <cell r="G211">
            <v>12151</v>
          </cell>
          <cell r="H211">
            <v>10811</v>
          </cell>
          <cell r="I211">
            <v>20900</v>
          </cell>
          <cell r="J211">
            <v>1396</v>
          </cell>
          <cell r="K211">
            <v>45258</v>
          </cell>
          <cell r="L211"/>
          <cell r="M211">
            <v>408</v>
          </cell>
          <cell r="N211">
            <v>0</v>
          </cell>
          <cell r="O211">
            <v>361</v>
          </cell>
          <cell r="P211">
            <v>769</v>
          </cell>
          <cell r="Q211"/>
          <cell r="R211">
            <v>21878</v>
          </cell>
          <cell r="S211">
            <v>-415</v>
          </cell>
          <cell r="T211">
            <v>21463</v>
          </cell>
        </row>
        <row r="212">
          <cell r="A212">
            <v>92021</v>
          </cell>
          <cell r="B212" t="str">
            <v xml:space="preserve"> ANDREWS</v>
          </cell>
          <cell r="C212">
            <v>1.451E-4</v>
          </cell>
          <cell r="D212">
            <v>1.5779999999999999E-4</v>
          </cell>
          <cell r="E212">
            <v>344227</v>
          </cell>
          <cell r="F212" t="str">
            <v xml:space="preserve"> </v>
          </cell>
          <cell r="G212">
            <v>53106</v>
          </cell>
          <cell r="H212">
            <v>47253</v>
          </cell>
          <cell r="I212">
            <v>91345</v>
          </cell>
          <cell r="J212">
            <v>20876</v>
          </cell>
          <cell r="K212">
            <v>212580</v>
          </cell>
          <cell r="L212"/>
          <cell r="M212">
            <v>1782</v>
          </cell>
          <cell r="N212">
            <v>0</v>
          </cell>
          <cell r="O212">
            <v>23774</v>
          </cell>
          <cell r="P212">
            <v>25556</v>
          </cell>
          <cell r="Q212"/>
          <cell r="R212">
            <v>95617</v>
          </cell>
          <cell r="S212">
            <v>-3302</v>
          </cell>
          <cell r="T212">
            <v>92315</v>
          </cell>
        </row>
        <row r="213">
          <cell r="A213">
            <v>92101</v>
          </cell>
          <cell r="B213" t="str">
            <v>CHOWAN COUNTY</v>
          </cell>
          <cell r="C213">
            <v>8.183E-4</v>
          </cell>
          <cell r="D213">
            <v>8.5209999999999995E-4</v>
          </cell>
          <cell r="E213">
            <v>1941287</v>
          </cell>
          <cell r="F213" t="str">
            <v xml:space="preserve"> </v>
          </cell>
          <cell r="G213">
            <v>299495</v>
          </cell>
          <cell r="H213">
            <v>266481</v>
          </cell>
          <cell r="I213">
            <v>515143</v>
          </cell>
          <cell r="J213">
            <v>575</v>
          </cell>
          <cell r="K213">
            <v>1081694</v>
          </cell>
          <cell r="L213"/>
          <cell r="M213">
            <v>10050</v>
          </cell>
          <cell r="N213">
            <v>0</v>
          </cell>
          <cell r="O213">
            <v>80217</v>
          </cell>
          <cell r="P213">
            <v>90267</v>
          </cell>
          <cell r="Q213"/>
          <cell r="R213">
            <v>539238</v>
          </cell>
          <cell r="S213">
            <v>-19299</v>
          </cell>
          <cell r="T213">
            <v>519939</v>
          </cell>
        </row>
        <row r="214">
          <cell r="A214">
            <v>92104</v>
          </cell>
          <cell r="B214" t="str">
            <v>CHOWAN COUNTY ABC BOARD</v>
          </cell>
          <cell r="C214">
            <v>8.3999999999999992E-6</v>
          </cell>
          <cell r="D214">
            <v>8.6000000000000007E-6</v>
          </cell>
          <cell r="E214">
            <v>19928</v>
          </cell>
          <cell r="F214" t="str">
            <v xml:space="preserve"> </v>
          </cell>
          <cell r="G214">
            <v>3074</v>
          </cell>
          <cell r="H214">
            <v>2735</v>
          </cell>
          <cell r="I214">
            <v>5288</v>
          </cell>
          <cell r="J214">
            <v>2394</v>
          </cell>
          <cell r="K214">
            <v>13491</v>
          </cell>
          <cell r="L214"/>
          <cell r="M214">
            <v>103</v>
          </cell>
          <cell r="N214">
            <v>0</v>
          </cell>
          <cell r="O214">
            <v>0</v>
          </cell>
          <cell r="P214">
            <v>103</v>
          </cell>
          <cell r="Q214"/>
          <cell r="R214">
            <v>5535</v>
          </cell>
          <cell r="S214">
            <v>2056</v>
          </cell>
          <cell r="T214">
            <v>7591</v>
          </cell>
        </row>
        <row r="215">
          <cell r="A215">
            <v>92109</v>
          </cell>
          <cell r="B215" t="str">
            <v>ALBEMARLE REGNL PLANNING &amp; DEVELOPMENT COMM</v>
          </cell>
          <cell r="C215">
            <v>1.7239999999999999E-4</v>
          </cell>
          <cell r="D215">
            <v>1.8809999999999999E-4</v>
          </cell>
          <cell r="E215">
            <v>408992</v>
          </cell>
          <cell r="F215" t="str">
            <v xml:space="preserve"> </v>
          </cell>
          <cell r="G215">
            <v>63098</v>
          </cell>
          <cell r="H215">
            <v>56142</v>
          </cell>
          <cell r="I215">
            <v>108531</v>
          </cell>
          <cell r="J215">
            <v>547</v>
          </cell>
          <cell r="K215">
            <v>228318</v>
          </cell>
          <cell r="L215"/>
          <cell r="M215">
            <v>2117</v>
          </cell>
          <cell r="N215">
            <v>0</v>
          </cell>
          <cell r="O215">
            <v>19072</v>
          </cell>
          <cell r="P215">
            <v>21189</v>
          </cell>
          <cell r="Q215"/>
          <cell r="R215">
            <v>113607</v>
          </cell>
          <cell r="S215">
            <v>-8757</v>
          </cell>
          <cell r="T215">
            <v>104850</v>
          </cell>
        </row>
        <row r="216">
          <cell r="A216">
            <v>92111</v>
          </cell>
          <cell r="B216" t="str">
            <v xml:space="preserve"> EDENTON</v>
          </cell>
          <cell r="C216">
            <v>5.2209999999999995E-4</v>
          </cell>
          <cell r="D216">
            <v>5.0460000000000001E-4</v>
          </cell>
          <cell r="E216">
            <v>1238600</v>
          </cell>
          <cell r="F216" t="str">
            <v xml:space="preserve"> </v>
          </cell>
          <cell r="G216">
            <v>191087</v>
          </cell>
          <cell r="H216">
            <v>170023</v>
          </cell>
          <cell r="I216">
            <v>328677</v>
          </cell>
          <cell r="J216">
            <v>4892</v>
          </cell>
          <cell r="K216">
            <v>694679</v>
          </cell>
          <cell r="L216"/>
          <cell r="M216">
            <v>6412</v>
          </cell>
          <cell r="N216">
            <v>0</v>
          </cell>
          <cell r="O216">
            <v>8630</v>
          </cell>
          <cell r="P216">
            <v>15042</v>
          </cell>
          <cell r="Q216"/>
          <cell r="R216">
            <v>344050</v>
          </cell>
          <cell r="S216">
            <v>2737</v>
          </cell>
          <cell r="T216">
            <v>346787</v>
          </cell>
        </row>
        <row r="217">
          <cell r="A217">
            <v>92113</v>
          </cell>
          <cell r="B217" t="str">
            <v>THE NEW EDENTON HOUSING AUTHORITY</v>
          </cell>
          <cell r="C217">
            <v>1.56E-5</v>
          </cell>
          <cell r="D217">
            <v>1.4399999999999999E-5</v>
          </cell>
          <cell r="E217">
            <v>37009</v>
          </cell>
          <cell r="F217" t="str">
            <v xml:space="preserve"> </v>
          </cell>
          <cell r="G217">
            <v>5710</v>
          </cell>
          <cell r="H217">
            <v>5080</v>
          </cell>
          <cell r="I217">
            <v>9821</v>
          </cell>
          <cell r="J217">
            <v>14622</v>
          </cell>
          <cell r="K217">
            <v>35233</v>
          </cell>
          <cell r="L217"/>
          <cell r="M217">
            <v>192</v>
          </cell>
          <cell r="N217">
            <v>0</v>
          </cell>
          <cell r="O217">
            <v>1633</v>
          </cell>
          <cell r="P217">
            <v>1825</v>
          </cell>
          <cell r="Q217"/>
          <cell r="R217">
            <v>10280</v>
          </cell>
          <cell r="S217">
            <v>8352</v>
          </cell>
          <cell r="T217">
            <v>18632</v>
          </cell>
        </row>
        <row r="218">
          <cell r="A218">
            <v>92201</v>
          </cell>
          <cell r="B218" t="str">
            <v>CLAY COUNTY</v>
          </cell>
          <cell r="C218">
            <v>9.1100000000000003E-4</v>
          </cell>
          <cell r="D218">
            <v>9.3389999999999999E-4</v>
          </cell>
          <cell r="E218">
            <v>2161204</v>
          </cell>
          <cell r="F218" t="str">
            <v xml:space="preserve"> </v>
          </cell>
          <cell r="G218">
            <v>333422</v>
          </cell>
          <cell r="H218">
            <v>296669</v>
          </cell>
          <cell r="I218">
            <v>573500</v>
          </cell>
          <cell r="J218">
            <v>13246</v>
          </cell>
          <cell r="K218">
            <v>1216837</v>
          </cell>
          <cell r="L218"/>
          <cell r="M218">
            <v>11188</v>
          </cell>
          <cell r="N218">
            <v>0</v>
          </cell>
          <cell r="O218">
            <v>32516</v>
          </cell>
          <cell r="P218">
            <v>43704</v>
          </cell>
          <cell r="Q218"/>
          <cell r="R218">
            <v>600324</v>
          </cell>
          <cell r="S218">
            <v>12990</v>
          </cell>
          <cell r="T218">
            <v>613314</v>
          </cell>
        </row>
        <row r="219">
          <cell r="A219">
            <v>92214</v>
          </cell>
          <cell r="B219" t="str">
            <v>CLAY COUNTY ABC BOARD</v>
          </cell>
          <cell r="C219">
            <v>1.9000000000000001E-5</v>
          </cell>
          <cell r="D219">
            <v>0</v>
          </cell>
          <cell r="E219">
            <v>45074</v>
          </cell>
          <cell r="F219" t="str">
            <v xml:space="preserve"> </v>
          </cell>
          <cell r="G219">
            <v>6954</v>
          </cell>
          <cell r="H219">
            <v>6187</v>
          </cell>
          <cell r="I219">
            <v>11961</v>
          </cell>
          <cell r="J219">
            <v>14011</v>
          </cell>
          <cell r="K219">
            <v>39113</v>
          </cell>
          <cell r="L219"/>
          <cell r="M219">
            <v>233</v>
          </cell>
          <cell r="N219">
            <v>0</v>
          </cell>
          <cell r="O219">
            <v>0</v>
          </cell>
          <cell r="P219">
            <v>233</v>
          </cell>
          <cell r="Q219"/>
          <cell r="R219">
            <v>12520</v>
          </cell>
          <cell r="S219">
            <v>3503</v>
          </cell>
          <cell r="T219">
            <v>16023</v>
          </cell>
        </row>
        <row r="220">
          <cell r="A220">
            <v>92301</v>
          </cell>
          <cell r="B220" t="str">
            <v>CLEVELAND COUNTY</v>
          </cell>
          <cell r="C220">
            <v>5.1875999999999997E-3</v>
          </cell>
          <cell r="D220">
            <v>5.2129999999999998E-3</v>
          </cell>
          <cell r="E220">
            <v>12306761</v>
          </cell>
          <cell r="F220" t="str">
            <v xml:space="preserve"> </v>
          </cell>
          <cell r="G220">
            <v>1898641</v>
          </cell>
          <cell r="H220">
            <v>1689353</v>
          </cell>
          <cell r="I220">
            <v>3265739</v>
          </cell>
          <cell r="J220">
            <v>65564</v>
          </cell>
          <cell r="K220">
            <v>6919297</v>
          </cell>
          <cell r="L220"/>
          <cell r="M220">
            <v>63709</v>
          </cell>
          <cell r="N220">
            <v>0</v>
          </cell>
          <cell r="O220">
            <v>24051</v>
          </cell>
          <cell r="P220">
            <v>87760</v>
          </cell>
          <cell r="Q220"/>
          <cell r="R220">
            <v>3418488</v>
          </cell>
          <cell r="S220">
            <v>16356</v>
          </cell>
          <cell r="T220">
            <v>3434844</v>
          </cell>
        </row>
        <row r="221">
          <cell r="A221">
            <v>92302</v>
          </cell>
          <cell r="B221" t="str">
            <v>CLEVELAND COUNTY WATER</v>
          </cell>
          <cell r="C221">
            <v>3.2410000000000002E-4</v>
          </cell>
          <cell r="D221">
            <v>2.9740000000000002E-4</v>
          </cell>
          <cell r="E221">
            <v>768876</v>
          </cell>
          <cell r="F221" t="str">
            <v xml:space="preserve"> </v>
          </cell>
          <cell r="G221">
            <v>118619</v>
          </cell>
          <cell r="H221">
            <v>105543</v>
          </cell>
          <cell r="I221">
            <v>204030</v>
          </cell>
          <cell r="J221">
            <v>6461</v>
          </cell>
          <cell r="K221">
            <v>434653</v>
          </cell>
          <cell r="L221"/>
          <cell r="M221">
            <v>3980</v>
          </cell>
          <cell r="N221">
            <v>0</v>
          </cell>
          <cell r="O221">
            <v>18923</v>
          </cell>
          <cell r="P221">
            <v>22903</v>
          </cell>
          <cell r="Q221"/>
          <cell r="R221">
            <v>213573</v>
          </cell>
          <cell r="S221">
            <v>-8101</v>
          </cell>
          <cell r="T221">
            <v>205472</v>
          </cell>
        </row>
        <row r="222">
          <cell r="A222">
            <v>92311</v>
          </cell>
          <cell r="B222" t="str">
            <v>CITY OF SHELBY</v>
          </cell>
          <cell r="C222">
            <v>2.2258999999999998E-3</v>
          </cell>
          <cell r="D222">
            <v>2.2504999999999999E-3</v>
          </cell>
          <cell r="E222">
            <v>5280596</v>
          </cell>
          <cell r="F222" t="str">
            <v xml:space="preserve"> </v>
          </cell>
          <cell r="G222">
            <v>814670</v>
          </cell>
          <cell r="H222">
            <v>724869</v>
          </cell>
          <cell r="I222">
            <v>1401266</v>
          </cell>
          <cell r="J222">
            <v>6268</v>
          </cell>
          <cell r="K222">
            <v>2947073</v>
          </cell>
          <cell r="L222"/>
          <cell r="M222">
            <v>27336</v>
          </cell>
          <cell r="N222">
            <v>0</v>
          </cell>
          <cell r="O222">
            <v>77605</v>
          </cell>
          <cell r="P222">
            <v>104941</v>
          </cell>
          <cell r="Q222"/>
          <cell r="R222">
            <v>1466808</v>
          </cell>
          <cell r="S222">
            <v>-51715</v>
          </cell>
          <cell r="T222">
            <v>1415093</v>
          </cell>
        </row>
        <row r="223">
          <cell r="A223">
            <v>92317</v>
          </cell>
          <cell r="B223" t="str">
            <v>SHELBY ABC BOARD</v>
          </cell>
          <cell r="C223">
            <v>2.1800000000000001E-5</v>
          </cell>
          <cell r="D223">
            <v>2.94E-5</v>
          </cell>
          <cell r="E223">
            <v>51717</v>
          </cell>
          <cell r="F223" t="str">
            <v xml:space="preserve"> </v>
          </cell>
          <cell r="G223">
            <v>7979</v>
          </cell>
          <cell r="H223">
            <v>7099</v>
          </cell>
          <cell r="I223">
            <v>13724</v>
          </cell>
          <cell r="J223">
            <v>13785</v>
          </cell>
          <cell r="K223">
            <v>42587</v>
          </cell>
          <cell r="L223"/>
          <cell r="M223">
            <v>268</v>
          </cell>
          <cell r="N223">
            <v>0</v>
          </cell>
          <cell r="O223">
            <v>0</v>
          </cell>
          <cell r="P223">
            <v>268</v>
          </cell>
          <cell r="Q223"/>
          <cell r="R223">
            <v>14366</v>
          </cell>
          <cell r="S223">
            <v>7302</v>
          </cell>
          <cell r="T223">
            <v>21668</v>
          </cell>
        </row>
        <row r="224">
          <cell r="A224">
            <v>92321</v>
          </cell>
          <cell r="B224" t="str">
            <v>CITY OF KINGS MOUNTAIN</v>
          </cell>
          <cell r="C224">
            <v>1.2386000000000001E-3</v>
          </cell>
          <cell r="D224">
            <v>1.1773E-3</v>
          </cell>
          <cell r="E224">
            <v>2938383</v>
          </cell>
          <cell r="F224" t="str">
            <v xml:space="preserve"> </v>
          </cell>
          <cell r="G224">
            <v>453323</v>
          </cell>
          <cell r="H224">
            <v>403353</v>
          </cell>
          <cell r="I224">
            <v>779733</v>
          </cell>
          <cell r="J224">
            <v>50947</v>
          </cell>
          <cell r="K224">
            <v>1687356</v>
          </cell>
          <cell r="L224"/>
          <cell r="M224">
            <v>15211</v>
          </cell>
          <cell r="N224">
            <v>0</v>
          </cell>
          <cell r="O224">
            <v>15403</v>
          </cell>
          <cell r="P224">
            <v>30614</v>
          </cell>
          <cell r="Q224"/>
          <cell r="R224">
            <v>816204</v>
          </cell>
          <cell r="S224">
            <v>30637</v>
          </cell>
          <cell r="T224">
            <v>846841</v>
          </cell>
        </row>
        <row r="225">
          <cell r="A225">
            <v>92327</v>
          </cell>
          <cell r="B225" t="str">
            <v>KINGS MOUNTAIN ABC BOARD</v>
          </cell>
          <cell r="C225">
            <v>6.8000000000000001E-6</v>
          </cell>
          <cell r="D225">
            <v>5.6999999999999996E-6</v>
          </cell>
          <cell r="E225">
            <v>16132</v>
          </cell>
          <cell r="F225" t="str">
            <v xml:space="preserve"> </v>
          </cell>
          <cell r="G225">
            <v>2489</v>
          </cell>
          <cell r="H225">
            <v>2215</v>
          </cell>
          <cell r="I225">
            <v>4281</v>
          </cell>
          <cell r="J225">
            <v>5548</v>
          </cell>
          <cell r="K225">
            <v>14533</v>
          </cell>
          <cell r="L225"/>
          <cell r="M225">
            <v>84</v>
          </cell>
          <cell r="N225">
            <v>0</v>
          </cell>
          <cell r="O225">
            <v>0</v>
          </cell>
          <cell r="P225">
            <v>84</v>
          </cell>
          <cell r="Q225"/>
          <cell r="R225">
            <v>4481</v>
          </cell>
          <cell r="S225">
            <v>2080</v>
          </cell>
          <cell r="T225">
            <v>6561</v>
          </cell>
        </row>
        <row r="226">
          <cell r="A226">
            <v>92331</v>
          </cell>
          <cell r="B226" t="str">
            <v xml:space="preserve"> BOILING SPRINGS</v>
          </cell>
          <cell r="C226">
            <v>1.315E-4</v>
          </cell>
          <cell r="D226">
            <v>1.3970000000000001E-4</v>
          </cell>
          <cell r="E226">
            <v>311963</v>
          </cell>
          <cell r="F226" t="str">
            <v xml:space="preserve"> </v>
          </cell>
          <cell r="G226">
            <v>48128</v>
          </cell>
          <cell r="H226">
            <v>42823</v>
          </cell>
          <cell r="I226">
            <v>82783</v>
          </cell>
          <cell r="J226">
            <v>427</v>
          </cell>
          <cell r="K226">
            <v>174161</v>
          </cell>
          <cell r="L226"/>
          <cell r="M226">
            <v>1615</v>
          </cell>
          <cell r="N226">
            <v>0</v>
          </cell>
          <cell r="O226">
            <v>9509</v>
          </cell>
          <cell r="P226">
            <v>11124</v>
          </cell>
          <cell r="Q226"/>
          <cell r="R226">
            <v>86655</v>
          </cell>
          <cell r="S226">
            <v>-1856</v>
          </cell>
          <cell r="T226">
            <v>84799</v>
          </cell>
        </row>
        <row r="227">
          <cell r="A227">
            <v>92341</v>
          </cell>
          <cell r="B227" t="str">
            <v xml:space="preserve"> LAWNDALE</v>
          </cell>
          <cell r="C227">
            <v>9.2E-6</v>
          </cell>
          <cell r="D227">
            <v>9.7999999999999993E-6</v>
          </cell>
          <cell r="E227">
            <v>21826</v>
          </cell>
          <cell r="F227" t="str">
            <v xml:space="preserve"> </v>
          </cell>
          <cell r="G227">
            <v>3367</v>
          </cell>
          <cell r="H227">
            <v>2996</v>
          </cell>
          <cell r="I227">
            <v>5792</v>
          </cell>
          <cell r="J227">
            <v>297</v>
          </cell>
          <cell r="K227">
            <v>12452</v>
          </cell>
          <cell r="L227"/>
          <cell r="M227">
            <v>113</v>
          </cell>
          <cell r="N227">
            <v>0</v>
          </cell>
          <cell r="O227">
            <v>2308</v>
          </cell>
          <cell r="P227">
            <v>2421</v>
          </cell>
          <cell r="Q227"/>
          <cell r="R227">
            <v>6063</v>
          </cell>
          <cell r="S227">
            <v>-1214</v>
          </cell>
          <cell r="T227">
            <v>4849</v>
          </cell>
        </row>
        <row r="228">
          <cell r="A228">
            <v>92351</v>
          </cell>
          <cell r="B228" t="str">
            <v xml:space="preserve"> GROVER</v>
          </cell>
          <cell r="C228">
            <v>1.9400000000000001E-5</v>
          </cell>
          <cell r="D228">
            <v>1.8600000000000001E-5</v>
          </cell>
          <cell r="E228">
            <v>46023</v>
          </cell>
          <cell r="F228" t="str">
            <v xml:space="preserve"> </v>
          </cell>
          <cell r="G228">
            <v>7100</v>
          </cell>
          <cell r="H228">
            <v>6317</v>
          </cell>
          <cell r="I228">
            <v>12213</v>
          </cell>
          <cell r="J228">
            <v>3336</v>
          </cell>
          <cell r="K228">
            <v>28966</v>
          </cell>
          <cell r="L228"/>
          <cell r="M228">
            <v>238</v>
          </cell>
          <cell r="N228">
            <v>0</v>
          </cell>
          <cell r="O228">
            <v>2532</v>
          </cell>
          <cell r="P228">
            <v>2770</v>
          </cell>
          <cell r="Q228"/>
          <cell r="R228">
            <v>12784</v>
          </cell>
          <cell r="S228">
            <v>-213</v>
          </cell>
          <cell r="T228">
            <v>12571</v>
          </cell>
        </row>
        <row r="229">
          <cell r="A229">
            <v>92401</v>
          </cell>
          <cell r="B229" t="str">
            <v>COLUMBUS COUNTY</v>
          </cell>
          <cell r="C229">
            <v>2.4808E-3</v>
          </cell>
          <cell r="D229">
            <v>2.6890999999999998E-3</v>
          </cell>
          <cell r="E229">
            <v>5885306</v>
          </cell>
          <cell r="F229" t="str">
            <v xml:space="preserve"> </v>
          </cell>
          <cell r="G229">
            <v>907963</v>
          </cell>
          <cell r="H229">
            <v>807877</v>
          </cell>
          <cell r="I229">
            <v>1561733</v>
          </cell>
          <cell r="J229">
            <v>14194</v>
          </cell>
          <cell r="K229">
            <v>3291767</v>
          </cell>
          <cell r="L229"/>
          <cell r="M229">
            <v>30467</v>
          </cell>
          <cell r="N229">
            <v>0</v>
          </cell>
          <cell r="O229">
            <v>55822</v>
          </cell>
          <cell r="P229">
            <v>86289</v>
          </cell>
          <cell r="Q229"/>
          <cell r="R229">
            <v>1634780</v>
          </cell>
          <cell r="S229">
            <v>5281</v>
          </cell>
          <cell r="T229">
            <v>1640061</v>
          </cell>
        </row>
        <row r="230">
          <cell r="A230">
            <v>92403</v>
          </cell>
          <cell r="B230" t="str">
            <v>WHITEVILLE HOUSING AUTHORITY</v>
          </cell>
          <cell r="C230">
            <v>1.0200000000000001E-5</v>
          </cell>
          <cell r="D230">
            <v>1.11E-5</v>
          </cell>
          <cell r="E230">
            <v>24198</v>
          </cell>
          <cell r="F230" t="str">
            <v xml:space="preserve"> </v>
          </cell>
          <cell r="G230">
            <v>3733</v>
          </cell>
          <cell r="H230">
            <v>3321</v>
          </cell>
          <cell r="I230">
            <v>6421</v>
          </cell>
          <cell r="J230">
            <v>1611</v>
          </cell>
          <cell r="K230">
            <v>15086</v>
          </cell>
          <cell r="L230"/>
          <cell r="M230">
            <v>125</v>
          </cell>
          <cell r="N230">
            <v>0</v>
          </cell>
          <cell r="O230">
            <v>851</v>
          </cell>
          <cell r="P230">
            <v>976</v>
          </cell>
          <cell r="Q230"/>
          <cell r="R230">
            <v>6722</v>
          </cell>
          <cell r="S230">
            <v>220</v>
          </cell>
          <cell r="T230">
            <v>6942</v>
          </cell>
        </row>
        <row r="231">
          <cell r="A231">
            <v>92411</v>
          </cell>
          <cell r="B231" t="str">
            <v>CITY OF WHITEVILLE</v>
          </cell>
          <cell r="C231">
            <v>4.4569999999999999E-4</v>
          </cell>
          <cell r="D231">
            <v>5.0469999999999996E-4</v>
          </cell>
          <cell r="E231">
            <v>1057353</v>
          </cell>
          <cell r="F231" t="str">
            <v xml:space="preserve"> </v>
          </cell>
          <cell r="G231">
            <v>163124</v>
          </cell>
          <cell r="H231">
            <v>145143</v>
          </cell>
          <cell r="I231">
            <v>280581</v>
          </cell>
          <cell r="J231">
            <v>165</v>
          </cell>
          <cell r="K231">
            <v>589013</v>
          </cell>
          <cell r="L231"/>
          <cell r="M231">
            <v>5474</v>
          </cell>
          <cell r="N231">
            <v>0</v>
          </cell>
          <cell r="O231">
            <v>72580</v>
          </cell>
          <cell r="P231">
            <v>78054</v>
          </cell>
          <cell r="Q231"/>
          <cell r="R231">
            <v>293704</v>
          </cell>
          <cell r="S231">
            <v>-29467</v>
          </cell>
          <cell r="T231">
            <v>264237</v>
          </cell>
        </row>
        <row r="232">
          <cell r="A232">
            <v>92414</v>
          </cell>
          <cell r="B232" t="str">
            <v xml:space="preserve"> BOLTON</v>
          </cell>
          <cell r="C232">
            <v>0</v>
          </cell>
          <cell r="D232">
            <v>0</v>
          </cell>
          <cell r="E232">
            <v>0</v>
          </cell>
          <cell r="F232" t="str">
            <v xml:space="preserve"> </v>
          </cell>
          <cell r="G232">
            <v>0</v>
          </cell>
          <cell r="H232">
            <v>0</v>
          </cell>
          <cell r="I232">
            <v>0</v>
          </cell>
          <cell r="J232">
            <v>0</v>
          </cell>
          <cell r="K232">
            <v>0</v>
          </cell>
          <cell r="L232"/>
          <cell r="M232">
            <v>0</v>
          </cell>
          <cell r="N232">
            <v>0</v>
          </cell>
          <cell r="O232">
            <v>3269</v>
          </cell>
          <cell r="P232">
            <v>3269</v>
          </cell>
          <cell r="Q232"/>
          <cell r="R232">
            <v>0</v>
          </cell>
          <cell r="S232">
            <v>-2443</v>
          </cell>
          <cell r="T232">
            <v>-2443</v>
          </cell>
        </row>
        <row r="233">
          <cell r="A233">
            <v>92417</v>
          </cell>
          <cell r="B233" t="str">
            <v>WHITEVILLE ABC BOARD</v>
          </cell>
          <cell r="C233">
            <v>1.8600000000000001E-5</v>
          </cell>
          <cell r="D233">
            <v>1.8300000000000001E-5</v>
          </cell>
          <cell r="E233">
            <v>44126</v>
          </cell>
          <cell r="F233" t="str">
            <v xml:space="preserve"> </v>
          </cell>
          <cell r="G233">
            <v>6808</v>
          </cell>
          <cell r="H233">
            <v>6058</v>
          </cell>
          <cell r="I233">
            <v>11709</v>
          </cell>
          <cell r="J233">
            <v>0</v>
          </cell>
          <cell r="K233">
            <v>24575</v>
          </cell>
          <cell r="L233"/>
          <cell r="M233">
            <v>228</v>
          </cell>
          <cell r="N233">
            <v>0</v>
          </cell>
          <cell r="O233">
            <v>3682</v>
          </cell>
          <cell r="P233">
            <v>3910</v>
          </cell>
          <cell r="Q233"/>
          <cell r="R233">
            <v>12257</v>
          </cell>
          <cell r="S233">
            <v>-1356</v>
          </cell>
          <cell r="T233">
            <v>10901</v>
          </cell>
        </row>
        <row r="234">
          <cell r="A234">
            <v>92421</v>
          </cell>
          <cell r="B234" t="str">
            <v xml:space="preserve"> BRUNSWICK</v>
          </cell>
          <cell r="C234">
            <v>8.6999999999999997E-6</v>
          </cell>
          <cell r="D234">
            <v>8.8000000000000004E-6</v>
          </cell>
          <cell r="E234">
            <v>20639</v>
          </cell>
          <cell r="F234" t="str">
            <v xml:space="preserve"> </v>
          </cell>
          <cell r="G234">
            <v>3184</v>
          </cell>
          <cell r="H234">
            <v>2833</v>
          </cell>
          <cell r="I234">
            <v>5477</v>
          </cell>
          <cell r="J234">
            <v>6193</v>
          </cell>
          <cell r="K234">
            <v>17687</v>
          </cell>
          <cell r="L234"/>
          <cell r="M234">
            <v>107</v>
          </cell>
          <cell r="N234">
            <v>0</v>
          </cell>
          <cell r="O234">
            <v>746</v>
          </cell>
          <cell r="P234">
            <v>853</v>
          </cell>
          <cell r="Q234"/>
          <cell r="R234">
            <v>5733</v>
          </cell>
          <cell r="S234">
            <v>1925</v>
          </cell>
          <cell r="T234">
            <v>7658</v>
          </cell>
        </row>
        <row r="235">
          <cell r="A235">
            <v>92427</v>
          </cell>
          <cell r="B235" t="str">
            <v>LAKE WACCAMAW ABC BOARD</v>
          </cell>
          <cell r="C235">
            <v>1.9999999999999999E-6</v>
          </cell>
          <cell r="D235">
            <v>3.9999999999999998E-7</v>
          </cell>
          <cell r="E235">
            <v>4745</v>
          </cell>
          <cell r="F235" t="str">
            <v xml:space="preserve"> </v>
          </cell>
          <cell r="G235">
            <v>732</v>
          </cell>
          <cell r="H235">
            <v>651</v>
          </cell>
          <cell r="I235">
            <v>1259</v>
          </cell>
          <cell r="J235">
            <v>2874</v>
          </cell>
          <cell r="K235">
            <v>5516</v>
          </cell>
          <cell r="L235"/>
          <cell r="M235">
            <v>25</v>
          </cell>
          <cell r="N235">
            <v>0</v>
          </cell>
          <cell r="O235">
            <v>0</v>
          </cell>
          <cell r="P235">
            <v>25</v>
          </cell>
          <cell r="Q235"/>
          <cell r="R235">
            <v>1318</v>
          </cell>
          <cell r="S235">
            <v>1269</v>
          </cell>
          <cell r="T235">
            <v>2587</v>
          </cell>
        </row>
        <row r="236">
          <cell r="A236">
            <v>92431</v>
          </cell>
          <cell r="B236" t="str">
            <v xml:space="preserve"> FAIR BLUFF</v>
          </cell>
          <cell r="C236">
            <v>2.1999999999999999E-5</v>
          </cell>
          <cell r="D236">
            <v>3.0800000000000003E-5</v>
          </cell>
          <cell r="E236">
            <v>52192</v>
          </cell>
          <cell r="F236" t="str">
            <v xml:space="preserve"> </v>
          </cell>
          <cell r="G236">
            <v>8052</v>
          </cell>
          <cell r="H236">
            <v>7164</v>
          </cell>
          <cell r="I236">
            <v>13850</v>
          </cell>
          <cell r="J236">
            <v>12947</v>
          </cell>
          <cell r="K236">
            <v>42013</v>
          </cell>
          <cell r="L236"/>
          <cell r="M236">
            <v>270</v>
          </cell>
          <cell r="N236">
            <v>0</v>
          </cell>
          <cell r="O236">
            <v>3712</v>
          </cell>
          <cell r="P236">
            <v>3982</v>
          </cell>
          <cell r="Q236"/>
          <cell r="R236">
            <v>14497</v>
          </cell>
          <cell r="S236">
            <v>3732</v>
          </cell>
          <cell r="T236">
            <v>18229</v>
          </cell>
        </row>
        <row r="237">
          <cell r="A237">
            <v>92441</v>
          </cell>
          <cell r="B237" t="str">
            <v xml:space="preserve"> CHADBOURN</v>
          </cell>
          <cell r="C237">
            <v>1.002E-4</v>
          </cell>
          <cell r="D237">
            <v>7.7999999999999999E-5</v>
          </cell>
          <cell r="E237">
            <v>237709</v>
          </cell>
          <cell r="F237" t="str">
            <v xml:space="preserve"> </v>
          </cell>
          <cell r="G237">
            <v>36673</v>
          </cell>
          <cell r="H237">
            <v>32630</v>
          </cell>
          <cell r="I237">
            <v>63079</v>
          </cell>
          <cell r="J237">
            <v>15338</v>
          </cell>
          <cell r="K237">
            <v>147720</v>
          </cell>
          <cell r="L237"/>
          <cell r="M237">
            <v>1231</v>
          </cell>
          <cell r="N237">
            <v>0</v>
          </cell>
          <cell r="O237">
            <v>8352</v>
          </cell>
          <cell r="P237">
            <v>9583</v>
          </cell>
          <cell r="Q237"/>
          <cell r="R237">
            <v>66029</v>
          </cell>
          <cell r="S237">
            <v>-3122</v>
          </cell>
          <cell r="T237">
            <v>62907</v>
          </cell>
        </row>
        <row r="238">
          <cell r="A238">
            <v>92444</v>
          </cell>
          <cell r="B238" t="str">
            <v>WEST COLUMBUS ABC BOARD</v>
          </cell>
          <cell r="C238">
            <v>1.7E-6</v>
          </cell>
          <cell r="D238">
            <v>1.7999999999999999E-6</v>
          </cell>
          <cell r="E238">
            <v>4033</v>
          </cell>
          <cell r="F238" t="str">
            <v xml:space="preserve"> </v>
          </cell>
          <cell r="G238">
            <v>622</v>
          </cell>
          <cell r="H238">
            <v>553</v>
          </cell>
          <cell r="I238">
            <v>1070</v>
          </cell>
          <cell r="J238">
            <v>3193</v>
          </cell>
          <cell r="K238">
            <v>5438</v>
          </cell>
          <cell r="L238"/>
          <cell r="M238">
            <v>21</v>
          </cell>
          <cell r="N238">
            <v>0</v>
          </cell>
          <cell r="O238">
            <v>0</v>
          </cell>
          <cell r="P238">
            <v>21</v>
          </cell>
          <cell r="Q238"/>
          <cell r="R238">
            <v>1120</v>
          </cell>
          <cell r="S238">
            <v>1642</v>
          </cell>
          <cell r="T238">
            <v>2762</v>
          </cell>
        </row>
        <row r="239">
          <cell r="A239">
            <v>92451</v>
          </cell>
          <cell r="B239" t="str">
            <v xml:space="preserve"> TABOR CITY</v>
          </cell>
          <cell r="C239">
            <v>1.2650000000000001E-4</v>
          </cell>
          <cell r="D239">
            <v>1.3070000000000001E-4</v>
          </cell>
          <cell r="E239">
            <v>300101</v>
          </cell>
          <cell r="F239" t="str">
            <v xml:space="preserve"> </v>
          </cell>
          <cell r="G239">
            <v>46298</v>
          </cell>
          <cell r="H239">
            <v>41195</v>
          </cell>
          <cell r="I239">
            <v>79635</v>
          </cell>
          <cell r="J239">
            <v>28275</v>
          </cell>
          <cell r="K239">
            <v>195403</v>
          </cell>
          <cell r="L239"/>
          <cell r="M239">
            <v>1554</v>
          </cell>
          <cell r="N239">
            <v>0</v>
          </cell>
          <cell r="O239">
            <v>0</v>
          </cell>
          <cell r="P239">
            <v>1554</v>
          </cell>
          <cell r="Q239"/>
          <cell r="R239">
            <v>83360</v>
          </cell>
          <cell r="S239">
            <v>15181</v>
          </cell>
          <cell r="T239">
            <v>98541</v>
          </cell>
        </row>
        <row r="240">
          <cell r="A240">
            <v>92461</v>
          </cell>
          <cell r="B240" t="str">
            <v xml:space="preserve"> LAKE WACCAMAW</v>
          </cell>
          <cell r="C240">
            <v>6.7500000000000001E-5</v>
          </cell>
          <cell r="D240">
            <v>7.1099999999999994E-5</v>
          </cell>
          <cell r="E240">
            <v>160133</v>
          </cell>
          <cell r="F240" t="str">
            <v xml:space="preserve"> </v>
          </cell>
          <cell r="G240">
            <v>24705</v>
          </cell>
          <cell r="H240">
            <v>21982</v>
          </cell>
          <cell r="I240">
            <v>42493</v>
          </cell>
          <cell r="J240">
            <v>14437</v>
          </cell>
          <cell r="K240">
            <v>103617</v>
          </cell>
          <cell r="L240"/>
          <cell r="M240">
            <v>829</v>
          </cell>
          <cell r="N240">
            <v>0</v>
          </cell>
          <cell r="O240">
            <v>2116</v>
          </cell>
          <cell r="P240">
            <v>2945</v>
          </cell>
          <cell r="Q240"/>
          <cell r="R240">
            <v>44481</v>
          </cell>
          <cell r="S240">
            <v>2527</v>
          </cell>
          <cell r="T240">
            <v>47008</v>
          </cell>
        </row>
        <row r="241">
          <cell r="A241">
            <v>92501</v>
          </cell>
          <cell r="B241" t="str">
            <v>CRAVEN COUNTY</v>
          </cell>
          <cell r="C241">
            <v>3.7823000000000002E-3</v>
          </cell>
          <cell r="D241">
            <v>3.8252E-3</v>
          </cell>
          <cell r="E241">
            <v>8972909</v>
          </cell>
          <cell r="F241" t="str">
            <v xml:space="preserve"> </v>
          </cell>
          <cell r="G241">
            <v>1384307</v>
          </cell>
          <cell r="H241">
            <v>1231713</v>
          </cell>
          <cell r="I241">
            <v>2381064</v>
          </cell>
          <cell r="J241">
            <v>177147</v>
          </cell>
          <cell r="K241">
            <v>5174231</v>
          </cell>
          <cell r="L241"/>
          <cell r="M241">
            <v>46450</v>
          </cell>
          <cell r="N241">
            <v>0</v>
          </cell>
          <cell r="O241">
            <v>4069</v>
          </cell>
          <cell r="P241">
            <v>50519</v>
          </cell>
          <cell r="Q241"/>
          <cell r="R241">
            <v>2492434</v>
          </cell>
          <cell r="S241">
            <v>67545</v>
          </cell>
          <cell r="T241">
            <v>2559979</v>
          </cell>
        </row>
        <row r="242">
          <cell r="A242">
            <v>92502</v>
          </cell>
          <cell r="B242" t="str">
            <v>FIRST CRAVEN SANITARY DIST</v>
          </cell>
          <cell r="C242">
            <v>2.5700000000000001E-5</v>
          </cell>
          <cell r="D242">
            <v>2.7500000000000001E-5</v>
          </cell>
          <cell r="E242">
            <v>60969</v>
          </cell>
          <cell r="F242" t="str">
            <v xml:space="preserve"> </v>
          </cell>
          <cell r="G242">
            <v>9406</v>
          </cell>
          <cell r="H242">
            <v>8369</v>
          </cell>
          <cell r="I242">
            <v>16179</v>
          </cell>
          <cell r="J242">
            <v>3432</v>
          </cell>
          <cell r="K242">
            <v>37386</v>
          </cell>
          <cell r="L242"/>
          <cell r="M242">
            <v>316</v>
          </cell>
          <cell r="N242">
            <v>0</v>
          </cell>
          <cell r="O242">
            <v>803</v>
          </cell>
          <cell r="P242">
            <v>1119</v>
          </cell>
          <cell r="Q242"/>
          <cell r="R242">
            <v>16936</v>
          </cell>
          <cell r="S242">
            <v>200</v>
          </cell>
          <cell r="T242">
            <v>17136</v>
          </cell>
        </row>
        <row r="243">
          <cell r="A243">
            <v>92504</v>
          </cell>
          <cell r="B243" t="str">
            <v>CRAVEN CO ABC BD</v>
          </cell>
          <cell r="C243">
            <v>7.86E-5</v>
          </cell>
          <cell r="D243">
            <v>8.4300000000000003E-5</v>
          </cell>
          <cell r="E243">
            <v>186466</v>
          </cell>
          <cell r="F243" t="str">
            <v xml:space="preserve"> </v>
          </cell>
          <cell r="G243">
            <v>28767</v>
          </cell>
          <cell r="H243">
            <v>25596</v>
          </cell>
          <cell r="I243">
            <v>49481</v>
          </cell>
          <cell r="J243">
            <v>24679</v>
          </cell>
          <cell r="K243">
            <v>128523</v>
          </cell>
          <cell r="L243"/>
          <cell r="M243">
            <v>965</v>
          </cell>
          <cell r="N243">
            <v>0</v>
          </cell>
          <cell r="O243">
            <v>0</v>
          </cell>
          <cell r="P243">
            <v>965</v>
          </cell>
          <cell r="Q243"/>
          <cell r="R243">
            <v>51795</v>
          </cell>
          <cell r="S243">
            <v>11445</v>
          </cell>
          <cell r="T243">
            <v>63240</v>
          </cell>
        </row>
        <row r="244">
          <cell r="A244">
            <v>92505</v>
          </cell>
          <cell r="B244" t="str">
            <v>CRAVEN-PAMLICO-CARTERET REGIONAL LIBRARY</v>
          </cell>
          <cell r="C244">
            <v>1.8330000000000001E-4</v>
          </cell>
          <cell r="D244">
            <v>1.9239999999999999E-4</v>
          </cell>
          <cell r="E244">
            <v>434850</v>
          </cell>
          <cell r="F244" t="str">
            <v xml:space="preserve"> </v>
          </cell>
          <cell r="G244">
            <v>67087</v>
          </cell>
          <cell r="H244">
            <v>59692</v>
          </cell>
          <cell r="I244">
            <v>115392</v>
          </cell>
          <cell r="J244">
            <v>59838</v>
          </cell>
          <cell r="K244">
            <v>302009</v>
          </cell>
          <cell r="L244"/>
          <cell r="M244">
            <v>2251</v>
          </cell>
          <cell r="N244">
            <v>0</v>
          </cell>
          <cell r="O244">
            <v>0</v>
          </cell>
          <cell r="P244">
            <v>2251</v>
          </cell>
          <cell r="Q244"/>
          <cell r="R244">
            <v>120790</v>
          </cell>
          <cell r="S244">
            <v>29276</v>
          </cell>
          <cell r="T244">
            <v>150066</v>
          </cell>
        </row>
        <row r="245">
          <cell r="A245">
            <v>92506</v>
          </cell>
          <cell r="B245" t="str">
            <v>COASTAL CAROLINA REGIONAL AIRPORT</v>
          </cell>
          <cell r="C245">
            <v>6.05E-5</v>
          </cell>
          <cell r="D245">
            <v>4.7500000000000003E-5</v>
          </cell>
          <cell r="E245">
            <v>143527</v>
          </cell>
          <cell r="F245" t="str">
            <v xml:space="preserve"> </v>
          </cell>
          <cell r="G245">
            <v>22143</v>
          </cell>
          <cell r="H245">
            <v>19702</v>
          </cell>
          <cell r="I245">
            <v>38086</v>
          </cell>
          <cell r="J245">
            <v>23804</v>
          </cell>
          <cell r="K245">
            <v>103735</v>
          </cell>
          <cell r="L245"/>
          <cell r="M245">
            <v>743</v>
          </cell>
          <cell r="N245">
            <v>0</v>
          </cell>
          <cell r="O245">
            <v>0</v>
          </cell>
          <cell r="P245">
            <v>743</v>
          </cell>
          <cell r="Q245"/>
          <cell r="R245">
            <v>39868</v>
          </cell>
          <cell r="S245">
            <v>10713</v>
          </cell>
          <cell r="T245">
            <v>50581</v>
          </cell>
        </row>
        <row r="246">
          <cell r="A246">
            <v>92507</v>
          </cell>
          <cell r="B246" t="str">
            <v>NEUSE RIVER COUNCIL OF GOVERNMENTS</v>
          </cell>
          <cell r="C246">
            <v>9.2800000000000006E-5</v>
          </cell>
          <cell r="D246">
            <v>9.5699999999999995E-5</v>
          </cell>
          <cell r="E246">
            <v>220153</v>
          </cell>
          <cell r="F246" t="str">
            <v xml:space="preserve"> </v>
          </cell>
          <cell r="G246">
            <v>33964</v>
          </cell>
          <cell r="H246">
            <v>30220</v>
          </cell>
          <cell r="I246">
            <v>58420</v>
          </cell>
          <cell r="J246">
            <v>7696</v>
          </cell>
          <cell r="K246">
            <v>130300</v>
          </cell>
          <cell r="L246"/>
          <cell r="M246">
            <v>1140</v>
          </cell>
          <cell r="N246">
            <v>0</v>
          </cell>
          <cell r="O246">
            <v>13640</v>
          </cell>
          <cell r="P246">
            <v>14780</v>
          </cell>
          <cell r="Q246"/>
          <cell r="R246">
            <v>61153</v>
          </cell>
          <cell r="S246">
            <v>-7333</v>
          </cell>
          <cell r="T246">
            <v>53820</v>
          </cell>
        </row>
        <row r="247">
          <cell r="A247">
            <v>92508</v>
          </cell>
          <cell r="B247" t="str">
            <v>COASTAL REGIONAL SOLID WASTE MNGT AUTHORITY</v>
          </cell>
          <cell r="C247">
            <v>3.076E-4</v>
          </cell>
          <cell r="D247">
            <v>3.1E-4</v>
          </cell>
          <cell r="E247">
            <v>729732</v>
          </cell>
          <cell r="F247" t="str">
            <v xml:space="preserve"> </v>
          </cell>
          <cell r="G247">
            <v>112580</v>
          </cell>
          <cell r="H247">
            <v>100171</v>
          </cell>
          <cell r="I247">
            <v>193643</v>
          </cell>
          <cell r="J247">
            <v>7720</v>
          </cell>
          <cell r="K247">
            <v>414114</v>
          </cell>
          <cell r="L247"/>
          <cell r="M247">
            <v>3778</v>
          </cell>
          <cell r="N247">
            <v>0</v>
          </cell>
          <cell r="O247">
            <v>915</v>
          </cell>
          <cell r="P247">
            <v>4693</v>
          </cell>
          <cell r="Q247"/>
          <cell r="R247">
            <v>202700</v>
          </cell>
          <cell r="S247">
            <v>4814</v>
          </cell>
          <cell r="T247">
            <v>207514</v>
          </cell>
        </row>
        <row r="249">
          <cell r="A249">
            <v>92511</v>
          </cell>
          <cell r="B249" t="str">
            <v>CITY OF NEW BERN</v>
          </cell>
          <cell r="C249">
            <v>3.3249999999999998E-3</v>
          </cell>
          <cell r="D249">
            <v>3.3240000000000001E-3</v>
          </cell>
          <cell r="E249">
            <v>7888037</v>
          </cell>
          <cell r="F249" t="str">
            <v xml:space="preserve"> </v>
          </cell>
          <cell r="G249">
            <v>1216937</v>
          </cell>
          <cell r="H249">
            <v>1082793</v>
          </cell>
          <cell r="I249">
            <v>2093181</v>
          </cell>
          <cell r="J249">
            <v>11784</v>
          </cell>
          <cell r="K249">
            <v>4404695</v>
          </cell>
          <cell r="L249"/>
          <cell r="M249">
            <v>40834</v>
          </cell>
          <cell r="N249">
            <v>0</v>
          </cell>
          <cell r="O249">
            <v>152525</v>
          </cell>
          <cell r="P249">
            <v>193359</v>
          </cell>
          <cell r="Q249"/>
          <cell r="R249">
            <v>2191085</v>
          </cell>
          <cell r="S249">
            <v>-70016</v>
          </cell>
          <cell r="T249">
            <v>2121069</v>
          </cell>
        </row>
        <row r="250">
          <cell r="A250" t="str">
            <v>96519M</v>
          </cell>
          <cell r="B250" t="str">
            <v>COASTALCARE</v>
          </cell>
          <cell r="C250">
            <v>0</v>
          </cell>
          <cell r="D250">
            <v>0</v>
          </cell>
          <cell r="E250">
            <v>0</v>
          </cell>
          <cell r="F250" t="str">
            <v xml:space="preserve"> </v>
          </cell>
          <cell r="G250">
            <v>0</v>
          </cell>
          <cell r="H250">
            <v>0</v>
          </cell>
          <cell r="I250">
            <v>0</v>
          </cell>
          <cell r="J250">
            <v>25219</v>
          </cell>
          <cell r="K250">
            <v>25219</v>
          </cell>
          <cell r="L250"/>
          <cell r="M250">
            <v>0</v>
          </cell>
          <cell r="N250">
            <v>0</v>
          </cell>
          <cell r="O250">
            <v>448900</v>
          </cell>
          <cell r="P250">
            <v>448900</v>
          </cell>
          <cell r="Q250"/>
          <cell r="R250">
            <v>0</v>
          </cell>
          <cell r="S250">
            <v>-104030</v>
          </cell>
          <cell r="T250">
            <v>-104030</v>
          </cell>
        </row>
        <row r="251">
          <cell r="A251" t="str">
            <v>92509M</v>
          </cell>
          <cell r="B251" t="str">
            <v>EAST CAROLINA BEHAVORIAL HEALTHCARE</v>
          </cell>
          <cell r="C251">
            <v>0</v>
          </cell>
          <cell r="D251">
            <v>0</v>
          </cell>
          <cell r="E251">
            <v>0</v>
          </cell>
          <cell r="F251" t="str">
            <v xml:space="preserve"> </v>
          </cell>
          <cell r="G251">
            <v>0</v>
          </cell>
          <cell r="H251">
            <v>0</v>
          </cell>
          <cell r="I251">
            <v>0</v>
          </cell>
          <cell r="J251">
            <v>8188</v>
          </cell>
          <cell r="K251">
            <v>8188</v>
          </cell>
          <cell r="L251"/>
          <cell r="M251">
            <v>0</v>
          </cell>
          <cell r="N251">
            <v>0</v>
          </cell>
          <cell r="O251">
            <v>564201</v>
          </cell>
          <cell r="P251">
            <v>564201</v>
          </cell>
          <cell r="Q251"/>
          <cell r="R251">
            <v>0</v>
          </cell>
          <cell r="S251">
            <v>-224458</v>
          </cell>
          <cell r="T251">
            <v>-224458</v>
          </cell>
        </row>
        <row r="252">
          <cell r="A252" t="str">
            <v>92513M</v>
          </cell>
          <cell r="B252" t="str">
            <v>TRILLIUM HEALTH RESOURCES</v>
          </cell>
          <cell r="C252">
            <v>3.9129000000000004E-3</v>
          </cell>
          <cell r="D252">
            <v>4.0328999999999999E-3</v>
          </cell>
          <cell r="E252">
            <v>9282737</v>
          </cell>
          <cell r="F252" t="str">
            <v xml:space="preserve"> </v>
          </cell>
          <cell r="G252">
            <v>1432106</v>
          </cell>
          <cell r="H252">
            <v>1274244</v>
          </cell>
          <cell r="I252">
            <v>2463280</v>
          </cell>
          <cell r="J252">
            <v>963519</v>
          </cell>
          <cell r="K252">
            <v>6133149</v>
          </cell>
          <cell r="L252"/>
          <cell r="M252">
            <v>48054</v>
          </cell>
          <cell r="N252">
            <v>0</v>
          </cell>
          <cell r="O252">
            <v>288340</v>
          </cell>
          <cell r="P252">
            <v>336394</v>
          </cell>
          <cell r="Q252"/>
          <cell r="R252">
            <v>2578495</v>
          </cell>
          <cell r="S252">
            <v>439276</v>
          </cell>
          <cell r="T252">
            <v>3017771</v>
          </cell>
        </row>
        <row r="253">
          <cell r="A253">
            <v>92513</v>
          </cell>
          <cell r="B253" t="str">
            <v>TRILLIUM HEALTH RESOURCES (INCLUDES EAST CAROLINA BEHAVIORAL HEALTHCARE AND COASTALCARE)</v>
          </cell>
          <cell r="C253">
            <v>3.9129000000000004E-3</v>
          </cell>
          <cell r="D253">
            <v>4.0328999999999999E-3</v>
          </cell>
          <cell r="E253">
            <v>9282737</v>
          </cell>
          <cell r="F253"/>
          <cell r="G253">
            <v>1432106</v>
          </cell>
          <cell r="H253">
            <v>1274244</v>
          </cell>
          <cell r="I253">
            <v>2463280</v>
          </cell>
          <cell r="J253">
            <v>996926</v>
          </cell>
          <cell r="K253">
            <v>6166556</v>
          </cell>
          <cell r="L253"/>
          <cell r="M253">
            <v>48054</v>
          </cell>
          <cell r="N253">
            <v>0</v>
          </cell>
          <cell r="O253">
            <v>1301441</v>
          </cell>
          <cell r="P253">
            <v>1349495</v>
          </cell>
          <cell r="Q253"/>
          <cell r="R253">
            <v>2578495</v>
          </cell>
          <cell r="S253">
            <v>110788</v>
          </cell>
          <cell r="T253">
            <v>2689283</v>
          </cell>
        </row>
        <row r="254">
          <cell r="A254">
            <v>92521</v>
          </cell>
          <cell r="B254" t="str">
            <v xml:space="preserve"> TRENT WOODS</v>
          </cell>
          <cell r="C254">
            <v>8.6799999999999996E-5</v>
          </cell>
          <cell r="D254">
            <v>8.6899999999999998E-5</v>
          </cell>
          <cell r="E254">
            <v>205919</v>
          </cell>
          <cell r="F254" t="str">
            <v xml:space="preserve"> </v>
          </cell>
          <cell r="G254">
            <v>31768</v>
          </cell>
          <cell r="H254">
            <v>28267</v>
          </cell>
          <cell r="I254">
            <v>54643</v>
          </cell>
          <cell r="J254">
            <v>1428</v>
          </cell>
          <cell r="K254">
            <v>116106</v>
          </cell>
          <cell r="L254"/>
          <cell r="M254">
            <v>1066</v>
          </cell>
          <cell r="N254">
            <v>0</v>
          </cell>
          <cell r="O254">
            <v>8085</v>
          </cell>
          <cell r="P254">
            <v>9151</v>
          </cell>
          <cell r="Q254"/>
          <cell r="R254">
            <v>57199</v>
          </cell>
          <cell r="S254">
            <v>-2979</v>
          </cell>
          <cell r="T254">
            <v>54220</v>
          </cell>
        </row>
        <row r="255">
          <cell r="A255">
            <v>92531</v>
          </cell>
          <cell r="B255" t="str">
            <v>CITY OF HAVELOCK</v>
          </cell>
          <cell r="C255">
            <v>8.4360000000000001E-4</v>
          </cell>
          <cell r="D255">
            <v>8.6490000000000004E-4</v>
          </cell>
          <cell r="E255">
            <v>2001308</v>
          </cell>
          <cell r="F255" t="str">
            <v xml:space="preserve"> </v>
          </cell>
          <cell r="G255">
            <v>308754</v>
          </cell>
          <cell r="H255">
            <v>274720</v>
          </cell>
          <cell r="I255">
            <v>531070</v>
          </cell>
          <cell r="J255">
            <v>0</v>
          </cell>
          <cell r="K255">
            <v>1114544</v>
          </cell>
          <cell r="L255"/>
          <cell r="M255">
            <v>10360</v>
          </cell>
          <cell r="N255">
            <v>0</v>
          </cell>
          <cell r="O255">
            <v>111598</v>
          </cell>
          <cell r="P255">
            <v>121958</v>
          </cell>
          <cell r="Q255"/>
          <cell r="R255">
            <v>555910</v>
          </cell>
          <cell r="S255">
            <v>-73390</v>
          </cell>
          <cell r="T255">
            <v>482520</v>
          </cell>
        </row>
        <row r="256">
          <cell r="A256">
            <v>92541</v>
          </cell>
          <cell r="B256" t="str">
            <v xml:space="preserve"> RIVER BEND</v>
          </cell>
          <cell r="C256">
            <v>1.2459999999999999E-4</v>
          </cell>
          <cell r="D256">
            <v>1.4469999999999999E-4</v>
          </cell>
          <cell r="E256">
            <v>295594</v>
          </cell>
          <cell r="F256" t="str">
            <v xml:space="preserve"> </v>
          </cell>
          <cell r="G256">
            <v>45603</v>
          </cell>
          <cell r="H256">
            <v>40576</v>
          </cell>
          <cell r="I256">
            <v>78439</v>
          </cell>
          <cell r="J256">
            <v>2741</v>
          </cell>
          <cell r="K256">
            <v>167359</v>
          </cell>
          <cell r="L256"/>
          <cell r="M256">
            <v>1530</v>
          </cell>
          <cell r="N256">
            <v>0</v>
          </cell>
          <cell r="O256">
            <v>19775</v>
          </cell>
          <cell r="P256">
            <v>21305</v>
          </cell>
          <cell r="Q256"/>
          <cell r="R256">
            <v>82108</v>
          </cell>
          <cell r="S256">
            <v>-1772</v>
          </cell>
          <cell r="T256">
            <v>80336</v>
          </cell>
        </row>
        <row r="257">
          <cell r="A257">
            <v>92551</v>
          </cell>
          <cell r="B257" t="str">
            <v xml:space="preserve"> VANCEBORO</v>
          </cell>
          <cell r="C257">
            <v>4.3399999999999998E-5</v>
          </cell>
          <cell r="D257">
            <v>5.3300000000000001E-5</v>
          </cell>
          <cell r="E257">
            <v>102960</v>
          </cell>
          <cell r="F257" t="str">
            <v xml:space="preserve"> </v>
          </cell>
          <cell r="G257">
            <v>15884</v>
          </cell>
          <cell r="H257">
            <v>14134</v>
          </cell>
          <cell r="I257">
            <v>27322</v>
          </cell>
          <cell r="J257">
            <v>3097</v>
          </cell>
          <cell r="K257">
            <v>60437</v>
          </cell>
          <cell r="L257"/>
          <cell r="M257">
            <v>533</v>
          </cell>
          <cell r="N257">
            <v>0</v>
          </cell>
          <cell r="O257">
            <v>11920</v>
          </cell>
          <cell r="P257">
            <v>12453</v>
          </cell>
          <cell r="Q257"/>
          <cell r="R257">
            <v>28599</v>
          </cell>
          <cell r="S257">
            <v>-841</v>
          </cell>
          <cell r="T257">
            <v>27758</v>
          </cell>
        </row>
        <row r="258">
          <cell r="A258">
            <v>92561</v>
          </cell>
          <cell r="B258" t="str">
            <v xml:space="preserve"> BRIDGETON</v>
          </cell>
          <cell r="C258">
            <v>2.1399999999999998E-5</v>
          </cell>
          <cell r="D258">
            <v>2.2200000000000001E-5</v>
          </cell>
          <cell r="E258">
            <v>50768</v>
          </cell>
          <cell r="F258" t="str">
            <v xml:space="preserve"> </v>
          </cell>
          <cell r="G258">
            <v>7832</v>
          </cell>
          <cell r="H258">
            <v>6969</v>
          </cell>
          <cell r="I258">
            <v>13472</v>
          </cell>
          <cell r="J258">
            <v>2739</v>
          </cell>
          <cell r="K258">
            <v>31012</v>
          </cell>
          <cell r="L258"/>
          <cell r="M258">
            <v>263</v>
          </cell>
          <cell r="N258">
            <v>0</v>
          </cell>
          <cell r="O258">
            <v>135</v>
          </cell>
          <cell r="P258">
            <v>398</v>
          </cell>
          <cell r="Q258"/>
          <cell r="R258">
            <v>14102</v>
          </cell>
          <cell r="S258">
            <v>2596</v>
          </cell>
          <cell r="T258">
            <v>16698</v>
          </cell>
        </row>
        <row r="259">
          <cell r="A259">
            <v>92571</v>
          </cell>
          <cell r="B259" t="str">
            <v xml:space="preserve"> COVE CITY</v>
          </cell>
          <cell r="C259">
            <v>8.1000000000000004E-6</v>
          </cell>
          <cell r="D259">
            <v>1.01E-5</v>
          </cell>
          <cell r="E259">
            <v>19216</v>
          </cell>
          <cell r="F259" t="str">
            <v xml:space="preserve"> </v>
          </cell>
          <cell r="G259">
            <v>2965</v>
          </cell>
          <cell r="H259">
            <v>2638</v>
          </cell>
          <cell r="I259">
            <v>5099</v>
          </cell>
          <cell r="J259">
            <v>7660</v>
          </cell>
          <cell r="K259">
            <v>18362</v>
          </cell>
          <cell r="L259"/>
          <cell r="M259">
            <v>99</v>
          </cell>
          <cell r="N259">
            <v>0</v>
          </cell>
          <cell r="O259">
            <v>0</v>
          </cell>
          <cell r="P259">
            <v>99</v>
          </cell>
          <cell r="Q259"/>
          <cell r="R259">
            <v>5338</v>
          </cell>
          <cell r="S259">
            <v>2958</v>
          </cell>
          <cell r="T259">
            <v>8296</v>
          </cell>
        </row>
        <row r="260">
          <cell r="A260">
            <v>92601</v>
          </cell>
          <cell r="B260" t="str">
            <v>CUMBERLAND COUNTY</v>
          </cell>
          <cell r="C260">
            <v>1.34308E-2</v>
          </cell>
          <cell r="D260">
            <v>1.51874E-2</v>
          </cell>
          <cell r="E260">
            <v>31862451</v>
          </cell>
          <cell r="F260" t="str">
            <v xml:space="preserve"> </v>
          </cell>
          <cell r="G260">
            <v>4915619</v>
          </cell>
          <cell r="H260">
            <v>4373767</v>
          </cell>
          <cell r="I260">
            <v>8455065</v>
          </cell>
          <cell r="J260">
            <v>12367</v>
          </cell>
          <cell r="K260">
            <v>17756818</v>
          </cell>
          <cell r="L260"/>
          <cell r="M260">
            <v>164944</v>
          </cell>
          <cell r="N260">
            <v>0</v>
          </cell>
          <cell r="O260">
            <v>1190672</v>
          </cell>
          <cell r="P260">
            <v>1355616</v>
          </cell>
          <cell r="Q260"/>
          <cell r="R260">
            <v>8850535</v>
          </cell>
          <cell r="S260">
            <v>-178107</v>
          </cell>
          <cell r="T260">
            <v>8672428</v>
          </cell>
        </row>
        <row r="261">
          <cell r="A261">
            <v>92602</v>
          </cell>
          <cell r="B261" t="str">
            <v>WESTAREA VOLUNTEER FIRE DEPT</v>
          </cell>
          <cell r="C261">
            <v>6.3999999999999997E-6</v>
          </cell>
          <cell r="D261">
            <v>8.3000000000000002E-6</v>
          </cell>
          <cell r="E261">
            <v>15183</v>
          </cell>
          <cell r="F261" t="str">
            <v xml:space="preserve"> </v>
          </cell>
          <cell r="G261">
            <v>2342</v>
          </cell>
          <cell r="H261">
            <v>2084</v>
          </cell>
          <cell r="I261">
            <v>4029</v>
          </cell>
          <cell r="J261">
            <v>0</v>
          </cell>
          <cell r="K261">
            <v>8455</v>
          </cell>
          <cell r="L261"/>
          <cell r="M261">
            <v>79</v>
          </cell>
          <cell r="N261">
            <v>0</v>
          </cell>
          <cell r="O261">
            <v>2377</v>
          </cell>
          <cell r="P261">
            <v>2456</v>
          </cell>
          <cell r="Q261"/>
          <cell r="R261">
            <v>4217</v>
          </cell>
          <cell r="S261">
            <v>-578</v>
          </cell>
          <cell r="T261">
            <v>3639</v>
          </cell>
        </row>
        <row r="262">
          <cell r="A262">
            <v>92604</v>
          </cell>
          <cell r="B262" t="str">
            <v>CUMBERLAND CO ABC BOARD</v>
          </cell>
          <cell r="C262">
            <v>3.3560000000000003E-4</v>
          </cell>
          <cell r="D262">
            <v>3.4099999999999999E-4</v>
          </cell>
          <cell r="E262">
            <v>796158</v>
          </cell>
          <cell r="F262" t="str">
            <v xml:space="preserve"> </v>
          </cell>
          <cell r="G262">
            <v>122828</v>
          </cell>
          <cell r="H262">
            <v>109289</v>
          </cell>
          <cell r="I262">
            <v>211270</v>
          </cell>
          <cell r="J262">
            <v>48811</v>
          </cell>
          <cell r="K262">
            <v>492198</v>
          </cell>
          <cell r="L262"/>
          <cell r="M262">
            <v>4122</v>
          </cell>
          <cell r="N262">
            <v>0</v>
          </cell>
          <cell r="O262">
            <v>0</v>
          </cell>
          <cell r="P262">
            <v>4122</v>
          </cell>
          <cell r="Q262"/>
          <cell r="R262">
            <v>221151</v>
          </cell>
          <cell r="S262">
            <v>28864</v>
          </cell>
          <cell r="T262">
            <v>250015</v>
          </cell>
        </row>
        <row r="263">
          <cell r="A263">
            <v>92607</v>
          </cell>
          <cell r="B263" t="str">
            <v>MID-CAROLINA COUNCIL OF GOVERNMENTS</v>
          </cell>
          <cell r="C263">
            <v>6.1699999999999995E-5</v>
          </cell>
          <cell r="D263">
            <v>6.6400000000000001E-5</v>
          </cell>
          <cell r="E263">
            <v>146374</v>
          </cell>
          <cell r="F263" t="str">
            <v xml:space="preserve"> </v>
          </cell>
          <cell r="G263">
            <v>22582</v>
          </cell>
          <cell r="H263">
            <v>20093</v>
          </cell>
          <cell r="I263">
            <v>38842</v>
          </cell>
          <cell r="J263">
            <v>9704</v>
          </cell>
          <cell r="K263">
            <v>91221</v>
          </cell>
          <cell r="L263"/>
          <cell r="M263">
            <v>758</v>
          </cell>
          <cell r="N263">
            <v>0</v>
          </cell>
          <cell r="O263">
            <v>0</v>
          </cell>
          <cell r="P263">
            <v>758</v>
          </cell>
          <cell r="Q263"/>
          <cell r="R263">
            <v>40659</v>
          </cell>
          <cell r="S263">
            <v>6018</v>
          </cell>
          <cell r="T263">
            <v>46677</v>
          </cell>
        </row>
        <row r="264">
          <cell r="A264">
            <v>92608</v>
          </cell>
          <cell r="B264" t="str">
            <v>CUMBERLAND MEMORIAL AUDITORIUM COM</v>
          </cell>
          <cell r="C264">
            <v>0</v>
          </cell>
          <cell r="D264">
            <v>0</v>
          </cell>
          <cell r="E264">
            <v>0</v>
          </cell>
          <cell r="F264" t="str">
            <v xml:space="preserve"> </v>
          </cell>
          <cell r="G264">
            <v>0</v>
          </cell>
          <cell r="H264">
            <v>0</v>
          </cell>
          <cell r="I264">
            <v>0</v>
          </cell>
          <cell r="J264">
            <v>0</v>
          </cell>
          <cell r="K264">
            <v>0</v>
          </cell>
          <cell r="L264"/>
          <cell r="M264">
            <v>0</v>
          </cell>
          <cell r="N264">
            <v>0</v>
          </cell>
          <cell r="O264">
            <v>752</v>
          </cell>
          <cell r="P264">
            <v>752</v>
          </cell>
          <cell r="Q264"/>
          <cell r="R264">
            <v>0</v>
          </cell>
          <cell r="S264">
            <v>-69182</v>
          </cell>
          <cell r="T264">
            <v>-69182</v>
          </cell>
        </row>
        <row r="265">
          <cell r="A265">
            <v>92611</v>
          </cell>
          <cell r="B265" t="str">
            <v>CITY OF FAYETTEVILLE</v>
          </cell>
          <cell r="C265">
            <v>1.26649E-2</v>
          </cell>
          <cell r="D265">
            <v>1.3080899999999999E-2</v>
          </cell>
          <cell r="E265">
            <v>30045474</v>
          </cell>
          <cell r="F265" t="str">
            <v xml:space="preserve"> </v>
          </cell>
          <cell r="G265">
            <v>4635303</v>
          </cell>
          <cell r="H265">
            <v>4124350</v>
          </cell>
          <cell r="I265">
            <v>7972909</v>
          </cell>
          <cell r="J265">
            <v>0</v>
          </cell>
          <cell r="K265">
            <v>16732562</v>
          </cell>
          <cell r="L265"/>
          <cell r="M265">
            <v>155538</v>
          </cell>
          <cell r="N265">
            <v>0</v>
          </cell>
          <cell r="O265">
            <v>1208188</v>
          </cell>
          <cell r="P265">
            <v>1363726</v>
          </cell>
          <cell r="Q265"/>
          <cell r="R265">
            <v>8345827</v>
          </cell>
          <cell r="S265">
            <v>-451976</v>
          </cell>
          <cell r="T265">
            <v>7893851</v>
          </cell>
        </row>
        <row r="266">
          <cell r="A266">
            <v>92613</v>
          </cell>
          <cell r="B266" t="str">
            <v>FAYETTEVILLE METROPOLITAN HOUSING AUTHORITY</v>
          </cell>
          <cell r="C266">
            <v>2.3599999999999999E-4</v>
          </cell>
          <cell r="D266">
            <v>2.6439999999999998E-4</v>
          </cell>
          <cell r="E266">
            <v>559873</v>
          </cell>
          <cell r="F266" t="str">
            <v xml:space="preserve"> </v>
          </cell>
          <cell r="G266">
            <v>86375</v>
          </cell>
          <cell r="H266">
            <v>76854</v>
          </cell>
          <cell r="I266">
            <v>148569</v>
          </cell>
          <cell r="J266">
            <v>42032</v>
          </cell>
          <cell r="K266">
            <v>353830</v>
          </cell>
          <cell r="L266"/>
          <cell r="M266">
            <v>2898</v>
          </cell>
          <cell r="N266">
            <v>0</v>
          </cell>
          <cell r="O266">
            <v>1086</v>
          </cell>
          <cell r="P266">
            <v>3984</v>
          </cell>
          <cell r="Q266"/>
          <cell r="R266">
            <v>155518</v>
          </cell>
          <cell r="S266">
            <v>41245</v>
          </cell>
          <cell r="T266">
            <v>196763</v>
          </cell>
        </row>
        <row r="267">
          <cell r="A267">
            <v>92614</v>
          </cell>
          <cell r="B267" t="str">
            <v>PUBLIC WORKS COMM CTY OF FAYETTEVILLE</v>
          </cell>
          <cell r="C267">
            <v>5.5757000000000003E-3</v>
          </cell>
          <cell r="D267">
            <v>5.7273000000000003E-3</v>
          </cell>
          <cell r="E267">
            <v>13227467</v>
          </cell>
          <cell r="F267" t="str">
            <v xml:space="preserve"> </v>
          </cell>
          <cell r="G267">
            <v>2040684</v>
          </cell>
          <cell r="H267">
            <v>1815737</v>
          </cell>
          <cell r="I267">
            <v>3510059</v>
          </cell>
          <cell r="J267">
            <v>4152143</v>
          </cell>
          <cell r="K267">
            <v>11518623</v>
          </cell>
          <cell r="L267"/>
          <cell r="M267">
            <v>68475</v>
          </cell>
          <cell r="N267">
            <v>0</v>
          </cell>
          <cell r="O267">
            <v>0</v>
          </cell>
          <cell r="P267">
            <v>68475</v>
          </cell>
          <cell r="Q267"/>
          <cell r="R267">
            <v>3674236</v>
          </cell>
          <cell r="S267">
            <v>1829865</v>
          </cell>
          <cell r="T267">
            <v>5504101</v>
          </cell>
        </row>
        <row r="268">
          <cell r="A268">
            <v>92621</v>
          </cell>
          <cell r="B268" t="str">
            <v xml:space="preserve"> STEDMAN</v>
          </cell>
          <cell r="C268">
            <v>2.4600000000000002E-5</v>
          </cell>
          <cell r="D268">
            <v>2.72E-5</v>
          </cell>
          <cell r="E268">
            <v>58360</v>
          </cell>
          <cell r="F268" t="str">
            <v xml:space="preserve"> </v>
          </cell>
          <cell r="G268">
            <v>9004</v>
          </cell>
          <cell r="H268">
            <v>8011</v>
          </cell>
          <cell r="I268">
            <v>15486</v>
          </cell>
          <cell r="J268">
            <v>393</v>
          </cell>
          <cell r="K268">
            <v>32894</v>
          </cell>
          <cell r="L268"/>
          <cell r="M268">
            <v>302</v>
          </cell>
          <cell r="N268">
            <v>0</v>
          </cell>
          <cell r="O268">
            <v>4712</v>
          </cell>
          <cell r="P268">
            <v>5014</v>
          </cell>
          <cell r="Q268"/>
          <cell r="R268">
            <v>16211</v>
          </cell>
          <cell r="S268">
            <v>-2140</v>
          </cell>
          <cell r="T268">
            <v>14071</v>
          </cell>
        </row>
        <row r="269">
          <cell r="A269">
            <v>92631</v>
          </cell>
          <cell r="B269" t="str">
            <v xml:space="preserve"> HOPE MILLS</v>
          </cell>
          <cell r="C269">
            <v>9.0030000000000004E-4</v>
          </cell>
          <cell r="D269">
            <v>9.2710000000000004E-4</v>
          </cell>
          <cell r="E269">
            <v>2135820</v>
          </cell>
          <cell r="F269" t="str">
            <v xml:space="preserve"> </v>
          </cell>
          <cell r="G269">
            <v>329506</v>
          </cell>
          <cell r="H269">
            <v>293184</v>
          </cell>
          <cell r="I269">
            <v>566764</v>
          </cell>
          <cell r="J269">
            <v>0</v>
          </cell>
          <cell r="K269">
            <v>1189454</v>
          </cell>
          <cell r="L269"/>
          <cell r="M269">
            <v>11057</v>
          </cell>
          <cell r="N269">
            <v>0</v>
          </cell>
          <cell r="O269">
            <v>135840</v>
          </cell>
          <cell r="P269">
            <v>146897</v>
          </cell>
          <cell r="Q269"/>
          <cell r="R269">
            <v>593273</v>
          </cell>
          <cell r="S269">
            <v>-59375</v>
          </cell>
          <cell r="T269">
            <v>533898</v>
          </cell>
        </row>
        <row r="270">
          <cell r="A270">
            <v>92641</v>
          </cell>
          <cell r="B270" t="str">
            <v xml:space="preserve"> WADE</v>
          </cell>
          <cell r="C270">
            <v>9.7000000000000003E-6</v>
          </cell>
          <cell r="D270">
            <v>1.0200000000000001E-5</v>
          </cell>
          <cell r="E270">
            <v>23012</v>
          </cell>
          <cell r="F270" t="str">
            <v xml:space="preserve"> </v>
          </cell>
          <cell r="G270">
            <v>3550</v>
          </cell>
          <cell r="H270">
            <v>3159</v>
          </cell>
          <cell r="I270">
            <v>6106</v>
          </cell>
          <cell r="J270">
            <v>2866</v>
          </cell>
          <cell r="K270">
            <v>15681</v>
          </cell>
          <cell r="L270"/>
          <cell r="M270">
            <v>119</v>
          </cell>
          <cell r="N270">
            <v>0</v>
          </cell>
          <cell r="O270">
            <v>0</v>
          </cell>
          <cell r="P270">
            <v>119</v>
          </cell>
          <cell r="Q270"/>
          <cell r="R270">
            <v>6392</v>
          </cell>
          <cell r="S270">
            <v>543</v>
          </cell>
          <cell r="T270">
            <v>6935</v>
          </cell>
        </row>
        <row r="271">
          <cell r="A271">
            <v>92651</v>
          </cell>
          <cell r="B271" t="str">
            <v xml:space="preserve"> LINDEN</v>
          </cell>
          <cell r="C271">
            <v>4.4000000000000002E-6</v>
          </cell>
          <cell r="D271">
            <v>2.6000000000000001E-6</v>
          </cell>
          <cell r="E271">
            <v>10438</v>
          </cell>
          <cell r="F271" t="str">
            <v xml:space="preserve"> </v>
          </cell>
          <cell r="G271">
            <v>1610</v>
          </cell>
          <cell r="H271">
            <v>1433</v>
          </cell>
          <cell r="I271">
            <v>2770</v>
          </cell>
          <cell r="J271">
            <v>3690</v>
          </cell>
          <cell r="K271">
            <v>9503</v>
          </cell>
          <cell r="L271"/>
          <cell r="M271">
            <v>54</v>
          </cell>
          <cell r="N271">
            <v>0</v>
          </cell>
          <cell r="O271">
            <v>0</v>
          </cell>
          <cell r="P271">
            <v>54</v>
          </cell>
          <cell r="Q271"/>
          <cell r="R271">
            <v>2899</v>
          </cell>
          <cell r="S271">
            <v>1740</v>
          </cell>
          <cell r="T271">
            <v>4639</v>
          </cell>
        </row>
        <row r="272">
          <cell r="A272">
            <v>92661</v>
          </cell>
          <cell r="B272" t="str">
            <v xml:space="preserve"> SPRING LAKE</v>
          </cell>
          <cell r="C272">
            <v>6.334E-4</v>
          </cell>
          <cell r="D272">
            <v>6.9999999999999999E-4</v>
          </cell>
          <cell r="E272">
            <v>1502641</v>
          </cell>
          <cell r="F272" t="str">
            <v xml:space="preserve"> </v>
          </cell>
          <cell r="G272">
            <v>231822</v>
          </cell>
          <cell r="H272">
            <v>206268</v>
          </cell>
          <cell r="I272">
            <v>398743</v>
          </cell>
          <cell r="J272">
            <v>441125</v>
          </cell>
          <cell r="K272">
            <v>1277958</v>
          </cell>
          <cell r="L272"/>
          <cell r="M272">
            <v>7779</v>
          </cell>
          <cell r="N272">
            <v>0</v>
          </cell>
          <cell r="O272">
            <v>0</v>
          </cell>
          <cell r="P272">
            <v>7779</v>
          </cell>
          <cell r="Q272"/>
          <cell r="R272">
            <v>417393</v>
          </cell>
          <cell r="S272">
            <v>165863</v>
          </cell>
          <cell r="T272">
            <v>583256</v>
          </cell>
        </row>
        <row r="273">
          <cell r="A273">
            <v>92671</v>
          </cell>
          <cell r="B273" t="str">
            <v xml:space="preserve"> FALCON</v>
          </cell>
          <cell r="C273">
            <v>2.3999999999999999E-6</v>
          </cell>
          <cell r="D273">
            <v>2.6000000000000001E-6</v>
          </cell>
          <cell r="E273">
            <v>5694</v>
          </cell>
          <cell r="F273" t="str">
            <v xml:space="preserve"> </v>
          </cell>
          <cell r="G273">
            <v>878</v>
          </cell>
          <cell r="H273">
            <v>781</v>
          </cell>
          <cell r="I273">
            <v>1511</v>
          </cell>
          <cell r="J273">
            <v>7284</v>
          </cell>
          <cell r="K273">
            <v>10454</v>
          </cell>
          <cell r="L273"/>
          <cell r="M273">
            <v>29</v>
          </cell>
          <cell r="N273">
            <v>0</v>
          </cell>
          <cell r="O273">
            <v>0</v>
          </cell>
          <cell r="P273">
            <v>29</v>
          </cell>
          <cell r="Q273"/>
          <cell r="R273">
            <v>1582</v>
          </cell>
          <cell r="S273">
            <v>3016</v>
          </cell>
          <cell r="T273">
            <v>4598</v>
          </cell>
        </row>
        <row r="274">
          <cell r="A274">
            <v>92681</v>
          </cell>
          <cell r="B274" t="str">
            <v xml:space="preserve"> EASTOVER</v>
          </cell>
          <cell r="C274">
            <v>1.1800000000000001E-5</v>
          </cell>
          <cell r="D274">
            <v>1.17E-5</v>
          </cell>
          <cell r="E274">
            <v>27994</v>
          </cell>
          <cell r="F274" t="str">
            <v xml:space="preserve"> </v>
          </cell>
          <cell r="G274">
            <v>4319</v>
          </cell>
          <cell r="H274">
            <v>3843</v>
          </cell>
          <cell r="I274">
            <v>7428</v>
          </cell>
          <cell r="J274">
            <v>13847</v>
          </cell>
          <cell r="K274">
            <v>29437</v>
          </cell>
          <cell r="L274"/>
          <cell r="M274">
            <v>145</v>
          </cell>
          <cell r="N274">
            <v>0</v>
          </cell>
          <cell r="O274">
            <v>0</v>
          </cell>
          <cell r="P274">
            <v>145</v>
          </cell>
          <cell r="Q274"/>
          <cell r="R274">
            <v>7776</v>
          </cell>
          <cell r="S274">
            <v>6248</v>
          </cell>
          <cell r="T274">
            <v>14024</v>
          </cell>
        </row>
        <row r="275">
          <cell r="A275">
            <v>92701</v>
          </cell>
          <cell r="B275" t="str">
            <v>CURRITUCK COUNTY</v>
          </cell>
          <cell r="C275">
            <v>2.8871000000000001E-3</v>
          </cell>
          <cell r="D275">
            <v>3.0777000000000001E-3</v>
          </cell>
          <cell r="E275">
            <v>6849189</v>
          </cell>
          <cell r="F275" t="str">
            <v xml:space="preserve"> </v>
          </cell>
          <cell r="G275">
            <v>1056667</v>
          </cell>
          <cell r="H275">
            <v>940190</v>
          </cell>
          <cell r="I275">
            <v>1817510</v>
          </cell>
          <cell r="J275">
            <v>35473</v>
          </cell>
          <cell r="K275">
            <v>3849840</v>
          </cell>
          <cell r="L275"/>
          <cell r="M275">
            <v>35456</v>
          </cell>
          <cell r="N275">
            <v>0</v>
          </cell>
          <cell r="O275">
            <v>155267</v>
          </cell>
          <cell r="P275">
            <v>190723</v>
          </cell>
          <cell r="Q275"/>
          <cell r="R275">
            <v>1902521</v>
          </cell>
          <cell r="S275">
            <v>-62476</v>
          </cell>
          <cell r="T275">
            <v>1840045</v>
          </cell>
        </row>
        <row r="276">
          <cell r="A276">
            <v>92704</v>
          </cell>
          <cell r="B276" t="str">
            <v>CURRITUCK CO ABC BOARD</v>
          </cell>
          <cell r="C276">
            <v>3.9400000000000002E-5</v>
          </cell>
          <cell r="D276">
            <v>4.1600000000000002E-5</v>
          </cell>
          <cell r="E276">
            <v>93470</v>
          </cell>
          <cell r="F276" t="str">
            <v xml:space="preserve"> </v>
          </cell>
          <cell r="G276">
            <v>14420</v>
          </cell>
          <cell r="H276">
            <v>12831</v>
          </cell>
          <cell r="I276">
            <v>24803</v>
          </cell>
          <cell r="J276">
            <v>703</v>
          </cell>
          <cell r="K276">
            <v>52757</v>
          </cell>
          <cell r="L276"/>
          <cell r="M276">
            <v>484</v>
          </cell>
          <cell r="N276">
            <v>0</v>
          </cell>
          <cell r="O276">
            <v>5422</v>
          </cell>
          <cell r="P276">
            <v>5906</v>
          </cell>
          <cell r="Q276"/>
          <cell r="R276">
            <v>25964</v>
          </cell>
          <cell r="S276">
            <v>-1035</v>
          </cell>
          <cell r="T276">
            <v>24929</v>
          </cell>
        </row>
        <row r="277">
          <cell r="A277">
            <v>92801</v>
          </cell>
          <cell r="B277" t="str">
            <v>DARE COUNTY</v>
          </cell>
          <cell r="C277">
            <v>5.2335999999999997E-3</v>
          </cell>
          <cell r="D277">
            <v>5.0951E-3</v>
          </cell>
          <cell r="E277">
            <v>12415889</v>
          </cell>
          <cell r="F277" t="str">
            <v xml:space="preserve"> </v>
          </cell>
          <cell r="G277">
            <v>1915477</v>
          </cell>
          <cell r="H277">
            <v>1704333</v>
          </cell>
          <cell r="I277">
            <v>3294698</v>
          </cell>
          <cell r="J277">
            <v>237901</v>
          </cell>
          <cell r="K277">
            <v>7152409</v>
          </cell>
          <cell r="L277"/>
          <cell r="M277">
            <v>64274</v>
          </cell>
          <cell r="N277">
            <v>0</v>
          </cell>
          <cell r="O277">
            <v>0</v>
          </cell>
          <cell r="P277">
            <v>64274</v>
          </cell>
          <cell r="Q277"/>
          <cell r="R277">
            <v>3448801</v>
          </cell>
          <cell r="S277">
            <v>122866</v>
          </cell>
          <cell r="T277">
            <v>3571667</v>
          </cell>
        </row>
        <row r="278">
          <cell r="A278">
            <v>92802</v>
          </cell>
          <cell r="B278" t="str">
            <v>DARE COUNTY TOURISM BOARD</v>
          </cell>
          <cell r="C278">
            <v>1.2799999999999999E-4</v>
          </cell>
          <cell r="D278">
            <v>1.2970000000000001E-4</v>
          </cell>
          <cell r="E278">
            <v>303660</v>
          </cell>
          <cell r="F278" t="str">
            <v xml:space="preserve"> </v>
          </cell>
          <cell r="G278">
            <v>46847</v>
          </cell>
          <cell r="H278">
            <v>41684</v>
          </cell>
          <cell r="I278">
            <v>80580</v>
          </cell>
          <cell r="J278">
            <v>0</v>
          </cell>
          <cell r="K278">
            <v>169111</v>
          </cell>
          <cell r="L278"/>
          <cell r="M278">
            <v>1572</v>
          </cell>
          <cell r="N278">
            <v>0</v>
          </cell>
          <cell r="O278">
            <v>15754</v>
          </cell>
          <cell r="P278">
            <v>17326</v>
          </cell>
          <cell r="Q278"/>
          <cell r="R278">
            <v>84349</v>
          </cell>
          <cell r="S278">
            <v>-8217</v>
          </cell>
          <cell r="T278">
            <v>76132</v>
          </cell>
        </row>
        <row r="279">
          <cell r="A279">
            <v>92804</v>
          </cell>
          <cell r="B279" t="str">
            <v>DARE COUNTY ABC BOARD</v>
          </cell>
          <cell r="C279">
            <v>1.4990000000000001E-4</v>
          </cell>
          <cell r="D279">
            <v>1.36E-4</v>
          </cell>
          <cell r="E279">
            <v>355614</v>
          </cell>
          <cell r="F279" t="str">
            <v xml:space="preserve"> </v>
          </cell>
          <cell r="G279">
            <v>54863</v>
          </cell>
          <cell r="H279">
            <v>48815</v>
          </cell>
          <cell r="I279">
            <v>94366</v>
          </cell>
          <cell r="J279">
            <v>9289</v>
          </cell>
          <cell r="K279">
            <v>207333</v>
          </cell>
          <cell r="L279"/>
          <cell r="M279">
            <v>1841</v>
          </cell>
          <cell r="N279">
            <v>0</v>
          </cell>
          <cell r="O279">
            <v>8327</v>
          </cell>
          <cell r="P279">
            <v>10168</v>
          </cell>
          <cell r="Q279"/>
          <cell r="R279">
            <v>98780</v>
          </cell>
          <cell r="S279">
            <v>967</v>
          </cell>
          <cell r="T279">
            <v>99747</v>
          </cell>
        </row>
        <row r="280">
          <cell r="A280">
            <v>92811</v>
          </cell>
          <cell r="B280" t="str">
            <v xml:space="preserve"> NAGS HEAD</v>
          </cell>
          <cell r="C280">
            <v>9.6909999999999997E-4</v>
          </cell>
          <cell r="D280">
            <v>1.0036000000000001E-3</v>
          </cell>
          <cell r="E280">
            <v>2299037</v>
          </cell>
          <cell r="F280" t="str">
            <v xml:space="preserve"> </v>
          </cell>
          <cell r="G280">
            <v>354687</v>
          </cell>
          <cell r="H280">
            <v>315589</v>
          </cell>
          <cell r="I280">
            <v>610076</v>
          </cell>
          <cell r="J280">
            <v>0</v>
          </cell>
          <cell r="K280">
            <v>1280352</v>
          </cell>
          <cell r="L280"/>
          <cell r="M280">
            <v>11902</v>
          </cell>
          <cell r="N280">
            <v>0</v>
          </cell>
          <cell r="O280">
            <v>69119</v>
          </cell>
          <cell r="P280">
            <v>81021</v>
          </cell>
          <cell r="Q280"/>
          <cell r="R280">
            <v>638611</v>
          </cell>
          <cell r="S280">
            <v>-41669</v>
          </cell>
          <cell r="T280">
            <v>596942</v>
          </cell>
        </row>
        <row r="281">
          <cell r="A281">
            <v>92821</v>
          </cell>
          <cell r="B281" t="str">
            <v xml:space="preserve"> KILL DEVIL HILLS</v>
          </cell>
          <cell r="C281">
            <v>1.0001999999999999E-3</v>
          </cell>
          <cell r="D281">
            <v>9.9400000000000009E-4</v>
          </cell>
          <cell r="E281">
            <v>2372816</v>
          </cell>
          <cell r="F281" t="str">
            <v xml:space="preserve"> </v>
          </cell>
          <cell r="G281">
            <v>366069</v>
          </cell>
          <cell r="H281">
            <v>325717</v>
          </cell>
          <cell r="I281">
            <v>629654</v>
          </cell>
          <cell r="J281">
            <v>28694</v>
          </cell>
          <cell r="K281">
            <v>1350134</v>
          </cell>
          <cell r="L281"/>
          <cell r="M281">
            <v>12283</v>
          </cell>
          <cell r="N281">
            <v>0</v>
          </cell>
          <cell r="O281">
            <v>0</v>
          </cell>
          <cell r="P281">
            <v>12283</v>
          </cell>
          <cell r="Q281"/>
          <cell r="R281">
            <v>659105</v>
          </cell>
          <cell r="S281">
            <v>14053</v>
          </cell>
          <cell r="T281">
            <v>673158</v>
          </cell>
        </row>
        <row r="282">
          <cell r="A282">
            <v>92831</v>
          </cell>
          <cell r="B282" t="str">
            <v xml:space="preserve"> MANTEO</v>
          </cell>
          <cell r="C282">
            <v>2.3580000000000001E-4</v>
          </cell>
          <cell r="D282">
            <v>2.1829999999999999E-4</v>
          </cell>
          <cell r="E282">
            <v>559398</v>
          </cell>
          <cell r="F282" t="str">
            <v xml:space="preserve"> </v>
          </cell>
          <cell r="G282">
            <v>86302</v>
          </cell>
          <cell r="H282">
            <v>76789</v>
          </cell>
          <cell r="I282">
            <v>148443</v>
          </cell>
          <cell r="J282">
            <v>36641</v>
          </cell>
          <cell r="K282">
            <v>348175</v>
          </cell>
          <cell r="L282"/>
          <cell r="M282">
            <v>2896</v>
          </cell>
          <cell r="N282">
            <v>0</v>
          </cell>
          <cell r="O282">
            <v>1618</v>
          </cell>
          <cell r="P282">
            <v>4514</v>
          </cell>
          <cell r="Q282"/>
          <cell r="R282">
            <v>155386</v>
          </cell>
          <cell r="S282">
            <v>16332</v>
          </cell>
          <cell r="T282">
            <v>171718</v>
          </cell>
        </row>
        <row r="283">
          <cell r="A283">
            <v>92841</v>
          </cell>
          <cell r="B283" t="str">
            <v xml:space="preserve"> SOUTHERN SHORES</v>
          </cell>
          <cell r="C283">
            <v>2.5769999999999998E-4</v>
          </cell>
          <cell r="D283">
            <v>2.7809999999999998E-4</v>
          </cell>
          <cell r="E283">
            <v>611353</v>
          </cell>
          <cell r="F283" t="str">
            <v xml:space="preserve"> </v>
          </cell>
          <cell r="G283">
            <v>94317</v>
          </cell>
          <cell r="H283">
            <v>83921</v>
          </cell>
          <cell r="I283">
            <v>162229</v>
          </cell>
          <cell r="J283">
            <v>0</v>
          </cell>
          <cell r="K283">
            <v>340467</v>
          </cell>
          <cell r="L283"/>
          <cell r="M283">
            <v>3165</v>
          </cell>
          <cell r="N283">
            <v>0</v>
          </cell>
          <cell r="O283">
            <v>24975</v>
          </cell>
          <cell r="P283">
            <v>28140</v>
          </cell>
          <cell r="Q283"/>
          <cell r="R283">
            <v>169817</v>
          </cell>
          <cell r="S283">
            <v>-1626</v>
          </cell>
          <cell r="T283">
            <v>168191</v>
          </cell>
        </row>
        <row r="284">
          <cell r="A284">
            <v>92851</v>
          </cell>
          <cell r="B284" t="str">
            <v xml:space="preserve"> KITTY HAWK</v>
          </cell>
          <cell r="C284">
            <v>4.3899999999999999E-4</v>
          </cell>
          <cell r="D284">
            <v>4.6079999999999998E-4</v>
          </cell>
          <cell r="E284">
            <v>1041458</v>
          </cell>
          <cell r="F284" t="str">
            <v xml:space="preserve"> </v>
          </cell>
          <cell r="G284">
            <v>160672</v>
          </cell>
          <cell r="H284">
            <v>142961</v>
          </cell>
          <cell r="I284">
            <v>276363</v>
          </cell>
          <cell r="J284">
            <v>0</v>
          </cell>
          <cell r="K284">
            <v>579996</v>
          </cell>
          <cell r="L284"/>
          <cell r="M284">
            <v>5391</v>
          </cell>
          <cell r="N284">
            <v>0</v>
          </cell>
          <cell r="O284">
            <v>61052</v>
          </cell>
          <cell r="P284">
            <v>66443</v>
          </cell>
          <cell r="Q284"/>
          <cell r="R284">
            <v>289289</v>
          </cell>
          <cell r="S284">
            <v>-43806</v>
          </cell>
          <cell r="T284">
            <v>245483</v>
          </cell>
        </row>
        <row r="285">
          <cell r="A285">
            <v>92861</v>
          </cell>
          <cell r="B285" t="str">
            <v xml:space="preserve"> DUCK</v>
          </cell>
          <cell r="C285">
            <v>3.7629999999999999E-4</v>
          </cell>
          <cell r="D285">
            <v>3.6010000000000003E-4</v>
          </cell>
          <cell r="E285">
            <v>892712</v>
          </cell>
          <cell r="F285" t="str">
            <v xml:space="preserve"> </v>
          </cell>
          <cell r="G285">
            <v>137724</v>
          </cell>
          <cell r="H285">
            <v>122543</v>
          </cell>
          <cell r="I285">
            <v>236891</v>
          </cell>
          <cell r="J285">
            <v>0</v>
          </cell>
          <cell r="K285">
            <v>497158</v>
          </cell>
          <cell r="L285"/>
          <cell r="M285">
            <v>4621</v>
          </cell>
          <cell r="N285">
            <v>0</v>
          </cell>
          <cell r="O285">
            <v>73406</v>
          </cell>
          <cell r="P285">
            <v>78027</v>
          </cell>
          <cell r="Q285"/>
          <cell r="R285">
            <v>247972</v>
          </cell>
          <cell r="S285">
            <v>-43591</v>
          </cell>
          <cell r="T285">
            <v>204381</v>
          </cell>
        </row>
        <row r="286">
          <cell r="A286">
            <v>92901</v>
          </cell>
          <cell r="B286" t="str">
            <v>DAVIDSON COUNTY</v>
          </cell>
          <cell r="C286">
            <v>5.4257999999999997E-3</v>
          </cell>
          <cell r="D286">
            <v>5.5082999999999998E-3</v>
          </cell>
          <cell r="E286">
            <v>12871853</v>
          </cell>
          <cell r="F286" t="str">
            <v xml:space="preserve"> </v>
          </cell>
          <cell r="G286">
            <v>1985821</v>
          </cell>
          <cell r="H286">
            <v>1766922</v>
          </cell>
          <cell r="I286">
            <v>3415693</v>
          </cell>
          <cell r="J286">
            <v>22983</v>
          </cell>
          <cell r="K286">
            <v>7191419</v>
          </cell>
          <cell r="L286"/>
          <cell r="M286">
            <v>66634</v>
          </cell>
          <cell r="N286">
            <v>0</v>
          </cell>
          <cell r="O286">
            <v>91593</v>
          </cell>
          <cell r="P286">
            <v>158227</v>
          </cell>
          <cell r="Q286"/>
          <cell r="R286">
            <v>3575456</v>
          </cell>
          <cell r="S286">
            <v>5628</v>
          </cell>
          <cell r="T286">
            <v>3581084</v>
          </cell>
        </row>
        <row r="287">
          <cell r="A287">
            <v>92911</v>
          </cell>
          <cell r="B287" t="str">
            <v>CITY OF THOMASVILLE</v>
          </cell>
          <cell r="C287">
            <v>1.9322E-3</v>
          </cell>
          <cell r="D287">
            <v>1.9548999999999999E-3</v>
          </cell>
          <cell r="E287">
            <v>4583839</v>
          </cell>
          <cell r="F287" t="str">
            <v xml:space="preserve"> </v>
          </cell>
          <cell r="G287">
            <v>707177</v>
          </cell>
          <cell r="H287">
            <v>629224</v>
          </cell>
          <cell r="I287">
            <v>1216374</v>
          </cell>
          <cell r="J287">
            <v>39110</v>
          </cell>
          <cell r="K287">
            <v>2591885</v>
          </cell>
          <cell r="L287"/>
          <cell r="M287">
            <v>23729</v>
          </cell>
          <cell r="N287">
            <v>0</v>
          </cell>
          <cell r="O287">
            <v>51551</v>
          </cell>
          <cell r="P287">
            <v>75280</v>
          </cell>
          <cell r="Q287"/>
          <cell r="R287">
            <v>1273268</v>
          </cell>
          <cell r="S287">
            <v>-50417</v>
          </cell>
          <cell r="T287">
            <v>1222851</v>
          </cell>
        </row>
        <row r="288">
          <cell r="A288">
            <v>92913</v>
          </cell>
          <cell r="B288" t="str">
            <v>THOMASVILLE HOUSING AUTHORITY</v>
          </cell>
          <cell r="C288">
            <v>2.1500000000000001E-5</v>
          </cell>
          <cell r="D288">
            <v>2.1999999999999999E-5</v>
          </cell>
          <cell r="E288">
            <v>51005</v>
          </cell>
          <cell r="F288" t="str">
            <v xml:space="preserve"> </v>
          </cell>
          <cell r="G288">
            <v>7869</v>
          </cell>
          <cell r="H288">
            <v>7001</v>
          </cell>
          <cell r="I288">
            <v>13535</v>
          </cell>
          <cell r="J288">
            <v>88672</v>
          </cell>
          <cell r="K288">
            <v>117077</v>
          </cell>
          <cell r="L288"/>
          <cell r="M288">
            <v>264</v>
          </cell>
          <cell r="N288">
            <v>0</v>
          </cell>
          <cell r="O288">
            <v>0</v>
          </cell>
          <cell r="P288">
            <v>264</v>
          </cell>
          <cell r="Q288"/>
          <cell r="R288">
            <v>14168</v>
          </cell>
          <cell r="S288">
            <v>34736</v>
          </cell>
          <cell r="T288">
            <v>48904</v>
          </cell>
        </row>
        <row r="289">
          <cell r="A289">
            <v>92914</v>
          </cell>
          <cell r="B289" t="str">
            <v>THOMASVILLE ABC BOARD</v>
          </cell>
          <cell r="C289">
            <v>2.4899999999999999E-5</v>
          </cell>
          <cell r="D289">
            <v>2.8900000000000001E-5</v>
          </cell>
          <cell r="E289">
            <v>59071</v>
          </cell>
          <cell r="F289" t="str">
            <v xml:space="preserve"> </v>
          </cell>
          <cell r="G289">
            <v>9113</v>
          </cell>
          <cell r="H289">
            <v>8109</v>
          </cell>
          <cell r="I289">
            <v>15675</v>
          </cell>
          <cell r="J289">
            <v>12880</v>
          </cell>
          <cell r="K289">
            <v>45777</v>
          </cell>
          <cell r="L289"/>
          <cell r="M289">
            <v>306</v>
          </cell>
          <cell r="N289">
            <v>0</v>
          </cell>
          <cell r="O289">
            <v>1246</v>
          </cell>
          <cell r="P289">
            <v>1552</v>
          </cell>
          <cell r="Q289"/>
          <cell r="R289">
            <v>16408</v>
          </cell>
          <cell r="S289">
            <v>3981</v>
          </cell>
          <cell r="T289">
            <v>20389</v>
          </cell>
        </row>
        <row r="290">
          <cell r="A290">
            <v>92917</v>
          </cell>
          <cell r="B290" t="str">
            <v>LEXINGTON ABC BOARD</v>
          </cell>
          <cell r="C290">
            <v>1.6099999999999998E-5</v>
          </cell>
          <cell r="D290">
            <v>1.4800000000000001E-5</v>
          </cell>
          <cell r="E290">
            <v>38195</v>
          </cell>
          <cell r="F290" t="str">
            <v xml:space="preserve"> </v>
          </cell>
          <cell r="G290">
            <v>5893</v>
          </cell>
          <cell r="H290">
            <v>5243</v>
          </cell>
          <cell r="I290">
            <v>10135</v>
          </cell>
          <cell r="J290">
            <v>14400</v>
          </cell>
          <cell r="K290">
            <v>35671</v>
          </cell>
          <cell r="L290"/>
          <cell r="M290">
            <v>198</v>
          </cell>
          <cell r="N290">
            <v>0</v>
          </cell>
          <cell r="O290">
            <v>0</v>
          </cell>
          <cell r="P290">
            <v>198</v>
          </cell>
          <cell r="Q290"/>
          <cell r="R290">
            <v>10609</v>
          </cell>
          <cell r="S290">
            <v>8201</v>
          </cell>
          <cell r="T290">
            <v>18810</v>
          </cell>
        </row>
        <row r="291">
          <cell r="A291">
            <v>92921</v>
          </cell>
          <cell r="B291" t="str">
            <v xml:space="preserve"> DENTON</v>
          </cell>
          <cell r="C291">
            <v>9.2499999999999999E-5</v>
          </cell>
          <cell r="D291">
            <v>7.4400000000000006E-5</v>
          </cell>
          <cell r="E291">
            <v>219442</v>
          </cell>
          <cell r="F291" t="str">
            <v xml:space="preserve"> </v>
          </cell>
          <cell r="G291">
            <v>33855</v>
          </cell>
          <cell r="H291">
            <v>30123</v>
          </cell>
          <cell r="I291">
            <v>58231</v>
          </cell>
          <cell r="J291">
            <v>24651</v>
          </cell>
          <cell r="K291">
            <v>146860</v>
          </cell>
          <cell r="L291"/>
          <cell r="M291">
            <v>1136</v>
          </cell>
          <cell r="N291">
            <v>0</v>
          </cell>
          <cell r="O291">
            <v>1659</v>
          </cell>
          <cell r="P291">
            <v>2795</v>
          </cell>
          <cell r="Q291"/>
          <cell r="R291">
            <v>60955</v>
          </cell>
          <cell r="S291">
            <v>819</v>
          </cell>
          <cell r="T291">
            <v>61774</v>
          </cell>
        </row>
        <row r="292">
          <cell r="A292">
            <v>92931</v>
          </cell>
          <cell r="B292" t="str">
            <v>CITY OF LEXINGTON</v>
          </cell>
          <cell r="C292">
            <v>2.4600999999999998E-3</v>
          </cell>
          <cell r="D292">
            <v>2.3996E-3</v>
          </cell>
          <cell r="E292">
            <v>5836199</v>
          </cell>
          <cell r="F292" t="str">
            <v xml:space="preserve"> </v>
          </cell>
          <cell r="G292">
            <v>900387</v>
          </cell>
          <cell r="H292">
            <v>801137</v>
          </cell>
          <cell r="I292">
            <v>1548702</v>
          </cell>
          <cell r="J292">
            <v>28206</v>
          </cell>
          <cell r="K292">
            <v>3278432</v>
          </cell>
          <cell r="L292"/>
          <cell r="M292">
            <v>30212</v>
          </cell>
          <cell r="N292">
            <v>0</v>
          </cell>
          <cell r="O292">
            <v>98782</v>
          </cell>
          <cell r="P292">
            <v>128994</v>
          </cell>
          <cell r="Q292"/>
          <cell r="R292">
            <v>1621139</v>
          </cell>
          <cell r="S292">
            <v>-34302</v>
          </cell>
          <cell r="T292">
            <v>1586837</v>
          </cell>
        </row>
        <row r="293">
          <cell r="A293">
            <v>92941</v>
          </cell>
          <cell r="B293" t="str">
            <v xml:space="preserve"> MIDWAY</v>
          </cell>
          <cell r="C293">
            <v>4.3000000000000003E-6</v>
          </cell>
          <cell r="D293">
            <v>1.2300000000000001E-5</v>
          </cell>
          <cell r="E293">
            <v>10201</v>
          </cell>
          <cell r="F293" t="str">
            <v xml:space="preserve"> </v>
          </cell>
          <cell r="G293">
            <v>1574</v>
          </cell>
          <cell r="H293">
            <v>1400</v>
          </cell>
          <cell r="I293">
            <v>2707</v>
          </cell>
          <cell r="J293">
            <v>3011</v>
          </cell>
          <cell r="K293">
            <v>8692</v>
          </cell>
          <cell r="L293"/>
          <cell r="M293">
            <v>53</v>
          </cell>
          <cell r="N293">
            <v>0</v>
          </cell>
          <cell r="O293">
            <v>4092</v>
          </cell>
          <cell r="P293">
            <v>4145</v>
          </cell>
          <cell r="Q293"/>
          <cell r="R293">
            <v>2834</v>
          </cell>
          <cell r="S293">
            <v>2468</v>
          </cell>
          <cell r="T293">
            <v>5302</v>
          </cell>
        </row>
        <row r="294">
          <cell r="A294">
            <v>93001</v>
          </cell>
          <cell r="B294" t="str">
            <v>DAVIE COUNTY</v>
          </cell>
          <cell r="C294">
            <v>2.2772000000000001E-3</v>
          </cell>
          <cell r="D294">
            <v>2.2227000000000002E-3</v>
          </cell>
          <cell r="E294">
            <v>5402297</v>
          </cell>
          <cell r="F294" t="str">
            <v xml:space="preserve"> </v>
          </cell>
          <cell r="G294">
            <v>833446</v>
          </cell>
          <cell r="H294">
            <v>741575</v>
          </cell>
          <cell r="I294">
            <v>1433561</v>
          </cell>
          <cell r="J294">
            <v>14691</v>
          </cell>
          <cell r="K294">
            <v>3023273</v>
          </cell>
          <cell r="L294"/>
          <cell r="M294">
            <v>27966</v>
          </cell>
          <cell r="N294">
            <v>0</v>
          </cell>
          <cell r="O294">
            <v>61962</v>
          </cell>
          <cell r="P294">
            <v>89928</v>
          </cell>
          <cell r="Q294"/>
          <cell r="R294">
            <v>1500613</v>
          </cell>
          <cell r="S294">
            <v>-54280</v>
          </cell>
          <cell r="T294">
            <v>1446333</v>
          </cell>
        </row>
        <row r="295">
          <cell r="A295">
            <v>93009</v>
          </cell>
          <cell r="B295" t="str">
            <v>DAVIE SOIL AND WATER CONSERVATION DIST</v>
          </cell>
          <cell r="C295">
            <v>1.38E-5</v>
          </cell>
          <cell r="D295">
            <v>1.47E-5</v>
          </cell>
          <cell r="E295">
            <v>32738</v>
          </cell>
          <cell r="F295" t="str">
            <v xml:space="preserve"> </v>
          </cell>
          <cell r="G295">
            <v>5051</v>
          </cell>
          <cell r="H295">
            <v>4494</v>
          </cell>
          <cell r="I295">
            <v>8687</v>
          </cell>
          <cell r="J295">
            <v>0</v>
          </cell>
          <cell r="K295">
            <v>18232</v>
          </cell>
          <cell r="L295"/>
          <cell r="M295">
            <v>169</v>
          </cell>
          <cell r="N295">
            <v>0</v>
          </cell>
          <cell r="O295">
            <v>3798</v>
          </cell>
          <cell r="P295">
            <v>3967</v>
          </cell>
          <cell r="Q295"/>
          <cell r="R295">
            <v>9094</v>
          </cell>
          <cell r="S295">
            <v>-2270</v>
          </cell>
          <cell r="T295">
            <v>6824</v>
          </cell>
        </row>
        <row r="296">
          <cell r="A296">
            <v>93011</v>
          </cell>
          <cell r="B296" t="str">
            <v xml:space="preserve"> MOCKSVILLE</v>
          </cell>
          <cell r="C296">
            <v>2.7599999999999999E-4</v>
          </cell>
          <cell r="D296">
            <v>2.2699999999999999E-4</v>
          </cell>
          <cell r="E296">
            <v>654766</v>
          </cell>
          <cell r="F296" t="str">
            <v xml:space="preserve"> </v>
          </cell>
          <cell r="G296">
            <v>101015</v>
          </cell>
          <cell r="H296">
            <v>89880</v>
          </cell>
          <cell r="I296">
            <v>173750</v>
          </cell>
          <cell r="J296">
            <v>51648</v>
          </cell>
          <cell r="K296">
            <v>416293</v>
          </cell>
          <cell r="L296"/>
          <cell r="M296">
            <v>3390</v>
          </cell>
          <cell r="N296">
            <v>0</v>
          </cell>
          <cell r="O296">
            <v>10320</v>
          </cell>
          <cell r="P296">
            <v>13710</v>
          </cell>
          <cell r="Q296"/>
          <cell r="R296">
            <v>181877</v>
          </cell>
          <cell r="S296">
            <v>8885</v>
          </cell>
          <cell r="T296">
            <v>190762</v>
          </cell>
        </row>
        <row r="297">
          <cell r="A297">
            <v>93021</v>
          </cell>
          <cell r="B297" t="str">
            <v xml:space="preserve"> BERMUDA RUN</v>
          </cell>
          <cell r="C297">
            <v>3.3399999999999999E-5</v>
          </cell>
          <cell r="D297">
            <v>3.4199999999999998E-5</v>
          </cell>
          <cell r="E297">
            <v>79236</v>
          </cell>
          <cell r="F297" t="str">
            <v xml:space="preserve"> </v>
          </cell>
          <cell r="G297">
            <v>12224</v>
          </cell>
          <cell r="H297">
            <v>10877</v>
          </cell>
          <cell r="I297">
            <v>21026</v>
          </cell>
          <cell r="J297">
            <v>1795</v>
          </cell>
          <cell r="K297">
            <v>45922</v>
          </cell>
          <cell r="L297"/>
          <cell r="M297">
            <v>410</v>
          </cell>
          <cell r="N297">
            <v>0</v>
          </cell>
          <cell r="O297">
            <v>5715</v>
          </cell>
          <cell r="P297">
            <v>6125</v>
          </cell>
          <cell r="Q297"/>
          <cell r="R297">
            <v>22010</v>
          </cell>
          <cell r="S297">
            <v>-366</v>
          </cell>
          <cell r="T297">
            <v>21644</v>
          </cell>
        </row>
        <row r="298">
          <cell r="A298">
            <v>93027</v>
          </cell>
          <cell r="B298" t="str">
            <v>COOLEEMEE ABC BOARD</v>
          </cell>
          <cell r="C298">
            <v>1.5E-5</v>
          </cell>
          <cell r="D298">
            <v>1.6699999999999999E-5</v>
          </cell>
          <cell r="E298">
            <v>35585</v>
          </cell>
          <cell r="F298" t="str">
            <v xml:space="preserve"> </v>
          </cell>
          <cell r="G298">
            <v>5490</v>
          </cell>
          <cell r="H298">
            <v>4885</v>
          </cell>
          <cell r="I298">
            <v>9443</v>
          </cell>
          <cell r="J298">
            <v>796</v>
          </cell>
          <cell r="K298">
            <v>20614</v>
          </cell>
          <cell r="L298"/>
          <cell r="M298">
            <v>184</v>
          </cell>
          <cell r="N298">
            <v>0</v>
          </cell>
          <cell r="O298">
            <v>2296</v>
          </cell>
          <cell r="P298">
            <v>2480</v>
          </cell>
          <cell r="Q298"/>
          <cell r="R298">
            <v>9885</v>
          </cell>
          <cell r="S298">
            <v>-833</v>
          </cell>
          <cell r="T298">
            <v>9052</v>
          </cell>
        </row>
        <row r="299">
          <cell r="A299">
            <v>93031</v>
          </cell>
          <cell r="B299" t="str">
            <v xml:space="preserve"> COOLEEMEE</v>
          </cell>
          <cell r="C299">
            <v>1.26E-5</v>
          </cell>
          <cell r="D299">
            <v>2.1699999999999999E-5</v>
          </cell>
          <cell r="E299">
            <v>29892</v>
          </cell>
          <cell r="F299" t="str">
            <v xml:space="preserve"> </v>
          </cell>
          <cell r="G299">
            <v>4612</v>
          </cell>
          <cell r="H299">
            <v>4103</v>
          </cell>
          <cell r="I299">
            <v>7932</v>
          </cell>
          <cell r="J299">
            <v>20350</v>
          </cell>
          <cell r="K299">
            <v>36997</v>
          </cell>
          <cell r="L299"/>
          <cell r="M299">
            <v>155</v>
          </cell>
          <cell r="N299">
            <v>0</v>
          </cell>
          <cell r="O299">
            <v>0</v>
          </cell>
          <cell r="P299">
            <v>155</v>
          </cell>
          <cell r="Q299"/>
          <cell r="R299">
            <v>8303</v>
          </cell>
          <cell r="S299">
            <v>7768</v>
          </cell>
          <cell r="T299">
            <v>16071</v>
          </cell>
        </row>
        <row r="300">
          <cell r="A300">
            <v>93101</v>
          </cell>
          <cell r="B300" t="str">
            <v>DUPLIN COUNTY</v>
          </cell>
          <cell r="C300">
            <v>3.2376000000000002E-3</v>
          </cell>
          <cell r="D300">
            <v>3.5159000000000002E-3</v>
          </cell>
          <cell r="E300">
            <v>7680694</v>
          </cell>
          <cell r="F300" t="str">
            <v xml:space="preserve"> </v>
          </cell>
          <cell r="G300">
            <v>1184949</v>
          </cell>
          <cell r="H300">
            <v>1054330</v>
          </cell>
          <cell r="I300">
            <v>2038160</v>
          </cell>
          <cell r="J300">
            <v>36350</v>
          </cell>
          <cell r="K300">
            <v>4313789</v>
          </cell>
          <cell r="L300"/>
          <cell r="M300">
            <v>39761</v>
          </cell>
          <cell r="N300">
            <v>0</v>
          </cell>
          <cell r="O300">
            <v>306148</v>
          </cell>
          <cell r="P300">
            <v>345909</v>
          </cell>
          <cell r="Q300"/>
          <cell r="R300">
            <v>2133491</v>
          </cell>
          <cell r="S300">
            <v>-15838</v>
          </cell>
          <cell r="T300">
            <v>2117653</v>
          </cell>
        </row>
        <row r="301">
          <cell r="A301">
            <v>93103</v>
          </cell>
          <cell r="B301" t="str">
            <v>DUPLIN COUNTY TOURISM DEVELOPMENT AUTHORITY</v>
          </cell>
          <cell r="C301">
            <v>1.6699999999999999E-5</v>
          </cell>
          <cell r="D301">
            <v>1.7099999999999999E-5</v>
          </cell>
          <cell r="E301">
            <v>39618</v>
          </cell>
          <cell r="F301" t="str">
            <v xml:space="preserve"> </v>
          </cell>
          <cell r="G301">
            <v>6112</v>
          </cell>
          <cell r="H301">
            <v>5439</v>
          </cell>
          <cell r="I301">
            <v>10513</v>
          </cell>
          <cell r="J301">
            <v>4185</v>
          </cell>
          <cell r="K301">
            <v>26249</v>
          </cell>
          <cell r="L301"/>
          <cell r="M301">
            <v>205</v>
          </cell>
          <cell r="N301">
            <v>0</v>
          </cell>
          <cell r="O301">
            <v>3362</v>
          </cell>
          <cell r="P301">
            <v>3567</v>
          </cell>
          <cell r="Q301"/>
          <cell r="R301">
            <v>11005</v>
          </cell>
          <cell r="S301">
            <v>1580</v>
          </cell>
          <cell r="T301">
            <v>12585</v>
          </cell>
        </row>
        <row r="302">
          <cell r="A302">
            <v>93108</v>
          </cell>
          <cell r="B302" t="str">
            <v>EASTPOINTE HUMAN SERVICES</v>
          </cell>
          <cell r="C302">
            <v>2.4109999999999999E-3</v>
          </cell>
          <cell r="D302">
            <v>2.6624999999999999E-3</v>
          </cell>
          <cell r="E302">
            <v>5719717</v>
          </cell>
          <cell r="F302" t="str">
            <v xml:space="preserve"> </v>
          </cell>
          <cell r="G302">
            <v>882416</v>
          </cell>
          <cell r="H302">
            <v>785147</v>
          </cell>
          <cell r="I302">
            <v>1517792</v>
          </cell>
          <cell r="J302">
            <v>86396</v>
          </cell>
          <cell r="K302">
            <v>3271751</v>
          </cell>
          <cell r="L302"/>
          <cell r="M302">
            <v>29609</v>
          </cell>
          <cell r="N302">
            <v>0</v>
          </cell>
          <cell r="O302">
            <v>181635</v>
          </cell>
          <cell r="P302">
            <v>211244</v>
          </cell>
          <cell r="Q302"/>
          <cell r="R302">
            <v>1588784</v>
          </cell>
          <cell r="S302">
            <v>143056</v>
          </cell>
          <cell r="T302">
            <v>1731840</v>
          </cell>
        </row>
        <row r="303">
          <cell r="A303">
            <v>93111</v>
          </cell>
          <cell r="B303" t="str">
            <v xml:space="preserve"> BEULAVILLE</v>
          </cell>
          <cell r="C303">
            <v>6.1500000000000004E-5</v>
          </cell>
          <cell r="D303">
            <v>5.8499999999999999E-5</v>
          </cell>
          <cell r="E303">
            <v>145899</v>
          </cell>
          <cell r="F303" t="str">
            <v xml:space="preserve"> </v>
          </cell>
          <cell r="G303">
            <v>22509</v>
          </cell>
          <cell r="H303">
            <v>20027</v>
          </cell>
          <cell r="I303">
            <v>38716</v>
          </cell>
          <cell r="J303">
            <v>609</v>
          </cell>
          <cell r="K303">
            <v>81861</v>
          </cell>
          <cell r="L303"/>
          <cell r="M303">
            <v>755</v>
          </cell>
          <cell r="N303">
            <v>0</v>
          </cell>
          <cell r="O303">
            <v>9926</v>
          </cell>
          <cell r="P303">
            <v>10681</v>
          </cell>
          <cell r="Q303"/>
          <cell r="R303">
            <v>40527</v>
          </cell>
          <cell r="S303">
            <v>-5384</v>
          </cell>
          <cell r="T303">
            <v>35143</v>
          </cell>
        </row>
        <row r="304">
          <cell r="A304">
            <v>93121</v>
          </cell>
          <cell r="B304" t="str">
            <v xml:space="preserve"> KENANSVILLE</v>
          </cell>
          <cell r="C304">
            <v>5.3300000000000001E-5</v>
          </cell>
          <cell r="D304">
            <v>6.2299999999999996E-5</v>
          </cell>
          <cell r="E304">
            <v>126446</v>
          </cell>
          <cell r="F304" t="str">
            <v xml:space="preserve"> </v>
          </cell>
          <cell r="G304">
            <v>19508</v>
          </cell>
          <cell r="H304">
            <v>17358</v>
          </cell>
          <cell r="I304">
            <v>33554</v>
          </cell>
          <cell r="J304">
            <v>1532</v>
          </cell>
          <cell r="K304">
            <v>71952</v>
          </cell>
          <cell r="L304"/>
          <cell r="M304">
            <v>655</v>
          </cell>
          <cell r="N304">
            <v>0</v>
          </cell>
          <cell r="O304">
            <v>7485</v>
          </cell>
          <cell r="P304">
            <v>8140</v>
          </cell>
          <cell r="Q304"/>
          <cell r="R304">
            <v>35123</v>
          </cell>
          <cell r="S304">
            <v>-4157</v>
          </cell>
          <cell r="T304">
            <v>30966</v>
          </cell>
        </row>
        <row r="305">
          <cell r="A305">
            <v>93127</v>
          </cell>
          <cell r="B305" t="str">
            <v>KENANSVILLE ABC BOARD</v>
          </cell>
          <cell r="C305">
            <v>6.8000000000000001E-6</v>
          </cell>
          <cell r="D305">
            <v>6.9E-6</v>
          </cell>
          <cell r="E305">
            <v>16132</v>
          </cell>
          <cell r="F305" t="str">
            <v xml:space="preserve"> </v>
          </cell>
          <cell r="G305">
            <v>2489</v>
          </cell>
          <cell r="H305">
            <v>2215</v>
          </cell>
          <cell r="I305">
            <v>4281</v>
          </cell>
          <cell r="J305">
            <v>93</v>
          </cell>
          <cell r="K305">
            <v>9078</v>
          </cell>
          <cell r="L305"/>
          <cell r="M305">
            <v>84</v>
          </cell>
          <cell r="N305">
            <v>0</v>
          </cell>
          <cell r="O305">
            <v>482</v>
          </cell>
          <cell r="P305">
            <v>566</v>
          </cell>
          <cell r="Q305"/>
          <cell r="R305">
            <v>4481</v>
          </cell>
          <cell r="S305">
            <v>-405</v>
          </cell>
          <cell r="T305">
            <v>4076</v>
          </cell>
        </row>
        <row r="306">
          <cell r="A306">
            <v>93131</v>
          </cell>
          <cell r="B306" t="str">
            <v xml:space="preserve"> WARSAW</v>
          </cell>
          <cell r="C306">
            <v>2.0129999999999999E-4</v>
          </cell>
          <cell r="D306">
            <v>2.218E-4</v>
          </cell>
          <cell r="E306">
            <v>477552</v>
          </cell>
          <cell r="F306" t="str">
            <v xml:space="preserve"> </v>
          </cell>
          <cell r="G306">
            <v>73675</v>
          </cell>
          <cell r="H306">
            <v>65554</v>
          </cell>
          <cell r="I306">
            <v>126724</v>
          </cell>
          <cell r="J306">
            <v>2495</v>
          </cell>
          <cell r="K306">
            <v>268448</v>
          </cell>
          <cell r="L306"/>
          <cell r="M306">
            <v>2472</v>
          </cell>
          <cell r="N306">
            <v>0</v>
          </cell>
          <cell r="O306">
            <v>34365</v>
          </cell>
          <cell r="P306">
            <v>36837</v>
          </cell>
          <cell r="Q306"/>
          <cell r="R306">
            <v>132651</v>
          </cell>
          <cell r="S306">
            <v>-5155</v>
          </cell>
          <cell r="T306">
            <v>127496</v>
          </cell>
        </row>
        <row r="307">
          <cell r="A307">
            <v>93137</v>
          </cell>
          <cell r="B307" t="str">
            <v>WARSAW ABC BOARD</v>
          </cell>
          <cell r="C307">
            <v>4.7999999999999998E-6</v>
          </cell>
          <cell r="D307">
            <v>3.3000000000000002E-6</v>
          </cell>
          <cell r="E307">
            <v>11387</v>
          </cell>
          <cell r="F307" t="str">
            <v xml:space="preserve"> </v>
          </cell>
          <cell r="G307">
            <v>1757</v>
          </cell>
          <cell r="H307">
            <v>1563</v>
          </cell>
          <cell r="I307">
            <v>3022</v>
          </cell>
          <cell r="J307">
            <v>3426</v>
          </cell>
          <cell r="K307">
            <v>9768</v>
          </cell>
          <cell r="L307"/>
          <cell r="M307">
            <v>59</v>
          </cell>
          <cell r="N307">
            <v>0</v>
          </cell>
          <cell r="O307">
            <v>0</v>
          </cell>
          <cell r="P307">
            <v>59</v>
          </cell>
          <cell r="Q307"/>
          <cell r="R307">
            <v>3163</v>
          </cell>
          <cell r="S307">
            <v>1228</v>
          </cell>
          <cell r="T307">
            <v>4391</v>
          </cell>
        </row>
        <row r="308">
          <cell r="A308">
            <v>93141</v>
          </cell>
          <cell r="B308" t="str">
            <v xml:space="preserve"> FAISON</v>
          </cell>
          <cell r="C308">
            <v>3.2299999999999999E-5</v>
          </cell>
          <cell r="D308">
            <v>4.1100000000000003E-5</v>
          </cell>
          <cell r="E308">
            <v>76627</v>
          </cell>
          <cell r="F308" t="str">
            <v xml:space="preserve"> </v>
          </cell>
          <cell r="G308">
            <v>11822</v>
          </cell>
          <cell r="H308">
            <v>10519</v>
          </cell>
          <cell r="I308">
            <v>20334</v>
          </cell>
          <cell r="J308">
            <v>0</v>
          </cell>
          <cell r="K308">
            <v>42675</v>
          </cell>
          <cell r="L308"/>
          <cell r="M308">
            <v>397</v>
          </cell>
          <cell r="N308">
            <v>0</v>
          </cell>
          <cell r="O308">
            <v>11022</v>
          </cell>
          <cell r="P308">
            <v>11419</v>
          </cell>
          <cell r="Q308"/>
          <cell r="R308">
            <v>21285</v>
          </cell>
          <cell r="S308">
            <v>-1889</v>
          </cell>
          <cell r="T308">
            <v>19396</v>
          </cell>
        </row>
        <row r="309">
          <cell r="A309">
            <v>93151</v>
          </cell>
          <cell r="B309" t="str">
            <v xml:space="preserve"> WALLACE</v>
          </cell>
          <cell r="C309">
            <v>3.2410000000000002E-4</v>
          </cell>
          <cell r="D309">
            <v>3.4279999999999998E-4</v>
          </cell>
          <cell r="E309">
            <v>768876</v>
          </cell>
          <cell r="F309" t="str">
            <v xml:space="preserve"> </v>
          </cell>
          <cell r="G309">
            <v>118619</v>
          </cell>
          <cell r="H309">
            <v>105543</v>
          </cell>
          <cell r="I309">
            <v>204030</v>
          </cell>
          <cell r="J309">
            <v>1711</v>
          </cell>
          <cell r="K309">
            <v>429903</v>
          </cell>
          <cell r="L309"/>
          <cell r="M309">
            <v>3980</v>
          </cell>
          <cell r="N309">
            <v>0</v>
          </cell>
          <cell r="O309">
            <v>25198</v>
          </cell>
          <cell r="P309">
            <v>29178</v>
          </cell>
          <cell r="Q309"/>
          <cell r="R309">
            <v>213573</v>
          </cell>
          <cell r="S309">
            <v>-7249</v>
          </cell>
          <cell r="T309">
            <v>206324</v>
          </cell>
        </row>
        <row r="310">
          <cell r="A310">
            <v>93157</v>
          </cell>
          <cell r="B310" t="str">
            <v>WALLACE ABC BD</v>
          </cell>
          <cell r="C310">
            <v>3.4999999999999999E-6</v>
          </cell>
          <cell r="D310">
            <v>3.5999999999999998E-6</v>
          </cell>
          <cell r="E310">
            <v>8303</v>
          </cell>
          <cell r="F310" t="str">
            <v xml:space="preserve"> </v>
          </cell>
          <cell r="G310">
            <v>1281</v>
          </cell>
          <cell r="H310">
            <v>1140</v>
          </cell>
          <cell r="I310">
            <v>2203</v>
          </cell>
          <cell r="J310">
            <v>7990</v>
          </cell>
          <cell r="K310">
            <v>12614</v>
          </cell>
          <cell r="L310"/>
          <cell r="M310">
            <v>43</v>
          </cell>
          <cell r="N310">
            <v>0</v>
          </cell>
          <cell r="O310">
            <v>152</v>
          </cell>
          <cell r="P310">
            <v>195</v>
          </cell>
          <cell r="Q310"/>
          <cell r="R310">
            <v>2306</v>
          </cell>
          <cell r="S310">
            <v>3773</v>
          </cell>
          <cell r="T310">
            <v>6079</v>
          </cell>
        </row>
        <row r="311">
          <cell r="A311">
            <v>93161</v>
          </cell>
          <cell r="B311" t="str">
            <v xml:space="preserve"> ROSE HILL</v>
          </cell>
          <cell r="C311">
            <v>1.105E-4</v>
          </cell>
          <cell r="D311">
            <v>1.038E-4</v>
          </cell>
          <cell r="E311">
            <v>262144</v>
          </cell>
          <cell r="F311" t="str">
            <v xml:space="preserve"> </v>
          </cell>
          <cell r="G311">
            <v>40443</v>
          </cell>
          <cell r="H311">
            <v>35984</v>
          </cell>
          <cell r="I311">
            <v>69563</v>
          </cell>
          <cell r="J311">
            <v>25987</v>
          </cell>
          <cell r="K311">
            <v>171977</v>
          </cell>
          <cell r="L311"/>
          <cell r="M311">
            <v>1357</v>
          </cell>
          <cell r="N311">
            <v>0</v>
          </cell>
          <cell r="O311">
            <v>0</v>
          </cell>
          <cell r="P311">
            <v>1357</v>
          </cell>
          <cell r="Q311"/>
          <cell r="R311">
            <v>72817</v>
          </cell>
          <cell r="S311">
            <v>13692</v>
          </cell>
          <cell r="T311">
            <v>86509</v>
          </cell>
        </row>
        <row r="312">
          <cell r="A312">
            <v>93171</v>
          </cell>
          <cell r="B312" t="str">
            <v xml:space="preserve"> CALYPSO</v>
          </cell>
          <cell r="C312">
            <v>2.7E-6</v>
          </cell>
          <cell r="D312">
            <v>5.2000000000000002E-6</v>
          </cell>
          <cell r="E312">
            <v>6405</v>
          </cell>
          <cell r="F312" t="str">
            <v xml:space="preserve"> </v>
          </cell>
          <cell r="G312">
            <v>988</v>
          </cell>
          <cell r="H312">
            <v>879</v>
          </cell>
          <cell r="I312">
            <v>1700</v>
          </cell>
          <cell r="J312">
            <v>1171</v>
          </cell>
          <cell r="K312">
            <v>4738</v>
          </cell>
          <cell r="L312"/>
          <cell r="M312">
            <v>33</v>
          </cell>
          <cell r="N312">
            <v>0</v>
          </cell>
          <cell r="O312">
            <v>987</v>
          </cell>
          <cell r="P312">
            <v>1020</v>
          </cell>
          <cell r="Q312"/>
          <cell r="R312">
            <v>1779</v>
          </cell>
          <cell r="S312">
            <v>542</v>
          </cell>
          <cell r="T312">
            <v>2321</v>
          </cell>
        </row>
        <row r="313">
          <cell r="A313">
            <v>93181</v>
          </cell>
          <cell r="B313" t="str">
            <v xml:space="preserve"> TEACHEY</v>
          </cell>
          <cell r="C313">
            <v>1.1E-5</v>
          </cell>
          <cell r="D313">
            <v>1.13E-5</v>
          </cell>
          <cell r="E313">
            <v>26096</v>
          </cell>
          <cell r="F313" t="str">
            <v xml:space="preserve"> </v>
          </cell>
          <cell r="G313">
            <v>4026</v>
          </cell>
          <cell r="H313">
            <v>3582</v>
          </cell>
          <cell r="I313">
            <v>6925</v>
          </cell>
          <cell r="J313">
            <v>457</v>
          </cell>
          <cell r="K313">
            <v>14990</v>
          </cell>
          <cell r="L313"/>
          <cell r="M313">
            <v>135</v>
          </cell>
          <cell r="N313">
            <v>0</v>
          </cell>
          <cell r="O313">
            <v>12</v>
          </cell>
          <cell r="P313">
            <v>147</v>
          </cell>
          <cell r="Q313"/>
          <cell r="R313">
            <v>7249</v>
          </cell>
          <cell r="S313">
            <v>435</v>
          </cell>
          <cell r="T313">
            <v>7684</v>
          </cell>
        </row>
        <row r="314">
          <cell r="A314">
            <v>93191</v>
          </cell>
          <cell r="B314" t="str">
            <v xml:space="preserve"> MAGNOLIA</v>
          </cell>
          <cell r="C314">
            <v>2.2500000000000001E-5</v>
          </cell>
          <cell r="D314">
            <v>2.4600000000000002E-5</v>
          </cell>
          <cell r="E314">
            <v>53378</v>
          </cell>
          <cell r="F314" t="str">
            <v xml:space="preserve"> </v>
          </cell>
          <cell r="G314">
            <v>8235</v>
          </cell>
          <cell r="H314">
            <v>7328</v>
          </cell>
          <cell r="I314">
            <v>14164</v>
          </cell>
          <cell r="J314">
            <v>3738</v>
          </cell>
          <cell r="K314">
            <v>33465</v>
          </cell>
          <cell r="L314"/>
          <cell r="M314">
            <v>276</v>
          </cell>
          <cell r="N314">
            <v>0</v>
          </cell>
          <cell r="O314">
            <v>1346</v>
          </cell>
          <cell r="P314">
            <v>1622</v>
          </cell>
          <cell r="Q314"/>
          <cell r="R314">
            <v>14827</v>
          </cell>
          <cell r="S314">
            <v>577</v>
          </cell>
          <cell r="T314">
            <v>15404</v>
          </cell>
        </row>
        <row r="315">
          <cell r="A315">
            <v>93201</v>
          </cell>
          <cell r="B315" t="str">
            <v>DURHAM COUNTY</v>
          </cell>
          <cell r="C315">
            <v>1.5763099999999999E-2</v>
          </cell>
          <cell r="D315">
            <v>1.5517E-2</v>
          </cell>
          <cell r="E315">
            <v>37395464</v>
          </cell>
          <cell r="F315" t="str">
            <v xml:space="preserve"> </v>
          </cell>
          <cell r="G315">
            <v>5769232</v>
          </cell>
          <cell r="H315">
            <v>5133286</v>
          </cell>
          <cell r="I315">
            <v>9923313</v>
          </cell>
          <cell r="J315">
            <v>597239</v>
          </cell>
          <cell r="K315">
            <v>21423070</v>
          </cell>
          <cell r="L315"/>
          <cell r="M315">
            <v>193587</v>
          </cell>
          <cell r="N315">
            <v>0</v>
          </cell>
          <cell r="O315">
            <v>154811</v>
          </cell>
          <cell r="P315">
            <v>348398</v>
          </cell>
          <cell r="Q315"/>
          <cell r="R315">
            <v>10387457</v>
          </cell>
          <cell r="S315">
            <v>455365</v>
          </cell>
          <cell r="T315">
            <v>10842822</v>
          </cell>
        </row>
        <row r="316">
          <cell r="A316">
            <v>93202</v>
          </cell>
          <cell r="B316" t="str">
            <v>PARKWOOD FIRE DEPARTMENT</v>
          </cell>
          <cell r="C316">
            <v>0</v>
          </cell>
          <cell r="D316">
            <v>0</v>
          </cell>
          <cell r="E316">
            <v>0</v>
          </cell>
          <cell r="F316" t="str">
            <v xml:space="preserve"> </v>
          </cell>
          <cell r="G316">
            <v>0</v>
          </cell>
          <cell r="H316">
            <v>0</v>
          </cell>
          <cell r="I316">
            <v>0</v>
          </cell>
          <cell r="J316">
            <v>0</v>
          </cell>
          <cell r="K316">
            <v>0</v>
          </cell>
          <cell r="L316"/>
          <cell r="M316">
            <v>0</v>
          </cell>
          <cell r="N316">
            <v>0</v>
          </cell>
          <cell r="O316">
            <v>103181</v>
          </cell>
          <cell r="P316">
            <v>103181</v>
          </cell>
          <cell r="Q316"/>
          <cell r="R316">
            <v>0</v>
          </cell>
          <cell r="S316">
            <v>-109337</v>
          </cell>
          <cell r="T316">
            <v>-109337</v>
          </cell>
        </row>
        <row r="317">
          <cell r="A317">
            <v>93204</v>
          </cell>
          <cell r="B317" t="str">
            <v>DURHAM COUNTY ABC BOARD</v>
          </cell>
          <cell r="C317">
            <v>3.28E-4</v>
          </cell>
          <cell r="D317">
            <v>3.0279999999999999E-4</v>
          </cell>
          <cell r="E317">
            <v>778128</v>
          </cell>
          <cell r="F317" t="str">
            <v xml:space="preserve"> </v>
          </cell>
          <cell r="G317">
            <v>120047</v>
          </cell>
          <cell r="H317">
            <v>106813</v>
          </cell>
          <cell r="I317">
            <v>206485</v>
          </cell>
          <cell r="J317">
            <v>42387</v>
          </cell>
          <cell r="K317">
            <v>475732</v>
          </cell>
          <cell r="L317"/>
          <cell r="M317">
            <v>4028</v>
          </cell>
          <cell r="N317">
            <v>0</v>
          </cell>
          <cell r="O317">
            <v>3051</v>
          </cell>
          <cell r="P317">
            <v>7079</v>
          </cell>
          <cell r="Q317"/>
          <cell r="R317">
            <v>216143</v>
          </cell>
          <cell r="S317">
            <v>7193</v>
          </cell>
          <cell r="T317">
            <v>223336</v>
          </cell>
        </row>
        <row r="318">
          <cell r="A318">
            <v>93209</v>
          </cell>
          <cell r="B318" t="str">
            <v>ALLIANCE BEHAVIORAL HEALTHCRE</v>
          </cell>
          <cell r="C318">
            <v>5.1598E-3</v>
          </cell>
          <cell r="D318">
            <v>4.6693999999999998E-3</v>
          </cell>
          <cell r="E318">
            <v>12240810</v>
          </cell>
          <cell r="F318" t="str">
            <v xml:space="preserve"> </v>
          </cell>
          <cell r="G318">
            <v>1888466</v>
          </cell>
          <cell r="H318">
            <v>1680299</v>
          </cell>
          <cell r="I318">
            <v>3248239</v>
          </cell>
          <cell r="J318">
            <v>484024</v>
          </cell>
          <cell r="K318">
            <v>7301028</v>
          </cell>
          <cell r="L318"/>
          <cell r="M318">
            <v>63368</v>
          </cell>
          <cell r="N318">
            <v>0</v>
          </cell>
          <cell r="O318">
            <v>0</v>
          </cell>
          <cell r="P318">
            <v>63368</v>
          </cell>
          <cell r="Q318"/>
          <cell r="R318">
            <v>3400169</v>
          </cell>
          <cell r="S318">
            <v>595668</v>
          </cell>
          <cell r="T318">
            <v>3995837</v>
          </cell>
        </row>
        <row r="319">
          <cell r="A319">
            <v>93211</v>
          </cell>
          <cell r="B319" t="str">
            <v>CITY OF DURHAM</v>
          </cell>
          <cell r="C319">
            <v>2.1090299999999999E-2</v>
          </cell>
          <cell r="D319">
            <v>2.0374099999999999E-2</v>
          </cell>
          <cell r="E319">
            <v>50033404</v>
          </cell>
          <cell r="F319" t="str">
            <v xml:space="preserve"> </v>
          </cell>
          <cell r="G319">
            <v>7718965</v>
          </cell>
          <cell r="H319">
            <v>6868098</v>
          </cell>
          <cell r="I319">
            <v>13276934</v>
          </cell>
          <cell r="J319">
            <v>418893</v>
          </cell>
          <cell r="K319">
            <v>28282890</v>
          </cell>
          <cell r="L319"/>
          <cell r="M319">
            <v>259010</v>
          </cell>
          <cell r="N319">
            <v>0</v>
          </cell>
          <cell r="O319">
            <v>485736</v>
          </cell>
          <cell r="P319">
            <v>744746</v>
          </cell>
          <cell r="Q319"/>
          <cell r="R319">
            <v>13897938</v>
          </cell>
          <cell r="S319">
            <v>-400564</v>
          </cell>
          <cell r="T319">
            <v>13497374</v>
          </cell>
        </row>
        <row r="320">
          <cell r="A320">
            <v>93212</v>
          </cell>
          <cell r="B320" t="str">
            <v>DURHAM CONVENTION &amp; VISITORS BUREAU</v>
          </cell>
          <cell r="C320">
            <v>2.7540000000000003E-4</v>
          </cell>
          <cell r="D320">
            <v>2.2130000000000001E-4</v>
          </cell>
          <cell r="E320">
            <v>653343</v>
          </cell>
          <cell r="F320" t="str">
            <v xml:space="preserve"> </v>
          </cell>
          <cell r="G320">
            <v>100795</v>
          </cell>
          <cell r="H320">
            <v>89685</v>
          </cell>
          <cell r="I320">
            <v>173372</v>
          </cell>
          <cell r="J320">
            <v>231765</v>
          </cell>
          <cell r="K320">
            <v>595617</v>
          </cell>
          <cell r="L320"/>
          <cell r="M320">
            <v>3382</v>
          </cell>
          <cell r="N320">
            <v>0</v>
          </cell>
          <cell r="O320">
            <v>0</v>
          </cell>
          <cell r="P320">
            <v>3382</v>
          </cell>
          <cell r="Q320"/>
          <cell r="R320">
            <v>181481</v>
          </cell>
          <cell r="S320">
            <v>85113</v>
          </cell>
          <cell r="T320">
            <v>266594</v>
          </cell>
        </row>
        <row r="321">
          <cell r="A321">
            <v>93219</v>
          </cell>
          <cell r="B321" t="str">
            <v>TRIANGLE J COUNCIL OF GOVERNMENTS</v>
          </cell>
          <cell r="C321">
            <v>2.5329999999999998E-4</v>
          </cell>
          <cell r="D321">
            <v>2.6289999999999999E-4</v>
          </cell>
          <cell r="E321">
            <v>600914</v>
          </cell>
          <cell r="F321" t="str">
            <v xml:space="preserve"> </v>
          </cell>
          <cell r="G321">
            <v>92707</v>
          </cell>
          <cell r="H321">
            <v>82487</v>
          </cell>
          <cell r="I321">
            <v>159459</v>
          </cell>
          <cell r="J321">
            <v>16940</v>
          </cell>
          <cell r="K321">
            <v>351593</v>
          </cell>
          <cell r="L321"/>
          <cell r="M321">
            <v>3111</v>
          </cell>
          <cell r="N321">
            <v>0</v>
          </cell>
          <cell r="O321">
            <v>7235</v>
          </cell>
          <cell r="P321">
            <v>10346</v>
          </cell>
          <cell r="Q321"/>
          <cell r="R321">
            <v>166918</v>
          </cell>
          <cell r="S321">
            <v>841</v>
          </cell>
          <cell r="T321">
            <v>167759</v>
          </cell>
        </row>
        <row r="322">
          <cell r="A322">
            <v>93301</v>
          </cell>
          <cell r="B322" t="str">
            <v>EDGECOMBE COUNTY</v>
          </cell>
          <cell r="C322">
            <v>2.3299000000000002E-3</v>
          </cell>
          <cell r="D322">
            <v>2.5243000000000002E-3</v>
          </cell>
          <cell r="E322">
            <v>5527320</v>
          </cell>
          <cell r="F322" t="str">
            <v xml:space="preserve"> </v>
          </cell>
          <cell r="G322">
            <v>852734</v>
          </cell>
          <cell r="H322">
            <v>758737</v>
          </cell>
          <cell r="I322">
            <v>1466737</v>
          </cell>
          <cell r="J322">
            <v>30807</v>
          </cell>
          <cell r="K322">
            <v>3109015</v>
          </cell>
          <cell r="L322"/>
          <cell r="M322">
            <v>28614</v>
          </cell>
          <cell r="N322">
            <v>0</v>
          </cell>
          <cell r="O322">
            <v>198572</v>
          </cell>
          <cell r="P322">
            <v>227186</v>
          </cell>
          <cell r="Q322"/>
          <cell r="R322">
            <v>1535341</v>
          </cell>
          <cell r="S322">
            <v>-62950</v>
          </cell>
          <cell r="T322">
            <v>1472391</v>
          </cell>
        </row>
        <row r="323">
          <cell r="A323">
            <v>93304</v>
          </cell>
          <cell r="B323" t="str">
            <v>EDGECOMBE COUNTY ABC BOARD</v>
          </cell>
          <cell r="C323">
            <v>3.3399999999999999E-5</v>
          </cell>
          <cell r="D323">
            <v>3.0300000000000001E-5</v>
          </cell>
          <cell r="E323">
            <v>79236</v>
          </cell>
          <cell r="F323" t="str">
            <v xml:space="preserve"> </v>
          </cell>
          <cell r="G323">
            <v>12224</v>
          </cell>
          <cell r="H323">
            <v>10877</v>
          </cell>
          <cell r="I323">
            <v>21026</v>
          </cell>
          <cell r="J323">
            <v>10139</v>
          </cell>
          <cell r="K323">
            <v>54266</v>
          </cell>
          <cell r="L323"/>
          <cell r="M323">
            <v>410</v>
          </cell>
          <cell r="N323">
            <v>0</v>
          </cell>
          <cell r="O323">
            <v>0</v>
          </cell>
          <cell r="P323">
            <v>410</v>
          </cell>
          <cell r="Q323"/>
          <cell r="R323">
            <v>22010</v>
          </cell>
          <cell r="S323">
            <v>6577</v>
          </cell>
          <cell r="T323">
            <v>28587</v>
          </cell>
        </row>
        <row r="324">
          <cell r="A324">
            <v>93305</v>
          </cell>
          <cell r="B324" t="str">
            <v>EDGECOMBE COUNTY MEMORIAL LIBRARY</v>
          </cell>
          <cell r="C324">
            <v>4.4799999999999998E-5</v>
          </cell>
          <cell r="D324">
            <v>4.6999999999999997E-5</v>
          </cell>
          <cell r="E324">
            <v>106281</v>
          </cell>
          <cell r="F324" t="str">
            <v xml:space="preserve"> </v>
          </cell>
          <cell r="G324">
            <v>16397</v>
          </cell>
          <cell r="H324">
            <v>14590</v>
          </cell>
          <cell r="I324">
            <v>28203</v>
          </cell>
          <cell r="J324">
            <v>0</v>
          </cell>
          <cell r="K324">
            <v>59190</v>
          </cell>
          <cell r="L324"/>
          <cell r="M324">
            <v>550</v>
          </cell>
          <cell r="N324">
            <v>0</v>
          </cell>
          <cell r="O324">
            <v>6061</v>
          </cell>
          <cell r="P324">
            <v>6611</v>
          </cell>
          <cell r="Q324"/>
          <cell r="R324">
            <v>29522</v>
          </cell>
          <cell r="S324">
            <v>-2514</v>
          </cell>
          <cell r="T324">
            <v>27008</v>
          </cell>
        </row>
        <row r="325">
          <cell r="A325">
            <v>93309</v>
          </cell>
          <cell r="B325" t="str">
            <v>UPPER COASTAL PLAIN COUNCIL OF GOVERNMENTS</v>
          </cell>
          <cell r="C325">
            <v>1.6430000000000001E-4</v>
          </cell>
          <cell r="D325">
            <v>1.63E-4</v>
          </cell>
          <cell r="E325">
            <v>389776</v>
          </cell>
          <cell r="F325" t="str">
            <v xml:space="preserve"> </v>
          </cell>
          <cell r="G325">
            <v>60133</v>
          </cell>
          <cell r="H325">
            <v>53504</v>
          </cell>
          <cell r="I325">
            <v>103431</v>
          </cell>
          <cell r="J325">
            <v>30559</v>
          </cell>
          <cell r="K325">
            <v>247627</v>
          </cell>
          <cell r="L325"/>
          <cell r="M325">
            <v>2018</v>
          </cell>
          <cell r="N325">
            <v>0</v>
          </cell>
          <cell r="O325">
            <v>0</v>
          </cell>
          <cell r="P325">
            <v>2018</v>
          </cell>
          <cell r="Q325"/>
          <cell r="R325">
            <v>108269</v>
          </cell>
          <cell r="S325">
            <v>11215</v>
          </cell>
          <cell r="T325">
            <v>119484</v>
          </cell>
        </row>
        <row r="326">
          <cell r="A326">
            <v>93311</v>
          </cell>
          <cell r="B326" t="str">
            <v xml:space="preserve"> TARBORO</v>
          </cell>
          <cell r="C326">
            <v>1.2439E-3</v>
          </cell>
          <cell r="D326">
            <v>1.1665E-3</v>
          </cell>
          <cell r="E326">
            <v>2950956</v>
          </cell>
          <cell r="F326" t="str">
            <v xml:space="preserve"> </v>
          </cell>
          <cell r="G326">
            <v>455262</v>
          </cell>
          <cell r="H326">
            <v>405079</v>
          </cell>
          <cell r="I326">
            <v>783070</v>
          </cell>
          <cell r="J326">
            <v>22773</v>
          </cell>
          <cell r="K326">
            <v>1666184</v>
          </cell>
          <cell r="L326"/>
          <cell r="M326">
            <v>15276</v>
          </cell>
          <cell r="N326">
            <v>0</v>
          </cell>
          <cell r="O326">
            <v>45734</v>
          </cell>
          <cell r="P326">
            <v>61010</v>
          </cell>
          <cell r="Q326"/>
          <cell r="R326">
            <v>819697</v>
          </cell>
          <cell r="S326">
            <v>-32212</v>
          </cell>
          <cell r="T326">
            <v>787485</v>
          </cell>
        </row>
        <row r="327">
          <cell r="A327">
            <v>93317</v>
          </cell>
          <cell r="B327" t="str">
            <v>TARBORO REDEVELOPMENT COMMISSION</v>
          </cell>
          <cell r="C327">
            <v>4.8300000000000002E-5</v>
          </cell>
          <cell r="D327">
            <v>5.0099999999999998E-5</v>
          </cell>
          <cell r="E327">
            <v>114584</v>
          </cell>
          <cell r="F327" t="str">
            <v xml:space="preserve"> </v>
          </cell>
          <cell r="G327">
            <v>17678</v>
          </cell>
          <cell r="H327">
            <v>15729</v>
          </cell>
          <cell r="I327">
            <v>30406</v>
          </cell>
          <cell r="J327">
            <v>550</v>
          </cell>
          <cell r="K327">
            <v>64363</v>
          </cell>
          <cell r="L327"/>
          <cell r="M327">
            <v>593</v>
          </cell>
          <cell r="N327">
            <v>0</v>
          </cell>
          <cell r="O327">
            <v>2758</v>
          </cell>
          <cell r="P327">
            <v>3351</v>
          </cell>
          <cell r="Q327"/>
          <cell r="R327">
            <v>31828</v>
          </cell>
          <cell r="S327">
            <v>-711</v>
          </cell>
          <cell r="T327">
            <v>31117</v>
          </cell>
        </row>
        <row r="328">
          <cell r="A328">
            <v>93321</v>
          </cell>
          <cell r="B328" t="str">
            <v>CITY OF ROCKY MOUNT</v>
          </cell>
          <cell r="C328">
            <v>7.0657000000000003E-3</v>
          </cell>
          <cell r="D328">
            <v>7.3600000000000002E-3</v>
          </cell>
          <cell r="E328">
            <v>16762257</v>
          </cell>
          <cell r="F328" t="str">
            <v xml:space="preserve"> </v>
          </cell>
          <cell r="G328">
            <v>2586018</v>
          </cell>
          <cell r="H328">
            <v>2300960</v>
          </cell>
          <cell r="I328">
            <v>4448056</v>
          </cell>
          <cell r="J328">
            <v>0</v>
          </cell>
          <cell r="K328">
            <v>9335034</v>
          </cell>
          <cell r="L328"/>
          <cell r="M328">
            <v>86774</v>
          </cell>
          <cell r="N328">
            <v>0</v>
          </cell>
          <cell r="O328">
            <v>623798</v>
          </cell>
          <cell r="P328">
            <v>710572</v>
          </cell>
          <cell r="Q328"/>
          <cell r="R328">
            <v>4656106</v>
          </cell>
          <cell r="S328">
            <v>-396274</v>
          </cell>
          <cell r="T328">
            <v>4259832</v>
          </cell>
        </row>
        <row r="329">
          <cell r="A329">
            <v>93323</v>
          </cell>
          <cell r="B329" t="str">
            <v>ROCKY MOUNT-WILSON AIRPORT AUTHORITY</v>
          </cell>
          <cell r="C329">
            <v>1.9300000000000002E-5</v>
          </cell>
          <cell r="D329">
            <v>2.19E-5</v>
          </cell>
          <cell r="E329">
            <v>45786</v>
          </cell>
          <cell r="F329" t="str">
            <v xml:space="preserve"> </v>
          </cell>
          <cell r="G329">
            <v>7064</v>
          </cell>
          <cell r="H329">
            <v>6286</v>
          </cell>
          <cell r="I329">
            <v>12150</v>
          </cell>
          <cell r="J329">
            <v>5709</v>
          </cell>
          <cell r="K329">
            <v>31209</v>
          </cell>
          <cell r="L329"/>
          <cell r="M329">
            <v>237</v>
          </cell>
          <cell r="N329">
            <v>0</v>
          </cell>
          <cell r="O329">
            <v>2583</v>
          </cell>
          <cell r="P329">
            <v>2820</v>
          </cell>
          <cell r="Q329"/>
          <cell r="R329">
            <v>12718</v>
          </cell>
          <cell r="S329">
            <v>2046</v>
          </cell>
          <cell r="T329">
            <v>14764</v>
          </cell>
        </row>
        <row r="330">
          <cell r="A330">
            <v>93331</v>
          </cell>
          <cell r="B330" t="str">
            <v xml:space="preserve"> PINETOPS</v>
          </cell>
          <cell r="C330">
            <v>1.22E-4</v>
          </cell>
          <cell r="D330">
            <v>1.208E-4</v>
          </cell>
          <cell r="E330">
            <v>289426</v>
          </cell>
          <cell r="F330" t="str">
            <v xml:space="preserve"> </v>
          </cell>
          <cell r="G330">
            <v>44652</v>
          </cell>
          <cell r="H330">
            <v>39730</v>
          </cell>
          <cell r="I330">
            <v>76802</v>
          </cell>
          <cell r="J330">
            <v>5671</v>
          </cell>
          <cell r="K330">
            <v>166855</v>
          </cell>
          <cell r="L330"/>
          <cell r="M330">
            <v>1498</v>
          </cell>
          <cell r="N330">
            <v>0</v>
          </cell>
          <cell r="O330">
            <v>6870</v>
          </cell>
          <cell r="P330">
            <v>8368</v>
          </cell>
          <cell r="Q330"/>
          <cell r="R330">
            <v>80395</v>
          </cell>
          <cell r="S330">
            <v>-1201</v>
          </cell>
          <cell r="T330">
            <v>79194</v>
          </cell>
        </row>
        <row r="331">
          <cell r="A331">
            <v>93333</v>
          </cell>
          <cell r="B331" t="str">
            <v>ROCKY MT HOUSING AUTHORITY</v>
          </cell>
          <cell r="C331">
            <v>1.685E-4</v>
          </cell>
          <cell r="D331">
            <v>1.796E-4</v>
          </cell>
          <cell r="E331">
            <v>399740</v>
          </cell>
          <cell r="F331" t="str">
            <v xml:space="preserve"> </v>
          </cell>
          <cell r="G331">
            <v>61670</v>
          </cell>
          <cell r="H331">
            <v>54872</v>
          </cell>
          <cell r="I331">
            <v>106075</v>
          </cell>
          <cell r="J331">
            <v>128475</v>
          </cell>
          <cell r="K331">
            <v>351092</v>
          </cell>
          <cell r="L331"/>
          <cell r="M331">
            <v>2069</v>
          </cell>
          <cell r="N331">
            <v>0</v>
          </cell>
          <cell r="O331">
            <v>0</v>
          </cell>
          <cell r="P331">
            <v>2069</v>
          </cell>
          <cell r="Q331"/>
          <cell r="R331">
            <v>111037</v>
          </cell>
          <cell r="S331">
            <v>76738</v>
          </cell>
          <cell r="T331">
            <v>187775</v>
          </cell>
        </row>
        <row r="332">
          <cell r="A332">
            <v>93341</v>
          </cell>
          <cell r="B332" t="str">
            <v xml:space="preserve"> MACCLESFIELD</v>
          </cell>
          <cell r="C332">
            <v>2.7500000000000001E-5</v>
          </cell>
          <cell r="D332">
            <v>2.34E-5</v>
          </cell>
          <cell r="E332">
            <v>65239</v>
          </cell>
          <cell r="F332" t="str">
            <v xml:space="preserve"> </v>
          </cell>
          <cell r="G332">
            <v>10065</v>
          </cell>
          <cell r="H332">
            <v>8955</v>
          </cell>
          <cell r="I332">
            <v>17312</v>
          </cell>
          <cell r="J332">
            <v>4514</v>
          </cell>
          <cell r="K332">
            <v>40846</v>
          </cell>
          <cell r="L332"/>
          <cell r="M332">
            <v>338</v>
          </cell>
          <cell r="N332">
            <v>0</v>
          </cell>
          <cell r="O332">
            <v>647</v>
          </cell>
          <cell r="P332">
            <v>985</v>
          </cell>
          <cell r="Q332"/>
          <cell r="R332">
            <v>18122</v>
          </cell>
          <cell r="S332">
            <v>1598</v>
          </cell>
          <cell r="T332">
            <v>19720</v>
          </cell>
        </row>
        <row r="333">
          <cell r="A333">
            <v>93351</v>
          </cell>
          <cell r="B333" t="str">
            <v xml:space="preserve"> PRINCEVILLE</v>
          </cell>
          <cell r="C333">
            <v>1.7600000000000001E-5</v>
          </cell>
          <cell r="D333">
            <v>3.4E-5</v>
          </cell>
          <cell r="E333">
            <v>41753</v>
          </cell>
          <cell r="F333" t="str">
            <v xml:space="preserve"> </v>
          </cell>
          <cell r="G333">
            <v>6442</v>
          </cell>
          <cell r="H333">
            <v>5731</v>
          </cell>
          <cell r="I333">
            <v>11080</v>
          </cell>
          <cell r="J333">
            <v>13531</v>
          </cell>
          <cell r="K333">
            <v>36784</v>
          </cell>
          <cell r="L333"/>
          <cell r="M333">
            <v>216</v>
          </cell>
          <cell r="N333">
            <v>0</v>
          </cell>
          <cell r="O333">
            <v>12460</v>
          </cell>
          <cell r="P333">
            <v>12676</v>
          </cell>
          <cell r="Q333"/>
          <cell r="R333">
            <v>11598</v>
          </cell>
          <cell r="S333">
            <v>228</v>
          </cell>
          <cell r="T333">
            <v>11826</v>
          </cell>
        </row>
        <row r="334">
          <cell r="A334">
            <v>93401</v>
          </cell>
          <cell r="B334" t="str">
            <v>FORSYTH COUNTY</v>
          </cell>
          <cell r="C334">
            <v>1.40187E-2</v>
          </cell>
          <cell r="D334">
            <v>1.3834900000000001E-2</v>
          </cell>
          <cell r="E334">
            <v>33257151</v>
          </cell>
          <cell r="F334" t="str">
            <v xml:space="preserve"> </v>
          </cell>
          <cell r="G334">
            <v>5130788</v>
          </cell>
          <cell r="H334">
            <v>4565217</v>
          </cell>
          <cell r="I334">
            <v>8825164</v>
          </cell>
          <cell r="J334">
            <v>179357</v>
          </cell>
          <cell r="K334">
            <v>18700526</v>
          </cell>
          <cell r="L334"/>
          <cell r="M334">
            <v>172164</v>
          </cell>
          <cell r="N334">
            <v>0</v>
          </cell>
          <cell r="O334">
            <v>63750</v>
          </cell>
          <cell r="P334">
            <v>235914</v>
          </cell>
          <cell r="Q334"/>
          <cell r="R334">
            <v>9237945</v>
          </cell>
          <cell r="S334">
            <v>-44240</v>
          </cell>
          <cell r="T334">
            <v>9193705</v>
          </cell>
        </row>
        <row r="335">
          <cell r="A335">
            <v>93402</v>
          </cell>
          <cell r="B335" t="str">
            <v>AIRPORT COMMISSION OF FORSYTH COUNTY</v>
          </cell>
          <cell r="C335">
            <v>9.6399999999999999E-5</v>
          </cell>
          <cell r="D335">
            <v>9.8800000000000003E-5</v>
          </cell>
          <cell r="E335">
            <v>228694</v>
          </cell>
          <cell r="F335" t="str">
            <v xml:space="preserve"> </v>
          </cell>
          <cell r="G335">
            <v>35282</v>
          </cell>
          <cell r="H335">
            <v>31393</v>
          </cell>
          <cell r="I335">
            <v>60686</v>
          </cell>
          <cell r="J335">
            <v>1484</v>
          </cell>
          <cell r="K335">
            <v>128845</v>
          </cell>
          <cell r="L335"/>
          <cell r="M335">
            <v>1184</v>
          </cell>
          <cell r="N335">
            <v>0</v>
          </cell>
          <cell r="O335">
            <v>10261</v>
          </cell>
          <cell r="P335">
            <v>11445</v>
          </cell>
          <cell r="Q335"/>
          <cell r="R335">
            <v>63525</v>
          </cell>
          <cell r="S335">
            <v>1040</v>
          </cell>
          <cell r="T335">
            <v>64565</v>
          </cell>
        </row>
        <row r="336">
          <cell r="A336">
            <v>93406</v>
          </cell>
          <cell r="B336" t="str">
            <v>PIEDMONT TRIAD REGIONAL COUNCIL</v>
          </cell>
          <cell r="C336">
            <v>5.0830000000000005E-4</v>
          </cell>
          <cell r="D336">
            <v>6.5059999999999998E-4</v>
          </cell>
          <cell r="E336">
            <v>1205861</v>
          </cell>
          <cell r="F336" t="str">
            <v xml:space="preserve"> </v>
          </cell>
          <cell r="G336">
            <v>186036</v>
          </cell>
          <cell r="H336">
            <v>165529</v>
          </cell>
          <cell r="I336">
            <v>319989</v>
          </cell>
          <cell r="J336">
            <v>7137</v>
          </cell>
          <cell r="K336">
            <v>678691</v>
          </cell>
          <cell r="L336"/>
          <cell r="M336">
            <v>6242</v>
          </cell>
          <cell r="N336">
            <v>0</v>
          </cell>
          <cell r="O336">
            <v>129835</v>
          </cell>
          <cell r="P336">
            <v>136077</v>
          </cell>
          <cell r="Q336"/>
          <cell r="R336">
            <v>334956</v>
          </cell>
          <cell r="S336">
            <v>-16548</v>
          </cell>
          <cell r="T336">
            <v>318408</v>
          </cell>
        </row>
        <row r="337">
          <cell r="A337">
            <v>93408</v>
          </cell>
          <cell r="B337" t="str">
            <v>CENTERPOINT HUMAN SERVICES</v>
          </cell>
          <cell r="C337">
            <v>0</v>
          </cell>
          <cell r="D337">
            <v>0</v>
          </cell>
          <cell r="E337">
            <v>0</v>
          </cell>
          <cell r="F337" t="str">
            <v xml:space="preserve"> </v>
          </cell>
          <cell r="G337">
            <v>0</v>
          </cell>
          <cell r="H337">
            <v>0</v>
          </cell>
          <cell r="I337">
            <v>0</v>
          </cell>
          <cell r="J337">
            <v>26519</v>
          </cell>
          <cell r="K337">
            <v>26519</v>
          </cell>
          <cell r="L337"/>
          <cell r="M337">
            <v>0</v>
          </cell>
          <cell r="N337">
            <v>0</v>
          </cell>
          <cell r="O337">
            <v>1164660</v>
          </cell>
          <cell r="P337">
            <v>1164660</v>
          </cell>
          <cell r="Q337"/>
          <cell r="R337">
            <v>0</v>
          </cell>
          <cell r="S337">
            <v>-293308</v>
          </cell>
          <cell r="T337">
            <v>-293308</v>
          </cell>
        </row>
        <row r="338">
          <cell r="A338">
            <v>93411</v>
          </cell>
          <cell r="B338" t="str">
            <v>CITY OF WINSTON-SALEM</v>
          </cell>
          <cell r="C338">
            <v>1.8113199999999999E-2</v>
          </cell>
          <cell r="D338">
            <v>1.7454999999999998E-2</v>
          </cell>
          <cell r="E338">
            <v>42970705</v>
          </cell>
          <cell r="F338" t="str">
            <v xml:space="preserve"> </v>
          </cell>
          <cell r="G338">
            <v>6629359</v>
          </cell>
          <cell r="H338">
            <v>5898600</v>
          </cell>
          <cell r="I338">
            <v>11402767</v>
          </cell>
          <cell r="J338">
            <v>739661</v>
          </cell>
          <cell r="K338">
            <v>24670387</v>
          </cell>
          <cell r="L338"/>
          <cell r="M338">
            <v>222448</v>
          </cell>
          <cell r="N338">
            <v>0</v>
          </cell>
          <cell r="O338">
            <v>227877</v>
          </cell>
          <cell r="P338">
            <v>450325</v>
          </cell>
          <cell r="Q338"/>
          <cell r="R338">
            <v>11936110</v>
          </cell>
          <cell r="S338">
            <v>-166296</v>
          </cell>
          <cell r="T338">
            <v>11769814</v>
          </cell>
        </row>
        <row r="339">
          <cell r="A339">
            <v>93413</v>
          </cell>
          <cell r="B339" t="str">
            <v>WINSTON-SALEM HOUSING AUTHORITY</v>
          </cell>
          <cell r="C339">
            <v>7.1969999999999998E-4</v>
          </cell>
          <cell r="D339">
            <v>7.7070000000000003E-4</v>
          </cell>
          <cell r="E339">
            <v>1707375</v>
          </cell>
          <cell r="F339" t="str">
            <v xml:space="preserve"> </v>
          </cell>
          <cell r="G339">
            <v>263407</v>
          </cell>
          <cell r="H339">
            <v>234372</v>
          </cell>
          <cell r="I339">
            <v>453071</v>
          </cell>
          <cell r="J339">
            <v>0</v>
          </cell>
          <cell r="K339">
            <v>950850</v>
          </cell>
          <cell r="L339"/>
          <cell r="M339">
            <v>8839</v>
          </cell>
          <cell r="N339">
            <v>0</v>
          </cell>
          <cell r="O339">
            <v>32288</v>
          </cell>
          <cell r="P339">
            <v>41127</v>
          </cell>
          <cell r="Q339"/>
          <cell r="R339">
            <v>474263</v>
          </cell>
          <cell r="S339">
            <v>-21077</v>
          </cell>
          <cell r="T339">
            <v>453186</v>
          </cell>
        </row>
        <row r="340">
          <cell r="A340">
            <v>93417</v>
          </cell>
          <cell r="B340" t="str">
            <v>TRIAD MUNICIPAL ABC BOARD</v>
          </cell>
          <cell r="C340">
            <v>3.279E-4</v>
          </cell>
          <cell r="D340">
            <v>3.4430000000000002E-4</v>
          </cell>
          <cell r="E340">
            <v>777891</v>
          </cell>
          <cell r="F340" t="str">
            <v xml:space="preserve"> </v>
          </cell>
          <cell r="G340">
            <v>120010</v>
          </cell>
          <cell r="H340">
            <v>106782</v>
          </cell>
          <cell r="I340">
            <v>206422</v>
          </cell>
          <cell r="J340">
            <v>10888</v>
          </cell>
          <cell r="K340">
            <v>444102</v>
          </cell>
          <cell r="L340"/>
          <cell r="M340">
            <v>4027</v>
          </cell>
          <cell r="N340">
            <v>0</v>
          </cell>
          <cell r="O340">
            <v>24803</v>
          </cell>
          <cell r="P340">
            <v>28830</v>
          </cell>
          <cell r="Q340"/>
          <cell r="R340">
            <v>216077</v>
          </cell>
          <cell r="S340">
            <v>8121</v>
          </cell>
          <cell r="T340">
            <v>224198</v>
          </cell>
        </row>
        <row r="341">
          <cell r="A341">
            <v>93421</v>
          </cell>
          <cell r="B341" t="str">
            <v xml:space="preserve"> KERNERSVILLE</v>
          </cell>
          <cell r="C341">
            <v>2.1354999999999998E-3</v>
          </cell>
          <cell r="D341">
            <v>2.1294999999999999E-3</v>
          </cell>
          <cell r="E341">
            <v>5066136</v>
          </cell>
          <cell r="F341" t="str">
            <v xml:space="preserve"> </v>
          </cell>
          <cell r="G341">
            <v>781584</v>
          </cell>
          <cell r="H341">
            <v>695430</v>
          </cell>
          <cell r="I341">
            <v>1344357</v>
          </cell>
          <cell r="J341">
            <v>0</v>
          </cell>
          <cell r="K341">
            <v>2821371</v>
          </cell>
          <cell r="L341"/>
          <cell r="M341">
            <v>26226</v>
          </cell>
          <cell r="N341">
            <v>0</v>
          </cell>
          <cell r="O341">
            <v>215571</v>
          </cell>
          <cell r="P341">
            <v>241797</v>
          </cell>
          <cell r="Q341"/>
          <cell r="R341">
            <v>1407237</v>
          </cell>
          <cell r="S341">
            <v>-143206</v>
          </cell>
          <cell r="T341">
            <v>1264031</v>
          </cell>
        </row>
        <row r="342">
          <cell r="A342">
            <v>93431</v>
          </cell>
          <cell r="B342" t="str">
            <v xml:space="preserve"> RURAL HALL</v>
          </cell>
          <cell r="C342">
            <v>1.393E-4</v>
          </cell>
          <cell r="D342">
            <v>1.2689999999999999E-4</v>
          </cell>
          <cell r="E342">
            <v>330467</v>
          </cell>
          <cell r="F342" t="str">
            <v xml:space="preserve"> </v>
          </cell>
          <cell r="G342">
            <v>50983</v>
          </cell>
          <cell r="H342">
            <v>45363</v>
          </cell>
          <cell r="I342">
            <v>87693</v>
          </cell>
          <cell r="J342">
            <v>17651</v>
          </cell>
          <cell r="K342">
            <v>201690</v>
          </cell>
          <cell r="L342"/>
          <cell r="M342">
            <v>1711</v>
          </cell>
          <cell r="N342">
            <v>0</v>
          </cell>
          <cell r="O342">
            <v>3344</v>
          </cell>
          <cell r="P342">
            <v>5055</v>
          </cell>
          <cell r="Q342"/>
          <cell r="R342">
            <v>91795</v>
          </cell>
          <cell r="S342">
            <v>3930</v>
          </cell>
          <cell r="T342">
            <v>95725</v>
          </cell>
        </row>
        <row r="343">
          <cell r="A343">
            <v>93441</v>
          </cell>
          <cell r="B343" t="str">
            <v xml:space="preserve"> CLEMMONS</v>
          </cell>
          <cell r="C343">
            <v>1.651E-4</v>
          </cell>
          <cell r="D343">
            <v>1.54E-4</v>
          </cell>
          <cell r="E343">
            <v>391674</v>
          </cell>
          <cell r="F343" t="str">
            <v xml:space="preserve"> </v>
          </cell>
          <cell r="G343">
            <v>60426</v>
          </cell>
          <cell r="H343">
            <v>53765</v>
          </cell>
          <cell r="I343">
            <v>103935</v>
          </cell>
          <cell r="J343">
            <v>21962</v>
          </cell>
          <cell r="K343">
            <v>240088</v>
          </cell>
          <cell r="L343"/>
          <cell r="M343">
            <v>2028</v>
          </cell>
          <cell r="N343">
            <v>0</v>
          </cell>
          <cell r="O343">
            <v>0</v>
          </cell>
          <cell r="P343">
            <v>2028</v>
          </cell>
          <cell r="Q343"/>
          <cell r="R343">
            <v>108796</v>
          </cell>
          <cell r="S343">
            <v>16238</v>
          </cell>
          <cell r="T343">
            <v>125034</v>
          </cell>
        </row>
        <row r="344">
          <cell r="A344">
            <v>93442</v>
          </cell>
          <cell r="B344" t="str">
            <v>CLEMMONS FIRE DEPARTMENT</v>
          </cell>
          <cell r="C344">
            <v>1.5139999999999999E-4</v>
          </cell>
          <cell r="D344">
            <v>1.505E-4</v>
          </cell>
          <cell r="E344">
            <v>359173</v>
          </cell>
          <cell r="F344" t="str">
            <v xml:space="preserve"> </v>
          </cell>
          <cell r="G344">
            <v>55412</v>
          </cell>
          <cell r="H344">
            <v>49304</v>
          </cell>
          <cell r="I344">
            <v>95311</v>
          </cell>
          <cell r="J344">
            <v>2596</v>
          </cell>
          <cell r="K344">
            <v>202623</v>
          </cell>
          <cell r="L344"/>
          <cell r="M344">
            <v>1859</v>
          </cell>
          <cell r="N344">
            <v>0</v>
          </cell>
          <cell r="O344">
            <v>18150</v>
          </cell>
          <cell r="P344">
            <v>20009</v>
          </cell>
          <cell r="Q344"/>
          <cell r="R344">
            <v>99769</v>
          </cell>
          <cell r="S344">
            <v>-7850</v>
          </cell>
          <cell r="T344">
            <v>91919</v>
          </cell>
        </row>
        <row r="345">
          <cell r="A345">
            <v>93451</v>
          </cell>
          <cell r="B345" t="str">
            <v xml:space="preserve"> LEWISVILLE</v>
          </cell>
          <cell r="C345">
            <v>7.9599999999999997E-5</v>
          </cell>
          <cell r="D345">
            <v>7.0900000000000002E-5</v>
          </cell>
          <cell r="E345">
            <v>188838</v>
          </cell>
          <cell r="F345" t="str">
            <v xml:space="preserve"> </v>
          </cell>
          <cell r="G345">
            <v>29133</v>
          </cell>
          <cell r="H345">
            <v>25922</v>
          </cell>
          <cell r="I345">
            <v>50110</v>
          </cell>
          <cell r="J345">
            <v>21182</v>
          </cell>
          <cell r="K345">
            <v>126347</v>
          </cell>
          <cell r="L345"/>
          <cell r="M345">
            <v>978</v>
          </cell>
          <cell r="N345">
            <v>0</v>
          </cell>
          <cell r="O345">
            <v>0</v>
          </cell>
          <cell r="P345">
            <v>978</v>
          </cell>
          <cell r="Q345"/>
          <cell r="R345">
            <v>52454</v>
          </cell>
          <cell r="S345">
            <v>8104</v>
          </cell>
          <cell r="T345">
            <v>60558</v>
          </cell>
        </row>
        <row r="346">
          <cell r="A346">
            <v>93461</v>
          </cell>
          <cell r="B346" t="str">
            <v>WALKERTOWN</v>
          </cell>
          <cell r="C346">
            <v>1.6200000000000001E-5</v>
          </cell>
          <cell r="D346">
            <v>1.66E-5</v>
          </cell>
          <cell r="E346">
            <v>38432</v>
          </cell>
          <cell r="F346" t="str">
            <v xml:space="preserve"> </v>
          </cell>
          <cell r="G346">
            <v>5929</v>
          </cell>
          <cell r="H346">
            <v>5275</v>
          </cell>
          <cell r="I346">
            <v>10198</v>
          </cell>
          <cell r="J346">
            <v>707</v>
          </cell>
          <cell r="K346">
            <v>22109</v>
          </cell>
          <cell r="L346"/>
          <cell r="M346">
            <v>199</v>
          </cell>
          <cell r="N346">
            <v>0</v>
          </cell>
          <cell r="O346">
            <v>0</v>
          </cell>
          <cell r="P346">
            <v>199</v>
          </cell>
          <cell r="Q346"/>
          <cell r="R346">
            <v>10675</v>
          </cell>
          <cell r="S346">
            <v>351</v>
          </cell>
          <cell r="T346">
            <v>11026</v>
          </cell>
        </row>
        <row r="347">
          <cell r="A347">
            <v>93471</v>
          </cell>
          <cell r="B347" t="str">
            <v>TOBACCOVILLE</v>
          </cell>
          <cell r="C347">
            <v>1.15E-5</v>
          </cell>
          <cell r="D347">
            <v>1.31E-5</v>
          </cell>
          <cell r="E347">
            <v>27282</v>
          </cell>
          <cell r="F347" t="str">
            <v xml:space="preserve"> </v>
          </cell>
          <cell r="G347">
            <v>4209</v>
          </cell>
          <cell r="H347">
            <v>3745</v>
          </cell>
          <cell r="I347">
            <v>7240</v>
          </cell>
          <cell r="J347">
            <v>4442</v>
          </cell>
          <cell r="K347">
            <v>19636</v>
          </cell>
          <cell r="L347"/>
          <cell r="M347">
            <v>141</v>
          </cell>
          <cell r="N347">
            <v>0</v>
          </cell>
          <cell r="O347">
            <v>0</v>
          </cell>
          <cell r="P347">
            <v>141</v>
          </cell>
          <cell r="Q347"/>
          <cell r="R347">
            <v>7578</v>
          </cell>
          <cell r="S347">
            <v>1610</v>
          </cell>
          <cell r="T347">
            <v>9188</v>
          </cell>
        </row>
        <row r="348">
          <cell r="A348">
            <v>93501</v>
          </cell>
          <cell r="B348" t="str">
            <v>FRANKLIN COUNTY</v>
          </cell>
          <cell r="C348">
            <v>3.6803000000000001E-3</v>
          </cell>
          <cell r="D348">
            <v>3.6113999999999999E-3</v>
          </cell>
          <cell r="E348">
            <v>8730930</v>
          </cell>
          <cell r="F348" t="str">
            <v xml:space="preserve"> </v>
          </cell>
          <cell r="G348">
            <v>1346975</v>
          </cell>
          <cell r="H348">
            <v>1198497</v>
          </cell>
          <cell r="I348">
            <v>2316852</v>
          </cell>
          <cell r="J348">
            <v>177586</v>
          </cell>
          <cell r="K348">
            <v>5039910</v>
          </cell>
          <cell r="L348"/>
          <cell r="M348">
            <v>45198</v>
          </cell>
          <cell r="N348">
            <v>0</v>
          </cell>
          <cell r="O348">
            <v>37454</v>
          </cell>
          <cell r="P348">
            <v>82652</v>
          </cell>
          <cell r="Q348"/>
          <cell r="R348">
            <v>2425218</v>
          </cell>
          <cell r="S348">
            <v>100778</v>
          </cell>
          <cell r="T348">
            <v>2525996</v>
          </cell>
        </row>
        <row r="349">
          <cell r="A349">
            <v>93511</v>
          </cell>
          <cell r="B349" t="str">
            <v xml:space="preserve"> FRANKLINTON</v>
          </cell>
          <cell r="C349">
            <v>8.8800000000000004E-5</v>
          </cell>
          <cell r="D349">
            <v>8.8300000000000005E-5</v>
          </cell>
          <cell r="E349">
            <v>210664</v>
          </cell>
          <cell r="F349" t="str">
            <v xml:space="preserve"> </v>
          </cell>
          <cell r="G349">
            <v>32500</v>
          </cell>
          <cell r="H349">
            <v>28917</v>
          </cell>
          <cell r="I349">
            <v>55902</v>
          </cell>
          <cell r="J349">
            <v>5601</v>
          </cell>
          <cell r="K349">
            <v>122920</v>
          </cell>
          <cell r="L349"/>
          <cell r="M349">
            <v>1091</v>
          </cell>
          <cell r="N349">
            <v>0</v>
          </cell>
          <cell r="O349">
            <v>8503</v>
          </cell>
          <cell r="P349">
            <v>9594</v>
          </cell>
          <cell r="Q349"/>
          <cell r="R349">
            <v>58517</v>
          </cell>
          <cell r="S349">
            <v>-1309</v>
          </cell>
          <cell r="T349">
            <v>57208</v>
          </cell>
        </row>
        <row r="350">
          <cell r="A350">
            <v>93517</v>
          </cell>
          <cell r="B350" t="str">
            <v>FRANKLINTON ABC BOARD</v>
          </cell>
          <cell r="C350">
            <v>5.0000000000000004E-6</v>
          </cell>
          <cell r="D350">
            <v>6.0000000000000002E-6</v>
          </cell>
          <cell r="E350">
            <v>11862</v>
          </cell>
          <cell r="F350" t="str">
            <v xml:space="preserve"> </v>
          </cell>
          <cell r="G350">
            <v>1830</v>
          </cell>
          <cell r="H350">
            <v>1628</v>
          </cell>
          <cell r="I350">
            <v>3148</v>
          </cell>
          <cell r="J350">
            <v>2812</v>
          </cell>
          <cell r="K350">
            <v>9418</v>
          </cell>
          <cell r="L350"/>
          <cell r="M350">
            <v>61</v>
          </cell>
          <cell r="N350">
            <v>0</v>
          </cell>
          <cell r="O350">
            <v>0</v>
          </cell>
          <cell r="P350">
            <v>61</v>
          </cell>
          <cell r="Q350"/>
          <cell r="R350">
            <v>3295</v>
          </cell>
          <cell r="S350">
            <v>1016</v>
          </cell>
          <cell r="T350">
            <v>4311</v>
          </cell>
        </row>
        <row r="351">
          <cell r="A351">
            <v>93521</v>
          </cell>
          <cell r="B351" t="str">
            <v xml:space="preserve"> LOUISBURG</v>
          </cell>
          <cell r="C351">
            <v>4.639E-4</v>
          </cell>
          <cell r="D351">
            <v>4.5649999999999998E-4</v>
          </cell>
          <cell r="E351">
            <v>1100529</v>
          </cell>
          <cell r="F351" t="str">
            <v xml:space="preserve"> </v>
          </cell>
          <cell r="G351">
            <v>169786</v>
          </cell>
          <cell r="H351">
            <v>151070</v>
          </cell>
          <cell r="I351">
            <v>292038</v>
          </cell>
          <cell r="J351">
            <v>6931</v>
          </cell>
          <cell r="K351">
            <v>619825</v>
          </cell>
          <cell r="L351"/>
          <cell r="M351">
            <v>5697</v>
          </cell>
          <cell r="N351">
            <v>0</v>
          </cell>
          <cell r="O351">
            <v>52279</v>
          </cell>
          <cell r="P351">
            <v>57976</v>
          </cell>
          <cell r="Q351"/>
          <cell r="R351">
            <v>305698</v>
          </cell>
          <cell r="S351">
            <v>-19233</v>
          </cell>
          <cell r="T351">
            <v>286465</v>
          </cell>
        </row>
        <row r="352">
          <cell r="A352">
            <v>93527</v>
          </cell>
          <cell r="B352" t="str">
            <v>LOUISBURG ABC BOARD</v>
          </cell>
          <cell r="C352">
            <v>1.2799999999999999E-5</v>
          </cell>
          <cell r="D352">
            <v>1.2099999999999999E-5</v>
          </cell>
          <cell r="E352">
            <v>30366</v>
          </cell>
          <cell r="F352" t="str">
            <v xml:space="preserve"> </v>
          </cell>
          <cell r="G352">
            <v>4685</v>
          </cell>
          <cell r="H352">
            <v>4168</v>
          </cell>
          <cell r="I352">
            <v>8058</v>
          </cell>
          <cell r="J352">
            <v>13477</v>
          </cell>
          <cell r="K352">
            <v>30388</v>
          </cell>
          <cell r="L352"/>
          <cell r="M352">
            <v>157</v>
          </cell>
          <cell r="N352">
            <v>0</v>
          </cell>
          <cell r="O352">
            <v>0</v>
          </cell>
          <cell r="P352">
            <v>157</v>
          </cell>
          <cell r="Q352"/>
          <cell r="R352">
            <v>8435</v>
          </cell>
          <cell r="S352">
            <v>6937</v>
          </cell>
          <cell r="T352">
            <v>15372</v>
          </cell>
        </row>
        <row r="353">
          <cell r="A353">
            <v>93531</v>
          </cell>
          <cell r="B353" t="str">
            <v>BUNN</v>
          </cell>
          <cell r="C353">
            <v>3.0700000000000001E-5</v>
          </cell>
          <cell r="D353">
            <v>1.7E-5</v>
          </cell>
          <cell r="E353">
            <v>72831</v>
          </cell>
          <cell r="F353" t="str">
            <v xml:space="preserve"> </v>
          </cell>
          <cell r="G353">
            <v>11236</v>
          </cell>
          <cell r="H353">
            <v>9997</v>
          </cell>
          <cell r="I353">
            <v>19327</v>
          </cell>
          <cell r="J353">
            <v>7722</v>
          </cell>
          <cell r="K353">
            <v>48282</v>
          </cell>
          <cell r="L353"/>
          <cell r="M353">
            <v>377</v>
          </cell>
          <cell r="N353">
            <v>0</v>
          </cell>
          <cell r="O353">
            <v>1264</v>
          </cell>
          <cell r="P353">
            <v>1641</v>
          </cell>
          <cell r="Q353"/>
          <cell r="R353">
            <v>20230</v>
          </cell>
          <cell r="S353">
            <v>601</v>
          </cell>
          <cell r="T353">
            <v>20831</v>
          </cell>
        </row>
        <row r="354">
          <cell r="A354">
            <v>93537</v>
          </cell>
          <cell r="B354" t="str">
            <v>ABC BOARD -  BUNN</v>
          </cell>
          <cell r="C354">
            <v>1.1E-5</v>
          </cell>
          <cell r="D354">
            <v>1.1199999999999999E-5</v>
          </cell>
          <cell r="E354">
            <v>26096</v>
          </cell>
          <cell r="F354" t="str">
            <v xml:space="preserve"> </v>
          </cell>
          <cell r="G354">
            <v>4026</v>
          </cell>
          <cell r="H354">
            <v>3582</v>
          </cell>
          <cell r="I354">
            <v>6925</v>
          </cell>
          <cell r="J354">
            <v>0</v>
          </cell>
          <cell r="K354">
            <v>14533</v>
          </cell>
          <cell r="L354"/>
          <cell r="M354">
            <v>135</v>
          </cell>
          <cell r="N354">
            <v>0</v>
          </cell>
          <cell r="O354">
            <v>2378</v>
          </cell>
          <cell r="P354">
            <v>2513</v>
          </cell>
          <cell r="Q354"/>
          <cell r="R354">
            <v>7249</v>
          </cell>
          <cell r="S354">
            <v>-840</v>
          </cell>
          <cell r="T354">
            <v>6409</v>
          </cell>
        </row>
        <row r="355">
          <cell r="A355">
            <v>93541</v>
          </cell>
          <cell r="B355" t="str">
            <v xml:space="preserve"> YOUNGSVILLE</v>
          </cell>
          <cell r="C355">
            <v>8.9800000000000001E-5</v>
          </cell>
          <cell r="D355">
            <v>1.0560000000000001E-4</v>
          </cell>
          <cell r="E355">
            <v>213036</v>
          </cell>
          <cell r="F355" t="str">
            <v xml:space="preserve"> </v>
          </cell>
          <cell r="G355">
            <v>32866</v>
          </cell>
          <cell r="H355">
            <v>29244</v>
          </cell>
          <cell r="I355">
            <v>56532</v>
          </cell>
          <cell r="J355">
            <v>226</v>
          </cell>
          <cell r="K355">
            <v>118868</v>
          </cell>
          <cell r="L355"/>
          <cell r="M355">
            <v>1103</v>
          </cell>
          <cell r="N355">
            <v>0</v>
          </cell>
          <cell r="O355">
            <v>5147</v>
          </cell>
          <cell r="P355">
            <v>6250</v>
          </cell>
          <cell r="Q355"/>
          <cell r="R355">
            <v>59176</v>
          </cell>
          <cell r="S355">
            <v>2777</v>
          </cell>
          <cell r="T355">
            <v>61953</v>
          </cell>
        </row>
        <row r="356">
          <cell r="A356">
            <v>93601</v>
          </cell>
          <cell r="B356" t="str">
            <v>GASTON COUNTY</v>
          </cell>
          <cell r="C356">
            <v>1.11494E-2</v>
          </cell>
          <cell r="D356">
            <v>1.0721400000000001E-2</v>
          </cell>
          <cell r="E356">
            <v>26450190</v>
          </cell>
          <cell r="F356" t="str">
            <v xml:space="preserve"> </v>
          </cell>
          <cell r="G356">
            <v>4080636</v>
          </cell>
          <cell r="H356">
            <v>3630824</v>
          </cell>
          <cell r="I356">
            <v>7018859</v>
          </cell>
          <cell r="J356">
            <v>430627</v>
          </cell>
          <cell r="K356">
            <v>15160946</v>
          </cell>
          <cell r="L356"/>
          <cell r="M356">
            <v>136926</v>
          </cell>
          <cell r="N356">
            <v>0</v>
          </cell>
          <cell r="O356">
            <v>172766</v>
          </cell>
          <cell r="P356">
            <v>309692</v>
          </cell>
          <cell r="Q356"/>
          <cell r="R356">
            <v>7347154</v>
          </cell>
          <cell r="S356">
            <v>9789</v>
          </cell>
          <cell r="T356">
            <v>7356943</v>
          </cell>
        </row>
        <row r="357">
          <cell r="A357">
            <v>93602</v>
          </cell>
          <cell r="B357" t="str">
            <v>STANLEY</v>
          </cell>
          <cell r="C357">
            <v>1.8340000000000001E-4</v>
          </cell>
          <cell r="D357">
            <v>1.7540000000000001E-4</v>
          </cell>
          <cell r="E357">
            <v>435088</v>
          </cell>
          <cell r="F357" t="str">
            <v xml:space="preserve"> </v>
          </cell>
          <cell r="G357">
            <v>67124</v>
          </cell>
          <cell r="H357">
            <v>59724</v>
          </cell>
          <cell r="I357">
            <v>115455</v>
          </cell>
          <cell r="J357">
            <v>10138</v>
          </cell>
          <cell r="K357">
            <v>252441</v>
          </cell>
          <cell r="L357"/>
          <cell r="M357">
            <v>2252</v>
          </cell>
          <cell r="N357">
            <v>0</v>
          </cell>
          <cell r="O357">
            <v>6076</v>
          </cell>
          <cell r="P357">
            <v>8328</v>
          </cell>
          <cell r="Q357"/>
          <cell r="R357">
            <v>120856</v>
          </cell>
          <cell r="S357">
            <v>-1090</v>
          </cell>
          <cell r="T357">
            <v>119766</v>
          </cell>
        </row>
        <row r="358">
          <cell r="A358">
            <v>93604</v>
          </cell>
          <cell r="B358" t="str">
            <v>CRAMERTON ABC BOARD</v>
          </cell>
          <cell r="C358">
            <v>2.0100000000000001E-5</v>
          </cell>
          <cell r="D358">
            <v>0</v>
          </cell>
          <cell r="E358">
            <v>47684</v>
          </cell>
          <cell r="F358" t="str">
            <v xml:space="preserve"> </v>
          </cell>
          <cell r="G358">
            <v>7357</v>
          </cell>
          <cell r="H358">
            <v>6545</v>
          </cell>
          <cell r="I358">
            <v>12654</v>
          </cell>
          <cell r="J358">
            <v>19602</v>
          </cell>
          <cell r="K358">
            <v>46158</v>
          </cell>
          <cell r="L358"/>
          <cell r="M358">
            <v>247</v>
          </cell>
          <cell r="N358">
            <v>0</v>
          </cell>
          <cell r="O358">
            <v>0</v>
          </cell>
          <cell r="P358">
            <v>247</v>
          </cell>
          <cell r="Q358"/>
          <cell r="R358">
            <v>13245</v>
          </cell>
          <cell r="S358">
            <v>4900</v>
          </cell>
          <cell r="T358">
            <v>18145</v>
          </cell>
        </row>
        <row r="359">
          <cell r="A359">
            <v>93609</v>
          </cell>
          <cell r="B359" t="str">
            <v>PARTNERS BEHAVIORAL HEALTH MANAGEMENT</v>
          </cell>
          <cell r="C359">
            <v>3.9097000000000003E-3</v>
          </cell>
          <cell r="D359">
            <v>3.7629999999999999E-3</v>
          </cell>
          <cell r="E359">
            <v>9275146</v>
          </cell>
          <cell r="F359" t="str">
            <v xml:space="preserve"> </v>
          </cell>
          <cell r="G359">
            <v>1430935</v>
          </cell>
          <cell r="H359">
            <v>1273202</v>
          </cell>
          <cell r="I359">
            <v>2461266</v>
          </cell>
          <cell r="J359">
            <v>502120</v>
          </cell>
          <cell r="K359">
            <v>5667523</v>
          </cell>
          <cell r="L359"/>
          <cell r="M359">
            <v>48015</v>
          </cell>
          <cell r="N359">
            <v>0</v>
          </cell>
          <cell r="O359">
            <v>0</v>
          </cell>
          <cell r="P359">
            <v>48015</v>
          </cell>
          <cell r="Q359"/>
          <cell r="R359">
            <v>2576387</v>
          </cell>
          <cell r="S359">
            <v>367709</v>
          </cell>
          <cell r="T359">
            <v>2944096</v>
          </cell>
        </row>
        <row r="360">
          <cell r="A360">
            <v>93610</v>
          </cell>
          <cell r="B360" t="str">
            <v>MCADENVILLE</v>
          </cell>
          <cell r="C360">
            <v>1.5500000000000001E-5</v>
          </cell>
          <cell r="D360">
            <v>1.33E-5</v>
          </cell>
          <cell r="E360">
            <v>36771</v>
          </cell>
          <cell r="F360" t="str">
            <v xml:space="preserve"> </v>
          </cell>
          <cell r="G360">
            <v>5673</v>
          </cell>
          <cell r="H360">
            <v>5047</v>
          </cell>
          <cell r="I360">
            <v>9758</v>
          </cell>
          <cell r="J360">
            <v>4558</v>
          </cell>
          <cell r="K360">
            <v>25036</v>
          </cell>
          <cell r="L360"/>
          <cell r="M360">
            <v>190</v>
          </cell>
          <cell r="N360">
            <v>0</v>
          </cell>
          <cell r="O360">
            <v>2193</v>
          </cell>
          <cell r="P360">
            <v>2383</v>
          </cell>
          <cell r="Q360"/>
          <cell r="R360">
            <v>10214</v>
          </cell>
          <cell r="S360">
            <v>1404</v>
          </cell>
          <cell r="T360">
            <v>11618</v>
          </cell>
        </row>
        <row r="361">
          <cell r="A361">
            <v>93611</v>
          </cell>
          <cell r="B361" t="str">
            <v>CITY OF GASTONIA</v>
          </cell>
          <cell r="C361">
            <v>6.9170000000000004E-3</v>
          </cell>
          <cell r="D361">
            <v>6.9544000000000003E-3</v>
          </cell>
          <cell r="E361">
            <v>16409490</v>
          </cell>
          <cell r="F361" t="str">
            <v xml:space="preserve"> </v>
          </cell>
          <cell r="G361">
            <v>2531594</v>
          </cell>
          <cell r="H361">
            <v>2252535</v>
          </cell>
          <cell r="I361">
            <v>4354445</v>
          </cell>
          <cell r="J361">
            <v>45861</v>
          </cell>
          <cell r="K361">
            <v>9184435</v>
          </cell>
          <cell r="L361"/>
          <cell r="M361">
            <v>84948</v>
          </cell>
          <cell r="N361">
            <v>0</v>
          </cell>
          <cell r="O361">
            <v>74749</v>
          </cell>
          <cell r="P361">
            <v>159697</v>
          </cell>
          <cell r="Q361"/>
          <cell r="R361">
            <v>4558116</v>
          </cell>
          <cell r="S361">
            <v>-105909</v>
          </cell>
          <cell r="T361">
            <v>4452207</v>
          </cell>
        </row>
        <row r="362">
          <cell r="A362">
            <v>93617</v>
          </cell>
          <cell r="B362" t="str">
            <v>GASTONIA ABC BOARD</v>
          </cell>
          <cell r="C362">
            <v>8.7499999999999999E-5</v>
          </cell>
          <cell r="D362">
            <v>8.2799999999999993E-5</v>
          </cell>
          <cell r="E362">
            <v>207580</v>
          </cell>
          <cell r="F362" t="str">
            <v xml:space="preserve"> </v>
          </cell>
          <cell r="G362">
            <v>32025</v>
          </cell>
          <cell r="H362">
            <v>28494</v>
          </cell>
          <cell r="I362">
            <v>55084</v>
          </cell>
          <cell r="J362">
            <v>21712</v>
          </cell>
          <cell r="K362">
            <v>137315</v>
          </cell>
          <cell r="L362"/>
          <cell r="M362">
            <v>1075</v>
          </cell>
          <cell r="N362">
            <v>0</v>
          </cell>
          <cell r="O362">
            <v>0</v>
          </cell>
          <cell r="P362">
            <v>1075</v>
          </cell>
          <cell r="Q362"/>
          <cell r="R362">
            <v>57660</v>
          </cell>
          <cell r="S362">
            <v>13203</v>
          </cell>
          <cell r="T362">
            <v>70863</v>
          </cell>
        </row>
        <row r="363">
          <cell r="A363">
            <v>93618</v>
          </cell>
          <cell r="B363" t="str">
            <v>GASTON COUNTY ECONOMIC DEV. COMMISSION</v>
          </cell>
          <cell r="C363">
            <v>1.03E-5</v>
          </cell>
          <cell r="D363">
            <v>1.11E-5</v>
          </cell>
          <cell r="E363">
            <v>24435</v>
          </cell>
          <cell r="F363" t="str">
            <v xml:space="preserve"> </v>
          </cell>
          <cell r="G363">
            <v>3770</v>
          </cell>
          <cell r="H363">
            <v>3354</v>
          </cell>
          <cell r="I363">
            <v>6484</v>
          </cell>
          <cell r="J363">
            <v>36884</v>
          </cell>
          <cell r="K363">
            <v>50492</v>
          </cell>
          <cell r="L363"/>
          <cell r="M363">
            <v>126</v>
          </cell>
          <cell r="N363">
            <v>0</v>
          </cell>
          <cell r="O363">
            <v>0</v>
          </cell>
          <cell r="P363">
            <v>126</v>
          </cell>
          <cell r="Q363"/>
          <cell r="R363">
            <v>6787</v>
          </cell>
          <cell r="S363">
            <v>16035</v>
          </cell>
          <cell r="T363">
            <v>22822</v>
          </cell>
        </row>
        <row r="364">
          <cell r="A364">
            <v>93621</v>
          </cell>
          <cell r="B364" t="str">
            <v>CITY OF BELMONT</v>
          </cell>
          <cell r="C364">
            <v>1.0273000000000001E-3</v>
          </cell>
          <cell r="D364">
            <v>9.5719999999999996E-4</v>
          </cell>
          <cell r="E364">
            <v>2437107</v>
          </cell>
          <cell r="F364" t="str">
            <v xml:space="preserve"> </v>
          </cell>
          <cell r="G364">
            <v>375988</v>
          </cell>
          <cell r="H364">
            <v>334542</v>
          </cell>
          <cell r="I364">
            <v>646714</v>
          </cell>
          <cell r="J364">
            <v>51082</v>
          </cell>
          <cell r="K364">
            <v>1408326</v>
          </cell>
          <cell r="L364"/>
          <cell r="M364">
            <v>12616</v>
          </cell>
          <cell r="N364">
            <v>0</v>
          </cell>
          <cell r="O364">
            <v>41250</v>
          </cell>
          <cell r="P364">
            <v>53866</v>
          </cell>
          <cell r="Q364"/>
          <cell r="R364">
            <v>676963</v>
          </cell>
          <cell r="S364">
            <v>-22728</v>
          </cell>
          <cell r="T364">
            <v>654235</v>
          </cell>
        </row>
        <row r="365">
          <cell r="A365">
            <v>93623</v>
          </cell>
          <cell r="B365" t="str">
            <v>BELMONT HOUSING AUTHORITY</v>
          </cell>
          <cell r="C365">
            <v>1.2E-5</v>
          </cell>
          <cell r="D365">
            <v>1.2799999999999999E-5</v>
          </cell>
          <cell r="E365">
            <v>28468</v>
          </cell>
          <cell r="F365" t="str">
            <v xml:space="preserve"> </v>
          </cell>
          <cell r="G365">
            <v>4392</v>
          </cell>
          <cell r="H365">
            <v>3908</v>
          </cell>
          <cell r="I365">
            <v>7554</v>
          </cell>
          <cell r="J365">
            <v>5015</v>
          </cell>
          <cell r="K365">
            <v>20869</v>
          </cell>
          <cell r="L365"/>
          <cell r="M365">
            <v>147</v>
          </cell>
          <cell r="N365">
            <v>0</v>
          </cell>
          <cell r="O365">
            <v>0</v>
          </cell>
          <cell r="P365">
            <v>147</v>
          </cell>
          <cell r="Q365"/>
          <cell r="R365">
            <v>7908</v>
          </cell>
          <cell r="S365">
            <v>2264</v>
          </cell>
          <cell r="T365">
            <v>10172</v>
          </cell>
        </row>
        <row r="366">
          <cell r="A366">
            <v>93631</v>
          </cell>
          <cell r="B366" t="str">
            <v xml:space="preserve"> CRAMERTON</v>
          </cell>
          <cell r="C366">
            <v>2.232E-4</v>
          </cell>
          <cell r="D366">
            <v>2.252E-4</v>
          </cell>
          <cell r="E366">
            <v>529507</v>
          </cell>
          <cell r="F366" t="str">
            <v xml:space="preserve"> </v>
          </cell>
          <cell r="G366">
            <v>81690</v>
          </cell>
          <cell r="H366">
            <v>72685</v>
          </cell>
          <cell r="I366">
            <v>140511</v>
          </cell>
          <cell r="J366">
            <v>0</v>
          </cell>
          <cell r="K366">
            <v>294886</v>
          </cell>
          <cell r="L366"/>
          <cell r="M366">
            <v>2741</v>
          </cell>
          <cell r="N366">
            <v>0</v>
          </cell>
          <cell r="O366">
            <v>17227</v>
          </cell>
          <cell r="P366">
            <v>19968</v>
          </cell>
          <cell r="Q366"/>
          <cell r="R366">
            <v>147083</v>
          </cell>
          <cell r="S366">
            <v>-8056</v>
          </cell>
          <cell r="T366">
            <v>139027</v>
          </cell>
        </row>
        <row r="367">
          <cell r="A367">
            <v>93641</v>
          </cell>
          <cell r="B367" t="str">
            <v>CITY OF CHERRYVILLE</v>
          </cell>
          <cell r="C367">
            <v>3.724E-4</v>
          </cell>
          <cell r="D367">
            <v>4.0450000000000002E-4</v>
          </cell>
          <cell r="E367">
            <v>883460</v>
          </cell>
          <cell r="F367" t="str">
            <v xml:space="preserve"> </v>
          </cell>
          <cell r="G367">
            <v>136297</v>
          </cell>
          <cell r="H367">
            <v>121273</v>
          </cell>
          <cell r="I367">
            <v>234436</v>
          </cell>
          <cell r="J367">
            <v>6510</v>
          </cell>
          <cell r="K367">
            <v>498516</v>
          </cell>
          <cell r="L367"/>
          <cell r="M367">
            <v>4573</v>
          </cell>
          <cell r="N367">
            <v>0</v>
          </cell>
          <cell r="O367">
            <v>10470</v>
          </cell>
          <cell r="P367">
            <v>15043</v>
          </cell>
          <cell r="Q367"/>
          <cell r="R367">
            <v>245402</v>
          </cell>
          <cell r="S367">
            <v>4214</v>
          </cell>
          <cell r="T367">
            <v>249616</v>
          </cell>
        </row>
        <row r="368">
          <cell r="A368">
            <v>93647</v>
          </cell>
          <cell r="B368" t="str">
            <v>CHERRYVILLE ABC BOARD</v>
          </cell>
          <cell r="C368">
            <v>6.1E-6</v>
          </cell>
          <cell r="D368">
            <v>6.0000000000000002E-6</v>
          </cell>
          <cell r="E368">
            <v>14471</v>
          </cell>
          <cell r="F368" t="str">
            <v xml:space="preserve"> </v>
          </cell>
          <cell r="G368">
            <v>2233</v>
          </cell>
          <cell r="H368">
            <v>1987</v>
          </cell>
          <cell r="I368">
            <v>3840</v>
          </cell>
          <cell r="J368">
            <v>12946</v>
          </cell>
          <cell r="K368">
            <v>21006</v>
          </cell>
          <cell r="L368"/>
          <cell r="M368">
            <v>75</v>
          </cell>
          <cell r="N368">
            <v>0</v>
          </cell>
          <cell r="O368">
            <v>0</v>
          </cell>
          <cell r="P368">
            <v>75</v>
          </cell>
          <cell r="Q368"/>
          <cell r="R368">
            <v>4020</v>
          </cell>
          <cell r="S368">
            <v>6024</v>
          </cell>
          <cell r="T368">
            <v>10044</v>
          </cell>
        </row>
        <row r="369">
          <cell r="A369">
            <v>93651</v>
          </cell>
          <cell r="B369" t="str">
            <v xml:space="preserve"> DALLAS</v>
          </cell>
          <cell r="C369">
            <v>4.507E-4</v>
          </cell>
          <cell r="D369">
            <v>4.3800000000000002E-4</v>
          </cell>
          <cell r="E369">
            <v>1069215</v>
          </cell>
          <cell r="F369" t="str">
            <v xml:space="preserve"> </v>
          </cell>
          <cell r="G369">
            <v>164954</v>
          </cell>
          <cell r="H369">
            <v>146771</v>
          </cell>
          <cell r="I369">
            <v>283728</v>
          </cell>
          <cell r="J369">
            <v>2626</v>
          </cell>
          <cell r="K369">
            <v>598079</v>
          </cell>
          <cell r="L369"/>
          <cell r="M369">
            <v>5535</v>
          </cell>
          <cell r="N369">
            <v>0</v>
          </cell>
          <cell r="O369">
            <v>13366</v>
          </cell>
          <cell r="P369">
            <v>18901</v>
          </cell>
          <cell r="Q369"/>
          <cell r="R369">
            <v>296999</v>
          </cell>
          <cell r="S369">
            <v>-2560</v>
          </cell>
          <cell r="T369">
            <v>294439</v>
          </cell>
        </row>
        <row r="370">
          <cell r="A370">
            <v>93661</v>
          </cell>
          <cell r="B370" t="str">
            <v>CITY OF LOWELL</v>
          </cell>
          <cell r="C370">
            <v>1.4449999999999999E-4</v>
          </cell>
          <cell r="D370">
            <v>1.3410000000000001E-4</v>
          </cell>
          <cell r="E370">
            <v>342803</v>
          </cell>
          <cell r="F370" t="str">
            <v xml:space="preserve"> </v>
          </cell>
          <cell r="G370">
            <v>52886</v>
          </cell>
          <cell r="H370">
            <v>47056</v>
          </cell>
          <cell r="I370">
            <v>90967</v>
          </cell>
          <cell r="J370">
            <v>11364</v>
          </cell>
          <cell r="K370">
            <v>202273</v>
          </cell>
          <cell r="L370"/>
          <cell r="M370">
            <v>1775</v>
          </cell>
          <cell r="N370">
            <v>0</v>
          </cell>
          <cell r="O370">
            <v>0</v>
          </cell>
          <cell r="P370">
            <v>1775</v>
          </cell>
          <cell r="Q370"/>
          <cell r="R370">
            <v>95222</v>
          </cell>
          <cell r="S370">
            <v>5935</v>
          </cell>
          <cell r="T370">
            <v>101157</v>
          </cell>
        </row>
        <row r="371">
          <cell r="A371">
            <v>93671</v>
          </cell>
          <cell r="B371" t="str">
            <v>BESSEMER CITY</v>
          </cell>
          <cell r="C371">
            <v>3.3950000000000001E-4</v>
          </cell>
          <cell r="D371">
            <v>3.5530000000000002E-4</v>
          </cell>
          <cell r="E371">
            <v>805410</v>
          </cell>
          <cell r="F371" t="str">
            <v xml:space="preserve"> </v>
          </cell>
          <cell r="G371">
            <v>124256</v>
          </cell>
          <cell r="H371">
            <v>110559</v>
          </cell>
          <cell r="I371">
            <v>213725</v>
          </cell>
          <cell r="J371">
            <v>15579</v>
          </cell>
          <cell r="K371">
            <v>464119</v>
          </cell>
          <cell r="L371"/>
          <cell r="M371">
            <v>4169</v>
          </cell>
          <cell r="N371">
            <v>0</v>
          </cell>
          <cell r="O371">
            <v>2038</v>
          </cell>
          <cell r="P371">
            <v>6207</v>
          </cell>
          <cell r="Q371"/>
          <cell r="R371">
            <v>223721</v>
          </cell>
          <cell r="S371">
            <v>29805</v>
          </cell>
          <cell r="T371">
            <v>253526</v>
          </cell>
        </row>
        <row r="372">
          <cell r="A372">
            <v>93677</v>
          </cell>
          <cell r="B372" t="str">
            <v>BESSEMER CITY A.B.C. BOARD</v>
          </cell>
          <cell r="C372">
            <v>0</v>
          </cell>
          <cell r="D372">
            <v>0</v>
          </cell>
          <cell r="E372">
            <v>0</v>
          </cell>
          <cell r="F372" t="str">
            <v xml:space="preserve"> </v>
          </cell>
          <cell r="G372">
            <v>0</v>
          </cell>
          <cell r="H372">
            <v>0</v>
          </cell>
          <cell r="I372">
            <v>0</v>
          </cell>
          <cell r="J372">
            <v>0</v>
          </cell>
          <cell r="K372">
            <v>0</v>
          </cell>
          <cell r="L372"/>
          <cell r="M372">
            <v>0</v>
          </cell>
          <cell r="N372">
            <v>0</v>
          </cell>
          <cell r="O372">
            <v>0</v>
          </cell>
          <cell r="P372">
            <v>0</v>
          </cell>
          <cell r="Q372"/>
          <cell r="R372">
            <v>0</v>
          </cell>
          <cell r="S372">
            <v>-718</v>
          </cell>
          <cell r="T372">
            <v>-718</v>
          </cell>
        </row>
        <row r="373">
          <cell r="A373">
            <v>93681</v>
          </cell>
          <cell r="B373" t="str">
            <v xml:space="preserve"> RANLO</v>
          </cell>
          <cell r="C373">
            <v>1.211E-4</v>
          </cell>
          <cell r="D373">
            <v>1.1179999999999999E-4</v>
          </cell>
          <cell r="E373">
            <v>287291</v>
          </cell>
          <cell r="F373" t="str">
            <v xml:space="preserve"> </v>
          </cell>
          <cell r="G373">
            <v>44322</v>
          </cell>
          <cell r="H373">
            <v>39436</v>
          </cell>
          <cell r="I373">
            <v>76236</v>
          </cell>
          <cell r="J373">
            <v>6600</v>
          </cell>
          <cell r="K373">
            <v>166594</v>
          </cell>
          <cell r="L373"/>
          <cell r="M373">
            <v>1487</v>
          </cell>
          <cell r="N373">
            <v>0</v>
          </cell>
          <cell r="O373">
            <v>6023</v>
          </cell>
          <cell r="P373">
            <v>7510</v>
          </cell>
          <cell r="Q373"/>
          <cell r="R373">
            <v>79802</v>
          </cell>
          <cell r="S373">
            <v>-4842</v>
          </cell>
          <cell r="T373">
            <v>74960</v>
          </cell>
        </row>
        <row r="374">
          <cell r="A374">
            <v>93691</v>
          </cell>
          <cell r="B374" t="str">
            <v>CITY OF MOUNT HOLLY</v>
          </cell>
          <cell r="C374">
            <v>1.0357999999999999E-3</v>
          </cell>
          <cell r="D374">
            <v>1.0858E-3</v>
          </cell>
          <cell r="E374">
            <v>2457272</v>
          </cell>
          <cell r="F374" t="str">
            <v xml:space="preserve"> </v>
          </cell>
          <cell r="G374">
            <v>379099</v>
          </cell>
          <cell r="H374">
            <v>337310</v>
          </cell>
          <cell r="I374">
            <v>652065</v>
          </cell>
          <cell r="J374">
            <v>0</v>
          </cell>
          <cell r="K374">
            <v>1368474</v>
          </cell>
          <cell r="L374"/>
          <cell r="M374">
            <v>12721</v>
          </cell>
          <cell r="N374">
            <v>0</v>
          </cell>
          <cell r="O374">
            <v>115243</v>
          </cell>
          <cell r="P374">
            <v>127964</v>
          </cell>
          <cell r="Q374"/>
          <cell r="R374">
            <v>682564</v>
          </cell>
          <cell r="S374">
            <v>-52906</v>
          </cell>
          <cell r="T374">
            <v>629658</v>
          </cell>
        </row>
        <row r="375">
          <cell r="A375">
            <v>93701</v>
          </cell>
          <cell r="B375" t="str">
            <v>GATES COUNTY</v>
          </cell>
          <cell r="C375">
            <v>4.6779999999999999E-4</v>
          </cell>
          <cell r="D375">
            <v>4.5800000000000002E-4</v>
          </cell>
          <cell r="E375">
            <v>1109782</v>
          </cell>
          <cell r="F375" t="str">
            <v xml:space="preserve"> </v>
          </cell>
          <cell r="G375">
            <v>171213</v>
          </cell>
          <cell r="H375">
            <v>152340</v>
          </cell>
          <cell r="I375">
            <v>294493</v>
          </cell>
          <cell r="J375">
            <v>2163</v>
          </cell>
          <cell r="K375">
            <v>620209</v>
          </cell>
          <cell r="L375"/>
          <cell r="M375">
            <v>5745</v>
          </cell>
          <cell r="N375">
            <v>0</v>
          </cell>
          <cell r="O375">
            <v>13331</v>
          </cell>
          <cell r="P375">
            <v>19076</v>
          </cell>
          <cell r="Q375"/>
          <cell r="R375">
            <v>308268</v>
          </cell>
          <cell r="S375">
            <v>304</v>
          </cell>
          <cell r="T375">
            <v>308572</v>
          </cell>
        </row>
        <row r="376">
          <cell r="A376">
            <v>93704</v>
          </cell>
          <cell r="B376" t="str">
            <v>GATES COUNTY ABC BOARD</v>
          </cell>
          <cell r="C376">
            <v>2.7E-6</v>
          </cell>
          <cell r="D376">
            <v>3.0000000000000001E-6</v>
          </cell>
          <cell r="E376">
            <v>6405</v>
          </cell>
          <cell r="F376" t="str">
            <v xml:space="preserve"> </v>
          </cell>
          <cell r="G376">
            <v>988</v>
          </cell>
          <cell r="H376">
            <v>879</v>
          </cell>
          <cell r="I376">
            <v>1700</v>
          </cell>
          <cell r="J376">
            <v>747</v>
          </cell>
          <cell r="K376">
            <v>4314</v>
          </cell>
          <cell r="L376"/>
          <cell r="M376">
            <v>33</v>
          </cell>
          <cell r="N376">
            <v>0</v>
          </cell>
          <cell r="O376">
            <v>0</v>
          </cell>
          <cell r="P376">
            <v>33</v>
          </cell>
          <cell r="Q376"/>
          <cell r="R376">
            <v>1779</v>
          </cell>
          <cell r="S376">
            <v>224</v>
          </cell>
          <cell r="T376">
            <v>2003</v>
          </cell>
        </row>
        <row r="377">
          <cell r="A377">
            <v>93801</v>
          </cell>
          <cell r="B377" t="str">
            <v>GRAHAM COUNTY</v>
          </cell>
          <cell r="C377">
            <v>4.3570000000000002E-4</v>
          </cell>
          <cell r="D377">
            <v>4.7889999999999999E-4</v>
          </cell>
          <cell r="E377">
            <v>1033629</v>
          </cell>
          <cell r="F377" t="str">
            <v xml:space="preserve"> </v>
          </cell>
          <cell r="G377">
            <v>159464</v>
          </cell>
          <cell r="H377">
            <v>141886</v>
          </cell>
          <cell r="I377">
            <v>274285</v>
          </cell>
          <cell r="J377">
            <v>70779</v>
          </cell>
          <cell r="K377">
            <v>646414</v>
          </cell>
          <cell r="L377"/>
          <cell r="M377">
            <v>5351</v>
          </cell>
          <cell r="N377">
            <v>0</v>
          </cell>
          <cell r="O377">
            <v>76863</v>
          </cell>
          <cell r="P377">
            <v>82214</v>
          </cell>
          <cell r="Q377"/>
          <cell r="R377">
            <v>287115</v>
          </cell>
          <cell r="S377">
            <v>18841</v>
          </cell>
          <cell r="T377">
            <v>305956</v>
          </cell>
        </row>
        <row r="378">
          <cell r="A378">
            <v>93803</v>
          </cell>
          <cell r="B378" t="str">
            <v>GRAHAM CO HEALTH DEPT</v>
          </cell>
          <cell r="C378">
            <v>1.122E-4</v>
          </cell>
          <cell r="D378">
            <v>1.1900000000000001E-4</v>
          </cell>
          <cell r="E378">
            <v>266177</v>
          </cell>
          <cell r="F378" t="str">
            <v xml:space="preserve"> </v>
          </cell>
          <cell r="G378">
            <v>41065</v>
          </cell>
          <cell r="H378">
            <v>36538</v>
          </cell>
          <cell r="I378">
            <v>70633</v>
          </cell>
          <cell r="J378">
            <v>0</v>
          </cell>
          <cell r="K378">
            <v>148236</v>
          </cell>
          <cell r="L378"/>
          <cell r="M378">
            <v>1378</v>
          </cell>
          <cell r="N378">
            <v>0</v>
          </cell>
          <cell r="O378">
            <v>35149</v>
          </cell>
          <cell r="P378">
            <v>36527</v>
          </cell>
          <cell r="Q378"/>
          <cell r="R378">
            <v>73937</v>
          </cell>
          <cell r="S378">
            <v>-19959</v>
          </cell>
          <cell r="T378">
            <v>53978</v>
          </cell>
        </row>
        <row r="379">
          <cell r="A379">
            <v>93806</v>
          </cell>
          <cell r="B379" t="str">
            <v>GRAHAM COUNTY DEPT OF S S</v>
          </cell>
          <cell r="C379">
            <v>7.6100000000000007E-5</v>
          </cell>
          <cell r="D379">
            <v>9.3900000000000006E-5</v>
          </cell>
          <cell r="E379">
            <v>180535</v>
          </cell>
          <cell r="F379" t="str">
            <v xml:space="preserve"> </v>
          </cell>
          <cell r="G379">
            <v>27852</v>
          </cell>
          <cell r="H379">
            <v>24782</v>
          </cell>
          <cell r="I379">
            <v>47907</v>
          </cell>
          <cell r="J379">
            <v>9616</v>
          </cell>
          <cell r="K379">
            <v>110157</v>
          </cell>
          <cell r="L379"/>
          <cell r="M379">
            <v>935</v>
          </cell>
          <cell r="N379">
            <v>0</v>
          </cell>
          <cell r="O379">
            <v>8835</v>
          </cell>
          <cell r="P379">
            <v>9770</v>
          </cell>
          <cell r="Q379"/>
          <cell r="R379">
            <v>50148</v>
          </cell>
          <cell r="S379">
            <v>-8146</v>
          </cell>
          <cell r="T379">
            <v>42002</v>
          </cell>
        </row>
        <row r="380">
          <cell r="A380">
            <v>93821</v>
          </cell>
          <cell r="B380" t="str">
            <v xml:space="preserve"> ROBBINSVILLE</v>
          </cell>
          <cell r="C380">
            <v>5.6799999999999998E-5</v>
          </cell>
          <cell r="D380">
            <v>2.9899999999999998E-5</v>
          </cell>
          <cell r="E380">
            <v>134749</v>
          </cell>
          <cell r="F380" t="str">
            <v xml:space="preserve"> </v>
          </cell>
          <cell r="G380">
            <v>20789</v>
          </cell>
          <cell r="H380">
            <v>18497</v>
          </cell>
          <cell r="I380">
            <v>35757</v>
          </cell>
          <cell r="J380">
            <v>51463</v>
          </cell>
          <cell r="K380">
            <v>126506</v>
          </cell>
          <cell r="L380"/>
          <cell r="M380">
            <v>698</v>
          </cell>
          <cell r="N380">
            <v>0</v>
          </cell>
          <cell r="O380">
            <v>258</v>
          </cell>
          <cell r="P380">
            <v>956</v>
          </cell>
          <cell r="Q380"/>
          <cell r="R380">
            <v>37430</v>
          </cell>
          <cell r="S380">
            <v>17809</v>
          </cell>
          <cell r="T380">
            <v>55239</v>
          </cell>
        </row>
        <row r="381">
          <cell r="A381">
            <v>93901</v>
          </cell>
          <cell r="B381" t="str">
            <v>GRANVILLE COUNTY</v>
          </cell>
          <cell r="C381">
            <v>1.7718E-3</v>
          </cell>
          <cell r="D381">
            <v>1.7974E-3</v>
          </cell>
          <cell r="E381">
            <v>4203316</v>
          </cell>
          <cell r="F381" t="str">
            <v xml:space="preserve"> </v>
          </cell>
          <cell r="G381">
            <v>648472</v>
          </cell>
          <cell r="H381">
            <v>576990</v>
          </cell>
          <cell r="I381">
            <v>1115398</v>
          </cell>
          <cell r="J381">
            <v>112021</v>
          </cell>
          <cell r="K381">
            <v>2452881</v>
          </cell>
          <cell r="L381"/>
          <cell r="M381">
            <v>21759</v>
          </cell>
          <cell r="N381">
            <v>0</v>
          </cell>
          <cell r="O381">
            <v>0</v>
          </cell>
          <cell r="P381">
            <v>21759</v>
          </cell>
          <cell r="Q381"/>
          <cell r="R381">
            <v>1167568</v>
          </cell>
          <cell r="S381">
            <v>46506</v>
          </cell>
          <cell r="T381">
            <v>1214074</v>
          </cell>
        </row>
        <row r="382">
          <cell r="A382">
            <v>93904</v>
          </cell>
          <cell r="B382" t="str">
            <v>GRANVILLE CO ABC BD</v>
          </cell>
          <cell r="C382">
            <v>3.3099999999999998E-5</v>
          </cell>
          <cell r="D382">
            <v>3.0000000000000001E-5</v>
          </cell>
          <cell r="E382">
            <v>78525</v>
          </cell>
          <cell r="F382" t="str">
            <v xml:space="preserve"> </v>
          </cell>
          <cell r="G382">
            <v>12114</v>
          </cell>
          <cell r="H382">
            <v>10779</v>
          </cell>
          <cell r="I382">
            <v>20837</v>
          </cell>
          <cell r="J382">
            <v>12315</v>
          </cell>
          <cell r="K382">
            <v>56045</v>
          </cell>
          <cell r="L382"/>
          <cell r="M382">
            <v>407</v>
          </cell>
          <cell r="N382">
            <v>0</v>
          </cell>
          <cell r="O382">
            <v>0</v>
          </cell>
          <cell r="P382">
            <v>407</v>
          </cell>
          <cell r="Q382"/>
          <cell r="R382">
            <v>21812</v>
          </cell>
          <cell r="S382">
            <v>4588</v>
          </cell>
          <cell r="T382">
            <v>26400</v>
          </cell>
        </row>
        <row r="383">
          <cell r="A383">
            <v>93906</v>
          </cell>
          <cell r="B383" t="str">
            <v>GRANVILLE COUNTY HOSPITAL</v>
          </cell>
          <cell r="C383">
            <v>3.1683000000000002E-3</v>
          </cell>
          <cell r="D383">
            <v>3.3882000000000001E-3</v>
          </cell>
          <cell r="E383">
            <v>7516291</v>
          </cell>
          <cell r="F383" t="str">
            <v xml:space="preserve"> </v>
          </cell>
          <cell r="G383">
            <v>1159585</v>
          </cell>
          <cell r="H383">
            <v>1031763</v>
          </cell>
          <cell r="I383">
            <v>1994534</v>
          </cell>
          <cell r="J383">
            <v>0</v>
          </cell>
          <cell r="K383">
            <v>4185882</v>
          </cell>
          <cell r="L383"/>
          <cell r="M383">
            <v>38910</v>
          </cell>
          <cell r="N383">
            <v>0</v>
          </cell>
          <cell r="O383">
            <v>309182</v>
          </cell>
          <cell r="P383">
            <v>348092</v>
          </cell>
          <cell r="Q383"/>
          <cell r="R383">
            <v>2087824</v>
          </cell>
          <cell r="S383">
            <v>-113805</v>
          </cell>
          <cell r="T383">
            <v>1974019</v>
          </cell>
        </row>
        <row r="384">
          <cell r="A384">
            <v>93908</v>
          </cell>
          <cell r="B384" t="str">
            <v>GRANVILLE-VANCE PUBLIC HEALTH</v>
          </cell>
          <cell r="C384">
            <v>4.6920000000000002E-4</v>
          </cell>
          <cell r="D384">
            <v>5.1219999999999998E-4</v>
          </cell>
          <cell r="E384">
            <v>1113103</v>
          </cell>
          <cell r="F384" t="str">
            <v xml:space="preserve"> </v>
          </cell>
          <cell r="G384">
            <v>171725</v>
          </cell>
          <cell r="H384">
            <v>152796</v>
          </cell>
          <cell r="I384">
            <v>295375</v>
          </cell>
          <cell r="J384">
            <v>6110</v>
          </cell>
          <cell r="K384">
            <v>626006</v>
          </cell>
          <cell r="L384"/>
          <cell r="M384">
            <v>5762</v>
          </cell>
          <cell r="N384">
            <v>0</v>
          </cell>
          <cell r="O384">
            <v>27396</v>
          </cell>
          <cell r="P384">
            <v>33158</v>
          </cell>
          <cell r="Q384"/>
          <cell r="R384">
            <v>309190</v>
          </cell>
          <cell r="S384">
            <v>-7217</v>
          </cell>
          <cell r="T384">
            <v>301973</v>
          </cell>
        </row>
        <row r="385">
          <cell r="A385">
            <v>93910</v>
          </cell>
          <cell r="B385" t="str">
            <v>SOUTH GRANVILLE WATER AND SEWER AUTHORITY</v>
          </cell>
          <cell r="C385">
            <v>2.5769999999999998E-4</v>
          </cell>
          <cell r="D385">
            <v>2.786E-4</v>
          </cell>
          <cell r="E385">
            <v>611353</v>
          </cell>
          <cell r="F385" t="str">
            <v xml:space="preserve"> </v>
          </cell>
          <cell r="G385">
            <v>94317</v>
          </cell>
          <cell r="H385">
            <v>83921</v>
          </cell>
          <cell r="I385">
            <v>162229</v>
          </cell>
          <cell r="J385">
            <v>0</v>
          </cell>
          <cell r="K385">
            <v>340467</v>
          </cell>
          <cell r="L385"/>
          <cell r="M385">
            <v>3165</v>
          </cell>
          <cell r="N385">
            <v>0</v>
          </cell>
          <cell r="O385">
            <v>35418</v>
          </cell>
          <cell r="P385">
            <v>38583</v>
          </cell>
          <cell r="Q385"/>
          <cell r="R385">
            <v>169817</v>
          </cell>
          <cell r="S385">
            <v>-18432</v>
          </cell>
          <cell r="T385">
            <v>151385</v>
          </cell>
        </row>
        <row r="386">
          <cell r="A386">
            <v>93911</v>
          </cell>
          <cell r="B386" t="str">
            <v>CITY OF OXFORD</v>
          </cell>
          <cell r="C386">
            <v>6.5010000000000003E-4</v>
          </cell>
          <cell r="D386">
            <v>6.3429999999999997E-4</v>
          </cell>
          <cell r="E386">
            <v>1542260</v>
          </cell>
          <cell r="F386" t="str">
            <v xml:space="preserve"> </v>
          </cell>
          <cell r="G386">
            <v>237934</v>
          </cell>
          <cell r="H386">
            <v>211706</v>
          </cell>
          <cell r="I386">
            <v>409256</v>
          </cell>
          <cell r="J386">
            <v>18849</v>
          </cell>
          <cell r="K386">
            <v>877745</v>
          </cell>
          <cell r="L386"/>
          <cell r="M386">
            <v>7984</v>
          </cell>
          <cell r="N386">
            <v>0</v>
          </cell>
          <cell r="O386">
            <v>38804</v>
          </cell>
          <cell r="P386">
            <v>46788</v>
          </cell>
          <cell r="Q386"/>
          <cell r="R386">
            <v>428398</v>
          </cell>
          <cell r="S386">
            <v>-3385</v>
          </cell>
          <cell r="T386">
            <v>425013</v>
          </cell>
        </row>
        <row r="387">
          <cell r="A387">
            <v>93913</v>
          </cell>
          <cell r="B387" t="str">
            <v>OXFORD HOUSING AUTHORITY</v>
          </cell>
          <cell r="C387">
            <v>5.8799999999999999E-5</v>
          </cell>
          <cell r="D387">
            <v>5.8799999999999999E-5</v>
          </cell>
          <cell r="E387">
            <v>139494</v>
          </cell>
          <cell r="F387" t="str">
            <v xml:space="preserve"> </v>
          </cell>
          <cell r="G387">
            <v>21521</v>
          </cell>
          <cell r="H387">
            <v>19148</v>
          </cell>
          <cell r="I387">
            <v>37016</v>
          </cell>
          <cell r="J387">
            <v>4809</v>
          </cell>
          <cell r="K387">
            <v>82494</v>
          </cell>
          <cell r="L387"/>
          <cell r="M387">
            <v>722</v>
          </cell>
          <cell r="N387">
            <v>0</v>
          </cell>
          <cell r="O387">
            <v>526</v>
          </cell>
          <cell r="P387">
            <v>1248</v>
          </cell>
          <cell r="Q387"/>
          <cell r="R387">
            <v>38748</v>
          </cell>
          <cell r="S387">
            <v>1207</v>
          </cell>
          <cell r="T387">
            <v>39955</v>
          </cell>
        </row>
        <row r="388">
          <cell r="A388">
            <v>93914</v>
          </cell>
          <cell r="B388" t="str">
            <v xml:space="preserve"> STOVALL</v>
          </cell>
          <cell r="C388">
            <v>7.1999999999999997E-6</v>
          </cell>
          <cell r="D388">
            <v>8.1000000000000004E-6</v>
          </cell>
          <cell r="E388">
            <v>17081</v>
          </cell>
          <cell r="F388" t="str">
            <v xml:space="preserve"> </v>
          </cell>
          <cell r="G388">
            <v>2635</v>
          </cell>
          <cell r="H388">
            <v>2345</v>
          </cell>
          <cell r="I388">
            <v>4533</v>
          </cell>
          <cell r="J388">
            <v>4000</v>
          </cell>
          <cell r="K388">
            <v>13513</v>
          </cell>
          <cell r="L388"/>
          <cell r="M388">
            <v>88</v>
          </cell>
          <cell r="N388">
            <v>0</v>
          </cell>
          <cell r="O388">
            <v>0</v>
          </cell>
          <cell r="P388">
            <v>88</v>
          </cell>
          <cell r="Q388"/>
          <cell r="R388">
            <v>4745</v>
          </cell>
          <cell r="S388">
            <v>2002</v>
          </cell>
          <cell r="T388">
            <v>6747</v>
          </cell>
        </row>
        <row r="389">
          <cell r="A389">
            <v>93921</v>
          </cell>
          <cell r="B389" t="str">
            <v>CITY OF CREEDMOOR</v>
          </cell>
          <cell r="C389">
            <v>2.8259999999999998E-4</v>
          </cell>
          <cell r="D389">
            <v>2.9020000000000001E-4</v>
          </cell>
          <cell r="E389">
            <v>670424</v>
          </cell>
          <cell r="F389" t="str">
            <v xml:space="preserve"> </v>
          </cell>
          <cell r="G389">
            <v>103430</v>
          </cell>
          <cell r="H389">
            <v>92030</v>
          </cell>
          <cell r="I389">
            <v>177905</v>
          </cell>
          <cell r="J389">
            <v>8166</v>
          </cell>
          <cell r="K389">
            <v>381531</v>
          </cell>
          <cell r="L389"/>
          <cell r="M389">
            <v>3471</v>
          </cell>
          <cell r="N389">
            <v>0</v>
          </cell>
          <cell r="O389">
            <v>9312</v>
          </cell>
          <cell r="P389">
            <v>12783</v>
          </cell>
          <cell r="Q389"/>
          <cell r="R389">
            <v>186226</v>
          </cell>
          <cell r="S389">
            <v>4786</v>
          </cell>
          <cell r="T389">
            <v>191012</v>
          </cell>
        </row>
        <row r="390">
          <cell r="A390">
            <v>93931</v>
          </cell>
          <cell r="B390" t="str">
            <v xml:space="preserve"> BUTNER</v>
          </cell>
          <cell r="C390">
            <v>5.4460000000000001E-4</v>
          </cell>
          <cell r="D390">
            <v>5.0029999999999996E-4</v>
          </cell>
          <cell r="E390">
            <v>1291977</v>
          </cell>
          <cell r="F390" t="str">
            <v xml:space="preserve"> </v>
          </cell>
          <cell r="G390">
            <v>199321</v>
          </cell>
          <cell r="H390">
            <v>177350</v>
          </cell>
          <cell r="I390">
            <v>342841</v>
          </cell>
          <cell r="J390">
            <v>27595</v>
          </cell>
          <cell r="K390">
            <v>747107</v>
          </cell>
          <cell r="L390"/>
          <cell r="M390">
            <v>6688</v>
          </cell>
          <cell r="N390">
            <v>0</v>
          </cell>
          <cell r="O390">
            <v>28225</v>
          </cell>
          <cell r="P390">
            <v>34913</v>
          </cell>
          <cell r="Q390"/>
          <cell r="R390">
            <v>358877</v>
          </cell>
          <cell r="S390">
            <v>80772</v>
          </cell>
          <cell r="T390">
            <v>439649</v>
          </cell>
        </row>
        <row r="391">
          <cell r="A391">
            <v>94001</v>
          </cell>
          <cell r="B391" t="str">
            <v>GREENE COUNTY</v>
          </cell>
          <cell r="C391">
            <v>9.366E-4</v>
          </cell>
          <cell r="D391">
            <v>9.209E-4</v>
          </cell>
          <cell r="E391">
            <v>2221936</v>
          </cell>
          <cell r="F391" t="str">
            <v xml:space="preserve"> </v>
          </cell>
          <cell r="G391">
            <v>342792</v>
          </cell>
          <cell r="H391">
            <v>305006</v>
          </cell>
          <cell r="I391">
            <v>589616</v>
          </cell>
          <cell r="J391">
            <v>45071</v>
          </cell>
          <cell r="K391">
            <v>1282485</v>
          </cell>
          <cell r="L391"/>
          <cell r="M391">
            <v>11502</v>
          </cell>
          <cell r="N391">
            <v>0</v>
          </cell>
          <cell r="O391">
            <v>944</v>
          </cell>
          <cell r="P391">
            <v>12446</v>
          </cell>
          <cell r="Q391"/>
          <cell r="R391">
            <v>617194</v>
          </cell>
          <cell r="S391">
            <v>-8755</v>
          </cell>
          <cell r="T391">
            <v>608439</v>
          </cell>
        </row>
        <row r="392">
          <cell r="A392">
            <v>94002</v>
          </cell>
          <cell r="B392" t="str">
            <v>MAURY SANITARY LAND DISTRICT</v>
          </cell>
          <cell r="C392">
            <v>5.9000000000000003E-6</v>
          </cell>
          <cell r="D392">
            <v>7.0999999999999998E-6</v>
          </cell>
          <cell r="E392">
            <v>13997</v>
          </cell>
          <cell r="F392" t="str">
            <v xml:space="preserve"> </v>
          </cell>
          <cell r="G392">
            <v>2159</v>
          </cell>
          <cell r="H392">
            <v>1921</v>
          </cell>
          <cell r="I392">
            <v>3714</v>
          </cell>
          <cell r="J392">
            <v>1637</v>
          </cell>
          <cell r="K392">
            <v>9431</v>
          </cell>
          <cell r="L392"/>
          <cell r="M392">
            <v>72</v>
          </cell>
          <cell r="N392">
            <v>0</v>
          </cell>
          <cell r="O392">
            <v>0</v>
          </cell>
          <cell r="P392">
            <v>72</v>
          </cell>
          <cell r="Q392"/>
          <cell r="R392">
            <v>3888</v>
          </cell>
          <cell r="S392">
            <v>404</v>
          </cell>
          <cell r="T392">
            <v>4292</v>
          </cell>
        </row>
        <row r="393">
          <cell r="A393">
            <v>94004</v>
          </cell>
          <cell r="B393" t="str">
            <v>GREENE COUNTY ABC BOARD</v>
          </cell>
          <cell r="C393">
            <v>7.3000000000000004E-6</v>
          </cell>
          <cell r="D393">
            <v>7.3000000000000004E-6</v>
          </cell>
          <cell r="E393">
            <v>17318</v>
          </cell>
          <cell r="F393" t="str">
            <v xml:space="preserve"> </v>
          </cell>
          <cell r="G393">
            <v>2672</v>
          </cell>
          <cell r="H393">
            <v>2377</v>
          </cell>
          <cell r="I393">
            <v>4596</v>
          </cell>
          <cell r="J393">
            <v>4289</v>
          </cell>
          <cell r="K393">
            <v>13934</v>
          </cell>
          <cell r="L393"/>
          <cell r="M393">
            <v>90</v>
          </cell>
          <cell r="N393">
            <v>0</v>
          </cell>
          <cell r="O393">
            <v>35</v>
          </cell>
          <cell r="P393">
            <v>125</v>
          </cell>
          <cell r="Q393"/>
          <cell r="R393">
            <v>4811</v>
          </cell>
          <cell r="S393">
            <v>918</v>
          </cell>
          <cell r="T393">
            <v>5729</v>
          </cell>
        </row>
        <row r="394">
          <cell r="A394">
            <v>94005</v>
          </cell>
          <cell r="B394" t="str">
            <v>NEUSE REGIONAL LIBRARY-GREENE COUNTY</v>
          </cell>
          <cell r="C394">
            <v>4.6999999999999999E-6</v>
          </cell>
          <cell r="D394">
            <v>0</v>
          </cell>
          <cell r="E394">
            <v>11150</v>
          </cell>
          <cell r="F394" t="str">
            <v xml:space="preserve"> </v>
          </cell>
          <cell r="G394">
            <v>1720</v>
          </cell>
          <cell r="H394">
            <v>1531</v>
          </cell>
          <cell r="I394">
            <v>2959</v>
          </cell>
          <cell r="J394">
            <v>3483</v>
          </cell>
          <cell r="K394">
            <v>9693</v>
          </cell>
          <cell r="L394"/>
          <cell r="M394">
            <v>58</v>
          </cell>
          <cell r="N394">
            <v>0</v>
          </cell>
          <cell r="O394">
            <v>3881</v>
          </cell>
          <cell r="P394">
            <v>3939</v>
          </cell>
          <cell r="Q394"/>
          <cell r="R394">
            <v>3097</v>
          </cell>
          <cell r="S394">
            <v>-1112</v>
          </cell>
          <cell r="T394">
            <v>1985</v>
          </cell>
        </row>
        <row r="395">
          <cell r="A395">
            <v>94011</v>
          </cell>
          <cell r="B395" t="str">
            <v xml:space="preserve"> HOOKERTON</v>
          </cell>
          <cell r="C395">
            <v>2.8399999999999999E-5</v>
          </cell>
          <cell r="D395">
            <v>2.3600000000000001E-5</v>
          </cell>
          <cell r="E395">
            <v>67375</v>
          </cell>
          <cell r="F395" t="str">
            <v xml:space="preserve"> </v>
          </cell>
          <cell r="G395">
            <v>10394</v>
          </cell>
          <cell r="H395">
            <v>9249</v>
          </cell>
          <cell r="I395">
            <v>17879</v>
          </cell>
          <cell r="J395">
            <v>3892</v>
          </cell>
          <cell r="K395">
            <v>41414</v>
          </cell>
          <cell r="L395"/>
          <cell r="M395">
            <v>349</v>
          </cell>
          <cell r="N395">
            <v>0</v>
          </cell>
          <cell r="O395">
            <v>2020</v>
          </cell>
          <cell r="P395">
            <v>2369</v>
          </cell>
          <cell r="Q395"/>
          <cell r="R395">
            <v>18715</v>
          </cell>
          <cell r="S395">
            <v>438</v>
          </cell>
          <cell r="T395">
            <v>19153</v>
          </cell>
        </row>
        <row r="396">
          <cell r="A396">
            <v>94021</v>
          </cell>
          <cell r="B396" t="str">
            <v xml:space="preserve"> SNOW HILL</v>
          </cell>
          <cell r="C396">
            <v>8.8800000000000004E-5</v>
          </cell>
          <cell r="D396">
            <v>9.3399999999999993E-5</v>
          </cell>
          <cell r="E396">
            <v>210664</v>
          </cell>
          <cell r="F396" t="str">
            <v xml:space="preserve"> </v>
          </cell>
          <cell r="G396">
            <v>32500</v>
          </cell>
          <cell r="H396">
            <v>28917</v>
          </cell>
          <cell r="I396">
            <v>55902</v>
          </cell>
          <cell r="J396">
            <v>11919</v>
          </cell>
          <cell r="K396">
            <v>129238</v>
          </cell>
          <cell r="L396"/>
          <cell r="M396">
            <v>1091</v>
          </cell>
          <cell r="N396">
            <v>0</v>
          </cell>
          <cell r="O396">
            <v>0</v>
          </cell>
          <cell r="P396">
            <v>1091</v>
          </cell>
          <cell r="Q396"/>
          <cell r="R396">
            <v>58517</v>
          </cell>
          <cell r="S396">
            <v>8639</v>
          </cell>
          <cell r="T396">
            <v>67156</v>
          </cell>
        </row>
        <row r="397">
          <cell r="A397">
            <v>94031</v>
          </cell>
          <cell r="B397" t="str">
            <v xml:space="preserve"> WALSTONBURG</v>
          </cell>
          <cell r="C397">
            <v>4.8999999999999997E-6</v>
          </cell>
          <cell r="D397">
            <v>5.4E-6</v>
          </cell>
          <cell r="E397">
            <v>11624</v>
          </cell>
          <cell r="F397" t="str">
            <v xml:space="preserve"> </v>
          </cell>
          <cell r="G397">
            <v>1793</v>
          </cell>
          <cell r="H397">
            <v>1596</v>
          </cell>
          <cell r="I397">
            <v>3085</v>
          </cell>
          <cell r="J397">
            <v>7753</v>
          </cell>
          <cell r="K397">
            <v>14227</v>
          </cell>
          <cell r="L397"/>
          <cell r="M397">
            <v>60</v>
          </cell>
          <cell r="N397">
            <v>0</v>
          </cell>
          <cell r="O397">
            <v>0</v>
          </cell>
          <cell r="P397">
            <v>60</v>
          </cell>
          <cell r="Q397"/>
          <cell r="R397">
            <v>3229</v>
          </cell>
          <cell r="S397">
            <v>3678</v>
          </cell>
          <cell r="T397">
            <v>6907</v>
          </cell>
        </row>
        <row r="398">
          <cell r="A398">
            <v>94101</v>
          </cell>
          <cell r="B398" t="str">
            <v>GUILFORD COUNTY</v>
          </cell>
          <cell r="C398">
            <v>1.8137199999999999E-2</v>
          </cell>
          <cell r="D398">
            <v>1.8321799999999999E-2</v>
          </cell>
          <cell r="E398">
            <v>43027641</v>
          </cell>
          <cell r="F398" t="str">
            <v xml:space="preserve"> </v>
          </cell>
          <cell r="G398">
            <v>6638143</v>
          </cell>
          <cell r="H398">
            <v>5906416</v>
          </cell>
          <cell r="I398">
            <v>11417875</v>
          </cell>
          <cell r="J398">
            <v>156015</v>
          </cell>
          <cell r="K398">
            <v>24118449</v>
          </cell>
          <cell r="L398"/>
          <cell r="M398">
            <v>222743</v>
          </cell>
          <cell r="N398">
            <v>0</v>
          </cell>
          <cell r="O398">
            <v>304690</v>
          </cell>
          <cell r="P398">
            <v>527433</v>
          </cell>
          <cell r="Q398"/>
          <cell r="R398">
            <v>11951925</v>
          </cell>
          <cell r="S398">
            <v>-259645</v>
          </cell>
          <cell r="T398">
            <v>11692280</v>
          </cell>
        </row>
        <row r="399">
          <cell r="A399">
            <v>94102</v>
          </cell>
          <cell r="B399" t="str">
            <v>GUIL-RAND FIRE DEPARTMENT</v>
          </cell>
          <cell r="C399">
            <v>2.8909999999999998E-4</v>
          </cell>
          <cell r="D399">
            <v>2.965E-4</v>
          </cell>
          <cell r="E399">
            <v>685844</v>
          </cell>
          <cell r="F399" t="str">
            <v xml:space="preserve"> </v>
          </cell>
          <cell r="G399">
            <v>105809</v>
          </cell>
          <cell r="H399">
            <v>94146</v>
          </cell>
          <cell r="I399">
            <v>181997</v>
          </cell>
          <cell r="J399">
            <v>0</v>
          </cell>
          <cell r="K399">
            <v>381952</v>
          </cell>
          <cell r="L399"/>
          <cell r="M399">
            <v>3550</v>
          </cell>
          <cell r="N399">
            <v>0</v>
          </cell>
          <cell r="O399">
            <v>53559</v>
          </cell>
          <cell r="P399">
            <v>57109</v>
          </cell>
          <cell r="Q399"/>
          <cell r="R399">
            <v>190509</v>
          </cell>
          <cell r="S399">
            <v>-18988</v>
          </cell>
          <cell r="T399">
            <v>171521</v>
          </cell>
        </row>
        <row r="400">
          <cell r="A400">
            <v>94108</v>
          </cell>
          <cell r="B400" t="str">
            <v>PINECROFT-SEDGEFIELD FIRE DIST INC</v>
          </cell>
          <cell r="C400">
            <v>3.8549999999999999E-4</v>
          </cell>
          <cell r="D400">
            <v>3.1389999999999999E-4</v>
          </cell>
          <cell r="E400">
            <v>914538</v>
          </cell>
          <cell r="F400" t="str">
            <v xml:space="preserve"> </v>
          </cell>
          <cell r="G400">
            <v>141091</v>
          </cell>
          <cell r="H400">
            <v>125539</v>
          </cell>
          <cell r="I400">
            <v>242683</v>
          </cell>
          <cell r="J400">
            <v>13586</v>
          </cell>
          <cell r="K400">
            <v>522899</v>
          </cell>
          <cell r="L400"/>
          <cell r="M400">
            <v>4734</v>
          </cell>
          <cell r="N400">
            <v>0</v>
          </cell>
          <cell r="O400">
            <v>61281</v>
          </cell>
          <cell r="P400">
            <v>66015</v>
          </cell>
          <cell r="Q400"/>
          <cell r="R400">
            <v>254034</v>
          </cell>
          <cell r="S400">
            <v>-43929</v>
          </cell>
          <cell r="T400">
            <v>210105</v>
          </cell>
        </row>
        <row r="401">
          <cell r="A401">
            <v>94109</v>
          </cell>
          <cell r="B401" t="str">
            <v>ALAMANCE COMM FIRE DIST</v>
          </cell>
          <cell r="C401">
            <v>9.8200000000000002E-5</v>
          </cell>
          <cell r="D401">
            <v>9.09E-5</v>
          </cell>
          <cell r="E401">
            <v>232964</v>
          </cell>
          <cell r="F401" t="str">
            <v xml:space="preserve"> </v>
          </cell>
          <cell r="G401">
            <v>35941</v>
          </cell>
          <cell r="H401">
            <v>31979</v>
          </cell>
          <cell r="I401">
            <v>61820</v>
          </cell>
          <cell r="J401">
            <v>0</v>
          </cell>
          <cell r="K401">
            <v>129740</v>
          </cell>
          <cell r="L401"/>
          <cell r="M401">
            <v>1206</v>
          </cell>
          <cell r="N401">
            <v>0</v>
          </cell>
          <cell r="O401">
            <v>33379</v>
          </cell>
          <cell r="P401">
            <v>34585</v>
          </cell>
          <cell r="Q401"/>
          <cell r="R401">
            <v>64711</v>
          </cell>
          <cell r="S401">
            <v>-14342</v>
          </cell>
          <cell r="T401">
            <v>50369</v>
          </cell>
        </row>
        <row r="402">
          <cell r="A402">
            <v>94111</v>
          </cell>
          <cell r="B402" t="str">
            <v>CITY OF GREENSBORO</v>
          </cell>
          <cell r="C402">
            <v>2.4882899999999999E-2</v>
          </cell>
          <cell r="D402">
            <v>2.5682300000000002E-2</v>
          </cell>
          <cell r="E402">
            <v>59030749</v>
          </cell>
          <cell r="F402" t="str">
            <v xml:space="preserve"> </v>
          </cell>
          <cell r="G402">
            <v>9107042</v>
          </cell>
          <cell r="H402">
            <v>8103166</v>
          </cell>
          <cell r="I402">
            <v>15664482</v>
          </cell>
          <cell r="J402">
            <v>0</v>
          </cell>
          <cell r="K402">
            <v>32874690</v>
          </cell>
          <cell r="L402"/>
          <cell r="M402">
            <v>305587</v>
          </cell>
          <cell r="N402">
            <v>0</v>
          </cell>
          <cell r="O402">
            <v>1628449</v>
          </cell>
          <cell r="P402">
            <v>1934036</v>
          </cell>
          <cell r="Q402"/>
          <cell r="R402">
            <v>16397159</v>
          </cell>
          <cell r="S402">
            <v>-691916</v>
          </cell>
          <cell r="T402">
            <v>15705243</v>
          </cell>
        </row>
        <row r="403">
          <cell r="A403">
            <v>94112</v>
          </cell>
          <cell r="B403" t="str">
            <v>PIEDMONT TRIAD REG WATER AUTHORITY</v>
          </cell>
          <cell r="C403">
            <v>1.684E-4</v>
          </cell>
          <cell r="D403">
            <v>1.6699999999999999E-4</v>
          </cell>
          <cell r="E403">
            <v>399502</v>
          </cell>
          <cell r="F403" t="str">
            <v xml:space="preserve"> </v>
          </cell>
          <cell r="G403">
            <v>61634</v>
          </cell>
          <cell r="H403">
            <v>54840</v>
          </cell>
          <cell r="I403">
            <v>106013</v>
          </cell>
          <cell r="J403">
            <v>0</v>
          </cell>
          <cell r="K403">
            <v>222487</v>
          </cell>
          <cell r="L403"/>
          <cell r="M403">
            <v>2068</v>
          </cell>
          <cell r="N403">
            <v>0</v>
          </cell>
          <cell r="O403">
            <v>14012</v>
          </cell>
          <cell r="P403">
            <v>16080</v>
          </cell>
          <cell r="Q403"/>
          <cell r="R403">
            <v>110971</v>
          </cell>
          <cell r="S403">
            <v>-9395</v>
          </cell>
          <cell r="T403">
            <v>101576</v>
          </cell>
        </row>
        <row r="404">
          <cell r="A404">
            <v>94117</v>
          </cell>
          <cell r="B404" t="str">
            <v>GREENSBORO ABC BD</v>
          </cell>
          <cell r="C404">
            <v>3.5429999999999999E-4</v>
          </cell>
          <cell r="D404">
            <v>3.9809999999999997E-4</v>
          </cell>
          <cell r="E404">
            <v>840521</v>
          </cell>
          <cell r="F404" t="str">
            <v xml:space="preserve"> </v>
          </cell>
          <cell r="G404">
            <v>129672</v>
          </cell>
          <cell r="H404">
            <v>115378</v>
          </cell>
          <cell r="I404">
            <v>223042</v>
          </cell>
          <cell r="J404">
            <v>3605</v>
          </cell>
          <cell r="K404">
            <v>471697</v>
          </cell>
          <cell r="L404"/>
          <cell r="M404">
            <v>4351</v>
          </cell>
          <cell r="N404">
            <v>0</v>
          </cell>
          <cell r="O404">
            <v>34793</v>
          </cell>
          <cell r="P404">
            <v>39144</v>
          </cell>
          <cell r="Q404"/>
          <cell r="R404">
            <v>233474</v>
          </cell>
          <cell r="S404">
            <v>-6033</v>
          </cell>
          <cell r="T404">
            <v>227441</v>
          </cell>
        </row>
        <row r="405">
          <cell r="A405">
            <v>94118</v>
          </cell>
          <cell r="B405" t="str">
            <v>GUILFORD FIRE DISTRICT # 13 INC</v>
          </cell>
          <cell r="C405">
            <v>1.6009999999999999E-4</v>
          </cell>
          <cell r="D405">
            <v>1.494E-4</v>
          </cell>
          <cell r="E405">
            <v>379812</v>
          </cell>
          <cell r="F405" t="str">
            <v xml:space="preserve"> </v>
          </cell>
          <cell r="G405">
            <v>58596</v>
          </cell>
          <cell r="H405">
            <v>52137</v>
          </cell>
          <cell r="I405">
            <v>100787</v>
          </cell>
          <cell r="J405">
            <v>0</v>
          </cell>
          <cell r="K405">
            <v>211520</v>
          </cell>
          <cell r="L405"/>
          <cell r="M405">
            <v>1966</v>
          </cell>
          <cell r="N405">
            <v>0</v>
          </cell>
          <cell r="O405">
            <v>35288</v>
          </cell>
          <cell r="P405">
            <v>37254</v>
          </cell>
          <cell r="Q405"/>
          <cell r="R405">
            <v>105502</v>
          </cell>
          <cell r="S405">
            <v>-25547</v>
          </cell>
          <cell r="T405">
            <v>79955</v>
          </cell>
        </row>
        <row r="406">
          <cell r="A406">
            <v>94121</v>
          </cell>
          <cell r="B406" t="str">
            <v>CITY OF HIGH POINT</v>
          </cell>
          <cell r="C406">
            <v>1.1314299999999999E-2</v>
          </cell>
          <cell r="D406">
            <v>1.1246000000000001E-2</v>
          </cell>
          <cell r="E406">
            <v>26841389</v>
          </cell>
          <cell r="F406" t="str">
            <v xml:space="preserve"> </v>
          </cell>
          <cell r="G406">
            <v>4140989</v>
          </cell>
          <cell r="H406">
            <v>3684524</v>
          </cell>
          <cell r="I406">
            <v>7122669</v>
          </cell>
          <cell r="J406">
            <v>178797</v>
          </cell>
          <cell r="K406">
            <v>15126979</v>
          </cell>
          <cell r="L406"/>
          <cell r="M406">
            <v>138951</v>
          </cell>
          <cell r="N406">
            <v>0</v>
          </cell>
          <cell r="O406">
            <v>124923</v>
          </cell>
          <cell r="P406">
            <v>263874</v>
          </cell>
          <cell r="Q406"/>
          <cell r="R406">
            <v>7455818</v>
          </cell>
          <cell r="S406">
            <v>-92749</v>
          </cell>
          <cell r="T406">
            <v>7363069</v>
          </cell>
        </row>
        <row r="407">
          <cell r="A407">
            <v>94127</v>
          </cell>
          <cell r="B407" t="str">
            <v>HIGH POINT ABC BD</v>
          </cell>
          <cell r="C407">
            <v>1.5310000000000001E-4</v>
          </cell>
          <cell r="D407">
            <v>1.7310000000000001E-4</v>
          </cell>
          <cell r="E407">
            <v>363206</v>
          </cell>
          <cell r="F407" t="str">
            <v xml:space="preserve"> </v>
          </cell>
          <cell r="G407">
            <v>56034</v>
          </cell>
          <cell r="H407">
            <v>49857</v>
          </cell>
          <cell r="I407">
            <v>96381</v>
          </cell>
          <cell r="J407">
            <v>5878</v>
          </cell>
          <cell r="K407">
            <v>208150</v>
          </cell>
          <cell r="L407"/>
          <cell r="M407">
            <v>1880</v>
          </cell>
          <cell r="N407">
            <v>0</v>
          </cell>
          <cell r="O407">
            <v>12665</v>
          </cell>
          <cell r="P407">
            <v>14545</v>
          </cell>
          <cell r="Q407"/>
          <cell r="R407">
            <v>100889</v>
          </cell>
          <cell r="S407">
            <v>-521</v>
          </cell>
          <cell r="T407">
            <v>100368</v>
          </cell>
        </row>
        <row r="408">
          <cell r="A408">
            <v>94131</v>
          </cell>
          <cell r="B408" t="str">
            <v xml:space="preserve"> JAMESTOWN</v>
          </cell>
          <cell r="C408">
            <v>2.039E-4</v>
          </cell>
          <cell r="D408">
            <v>1.7479999999999999E-4</v>
          </cell>
          <cell r="E408">
            <v>483721</v>
          </cell>
          <cell r="F408" t="str">
            <v xml:space="preserve"> </v>
          </cell>
          <cell r="G408">
            <v>74627</v>
          </cell>
          <cell r="H408">
            <v>66401</v>
          </cell>
          <cell r="I408">
            <v>128361</v>
          </cell>
          <cell r="J408">
            <v>26135</v>
          </cell>
          <cell r="K408">
            <v>295524</v>
          </cell>
          <cell r="L408"/>
          <cell r="M408">
            <v>2504</v>
          </cell>
          <cell r="N408">
            <v>0</v>
          </cell>
          <cell r="O408">
            <v>6379</v>
          </cell>
          <cell r="P408">
            <v>8883</v>
          </cell>
          <cell r="Q408"/>
          <cell r="R408">
            <v>134365</v>
          </cell>
          <cell r="S408">
            <v>5028</v>
          </cell>
          <cell r="T408">
            <v>139393</v>
          </cell>
        </row>
        <row r="409">
          <cell r="A409">
            <v>94151</v>
          </cell>
          <cell r="B409" t="str">
            <v xml:space="preserve"> GIBSONVILLE</v>
          </cell>
          <cell r="C409">
            <v>4.6470000000000002E-4</v>
          </cell>
          <cell r="D409">
            <v>4.1590000000000003E-4</v>
          </cell>
          <cell r="E409">
            <v>1102427</v>
          </cell>
          <cell r="F409" t="str">
            <v xml:space="preserve"> </v>
          </cell>
          <cell r="G409">
            <v>170078</v>
          </cell>
          <cell r="H409">
            <v>151331</v>
          </cell>
          <cell r="I409">
            <v>292542</v>
          </cell>
          <cell r="J409">
            <v>12138</v>
          </cell>
          <cell r="K409">
            <v>626089</v>
          </cell>
          <cell r="L409"/>
          <cell r="M409">
            <v>5707</v>
          </cell>
          <cell r="N409">
            <v>0</v>
          </cell>
          <cell r="O409">
            <v>23819</v>
          </cell>
          <cell r="P409">
            <v>29526</v>
          </cell>
          <cell r="Q409"/>
          <cell r="R409">
            <v>306225</v>
          </cell>
          <cell r="S409">
            <v>-9818</v>
          </cell>
          <cell r="T409">
            <v>296407</v>
          </cell>
        </row>
        <row r="410">
          <cell r="A410">
            <v>94157</v>
          </cell>
          <cell r="B410" t="str">
            <v>GIBSONVILLE ABC BOARD</v>
          </cell>
          <cell r="C410">
            <v>8.4999999999999999E-6</v>
          </cell>
          <cell r="D410">
            <v>8.8999999999999995E-6</v>
          </cell>
          <cell r="E410">
            <v>20165</v>
          </cell>
          <cell r="F410" t="str">
            <v xml:space="preserve"> </v>
          </cell>
          <cell r="G410">
            <v>3111</v>
          </cell>
          <cell r="H410">
            <v>2768</v>
          </cell>
          <cell r="I410">
            <v>5351</v>
          </cell>
          <cell r="J410">
            <v>2192</v>
          </cell>
          <cell r="K410">
            <v>13422</v>
          </cell>
          <cell r="L410"/>
          <cell r="M410">
            <v>104</v>
          </cell>
          <cell r="N410">
            <v>0</v>
          </cell>
          <cell r="O410">
            <v>0</v>
          </cell>
          <cell r="P410">
            <v>104</v>
          </cell>
          <cell r="Q410"/>
          <cell r="R410">
            <v>5601</v>
          </cell>
          <cell r="S410">
            <v>2203</v>
          </cell>
          <cell r="T410">
            <v>7804</v>
          </cell>
        </row>
        <row r="411">
          <cell r="A411">
            <v>94161</v>
          </cell>
          <cell r="B411" t="str">
            <v xml:space="preserve"> OAK RIDGE</v>
          </cell>
          <cell r="C411">
            <v>3.4999999999999997E-5</v>
          </cell>
          <cell r="D411">
            <v>5.1900000000000001E-5</v>
          </cell>
          <cell r="E411">
            <v>83032</v>
          </cell>
          <cell r="F411" t="str">
            <v xml:space="preserve"> </v>
          </cell>
          <cell r="G411">
            <v>12810</v>
          </cell>
          <cell r="H411">
            <v>11398</v>
          </cell>
          <cell r="I411">
            <v>22033</v>
          </cell>
          <cell r="J411">
            <v>2371</v>
          </cell>
          <cell r="K411">
            <v>48612</v>
          </cell>
          <cell r="L411"/>
          <cell r="M411">
            <v>430</v>
          </cell>
          <cell r="N411">
            <v>0</v>
          </cell>
          <cell r="O411">
            <v>9815</v>
          </cell>
          <cell r="P411">
            <v>10245</v>
          </cell>
          <cell r="Q411"/>
          <cell r="R411">
            <v>23064</v>
          </cell>
          <cell r="S411">
            <v>432</v>
          </cell>
          <cell r="T411">
            <v>23496</v>
          </cell>
        </row>
        <row r="412">
          <cell r="A412">
            <v>94168</v>
          </cell>
          <cell r="B412" t="str">
            <v>COLFAX VOLUNTEER FIRE DEPARTMENT</v>
          </cell>
          <cell r="C412">
            <v>5.0800000000000002E-5</v>
          </cell>
          <cell r="D412">
            <v>2.5899999999999999E-5</v>
          </cell>
          <cell r="E412">
            <v>120515</v>
          </cell>
          <cell r="F412" t="str">
            <v xml:space="preserve"> </v>
          </cell>
          <cell r="G412">
            <v>18593</v>
          </cell>
          <cell r="H412">
            <v>16543</v>
          </cell>
          <cell r="I412">
            <v>31980</v>
          </cell>
          <cell r="J412">
            <v>15950</v>
          </cell>
          <cell r="K412">
            <v>83066</v>
          </cell>
          <cell r="L412"/>
          <cell r="M412">
            <v>624</v>
          </cell>
          <cell r="N412">
            <v>0</v>
          </cell>
          <cell r="O412">
            <v>6240</v>
          </cell>
          <cell r="P412">
            <v>6864</v>
          </cell>
          <cell r="Q412"/>
          <cell r="R412">
            <v>33476</v>
          </cell>
          <cell r="S412">
            <v>-1436</v>
          </cell>
          <cell r="T412">
            <v>32040</v>
          </cell>
        </row>
        <row r="413">
          <cell r="A413">
            <v>94171</v>
          </cell>
          <cell r="B413" t="str">
            <v xml:space="preserve"> SUMMERFIELD</v>
          </cell>
          <cell r="C413">
            <v>7.9800000000000002E-5</v>
          </cell>
          <cell r="D413">
            <v>6.9800000000000003E-5</v>
          </cell>
          <cell r="E413">
            <v>189313</v>
          </cell>
          <cell r="F413" t="str">
            <v xml:space="preserve"> </v>
          </cell>
          <cell r="G413">
            <v>29206</v>
          </cell>
          <cell r="H413">
            <v>25987</v>
          </cell>
          <cell r="I413">
            <v>50236</v>
          </cell>
          <cell r="J413">
            <v>8192</v>
          </cell>
          <cell r="K413">
            <v>113621</v>
          </cell>
          <cell r="L413"/>
          <cell r="M413">
            <v>980</v>
          </cell>
          <cell r="N413">
            <v>0</v>
          </cell>
          <cell r="O413">
            <v>0</v>
          </cell>
          <cell r="P413">
            <v>980</v>
          </cell>
          <cell r="Q413"/>
          <cell r="R413">
            <v>52586</v>
          </cell>
          <cell r="S413">
            <v>3244</v>
          </cell>
          <cell r="T413">
            <v>55830</v>
          </cell>
        </row>
        <row r="414">
          <cell r="A414">
            <v>94172</v>
          </cell>
          <cell r="B414" t="str">
            <v>SUMMERFIELD FIRE DISTRICT</v>
          </cell>
          <cell r="C414">
            <v>2.833E-4</v>
          </cell>
          <cell r="D414">
            <v>2.6289999999999999E-4</v>
          </cell>
          <cell r="E414">
            <v>672084</v>
          </cell>
          <cell r="F414" t="str">
            <v xml:space="preserve"> </v>
          </cell>
          <cell r="G414">
            <v>103687</v>
          </cell>
          <cell r="H414">
            <v>92258</v>
          </cell>
          <cell r="I414">
            <v>178345</v>
          </cell>
          <cell r="J414">
            <v>0</v>
          </cell>
          <cell r="K414">
            <v>374290</v>
          </cell>
          <cell r="L414"/>
          <cell r="M414">
            <v>3479</v>
          </cell>
          <cell r="N414">
            <v>0</v>
          </cell>
          <cell r="O414">
            <v>61943</v>
          </cell>
          <cell r="P414">
            <v>65422</v>
          </cell>
          <cell r="Q414"/>
          <cell r="R414">
            <v>186687</v>
          </cell>
          <cell r="S414">
            <v>-44260</v>
          </cell>
          <cell r="T414">
            <v>142427</v>
          </cell>
        </row>
        <row r="415">
          <cell r="A415">
            <v>94201</v>
          </cell>
          <cell r="B415" t="str">
            <v>HALIFAX COUNTY</v>
          </cell>
          <cell r="C415">
            <v>3.2913999999999999E-3</v>
          </cell>
          <cell r="D415">
            <v>3.3658999999999998E-3</v>
          </cell>
          <cell r="E415">
            <v>7808326</v>
          </cell>
          <cell r="F415" t="str">
            <v xml:space="preserve"> </v>
          </cell>
          <cell r="G415">
            <v>1204639</v>
          </cell>
          <cell r="H415">
            <v>1071851</v>
          </cell>
          <cell r="I415">
            <v>2072028</v>
          </cell>
          <cell r="J415">
            <v>19861</v>
          </cell>
          <cell r="K415">
            <v>4368379</v>
          </cell>
          <cell r="L415"/>
          <cell r="M415">
            <v>40422</v>
          </cell>
          <cell r="N415">
            <v>0</v>
          </cell>
          <cell r="O415">
            <v>84937</v>
          </cell>
          <cell r="P415">
            <v>125359</v>
          </cell>
          <cell r="Q415"/>
          <cell r="R415">
            <v>2168944</v>
          </cell>
          <cell r="S415">
            <v>-9281</v>
          </cell>
          <cell r="T415">
            <v>2159663</v>
          </cell>
        </row>
        <row r="416">
          <cell r="A416">
            <v>94204</v>
          </cell>
          <cell r="B416" t="str">
            <v>HALIFAX COUNTY ABC BOARD</v>
          </cell>
          <cell r="C416">
            <v>2.73E-5</v>
          </cell>
          <cell r="D416">
            <v>2.5899999999999999E-5</v>
          </cell>
          <cell r="E416">
            <v>64765</v>
          </cell>
          <cell r="F416" t="str">
            <v xml:space="preserve"> </v>
          </cell>
          <cell r="G416">
            <v>9992</v>
          </cell>
          <cell r="H416">
            <v>8890</v>
          </cell>
          <cell r="I416">
            <v>17186</v>
          </cell>
          <cell r="J416">
            <v>12296</v>
          </cell>
          <cell r="K416">
            <v>48364</v>
          </cell>
          <cell r="L416"/>
          <cell r="M416">
            <v>335</v>
          </cell>
          <cell r="N416">
            <v>0</v>
          </cell>
          <cell r="O416">
            <v>0</v>
          </cell>
          <cell r="P416">
            <v>335</v>
          </cell>
          <cell r="Q416"/>
          <cell r="R416">
            <v>17990</v>
          </cell>
          <cell r="S416">
            <v>6257</v>
          </cell>
          <cell r="T416">
            <v>24247</v>
          </cell>
        </row>
        <row r="417">
          <cell r="A417">
            <v>94205</v>
          </cell>
          <cell r="B417" t="str">
            <v>HALIFAX COUNTY TOURISM DEVELOPMENT AUTHORITY</v>
          </cell>
          <cell r="C417">
            <v>1.8300000000000001E-5</v>
          </cell>
          <cell r="D417">
            <v>2.0699999999999998E-5</v>
          </cell>
          <cell r="E417">
            <v>43414</v>
          </cell>
          <cell r="F417" t="str">
            <v xml:space="preserve"> </v>
          </cell>
          <cell r="G417">
            <v>6698</v>
          </cell>
          <cell r="H417">
            <v>5959</v>
          </cell>
          <cell r="I417">
            <v>11520</v>
          </cell>
          <cell r="J417">
            <v>1408</v>
          </cell>
          <cell r="K417">
            <v>25585</v>
          </cell>
          <cell r="L417"/>
          <cell r="M417">
            <v>225</v>
          </cell>
          <cell r="N417">
            <v>0</v>
          </cell>
          <cell r="O417">
            <v>1277</v>
          </cell>
          <cell r="P417">
            <v>1502</v>
          </cell>
          <cell r="Q417"/>
          <cell r="R417">
            <v>12059</v>
          </cell>
          <cell r="S417">
            <v>-2857</v>
          </cell>
          <cell r="T417">
            <v>9202</v>
          </cell>
        </row>
        <row r="418">
          <cell r="A418">
            <v>94209</v>
          </cell>
          <cell r="B418" t="str">
            <v>ROANOKE RAPIDS SANITARY DISTRICT</v>
          </cell>
          <cell r="C418">
            <v>3.1700000000000001E-4</v>
          </cell>
          <cell r="D418">
            <v>3.4190000000000002E-4</v>
          </cell>
          <cell r="E418">
            <v>752032</v>
          </cell>
          <cell r="F418" t="str">
            <v xml:space="preserve"> </v>
          </cell>
          <cell r="G418">
            <v>116021</v>
          </cell>
          <cell r="H418">
            <v>103231</v>
          </cell>
          <cell r="I418">
            <v>199560</v>
          </cell>
          <cell r="J418">
            <v>11815</v>
          </cell>
          <cell r="K418">
            <v>430627</v>
          </cell>
          <cell r="L418"/>
          <cell r="M418">
            <v>3893</v>
          </cell>
          <cell r="N418">
            <v>0</v>
          </cell>
          <cell r="O418">
            <v>21749</v>
          </cell>
          <cell r="P418">
            <v>25642</v>
          </cell>
          <cell r="Q418"/>
          <cell r="R418">
            <v>208894</v>
          </cell>
          <cell r="S418">
            <v>4832</v>
          </cell>
          <cell r="T418">
            <v>213726</v>
          </cell>
        </row>
        <row r="419">
          <cell r="A419">
            <v>94211</v>
          </cell>
          <cell r="B419" t="str">
            <v xml:space="preserve"> ENFIELD</v>
          </cell>
          <cell r="C419">
            <v>1.615E-4</v>
          </cell>
          <cell r="D419">
            <v>1.3660000000000001E-4</v>
          </cell>
          <cell r="E419">
            <v>383133</v>
          </cell>
          <cell r="F419" t="str">
            <v xml:space="preserve"> </v>
          </cell>
          <cell r="G419">
            <v>59108</v>
          </cell>
          <cell r="H419">
            <v>52593</v>
          </cell>
          <cell r="I419">
            <v>101669</v>
          </cell>
          <cell r="J419">
            <v>11603</v>
          </cell>
          <cell r="K419">
            <v>224973</v>
          </cell>
          <cell r="L419"/>
          <cell r="M419">
            <v>1983</v>
          </cell>
          <cell r="N419">
            <v>0</v>
          </cell>
          <cell r="O419">
            <v>3873</v>
          </cell>
          <cell r="P419">
            <v>5856</v>
          </cell>
          <cell r="Q419"/>
          <cell r="R419">
            <v>106424</v>
          </cell>
          <cell r="S419">
            <v>-10032</v>
          </cell>
          <cell r="T419">
            <v>96392</v>
          </cell>
        </row>
        <row r="420">
          <cell r="A420">
            <v>94221</v>
          </cell>
          <cell r="B420" t="str">
            <v>CITY OF ROANOKE RAPIDS</v>
          </cell>
          <cell r="C420">
            <v>1.0311999999999999E-3</v>
          </cell>
          <cell r="D420">
            <v>1.0436E-3</v>
          </cell>
          <cell r="E420">
            <v>2446359</v>
          </cell>
          <cell r="F420" t="str">
            <v xml:space="preserve"> </v>
          </cell>
          <cell r="G420">
            <v>377415</v>
          </cell>
          <cell r="H420">
            <v>335812</v>
          </cell>
          <cell r="I420">
            <v>649169</v>
          </cell>
          <cell r="J420">
            <v>28711</v>
          </cell>
          <cell r="K420">
            <v>1391107</v>
          </cell>
          <cell r="L420"/>
          <cell r="M420">
            <v>12664</v>
          </cell>
          <cell r="N420">
            <v>0</v>
          </cell>
          <cell r="O420">
            <v>85091</v>
          </cell>
          <cell r="P420">
            <v>97755</v>
          </cell>
          <cell r="Q420"/>
          <cell r="R420">
            <v>679533</v>
          </cell>
          <cell r="S420">
            <v>-30381</v>
          </cell>
          <cell r="T420">
            <v>649152</v>
          </cell>
        </row>
        <row r="421">
          <cell r="A421">
            <v>94231</v>
          </cell>
          <cell r="B421" t="str">
            <v xml:space="preserve"> WELDON</v>
          </cell>
          <cell r="C421">
            <v>2.009E-4</v>
          </cell>
          <cell r="D421">
            <v>2.2609999999999999E-4</v>
          </cell>
          <cell r="E421">
            <v>476604</v>
          </cell>
          <cell r="F421" t="str">
            <v xml:space="preserve"> </v>
          </cell>
          <cell r="G421">
            <v>73529</v>
          </cell>
          <cell r="H421">
            <v>65423</v>
          </cell>
          <cell r="I421">
            <v>126472</v>
          </cell>
          <cell r="J421">
            <v>6119</v>
          </cell>
          <cell r="K421">
            <v>271543</v>
          </cell>
          <cell r="L421"/>
          <cell r="M421">
            <v>2467</v>
          </cell>
          <cell r="N421">
            <v>0</v>
          </cell>
          <cell r="O421">
            <v>26463</v>
          </cell>
          <cell r="P421">
            <v>28930</v>
          </cell>
          <cell r="Q421"/>
          <cell r="R421">
            <v>132388</v>
          </cell>
          <cell r="S421">
            <v>-8958</v>
          </cell>
          <cell r="T421">
            <v>123430</v>
          </cell>
        </row>
        <row r="422">
          <cell r="A422">
            <v>94241</v>
          </cell>
          <cell r="B422" t="str">
            <v xml:space="preserve"> SCOTLAND NECK</v>
          </cell>
          <cell r="C422">
            <v>1.227E-4</v>
          </cell>
          <cell r="D422">
            <v>1.2669999999999999E-4</v>
          </cell>
          <cell r="E422">
            <v>291086</v>
          </cell>
          <cell r="F422" t="str">
            <v xml:space="preserve"> </v>
          </cell>
          <cell r="G422">
            <v>44908</v>
          </cell>
          <cell r="H422">
            <v>39958</v>
          </cell>
          <cell r="I422">
            <v>77243</v>
          </cell>
          <cell r="J422">
            <v>19412</v>
          </cell>
          <cell r="K422">
            <v>181521</v>
          </cell>
          <cell r="L422"/>
          <cell r="M422">
            <v>1507</v>
          </cell>
          <cell r="N422">
            <v>0</v>
          </cell>
          <cell r="O422">
            <v>7181</v>
          </cell>
          <cell r="P422">
            <v>8688</v>
          </cell>
          <cell r="Q422"/>
          <cell r="R422">
            <v>80856</v>
          </cell>
          <cell r="S422">
            <v>5128</v>
          </cell>
          <cell r="T422">
            <v>85984</v>
          </cell>
        </row>
        <row r="423">
          <cell r="A423">
            <v>94251</v>
          </cell>
          <cell r="B423" t="str">
            <v xml:space="preserve"> HOBGOOD</v>
          </cell>
          <cell r="C423">
            <v>1.59E-5</v>
          </cell>
          <cell r="D423">
            <v>1.95E-5</v>
          </cell>
          <cell r="E423">
            <v>37720</v>
          </cell>
          <cell r="F423" t="str">
            <v xml:space="preserve"> </v>
          </cell>
          <cell r="G423">
            <v>5819</v>
          </cell>
          <cell r="H423">
            <v>5178</v>
          </cell>
          <cell r="I423">
            <v>10009</v>
          </cell>
          <cell r="J423">
            <v>2468</v>
          </cell>
          <cell r="K423">
            <v>23474</v>
          </cell>
          <cell r="L423"/>
          <cell r="M423">
            <v>195</v>
          </cell>
          <cell r="N423">
            <v>0</v>
          </cell>
          <cell r="O423">
            <v>4449</v>
          </cell>
          <cell r="P423">
            <v>4644</v>
          </cell>
          <cell r="Q423"/>
          <cell r="R423">
            <v>10478</v>
          </cell>
          <cell r="S423">
            <v>-2557</v>
          </cell>
          <cell r="T423">
            <v>7921</v>
          </cell>
        </row>
        <row r="424">
          <cell r="A424">
            <v>94261</v>
          </cell>
          <cell r="B424" t="str">
            <v xml:space="preserve"> LITTLETON</v>
          </cell>
          <cell r="C424">
            <v>3.6199999999999999E-5</v>
          </cell>
          <cell r="D424">
            <v>3.9199999999999997E-5</v>
          </cell>
          <cell r="E424">
            <v>85879</v>
          </cell>
          <cell r="F424" t="str">
            <v xml:space="preserve"> </v>
          </cell>
          <cell r="G424">
            <v>13249</v>
          </cell>
          <cell r="H424">
            <v>11789</v>
          </cell>
          <cell r="I424">
            <v>22789</v>
          </cell>
          <cell r="J424">
            <v>10016</v>
          </cell>
          <cell r="K424">
            <v>57843</v>
          </cell>
          <cell r="L424"/>
          <cell r="M424">
            <v>445</v>
          </cell>
          <cell r="N424">
            <v>0</v>
          </cell>
          <cell r="O424">
            <v>790</v>
          </cell>
          <cell r="P424">
            <v>1235</v>
          </cell>
          <cell r="Q424"/>
          <cell r="R424">
            <v>23855</v>
          </cell>
          <cell r="S424">
            <v>5304</v>
          </cell>
          <cell r="T424">
            <v>29159</v>
          </cell>
        </row>
        <row r="425">
          <cell r="A425">
            <v>94301</v>
          </cell>
          <cell r="B425" t="str">
            <v>HARNETT COUNTY</v>
          </cell>
          <cell r="C425">
            <v>6.3552000000000001E-3</v>
          </cell>
          <cell r="D425">
            <v>6.2988999999999996E-3</v>
          </cell>
          <cell r="E425">
            <v>15076708</v>
          </cell>
          <cell r="F425" t="str">
            <v xml:space="preserve"> </v>
          </cell>
          <cell r="G425">
            <v>2325978</v>
          </cell>
          <cell r="H425">
            <v>2069584</v>
          </cell>
          <cell r="I425">
            <v>4000776</v>
          </cell>
          <cell r="J425">
            <v>62202</v>
          </cell>
          <cell r="K425">
            <v>8458540</v>
          </cell>
          <cell r="L425"/>
          <cell r="M425">
            <v>78048</v>
          </cell>
          <cell r="N425">
            <v>0</v>
          </cell>
          <cell r="O425">
            <v>66635</v>
          </cell>
          <cell r="P425">
            <v>144683</v>
          </cell>
          <cell r="Q425"/>
          <cell r="R425">
            <v>4187905</v>
          </cell>
          <cell r="S425">
            <v>-21615</v>
          </cell>
          <cell r="T425">
            <v>4166290</v>
          </cell>
        </row>
        <row r="426">
          <cell r="A426">
            <v>94311</v>
          </cell>
          <cell r="B426" t="str">
            <v>CITY OF DUNN</v>
          </cell>
          <cell r="C426">
            <v>7.4359999999999997E-4</v>
          </cell>
          <cell r="D426">
            <v>7.8540000000000001E-4</v>
          </cell>
          <cell r="E426">
            <v>1764074</v>
          </cell>
          <cell r="F426" t="str">
            <v xml:space="preserve"> </v>
          </cell>
          <cell r="G426">
            <v>272155</v>
          </cell>
          <cell r="H426">
            <v>242155</v>
          </cell>
          <cell r="I426">
            <v>468117</v>
          </cell>
          <cell r="J426">
            <v>17528</v>
          </cell>
          <cell r="K426">
            <v>999955</v>
          </cell>
          <cell r="L426"/>
          <cell r="M426">
            <v>9132</v>
          </cell>
          <cell r="N426">
            <v>0</v>
          </cell>
          <cell r="O426">
            <v>53855</v>
          </cell>
          <cell r="P426">
            <v>62987</v>
          </cell>
          <cell r="Q426"/>
          <cell r="R426">
            <v>490012</v>
          </cell>
          <cell r="S426">
            <v>-19332</v>
          </cell>
          <cell r="T426">
            <v>470680</v>
          </cell>
        </row>
        <row r="427">
          <cell r="A427">
            <v>94313</v>
          </cell>
          <cell r="B427" t="str">
            <v>DUNN HOUSING AUTHORITY</v>
          </cell>
          <cell r="C427">
            <v>2.1699999999999999E-5</v>
          </cell>
          <cell r="D427">
            <v>1.8700000000000001E-5</v>
          </cell>
          <cell r="E427">
            <v>51480</v>
          </cell>
          <cell r="F427" t="str">
            <v xml:space="preserve"> </v>
          </cell>
          <cell r="G427">
            <v>7942</v>
          </cell>
          <cell r="H427">
            <v>7067</v>
          </cell>
          <cell r="I427">
            <v>13661</v>
          </cell>
          <cell r="J427">
            <v>9311</v>
          </cell>
          <cell r="K427">
            <v>37981</v>
          </cell>
          <cell r="L427"/>
          <cell r="M427">
            <v>266</v>
          </cell>
          <cell r="N427">
            <v>0</v>
          </cell>
          <cell r="O427">
            <v>0</v>
          </cell>
          <cell r="P427">
            <v>266</v>
          </cell>
          <cell r="Q427"/>
          <cell r="R427">
            <v>14300</v>
          </cell>
          <cell r="S427">
            <v>4369</v>
          </cell>
          <cell r="T427">
            <v>18669</v>
          </cell>
        </row>
        <row r="428">
          <cell r="A428">
            <v>94317</v>
          </cell>
          <cell r="B428" t="str">
            <v>DUNN ABC BOARD</v>
          </cell>
          <cell r="C428">
            <v>1.15E-5</v>
          </cell>
          <cell r="D428">
            <v>1.2E-5</v>
          </cell>
          <cell r="E428">
            <v>27282</v>
          </cell>
          <cell r="F428" t="str">
            <v xml:space="preserve"> </v>
          </cell>
          <cell r="G428">
            <v>4209</v>
          </cell>
          <cell r="H428">
            <v>3745</v>
          </cell>
          <cell r="I428">
            <v>7240</v>
          </cell>
          <cell r="J428">
            <v>8256</v>
          </cell>
          <cell r="K428">
            <v>23450</v>
          </cell>
          <cell r="L428"/>
          <cell r="M428">
            <v>141</v>
          </cell>
          <cell r="N428">
            <v>0</v>
          </cell>
          <cell r="O428">
            <v>0</v>
          </cell>
          <cell r="P428">
            <v>141</v>
          </cell>
          <cell r="Q428"/>
          <cell r="R428">
            <v>7578</v>
          </cell>
          <cell r="S428">
            <v>4052</v>
          </cell>
          <cell r="T428">
            <v>11630</v>
          </cell>
        </row>
        <row r="429">
          <cell r="A429">
            <v>94321</v>
          </cell>
          <cell r="B429" t="str">
            <v xml:space="preserve"> LILLINGTON</v>
          </cell>
          <cell r="C429">
            <v>2.8160000000000001E-4</v>
          </cell>
          <cell r="D429">
            <v>2.7760000000000003E-4</v>
          </cell>
          <cell r="E429">
            <v>668052</v>
          </cell>
          <cell r="F429" t="str">
            <v xml:space="preserve"> </v>
          </cell>
          <cell r="G429">
            <v>103064</v>
          </cell>
          <cell r="H429">
            <v>91703</v>
          </cell>
          <cell r="I429">
            <v>177275</v>
          </cell>
          <cell r="J429">
            <v>0</v>
          </cell>
          <cell r="K429">
            <v>372042</v>
          </cell>
          <cell r="L429"/>
          <cell r="M429">
            <v>3458</v>
          </cell>
          <cell r="N429">
            <v>0</v>
          </cell>
          <cell r="O429">
            <v>23408</v>
          </cell>
          <cell r="P429">
            <v>26866</v>
          </cell>
          <cell r="Q429"/>
          <cell r="R429">
            <v>185567</v>
          </cell>
          <cell r="S429">
            <v>-8371</v>
          </cell>
          <cell r="T429">
            <v>177196</v>
          </cell>
        </row>
        <row r="430">
          <cell r="A430">
            <v>94331</v>
          </cell>
          <cell r="B430" t="str">
            <v xml:space="preserve"> ERWIN</v>
          </cell>
          <cell r="C430">
            <v>1.6090000000000001E-4</v>
          </cell>
          <cell r="D430">
            <v>1.3569999999999999E-4</v>
          </cell>
          <cell r="E430">
            <v>381710</v>
          </cell>
          <cell r="F430" t="str">
            <v xml:space="preserve"> </v>
          </cell>
          <cell r="G430">
            <v>58889</v>
          </cell>
          <cell r="H430">
            <v>52397</v>
          </cell>
          <cell r="I430">
            <v>101291</v>
          </cell>
          <cell r="J430">
            <v>20048</v>
          </cell>
          <cell r="K430">
            <v>232625</v>
          </cell>
          <cell r="L430"/>
          <cell r="M430">
            <v>1976</v>
          </cell>
          <cell r="N430">
            <v>0</v>
          </cell>
          <cell r="O430">
            <v>7457</v>
          </cell>
          <cell r="P430">
            <v>9433</v>
          </cell>
          <cell r="Q430"/>
          <cell r="R430">
            <v>106029</v>
          </cell>
          <cell r="S430">
            <v>7534</v>
          </cell>
          <cell r="T430">
            <v>113563</v>
          </cell>
        </row>
        <row r="431">
          <cell r="A431">
            <v>94341</v>
          </cell>
          <cell r="B431" t="str">
            <v xml:space="preserve"> COATS</v>
          </cell>
          <cell r="C431">
            <v>8.3300000000000005E-5</v>
          </cell>
          <cell r="D431">
            <v>9.4699999999999998E-5</v>
          </cell>
          <cell r="E431">
            <v>197616</v>
          </cell>
          <cell r="F431" t="str">
            <v xml:space="preserve"> </v>
          </cell>
          <cell r="G431">
            <v>30487</v>
          </cell>
          <cell r="H431">
            <v>27127</v>
          </cell>
          <cell r="I431">
            <v>52440</v>
          </cell>
          <cell r="J431">
            <v>4074</v>
          </cell>
          <cell r="K431">
            <v>114128</v>
          </cell>
          <cell r="L431"/>
          <cell r="M431">
            <v>1023</v>
          </cell>
          <cell r="N431">
            <v>0</v>
          </cell>
          <cell r="O431">
            <v>12325</v>
          </cell>
          <cell r="P431">
            <v>13348</v>
          </cell>
          <cell r="Q431"/>
          <cell r="R431">
            <v>54892</v>
          </cell>
          <cell r="S431">
            <v>-4230</v>
          </cell>
          <cell r="T431">
            <v>50662</v>
          </cell>
        </row>
        <row r="432">
          <cell r="A432">
            <v>94347</v>
          </cell>
          <cell r="B432" t="str">
            <v xml:space="preserve"> ANGIER ABC BOARD</v>
          </cell>
          <cell r="C432">
            <v>7.9999999999999996E-6</v>
          </cell>
          <cell r="D432">
            <v>1.22E-5</v>
          </cell>
          <cell r="E432">
            <v>18979</v>
          </cell>
          <cell r="F432" t="str">
            <v xml:space="preserve"> </v>
          </cell>
          <cell r="G432">
            <v>2928</v>
          </cell>
          <cell r="H432">
            <v>2605</v>
          </cell>
          <cell r="I432">
            <v>5036</v>
          </cell>
          <cell r="J432">
            <v>2389</v>
          </cell>
          <cell r="K432">
            <v>12958</v>
          </cell>
          <cell r="L432"/>
          <cell r="M432">
            <v>98</v>
          </cell>
          <cell r="N432">
            <v>0</v>
          </cell>
          <cell r="O432">
            <v>948</v>
          </cell>
          <cell r="P432">
            <v>1046</v>
          </cell>
          <cell r="Q432"/>
          <cell r="R432">
            <v>5272</v>
          </cell>
          <cell r="S432">
            <v>1646</v>
          </cell>
          <cell r="T432">
            <v>6918</v>
          </cell>
        </row>
        <row r="433">
          <cell r="A433">
            <v>94351</v>
          </cell>
          <cell r="B433" t="str">
            <v xml:space="preserve"> ANGIER</v>
          </cell>
          <cell r="C433">
            <v>2.477E-4</v>
          </cell>
          <cell r="D433">
            <v>2.433E-4</v>
          </cell>
          <cell r="E433">
            <v>587629</v>
          </cell>
          <cell r="F433" t="str">
            <v xml:space="preserve"> </v>
          </cell>
          <cell r="G433">
            <v>90657</v>
          </cell>
          <cell r="H433">
            <v>80664</v>
          </cell>
          <cell r="I433">
            <v>155934</v>
          </cell>
          <cell r="J433">
            <v>716</v>
          </cell>
          <cell r="K433">
            <v>327971</v>
          </cell>
          <cell r="L433"/>
          <cell r="M433">
            <v>3042</v>
          </cell>
          <cell r="N433">
            <v>0</v>
          </cell>
          <cell r="O433">
            <v>6580</v>
          </cell>
          <cell r="P433">
            <v>9622</v>
          </cell>
          <cell r="Q433"/>
          <cell r="R433">
            <v>163228</v>
          </cell>
          <cell r="S433">
            <v>-2766</v>
          </cell>
          <cell r="T433">
            <v>160462</v>
          </cell>
        </row>
        <row r="434">
          <cell r="A434">
            <v>94401</v>
          </cell>
          <cell r="B434" t="str">
            <v>HAYWOOD COUNTY</v>
          </cell>
          <cell r="C434">
            <v>3.2688999999999999E-3</v>
          </cell>
          <cell r="D434">
            <v>3.2718000000000001E-3</v>
          </cell>
          <cell r="E434">
            <v>7754949</v>
          </cell>
          <cell r="F434" t="str">
            <v xml:space="preserve"> </v>
          </cell>
          <cell r="G434">
            <v>1196404</v>
          </cell>
          <cell r="H434">
            <v>1064524</v>
          </cell>
          <cell r="I434">
            <v>2057864</v>
          </cell>
          <cell r="J434">
            <v>19959</v>
          </cell>
          <cell r="K434">
            <v>4338751</v>
          </cell>
          <cell r="L434"/>
          <cell r="M434">
            <v>40145</v>
          </cell>
          <cell r="N434">
            <v>0</v>
          </cell>
          <cell r="O434">
            <v>62594</v>
          </cell>
          <cell r="P434">
            <v>102739</v>
          </cell>
          <cell r="Q434"/>
          <cell r="R434">
            <v>2154117</v>
          </cell>
          <cell r="S434">
            <v>-9013</v>
          </cell>
          <cell r="T434">
            <v>2145104</v>
          </cell>
        </row>
        <row r="435">
          <cell r="A435">
            <v>94402</v>
          </cell>
          <cell r="B435" t="str">
            <v>HAYWOOD MEDICAL CENTER</v>
          </cell>
          <cell r="C435">
            <v>0</v>
          </cell>
          <cell r="D435">
            <v>0</v>
          </cell>
          <cell r="E435">
            <v>0</v>
          </cell>
          <cell r="F435" t="str">
            <v xml:space="preserve"> </v>
          </cell>
          <cell r="G435">
            <v>0</v>
          </cell>
          <cell r="H435">
            <v>0</v>
          </cell>
          <cell r="I435">
            <v>0</v>
          </cell>
          <cell r="J435">
            <v>0</v>
          </cell>
          <cell r="K435">
            <v>0</v>
          </cell>
          <cell r="L435"/>
          <cell r="M435">
            <v>0</v>
          </cell>
          <cell r="N435">
            <v>0</v>
          </cell>
          <cell r="O435">
            <v>767649</v>
          </cell>
          <cell r="P435">
            <v>767649</v>
          </cell>
          <cell r="Q435"/>
          <cell r="R435">
            <v>0</v>
          </cell>
          <cell r="S435">
            <v>-1006718</v>
          </cell>
          <cell r="T435">
            <v>-1006718</v>
          </cell>
        </row>
        <row r="436">
          <cell r="A436">
            <v>94403</v>
          </cell>
          <cell r="B436" t="str">
            <v>HAYWOOD COUNTY TOURISM DEVELOPMENT AUTHORITY</v>
          </cell>
          <cell r="C436">
            <v>3.1900000000000003E-5</v>
          </cell>
          <cell r="D436">
            <v>2.2099999999999998E-5</v>
          </cell>
          <cell r="E436">
            <v>75678</v>
          </cell>
          <cell r="F436" t="str">
            <v xml:space="preserve"> </v>
          </cell>
          <cell r="G436">
            <v>11675</v>
          </cell>
          <cell r="H436">
            <v>10388</v>
          </cell>
          <cell r="I436">
            <v>20082</v>
          </cell>
          <cell r="J436">
            <v>18814</v>
          </cell>
          <cell r="K436">
            <v>60959</v>
          </cell>
          <cell r="L436"/>
          <cell r="M436">
            <v>392</v>
          </cell>
          <cell r="N436">
            <v>0</v>
          </cell>
          <cell r="O436">
            <v>0</v>
          </cell>
          <cell r="P436">
            <v>392</v>
          </cell>
          <cell r="Q436"/>
          <cell r="R436">
            <v>21021</v>
          </cell>
          <cell r="S436">
            <v>5618</v>
          </cell>
          <cell r="T436">
            <v>26639</v>
          </cell>
        </row>
        <row r="437">
          <cell r="A437">
            <v>94408</v>
          </cell>
          <cell r="B437" t="str">
            <v>JUNALUSKA SANITARY DISTRICT</v>
          </cell>
          <cell r="C437">
            <v>4.6E-5</v>
          </cell>
          <cell r="D437">
            <v>4.2400000000000001E-5</v>
          </cell>
          <cell r="E437">
            <v>109128</v>
          </cell>
          <cell r="F437" t="str">
            <v xml:space="preserve"> </v>
          </cell>
          <cell r="G437">
            <v>16836</v>
          </cell>
          <cell r="H437">
            <v>14980</v>
          </cell>
          <cell r="I437">
            <v>28958</v>
          </cell>
          <cell r="J437">
            <v>4785</v>
          </cell>
          <cell r="K437">
            <v>65559</v>
          </cell>
          <cell r="L437"/>
          <cell r="M437">
            <v>565</v>
          </cell>
          <cell r="N437">
            <v>0</v>
          </cell>
          <cell r="O437">
            <v>2759</v>
          </cell>
          <cell r="P437">
            <v>3324</v>
          </cell>
          <cell r="Q437"/>
          <cell r="R437">
            <v>30313</v>
          </cell>
          <cell r="S437">
            <v>129</v>
          </cell>
          <cell r="T437">
            <v>30442</v>
          </cell>
        </row>
        <row r="438">
          <cell r="A438">
            <v>94411</v>
          </cell>
          <cell r="B438" t="str">
            <v xml:space="preserve"> WAYNESVILLE</v>
          </cell>
          <cell r="C438">
            <v>1.2620000000000001E-3</v>
          </cell>
          <cell r="D438">
            <v>1.2672E-3</v>
          </cell>
          <cell r="E438">
            <v>2993896</v>
          </cell>
          <cell r="F438" t="str">
            <v xml:space="preserve"> </v>
          </cell>
          <cell r="G438">
            <v>461887</v>
          </cell>
          <cell r="H438">
            <v>410973</v>
          </cell>
          <cell r="I438">
            <v>794464</v>
          </cell>
          <cell r="J438">
            <v>43913</v>
          </cell>
          <cell r="K438">
            <v>1711237</v>
          </cell>
          <cell r="L438"/>
          <cell r="M438">
            <v>15499</v>
          </cell>
          <cell r="N438">
            <v>0</v>
          </cell>
          <cell r="O438">
            <v>31638</v>
          </cell>
          <cell r="P438">
            <v>47137</v>
          </cell>
          <cell r="Q438"/>
          <cell r="R438">
            <v>831624</v>
          </cell>
          <cell r="S438">
            <v>10868</v>
          </cell>
          <cell r="T438">
            <v>842492</v>
          </cell>
        </row>
        <row r="439">
          <cell r="A439">
            <v>94412</v>
          </cell>
          <cell r="B439" t="str">
            <v>WAYNESVILLE ABC BOARD</v>
          </cell>
          <cell r="C439">
            <v>1.5500000000000001E-5</v>
          </cell>
          <cell r="D439">
            <v>1.5099999999999999E-5</v>
          </cell>
          <cell r="E439">
            <v>36771</v>
          </cell>
          <cell r="F439" t="str">
            <v xml:space="preserve"> </v>
          </cell>
          <cell r="G439">
            <v>5673</v>
          </cell>
          <cell r="H439">
            <v>5047</v>
          </cell>
          <cell r="I439">
            <v>9758</v>
          </cell>
          <cell r="J439">
            <v>12196</v>
          </cell>
          <cell r="K439">
            <v>32674</v>
          </cell>
          <cell r="L439"/>
          <cell r="M439">
            <v>190</v>
          </cell>
          <cell r="N439">
            <v>0</v>
          </cell>
          <cell r="O439">
            <v>0</v>
          </cell>
          <cell r="P439">
            <v>190</v>
          </cell>
          <cell r="Q439"/>
          <cell r="R439">
            <v>10214</v>
          </cell>
          <cell r="S439">
            <v>7254</v>
          </cell>
          <cell r="T439">
            <v>17468</v>
          </cell>
        </row>
        <row r="440">
          <cell r="A440">
            <v>94421</v>
          </cell>
          <cell r="B440" t="str">
            <v xml:space="preserve"> MAGGIE VALLEY</v>
          </cell>
          <cell r="C440">
            <v>1.6080000000000001E-4</v>
          </cell>
          <cell r="D440">
            <v>1.6679999999999999E-4</v>
          </cell>
          <cell r="E440">
            <v>381473</v>
          </cell>
          <cell r="F440" t="str">
            <v xml:space="preserve"> </v>
          </cell>
          <cell r="G440">
            <v>58852</v>
          </cell>
          <cell r="H440">
            <v>52365</v>
          </cell>
          <cell r="I440">
            <v>101228</v>
          </cell>
          <cell r="J440">
            <v>2434</v>
          </cell>
          <cell r="K440">
            <v>214879</v>
          </cell>
          <cell r="L440"/>
          <cell r="M440">
            <v>1975</v>
          </cell>
          <cell r="N440">
            <v>0</v>
          </cell>
          <cell r="O440">
            <v>6283</v>
          </cell>
          <cell r="P440">
            <v>8258</v>
          </cell>
          <cell r="Q440"/>
          <cell r="R440">
            <v>105963</v>
          </cell>
          <cell r="S440">
            <v>-5086</v>
          </cell>
          <cell r="T440">
            <v>100877</v>
          </cell>
        </row>
        <row r="441">
          <cell r="A441">
            <v>94427</v>
          </cell>
          <cell r="B441" t="str">
            <v>MAGGIE VALLEY ABC BOARD</v>
          </cell>
          <cell r="C441">
            <v>1.63E-5</v>
          </cell>
          <cell r="D441">
            <v>1.5699999999999999E-5</v>
          </cell>
          <cell r="E441">
            <v>38669</v>
          </cell>
          <cell r="F441" t="str">
            <v xml:space="preserve"> </v>
          </cell>
          <cell r="G441">
            <v>5966</v>
          </cell>
          <cell r="H441">
            <v>5308</v>
          </cell>
          <cell r="I441">
            <v>10261</v>
          </cell>
          <cell r="J441">
            <v>5569</v>
          </cell>
          <cell r="K441">
            <v>27104</v>
          </cell>
          <cell r="L441"/>
          <cell r="M441">
            <v>200</v>
          </cell>
          <cell r="N441">
            <v>0</v>
          </cell>
          <cell r="O441">
            <v>246</v>
          </cell>
          <cell r="P441">
            <v>446</v>
          </cell>
          <cell r="Q441"/>
          <cell r="R441">
            <v>10741</v>
          </cell>
          <cell r="S441">
            <v>1607</v>
          </cell>
          <cell r="T441">
            <v>12348</v>
          </cell>
        </row>
        <row r="442">
          <cell r="A442">
            <v>94428</v>
          </cell>
          <cell r="B442" t="str">
            <v>MAGGIE VALLEY SANITARY DIST</v>
          </cell>
          <cell r="C442">
            <v>7.2000000000000002E-5</v>
          </cell>
          <cell r="D442">
            <v>6.5199999999999999E-5</v>
          </cell>
          <cell r="E442">
            <v>170809</v>
          </cell>
          <cell r="F442" t="str">
            <v xml:space="preserve"> </v>
          </cell>
          <cell r="G442">
            <v>26352</v>
          </cell>
          <cell r="H442">
            <v>23447</v>
          </cell>
          <cell r="I442">
            <v>45326</v>
          </cell>
          <cell r="J442">
            <v>7270</v>
          </cell>
          <cell r="K442">
            <v>102395</v>
          </cell>
          <cell r="L442"/>
          <cell r="M442">
            <v>884</v>
          </cell>
          <cell r="N442">
            <v>0</v>
          </cell>
          <cell r="O442">
            <v>2510</v>
          </cell>
          <cell r="P442">
            <v>3394</v>
          </cell>
          <cell r="Q442"/>
          <cell r="R442">
            <v>47446</v>
          </cell>
          <cell r="S442">
            <v>1904</v>
          </cell>
          <cell r="T442">
            <v>49350</v>
          </cell>
        </row>
        <row r="443">
          <cell r="A443">
            <v>94431</v>
          </cell>
          <cell r="B443" t="str">
            <v xml:space="preserve"> CANTON</v>
          </cell>
          <cell r="C443">
            <v>3.882E-4</v>
          </cell>
          <cell r="D443">
            <v>4.2440000000000002E-4</v>
          </cell>
          <cell r="E443">
            <v>920943</v>
          </cell>
          <cell r="F443" t="str">
            <v xml:space="preserve"> </v>
          </cell>
          <cell r="G443">
            <v>142080</v>
          </cell>
          <cell r="H443">
            <v>126418</v>
          </cell>
          <cell r="I443">
            <v>244383</v>
          </cell>
          <cell r="J443">
            <v>207234</v>
          </cell>
          <cell r="K443">
            <v>720115</v>
          </cell>
          <cell r="L443"/>
          <cell r="M443">
            <v>4767</v>
          </cell>
          <cell r="N443">
            <v>0</v>
          </cell>
          <cell r="O443">
            <v>0</v>
          </cell>
          <cell r="P443">
            <v>4767</v>
          </cell>
          <cell r="Q443"/>
          <cell r="R443">
            <v>255813</v>
          </cell>
          <cell r="S443">
            <v>84678</v>
          </cell>
          <cell r="T443">
            <v>340491</v>
          </cell>
        </row>
        <row r="444">
          <cell r="A444">
            <v>94437</v>
          </cell>
          <cell r="B444" t="str">
            <v>CANTON ABC BOARD</v>
          </cell>
          <cell r="C444">
            <v>1.63E-5</v>
          </cell>
          <cell r="D444">
            <v>1.5299999999999999E-5</v>
          </cell>
          <cell r="E444">
            <v>38669</v>
          </cell>
          <cell r="F444" t="str">
            <v xml:space="preserve"> </v>
          </cell>
          <cell r="G444">
            <v>5966</v>
          </cell>
          <cell r="H444">
            <v>5308</v>
          </cell>
          <cell r="I444">
            <v>10261</v>
          </cell>
          <cell r="J444">
            <v>13304</v>
          </cell>
          <cell r="K444">
            <v>34839</v>
          </cell>
          <cell r="L444"/>
          <cell r="M444">
            <v>200</v>
          </cell>
          <cell r="N444">
            <v>0</v>
          </cell>
          <cell r="O444">
            <v>0</v>
          </cell>
          <cell r="P444">
            <v>200</v>
          </cell>
          <cell r="Q444"/>
          <cell r="R444">
            <v>10741</v>
          </cell>
          <cell r="S444">
            <v>6892</v>
          </cell>
          <cell r="T444">
            <v>17633</v>
          </cell>
        </row>
        <row r="445">
          <cell r="A445">
            <v>94501</v>
          </cell>
          <cell r="B445" t="str">
            <v>COUNTY OF HENDERSON</v>
          </cell>
          <cell r="C445">
            <v>5.8639E-3</v>
          </cell>
          <cell r="D445">
            <v>5.6991000000000003E-3</v>
          </cell>
          <cell r="E445">
            <v>13911176</v>
          </cell>
          <cell r="F445" t="str">
            <v xml:space="preserve"> </v>
          </cell>
          <cell r="G445">
            <v>2146164</v>
          </cell>
          <cell r="H445">
            <v>1909591</v>
          </cell>
          <cell r="I445">
            <v>3691489</v>
          </cell>
          <cell r="J445">
            <v>148578</v>
          </cell>
          <cell r="K445">
            <v>7895822</v>
          </cell>
          <cell r="L445"/>
          <cell r="M445">
            <v>72015</v>
          </cell>
          <cell r="N445">
            <v>0</v>
          </cell>
          <cell r="O445">
            <v>8676</v>
          </cell>
          <cell r="P445">
            <v>80691</v>
          </cell>
          <cell r="Q445"/>
          <cell r="R445">
            <v>3864152</v>
          </cell>
          <cell r="S445">
            <v>125529</v>
          </cell>
          <cell r="T445">
            <v>3989681</v>
          </cell>
        </row>
        <row r="446">
          <cell r="A446">
            <v>94511</v>
          </cell>
          <cell r="B446" t="str">
            <v>CITY OF HENDERSONVILLE</v>
          </cell>
          <cell r="C446">
            <v>1.9548999999999999E-3</v>
          </cell>
          <cell r="D446">
            <v>1.8538999999999999E-3</v>
          </cell>
          <cell r="E446">
            <v>4637691</v>
          </cell>
          <cell r="F446" t="str">
            <v xml:space="preserve"> </v>
          </cell>
          <cell r="G446">
            <v>715486</v>
          </cell>
          <cell r="H446">
            <v>636617</v>
          </cell>
          <cell r="I446">
            <v>1230664</v>
          </cell>
          <cell r="J446">
            <v>90765</v>
          </cell>
          <cell r="K446">
            <v>2673532</v>
          </cell>
          <cell r="L446"/>
          <cell r="M446">
            <v>24008</v>
          </cell>
          <cell r="N446">
            <v>0</v>
          </cell>
          <cell r="O446">
            <v>20572</v>
          </cell>
          <cell r="P446">
            <v>44580</v>
          </cell>
          <cell r="Q446"/>
          <cell r="R446">
            <v>1288226</v>
          </cell>
          <cell r="S446">
            <v>77659</v>
          </cell>
          <cell r="T446">
            <v>1365885</v>
          </cell>
        </row>
        <row r="447">
          <cell r="A447">
            <v>94512</v>
          </cell>
          <cell r="B447" t="str">
            <v>HENDERSONVILLE WATER COMMISSION</v>
          </cell>
          <cell r="C447">
            <v>0</v>
          </cell>
          <cell r="D447">
            <v>0</v>
          </cell>
          <cell r="E447">
            <v>0</v>
          </cell>
          <cell r="F447" t="str">
            <v xml:space="preserve"> </v>
          </cell>
          <cell r="G447">
            <v>0</v>
          </cell>
          <cell r="H447">
            <v>0</v>
          </cell>
          <cell r="I447">
            <v>0</v>
          </cell>
          <cell r="J447">
            <v>0</v>
          </cell>
          <cell r="K447">
            <v>0</v>
          </cell>
          <cell r="L447"/>
          <cell r="M447">
            <v>0</v>
          </cell>
          <cell r="N447">
            <v>0</v>
          </cell>
          <cell r="O447">
            <v>59923</v>
          </cell>
          <cell r="P447">
            <v>59923</v>
          </cell>
          <cell r="Q447"/>
          <cell r="R447">
            <v>0</v>
          </cell>
          <cell r="S447">
            <v>-78657</v>
          </cell>
          <cell r="T447">
            <v>-78657</v>
          </cell>
        </row>
        <row r="448">
          <cell r="A448">
            <v>94517</v>
          </cell>
          <cell r="B448" t="str">
            <v>HENDERSONVILLE ABC BD</v>
          </cell>
          <cell r="C448">
            <v>3.6199999999999999E-5</v>
          </cell>
          <cell r="D448">
            <v>4.7599999999999998E-5</v>
          </cell>
          <cell r="E448">
            <v>85879</v>
          </cell>
          <cell r="F448" t="str">
            <v xml:space="preserve"> </v>
          </cell>
          <cell r="G448">
            <v>13249</v>
          </cell>
          <cell r="H448">
            <v>11789</v>
          </cell>
          <cell r="I448">
            <v>22789</v>
          </cell>
          <cell r="J448">
            <v>12828</v>
          </cell>
          <cell r="K448">
            <v>60655</v>
          </cell>
          <cell r="L448"/>
          <cell r="M448">
            <v>445</v>
          </cell>
          <cell r="N448">
            <v>0</v>
          </cell>
          <cell r="O448">
            <v>0</v>
          </cell>
          <cell r="P448">
            <v>445</v>
          </cell>
          <cell r="Q448"/>
          <cell r="R448">
            <v>23855</v>
          </cell>
          <cell r="S448">
            <v>9761</v>
          </cell>
          <cell r="T448">
            <v>33616</v>
          </cell>
        </row>
        <row r="449">
          <cell r="A449">
            <v>94521</v>
          </cell>
          <cell r="B449" t="str">
            <v xml:space="preserve"> LAUREL PARK</v>
          </cell>
          <cell r="C449">
            <v>1.5880000000000001E-4</v>
          </cell>
          <cell r="D449">
            <v>1.517E-4</v>
          </cell>
          <cell r="E449">
            <v>376728</v>
          </cell>
          <cell r="F449" t="str">
            <v xml:space="preserve"> </v>
          </cell>
          <cell r="G449">
            <v>58120</v>
          </cell>
          <cell r="H449">
            <v>51714</v>
          </cell>
          <cell r="I449">
            <v>99969</v>
          </cell>
          <cell r="J449">
            <v>10090</v>
          </cell>
          <cell r="K449">
            <v>219893</v>
          </cell>
          <cell r="L449"/>
          <cell r="M449">
            <v>1950</v>
          </cell>
          <cell r="N449">
            <v>0</v>
          </cell>
          <cell r="O449">
            <v>14325</v>
          </cell>
          <cell r="P449">
            <v>16275</v>
          </cell>
          <cell r="Q449"/>
          <cell r="R449">
            <v>104645</v>
          </cell>
          <cell r="S449">
            <v>-908</v>
          </cell>
          <cell r="T449">
            <v>103737</v>
          </cell>
        </row>
        <row r="450">
          <cell r="A450">
            <v>94527</v>
          </cell>
          <cell r="B450" t="str">
            <v>LAUREL PARK ABC BOARD</v>
          </cell>
          <cell r="C450">
            <v>6.6000000000000003E-6</v>
          </cell>
          <cell r="D450">
            <v>5.4E-6</v>
          </cell>
          <cell r="E450">
            <v>15657</v>
          </cell>
          <cell r="F450" t="str">
            <v xml:space="preserve"> </v>
          </cell>
          <cell r="G450">
            <v>2416</v>
          </cell>
          <cell r="H450">
            <v>2149</v>
          </cell>
          <cell r="I450">
            <v>4155</v>
          </cell>
          <cell r="J450">
            <v>803</v>
          </cell>
          <cell r="K450">
            <v>9523</v>
          </cell>
          <cell r="L450"/>
          <cell r="M450">
            <v>81</v>
          </cell>
          <cell r="N450">
            <v>0</v>
          </cell>
          <cell r="O450">
            <v>2247</v>
          </cell>
          <cell r="P450">
            <v>2328</v>
          </cell>
          <cell r="Q450"/>
          <cell r="R450">
            <v>4349</v>
          </cell>
          <cell r="S450">
            <v>-787</v>
          </cell>
          <cell r="T450">
            <v>3562</v>
          </cell>
        </row>
        <row r="451">
          <cell r="A451">
            <v>94531</v>
          </cell>
          <cell r="B451" t="str">
            <v>THE  FLAT ROCK</v>
          </cell>
          <cell r="C451">
            <v>1.4E-5</v>
          </cell>
          <cell r="D451">
            <v>1.5E-5</v>
          </cell>
          <cell r="E451">
            <v>33213</v>
          </cell>
          <cell r="F451" t="str">
            <v xml:space="preserve"> </v>
          </cell>
          <cell r="G451">
            <v>5124</v>
          </cell>
          <cell r="H451">
            <v>4559</v>
          </cell>
          <cell r="I451">
            <v>8813</v>
          </cell>
          <cell r="J451">
            <v>7957</v>
          </cell>
          <cell r="K451">
            <v>26453</v>
          </cell>
          <cell r="L451"/>
          <cell r="M451">
            <v>172</v>
          </cell>
          <cell r="N451">
            <v>0</v>
          </cell>
          <cell r="O451">
            <v>0</v>
          </cell>
          <cell r="P451">
            <v>172</v>
          </cell>
          <cell r="Q451"/>
          <cell r="R451">
            <v>9226</v>
          </cell>
          <cell r="S451">
            <v>3665</v>
          </cell>
          <cell r="T451">
            <v>12891</v>
          </cell>
        </row>
        <row r="452">
          <cell r="A452">
            <v>94532</v>
          </cell>
          <cell r="B452" t="str">
            <v>BLUE RIDGE FIRE DEPARTMENT</v>
          </cell>
          <cell r="C452">
            <v>1.0280000000000001E-4</v>
          </cell>
          <cell r="D452">
            <v>8.7800000000000006E-5</v>
          </cell>
          <cell r="E452">
            <v>243877</v>
          </cell>
          <cell r="F452" t="str">
            <v xml:space="preserve"> </v>
          </cell>
          <cell r="G452">
            <v>37624</v>
          </cell>
          <cell r="H452">
            <v>33477</v>
          </cell>
          <cell r="I452">
            <v>64715</v>
          </cell>
          <cell r="J452">
            <v>9560</v>
          </cell>
          <cell r="K452">
            <v>145376</v>
          </cell>
          <cell r="L452"/>
          <cell r="M452">
            <v>1262</v>
          </cell>
          <cell r="N452">
            <v>0</v>
          </cell>
          <cell r="O452">
            <v>4871</v>
          </cell>
          <cell r="P452">
            <v>6133</v>
          </cell>
          <cell r="Q452"/>
          <cell r="R452">
            <v>67742</v>
          </cell>
          <cell r="S452">
            <v>-3107</v>
          </cell>
          <cell r="T452">
            <v>64635</v>
          </cell>
        </row>
        <row r="453">
          <cell r="A453">
            <v>94541</v>
          </cell>
          <cell r="B453" t="str">
            <v xml:space="preserve"> FLETCHER</v>
          </cell>
          <cell r="C453">
            <v>2.8219999999999997E-4</v>
          </cell>
          <cell r="D453">
            <v>2.9300000000000002E-4</v>
          </cell>
          <cell r="E453">
            <v>669475</v>
          </cell>
          <cell r="F453" t="str">
            <v xml:space="preserve"> </v>
          </cell>
          <cell r="G453">
            <v>103284</v>
          </cell>
          <cell r="H453">
            <v>91899</v>
          </cell>
          <cell r="I453">
            <v>177653</v>
          </cell>
          <cell r="J453">
            <v>0</v>
          </cell>
          <cell r="K453">
            <v>372836</v>
          </cell>
          <cell r="L453"/>
          <cell r="M453">
            <v>3466</v>
          </cell>
          <cell r="N453">
            <v>0</v>
          </cell>
          <cell r="O453">
            <v>31668</v>
          </cell>
          <cell r="P453">
            <v>35134</v>
          </cell>
          <cell r="Q453"/>
          <cell r="R453">
            <v>185962</v>
          </cell>
          <cell r="S453">
            <v>-14289</v>
          </cell>
          <cell r="T453">
            <v>171673</v>
          </cell>
        </row>
        <row r="454">
          <cell r="A454">
            <v>94547</v>
          </cell>
          <cell r="B454" t="str">
            <v>FLETCHER ABC BOARD</v>
          </cell>
          <cell r="C454">
            <v>1.01E-5</v>
          </cell>
          <cell r="D454">
            <v>1.08E-5</v>
          </cell>
          <cell r="E454">
            <v>23961</v>
          </cell>
          <cell r="F454" t="str">
            <v xml:space="preserve"> </v>
          </cell>
          <cell r="G454">
            <v>3697</v>
          </cell>
          <cell r="H454">
            <v>3289</v>
          </cell>
          <cell r="I454">
            <v>6358</v>
          </cell>
          <cell r="J454">
            <v>4672</v>
          </cell>
          <cell r="K454">
            <v>18016</v>
          </cell>
          <cell r="L454"/>
          <cell r="M454">
            <v>124</v>
          </cell>
          <cell r="N454">
            <v>0</v>
          </cell>
          <cell r="O454">
            <v>0</v>
          </cell>
          <cell r="P454">
            <v>124</v>
          </cell>
          <cell r="Q454"/>
          <cell r="R454">
            <v>6656</v>
          </cell>
          <cell r="S454">
            <v>1705</v>
          </cell>
          <cell r="T454">
            <v>8361</v>
          </cell>
        </row>
        <row r="455">
          <cell r="A455">
            <v>94551</v>
          </cell>
          <cell r="B455" t="str">
            <v xml:space="preserve"> MILLS RIVER</v>
          </cell>
          <cell r="C455">
            <v>4.9200000000000003E-5</v>
          </cell>
          <cell r="D455">
            <v>4.1900000000000002E-5</v>
          </cell>
          <cell r="E455">
            <v>116719</v>
          </cell>
          <cell r="F455" t="str">
            <v xml:space="preserve"> </v>
          </cell>
          <cell r="G455">
            <v>18007</v>
          </cell>
          <cell r="H455">
            <v>16022</v>
          </cell>
          <cell r="I455">
            <v>30973</v>
          </cell>
          <cell r="J455">
            <v>13168</v>
          </cell>
          <cell r="K455">
            <v>78170</v>
          </cell>
          <cell r="L455"/>
          <cell r="M455">
            <v>604</v>
          </cell>
          <cell r="N455">
            <v>0</v>
          </cell>
          <cell r="O455">
            <v>710</v>
          </cell>
          <cell r="P455">
            <v>1314</v>
          </cell>
          <cell r="Q455"/>
          <cell r="R455">
            <v>32421</v>
          </cell>
          <cell r="S455">
            <v>5732</v>
          </cell>
          <cell r="T455">
            <v>38153</v>
          </cell>
        </row>
        <row r="456">
          <cell r="A456">
            <v>94601</v>
          </cell>
          <cell r="B456" t="str">
            <v>HERTFORD COUNTY</v>
          </cell>
          <cell r="C456">
            <v>1.0712E-3</v>
          </cell>
          <cell r="D456">
            <v>1.0602999999999999E-3</v>
          </cell>
          <cell r="E456">
            <v>2541253</v>
          </cell>
          <cell r="F456" t="str">
            <v xml:space="preserve"> </v>
          </cell>
          <cell r="G456">
            <v>392055</v>
          </cell>
          <cell r="H456">
            <v>348838</v>
          </cell>
          <cell r="I456">
            <v>674350</v>
          </cell>
          <cell r="J456">
            <v>72678</v>
          </cell>
          <cell r="K456">
            <v>1487921</v>
          </cell>
          <cell r="L456"/>
          <cell r="M456">
            <v>13155</v>
          </cell>
          <cell r="N456">
            <v>0</v>
          </cell>
          <cell r="O456">
            <v>984</v>
          </cell>
          <cell r="P456">
            <v>14139</v>
          </cell>
          <cell r="Q456"/>
          <cell r="R456">
            <v>705892</v>
          </cell>
          <cell r="S456">
            <v>26134</v>
          </cell>
          <cell r="T456">
            <v>732026</v>
          </cell>
        </row>
        <row r="457">
          <cell r="A457">
            <v>94604</v>
          </cell>
          <cell r="B457" t="str">
            <v>HERTFORD COUNTY ABC BOARD</v>
          </cell>
          <cell r="C457">
            <v>2.7699999999999999E-5</v>
          </cell>
          <cell r="D457">
            <v>2.62E-5</v>
          </cell>
          <cell r="E457">
            <v>65714</v>
          </cell>
          <cell r="F457" t="str">
            <v xml:space="preserve"> </v>
          </cell>
          <cell r="G457">
            <v>10138</v>
          </cell>
          <cell r="H457">
            <v>9021</v>
          </cell>
          <cell r="I457">
            <v>17438</v>
          </cell>
          <cell r="J457">
            <v>3578</v>
          </cell>
          <cell r="K457">
            <v>40175</v>
          </cell>
          <cell r="L457"/>
          <cell r="M457">
            <v>340</v>
          </cell>
          <cell r="N457">
            <v>0</v>
          </cell>
          <cell r="O457">
            <v>0</v>
          </cell>
          <cell r="P457">
            <v>340</v>
          </cell>
          <cell r="Q457"/>
          <cell r="R457">
            <v>18254</v>
          </cell>
          <cell r="S457">
            <v>1154</v>
          </cell>
          <cell r="T457">
            <v>19408</v>
          </cell>
        </row>
        <row r="458">
          <cell r="A458">
            <v>94606</v>
          </cell>
          <cell r="B458" t="str">
            <v>HERTFORD COUNTY PUBLIC HEALTH AUTHORITY</v>
          </cell>
          <cell r="C458">
            <v>1.9019999999999999E-4</v>
          </cell>
          <cell r="D458">
            <v>2.3550000000000001E-4</v>
          </cell>
          <cell r="E458">
            <v>451219</v>
          </cell>
          <cell r="F458" t="str">
            <v xml:space="preserve"> </v>
          </cell>
          <cell r="G458">
            <v>69612</v>
          </cell>
          <cell r="H458">
            <v>61939</v>
          </cell>
          <cell r="I458">
            <v>119736</v>
          </cell>
          <cell r="J458">
            <v>0</v>
          </cell>
          <cell r="K458">
            <v>251287</v>
          </cell>
          <cell r="L458"/>
          <cell r="M458">
            <v>2336</v>
          </cell>
          <cell r="N458">
            <v>0</v>
          </cell>
          <cell r="O458">
            <v>52852</v>
          </cell>
          <cell r="P458">
            <v>55188</v>
          </cell>
          <cell r="Q458"/>
          <cell r="R458">
            <v>125337</v>
          </cell>
          <cell r="S458">
            <v>-30387</v>
          </cell>
          <cell r="T458">
            <v>94950</v>
          </cell>
        </row>
        <row r="459">
          <cell r="A459">
            <v>94611</v>
          </cell>
          <cell r="B459" t="str">
            <v xml:space="preserve"> AHOSKIE</v>
          </cell>
          <cell r="C459">
            <v>3.5149999999999998E-4</v>
          </cell>
          <cell r="D459">
            <v>3.6850000000000001E-4</v>
          </cell>
          <cell r="E459">
            <v>833878</v>
          </cell>
          <cell r="F459" t="str">
            <v xml:space="preserve"> </v>
          </cell>
          <cell r="G459">
            <v>128648</v>
          </cell>
          <cell r="H459">
            <v>114467</v>
          </cell>
          <cell r="I459">
            <v>221279</v>
          </cell>
          <cell r="J459">
            <v>1175</v>
          </cell>
          <cell r="K459">
            <v>465569</v>
          </cell>
          <cell r="L459"/>
          <cell r="M459">
            <v>4317</v>
          </cell>
          <cell r="N459">
            <v>0</v>
          </cell>
          <cell r="O459">
            <v>24785</v>
          </cell>
          <cell r="P459">
            <v>29102</v>
          </cell>
          <cell r="Q459"/>
          <cell r="R459">
            <v>231629</v>
          </cell>
          <cell r="S459">
            <v>-9311</v>
          </cell>
          <cell r="T459">
            <v>222318</v>
          </cell>
        </row>
        <row r="460">
          <cell r="A460">
            <v>94621</v>
          </cell>
          <cell r="B460" t="str">
            <v xml:space="preserve"> MURFREESBORO</v>
          </cell>
          <cell r="C460">
            <v>1.0450000000000001E-4</v>
          </cell>
          <cell r="D460">
            <v>9.7600000000000001E-5</v>
          </cell>
          <cell r="E460">
            <v>247910</v>
          </cell>
          <cell r="F460" t="str">
            <v xml:space="preserve"> </v>
          </cell>
          <cell r="G460">
            <v>38247</v>
          </cell>
          <cell r="H460">
            <v>34031</v>
          </cell>
          <cell r="I460">
            <v>65786</v>
          </cell>
          <cell r="J460">
            <v>19728</v>
          </cell>
          <cell r="K460">
            <v>157792</v>
          </cell>
          <cell r="L460"/>
          <cell r="M460">
            <v>1283</v>
          </cell>
          <cell r="N460">
            <v>0</v>
          </cell>
          <cell r="O460">
            <v>10114</v>
          </cell>
          <cell r="P460">
            <v>11397</v>
          </cell>
          <cell r="Q460"/>
          <cell r="R460">
            <v>68863</v>
          </cell>
          <cell r="S460">
            <v>3576</v>
          </cell>
          <cell r="T460">
            <v>72439</v>
          </cell>
        </row>
        <row r="461">
          <cell r="A461">
            <v>94631</v>
          </cell>
          <cell r="B461" t="str">
            <v xml:space="preserve"> WINTON</v>
          </cell>
          <cell r="C461">
            <v>4.4799999999999998E-5</v>
          </cell>
          <cell r="D461">
            <v>3.9100000000000002E-5</v>
          </cell>
          <cell r="E461">
            <v>106281</v>
          </cell>
          <cell r="F461" t="str">
            <v xml:space="preserve"> </v>
          </cell>
          <cell r="G461">
            <v>16397</v>
          </cell>
          <cell r="H461">
            <v>14590</v>
          </cell>
          <cell r="I461">
            <v>28203</v>
          </cell>
          <cell r="J461">
            <v>7035</v>
          </cell>
          <cell r="K461">
            <v>66225</v>
          </cell>
          <cell r="L461"/>
          <cell r="M461">
            <v>550</v>
          </cell>
          <cell r="N461">
            <v>0</v>
          </cell>
          <cell r="O461">
            <v>0</v>
          </cell>
          <cell r="P461">
            <v>550</v>
          </cell>
          <cell r="Q461"/>
          <cell r="R461">
            <v>29522</v>
          </cell>
          <cell r="S461">
            <v>3256</v>
          </cell>
          <cell r="T461">
            <v>32778</v>
          </cell>
        </row>
        <row r="462">
          <cell r="A462">
            <v>94641</v>
          </cell>
          <cell r="B462" t="str">
            <v xml:space="preserve"> COFIELD</v>
          </cell>
          <cell r="C462">
            <v>3.5999999999999998E-6</v>
          </cell>
          <cell r="D462">
            <v>3.8999999999999999E-6</v>
          </cell>
          <cell r="E462">
            <v>8540</v>
          </cell>
          <cell r="F462" t="str">
            <v xml:space="preserve"> </v>
          </cell>
          <cell r="G462">
            <v>1318</v>
          </cell>
          <cell r="H462">
            <v>1173</v>
          </cell>
          <cell r="I462">
            <v>2266</v>
          </cell>
          <cell r="J462">
            <v>5161</v>
          </cell>
          <cell r="K462">
            <v>9918</v>
          </cell>
          <cell r="L462"/>
          <cell r="M462">
            <v>44</v>
          </cell>
          <cell r="N462">
            <v>0</v>
          </cell>
          <cell r="O462">
            <v>0</v>
          </cell>
          <cell r="P462">
            <v>44</v>
          </cell>
          <cell r="Q462"/>
          <cell r="R462">
            <v>2372</v>
          </cell>
          <cell r="S462">
            <v>2728</v>
          </cell>
          <cell r="T462">
            <v>5100</v>
          </cell>
        </row>
        <row r="463">
          <cell r="A463">
            <v>94701</v>
          </cell>
          <cell r="B463" t="str">
            <v>HOKE COUNTY</v>
          </cell>
          <cell r="C463">
            <v>2.3993999999999999E-3</v>
          </cell>
          <cell r="D463">
            <v>2.5446000000000002E-3</v>
          </cell>
          <cell r="E463">
            <v>5692197</v>
          </cell>
          <cell r="F463" t="str">
            <v xml:space="preserve"> </v>
          </cell>
          <cell r="G463">
            <v>878171</v>
          </cell>
          <cell r="H463">
            <v>781370</v>
          </cell>
          <cell r="I463">
            <v>1510489</v>
          </cell>
          <cell r="J463">
            <v>14859</v>
          </cell>
          <cell r="K463">
            <v>3184889</v>
          </cell>
          <cell r="L463"/>
          <cell r="M463">
            <v>29467</v>
          </cell>
          <cell r="N463">
            <v>0</v>
          </cell>
          <cell r="O463">
            <v>188404</v>
          </cell>
          <cell r="P463">
            <v>217871</v>
          </cell>
          <cell r="Q463"/>
          <cell r="R463">
            <v>1581140</v>
          </cell>
          <cell r="S463">
            <v>-32473</v>
          </cell>
          <cell r="T463">
            <v>1548667</v>
          </cell>
        </row>
        <row r="464">
          <cell r="A464">
            <v>94704</v>
          </cell>
          <cell r="B464" t="str">
            <v>HOKE COUNTY ABC BOARD</v>
          </cell>
          <cell r="C464">
            <v>1.63E-5</v>
          </cell>
          <cell r="D464">
            <v>9.5000000000000005E-6</v>
          </cell>
          <cell r="E464">
            <v>38669</v>
          </cell>
          <cell r="F464" t="str">
            <v xml:space="preserve"> </v>
          </cell>
          <cell r="G464">
            <v>5966</v>
          </cell>
          <cell r="H464">
            <v>5308</v>
          </cell>
          <cell r="I464">
            <v>10261</v>
          </cell>
          <cell r="J464">
            <v>4937</v>
          </cell>
          <cell r="K464">
            <v>26472</v>
          </cell>
          <cell r="L464"/>
          <cell r="M464">
            <v>200</v>
          </cell>
          <cell r="N464">
            <v>0</v>
          </cell>
          <cell r="O464">
            <v>69</v>
          </cell>
          <cell r="P464">
            <v>269</v>
          </cell>
          <cell r="Q464"/>
          <cell r="R464">
            <v>10741</v>
          </cell>
          <cell r="S464">
            <v>1269</v>
          </cell>
          <cell r="T464">
            <v>12010</v>
          </cell>
        </row>
        <row r="465">
          <cell r="A465">
            <v>94711</v>
          </cell>
          <cell r="B465" t="str">
            <v xml:space="preserve"> RAEFORD</v>
          </cell>
          <cell r="C465">
            <v>3.3589999999999998E-4</v>
          </cell>
          <cell r="D465">
            <v>3.3599999999999998E-4</v>
          </cell>
          <cell r="E465">
            <v>796870</v>
          </cell>
          <cell r="F465"/>
          <cell r="G465">
            <v>122938</v>
          </cell>
          <cell r="H465">
            <v>109386</v>
          </cell>
          <cell r="I465">
            <v>211458</v>
          </cell>
          <cell r="J465">
            <v>6983</v>
          </cell>
          <cell r="K465">
            <v>450765</v>
          </cell>
          <cell r="L465"/>
          <cell r="M465">
            <v>4125</v>
          </cell>
          <cell r="N465">
            <v>0</v>
          </cell>
          <cell r="O465">
            <v>2875</v>
          </cell>
          <cell r="P465">
            <v>7000</v>
          </cell>
          <cell r="Q465"/>
          <cell r="R465">
            <v>221349</v>
          </cell>
          <cell r="S465">
            <v>1908</v>
          </cell>
          <cell r="T465">
            <v>223257</v>
          </cell>
        </row>
        <row r="466">
          <cell r="A466">
            <v>94801</v>
          </cell>
          <cell r="B466" t="str">
            <v>HYDE COUNTY</v>
          </cell>
          <cell r="C466">
            <v>6.7719999999999998E-4</v>
          </cell>
          <cell r="D466">
            <v>7.2440000000000004E-4</v>
          </cell>
          <cell r="E466">
            <v>1606550</v>
          </cell>
          <cell r="F466"/>
          <cell r="G466">
            <v>247852</v>
          </cell>
          <cell r="H466">
            <v>220532</v>
          </cell>
          <cell r="I466">
            <v>426316</v>
          </cell>
          <cell r="J466">
            <v>17822</v>
          </cell>
          <cell r="K466">
            <v>912522</v>
          </cell>
          <cell r="L466"/>
          <cell r="M466">
            <v>8317</v>
          </cell>
          <cell r="N466">
            <v>0</v>
          </cell>
          <cell r="O466">
            <v>36966</v>
          </cell>
          <cell r="P466">
            <v>45283</v>
          </cell>
          <cell r="Q466"/>
          <cell r="R466">
            <v>446257</v>
          </cell>
          <cell r="S466">
            <v>12092</v>
          </cell>
          <cell r="T466">
            <v>458349</v>
          </cell>
        </row>
        <row r="467">
          <cell r="A467">
            <v>94804</v>
          </cell>
          <cell r="B467" t="str">
            <v>HYDE COUNTY ABC BOARD</v>
          </cell>
          <cell r="C467">
            <v>3.3000000000000002E-6</v>
          </cell>
          <cell r="D467">
            <v>3.8E-6</v>
          </cell>
          <cell r="E467">
            <v>7829</v>
          </cell>
          <cell r="F467"/>
          <cell r="G467">
            <v>1208</v>
          </cell>
          <cell r="H467">
            <v>1075</v>
          </cell>
          <cell r="I467">
            <v>2077</v>
          </cell>
          <cell r="J467">
            <v>1172</v>
          </cell>
          <cell r="K467">
            <v>5532</v>
          </cell>
          <cell r="L467"/>
          <cell r="M467">
            <v>41</v>
          </cell>
          <cell r="N467">
            <v>0</v>
          </cell>
          <cell r="O467">
            <v>142</v>
          </cell>
          <cell r="P467">
            <v>183</v>
          </cell>
          <cell r="Q467"/>
          <cell r="R467">
            <v>2175</v>
          </cell>
          <cell r="S467">
            <v>2000</v>
          </cell>
          <cell r="T467">
            <v>4175</v>
          </cell>
        </row>
        <row r="468">
          <cell r="A468">
            <v>94812</v>
          </cell>
          <cell r="B468" t="str">
            <v>OCRACOKE SANITARY DIST</v>
          </cell>
          <cell r="C468">
            <v>3.2100000000000001E-5</v>
          </cell>
          <cell r="D468">
            <v>3.3000000000000003E-5</v>
          </cell>
          <cell r="E468">
            <v>76152</v>
          </cell>
          <cell r="F468" t="str">
            <v xml:space="preserve"> </v>
          </cell>
          <cell r="G468">
            <v>11748</v>
          </cell>
          <cell r="H468">
            <v>10453</v>
          </cell>
          <cell r="I468">
            <v>20208</v>
          </cell>
          <cell r="J468">
            <v>9807</v>
          </cell>
          <cell r="K468">
            <v>52216</v>
          </cell>
          <cell r="L468"/>
          <cell r="M468">
            <v>394</v>
          </cell>
          <cell r="N468">
            <v>0</v>
          </cell>
          <cell r="O468">
            <v>0</v>
          </cell>
          <cell r="P468">
            <v>394</v>
          </cell>
          <cell r="Q468"/>
          <cell r="R468">
            <v>21153</v>
          </cell>
          <cell r="S468">
            <v>4887</v>
          </cell>
          <cell r="T468">
            <v>26040</v>
          </cell>
        </row>
        <row r="469">
          <cell r="A469">
            <v>94901</v>
          </cell>
          <cell r="B469" t="str">
            <v>IREDELL COUNTY</v>
          </cell>
          <cell r="C469">
            <v>7.1234000000000002E-3</v>
          </cell>
          <cell r="D469">
            <v>6.7841999999999998E-3</v>
          </cell>
          <cell r="E469">
            <v>16899141</v>
          </cell>
          <cell r="F469" t="str">
            <v xml:space="preserve"> </v>
          </cell>
          <cell r="G469">
            <v>2607136</v>
          </cell>
          <cell r="H469">
            <v>2319750</v>
          </cell>
          <cell r="I469">
            <v>4484380</v>
          </cell>
          <cell r="J469">
            <v>225129</v>
          </cell>
          <cell r="K469">
            <v>9636395</v>
          </cell>
          <cell r="L469"/>
          <cell r="M469">
            <v>87482</v>
          </cell>
          <cell r="N469">
            <v>0</v>
          </cell>
          <cell r="O469">
            <v>81221</v>
          </cell>
          <cell r="P469">
            <v>168703</v>
          </cell>
          <cell r="Q469"/>
          <cell r="R469">
            <v>4694128</v>
          </cell>
          <cell r="S469">
            <v>18634</v>
          </cell>
          <cell r="T469">
            <v>4712762</v>
          </cell>
        </row>
        <row r="470">
          <cell r="A470">
            <v>94908</v>
          </cell>
          <cell r="B470" t="str">
            <v>GREATER STATESVILLE DEVELOPMENT CORP</v>
          </cell>
          <cell r="C470">
            <v>6.8000000000000001E-6</v>
          </cell>
          <cell r="D470">
            <v>7.7000000000000008E-6</v>
          </cell>
          <cell r="E470">
            <v>16132</v>
          </cell>
          <cell r="F470" t="str">
            <v xml:space="preserve"> </v>
          </cell>
          <cell r="G470">
            <v>2489</v>
          </cell>
          <cell r="H470">
            <v>2215</v>
          </cell>
          <cell r="I470">
            <v>4281</v>
          </cell>
          <cell r="J470">
            <v>0</v>
          </cell>
          <cell r="K470">
            <v>8985</v>
          </cell>
          <cell r="L470"/>
          <cell r="M470">
            <v>84</v>
          </cell>
          <cell r="N470">
            <v>0</v>
          </cell>
          <cell r="O470">
            <v>15303</v>
          </cell>
          <cell r="P470">
            <v>15387</v>
          </cell>
          <cell r="Q470"/>
          <cell r="R470">
            <v>4481</v>
          </cell>
          <cell r="S470">
            <v>-6873</v>
          </cell>
          <cell r="T470">
            <v>-2392</v>
          </cell>
        </row>
        <row r="471">
          <cell r="A471">
            <v>94911</v>
          </cell>
          <cell r="B471" t="str">
            <v>CITY OF STATESVILLE</v>
          </cell>
          <cell r="C471">
            <v>2.9845000000000002E-3</v>
          </cell>
          <cell r="D471">
            <v>2.8311E-3</v>
          </cell>
          <cell r="E471">
            <v>7080255</v>
          </cell>
          <cell r="F471" t="str">
            <v xml:space="preserve"> </v>
          </cell>
          <cell r="G471">
            <v>1092315</v>
          </cell>
          <cell r="H471">
            <v>971909</v>
          </cell>
          <cell r="I471">
            <v>1878826</v>
          </cell>
          <cell r="J471">
            <v>119500</v>
          </cell>
          <cell r="K471">
            <v>4062550</v>
          </cell>
          <cell r="L471"/>
          <cell r="M471">
            <v>36653</v>
          </cell>
          <cell r="N471">
            <v>0</v>
          </cell>
          <cell r="O471">
            <v>21376</v>
          </cell>
          <cell r="P471">
            <v>58029</v>
          </cell>
          <cell r="Q471"/>
          <cell r="R471">
            <v>1966705</v>
          </cell>
          <cell r="S471">
            <v>15404</v>
          </cell>
          <cell r="T471">
            <v>1982109</v>
          </cell>
        </row>
        <row r="472">
          <cell r="A472">
            <v>94917</v>
          </cell>
          <cell r="B472" t="str">
            <v>STATESVILLE ABC BOARD</v>
          </cell>
          <cell r="C472">
            <v>3.0899999999999999E-5</v>
          </cell>
          <cell r="D472">
            <v>3.5099999999999999E-5</v>
          </cell>
          <cell r="E472">
            <v>73305</v>
          </cell>
          <cell r="F472" t="str">
            <v xml:space="preserve"> </v>
          </cell>
          <cell r="G472">
            <v>11309</v>
          </cell>
          <cell r="H472">
            <v>10063</v>
          </cell>
          <cell r="I472">
            <v>19452</v>
          </cell>
          <cell r="J472">
            <v>16632</v>
          </cell>
          <cell r="K472">
            <v>57456</v>
          </cell>
          <cell r="L472"/>
          <cell r="M472">
            <v>379</v>
          </cell>
          <cell r="N472">
            <v>0</v>
          </cell>
          <cell r="O472">
            <v>0</v>
          </cell>
          <cell r="P472">
            <v>379</v>
          </cell>
          <cell r="Q472"/>
          <cell r="R472">
            <v>20362</v>
          </cell>
          <cell r="S472">
            <v>8881</v>
          </cell>
          <cell r="T472">
            <v>29243</v>
          </cell>
        </row>
        <row r="473">
          <cell r="A473">
            <v>94921</v>
          </cell>
          <cell r="B473" t="str">
            <v>CITY OF MOORESVILLE</v>
          </cell>
          <cell r="C473">
            <v>3.9271000000000002E-3</v>
          </cell>
          <cell r="D473">
            <v>3.9515000000000002E-3</v>
          </cell>
          <cell r="E473">
            <v>9316424</v>
          </cell>
          <cell r="F473" t="str">
            <v xml:space="preserve"> </v>
          </cell>
          <cell r="G473">
            <v>1437303</v>
          </cell>
          <cell r="H473">
            <v>1278868</v>
          </cell>
          <cell r="I473">
            <v>2472219</v>
          </cell>
          <cell r="J473">
            <v>14401</v>
          </cell>
          <cell r="K473">
            <v>5202791</v>
          </cell>
          <cell r="L473"/>
          <cell r="M473">
            <v>48229</v>
          </cell>
          <cell r="N473">
            <v>0</v>
          </cell>
          <cell r="O473">
            <v>338996</v>
          </cell>
          <cell r="P473">
            <v>387225</v>
          </cell>
          <cell r="Q473"/>
          <cell r="R473">
            <v>2587853</v>
          </cell>
          <cell r="S473">
            <v>-186399</v>
          </cell>
          <cell r="T473">
            <v>2401454</v>
          </cell>
        </row>
        <row r="474">
          <cell r="A474">
            <v>94923</v>
          </cell>
          <cell r="B474" t="str">
            <v>MOORESVILLE HOUSING AUTHORITY</v>
          </cell>
          <cell r="C474">
            <v>2.9099999999999999E-5</v>
          </cell>
          <cell r="D474">
            <v>3.0700000000000001E-5</v>
          </cell>
          <cell r="E474">
            <v>69035</v>
          </cell>
          <cell r="F474" t="str">
            <v xml:space="preserve"> </v>
          </cell>
          <cell r="G474">
            <v>10650</v>
          </cell>
          <cell r="H474">
            <v>9477</v>
          </cell>
          <cell r="I474">
            <v>18319</v>
          </cell>
          <cell r="J474">
            <v>4323</v>
          </cell>
          <cell r="K474">
            <v>42769</v>
          </cell>
          <cell r="L474"/>
          <cell r="M474">
            <v>357</v>
          </cell>
          <cell r="N474">
            <v>0</v>
          </cell>
          <cell r="O474">
            <v>0</v>
          </cell>
          <cell r="P474">
            <v>357</v>
          </cell>
          <cell r="Q474"/>
          <cell r="R474">
            <v>19176</v>
          </cell>
          <cell r="S474">
            <v>1615</v>
          </cell>
          <cell r="T474">
            <v>20791</v>
          </cell>
        </row>
        <row r="475">
          <cell r="A475">
            <v>94927</v>
          </cell>
          <cell r="B475" t="str">
            <v>MOORESVILLE ABC BOARD</v>
          </cell>
          <cell r="C475">
            <v>2.76E-5</v>
          </cell>
          <cell r="D475">
            <v>3.0599999999999998E-5</v>
          </cell>
          <cell r="E475">
            <v>65477</v>
          </cell>
          <cell r="F475" t="str">
            <v xml:space="preserve"> </v>
          </cell>
          <cell r="G475">
            <v>10101</v>
          </cell>
          <cell r="H475">
            <v>8988</v>
          </cell>
          <cell r="I475">
            <v>17375</v>
          </cell>
          <cell r="J475">
            <v>4844</v>
          </cell>
          <cell r="K475">
            <v>41308</v>
          </cell>
          <cell r="L475"/>
          <cell r="M475">
            <v>339</v>
          </cell>
          <cell r="N475">
            <v>0</v>
          </cell>
          <cell r="O475">
            <v>0</v>
          </cell>
          <cell r="P475">
            <v>339</v>
          </cell>
          <cell r="Q475"/>
          <cell r="R475">
            <v>18188</v>
          </cell>
          <cell r="S475">
            <v>1685</v>
          </cell>
          <cell r="T475">
            <v>19873</v>
          </cell>
        </row>
        <row r="476">
          <cell r="A476">
            <v>94931</v>
          </cell>
          <cell r="B476" t="str">
            <v xml:space="preserve"> TROUTMAN</v>
          </cell>
          <cell r="C476">
            <v>2.0350000000000001E-4</v>
          </cell>
          <cell r="D476">
            <v>2.163E-4</v>
          </cell>
          <cell r="E476">
            <v>482772</v>
          </cell>
          <cell r="F476" t="str">
            <v xml:space="preserve"> </v>
          </cell>
          <cell r="G476">
            <v>74480</v>
          </cell>
          <cell r="H476">
            <v>66270</v>
          </cell>
          <cell r="I476">
            <v>128109</v>
          </cell>
          <cell r="J476">
            <v>716</v>
          </cell>
          <cell r="K476">
            <v>269575</v>
          </cell>
          <cell r="L476"/>
          <cell r="M476">
            <v>2499</v>
          </cell>
          <cell r="N476">
            <v>0</v>
          </cell>
          <cell r="O476">
            <v>15634</v>
          </cell>
          <cell r="P476">
            <v>18133</v>
          </cell>
          <cell r="Q476"/>
          <cell r="R476">
            <v>134101</v>
          </cell>
          <cell r="S476">
            <v>-9864</v>
          </cell>
          <cell r="T476">
            <v>124237</v>
          </cell>
        </row>
        <row r="477">
          <cell r="A477">
            <v>94937</v>
          </cell>
          <cell r="B477" t="str">
            <v xml:space="preserve"> TROUTMAN ABC BOARD</v>
          </cell>
          <cell r="C477">
            <v>0</v>
          </cell>
          <cell r="D477">
            <v>0</v>
          </cell>
          <cell r="E477">
            <v>0</v>
          </cell>
          <cell r="F477" t="str">
            <v xml:space="preserve"> </v>
          </cell>
          <cell r="G477">
            <v>0</v>
          </cell>
          <cell r="H477">
            <v>0</v>
          </cell>
          <cell r="I477">
            <v>0</v>
          </cell>
          <cell r="J477">
            <v>0</v>
          </cell>
          <cell r="K477"/>
          <cell r="L477"/>
          <cell r="M477">
            <v>0</v>
          </cell>
          <cell r="N477">
            <v>0</v>
          </cell>
          <cell r="O477">
            <v>0</v>
          </cell>
          <cell r="P477"/>
          <cell r="Q477"/>
          <cell r="R477">
            <v>0</v>
          </cell>
          <cell r="S477">
            <v>0</v>
          </cell>
          <cell r="T477">
            <v>0</v>
          </cell>
        </row>
        <row r="478">
          <cell r="A478">
            <v>94941</v>
          </cell>
          <cell r="B478" t="str">
            <v>MI CONNECTION COMMUNICATIONS SYSTEM</v>
          </cell>
          <cell r="C478">
            <v>5.4239999999999996E-4</v>
          </cell>
          <cell r="D478">
            <v>5.7879999999999997E-4</v>
          </cell>
          <cell r="E478">
            <v>1286758</v>
          </cell>
          <cell r="F478" t="str">
            <v xml:space="preserve"> </v>
          </cell>
          <cell r="G478">
            <v>198516</v>
          </cell>
          <cell r="H478">
            <v>176633</v>
          </cell>
          <cell r="I478">
            <v>341456</v>
          </cell>
          <cell r="J478">
            <v>22905</v>
          </cell>
          <cell r="K478">
            <v>739510</v>
          </cell>
          <cell r="L478"/>
          <cell r="M478">
            <v>6661</v>
          </cell>
          <cell r="N478">
            <v>0</v>
          </cell>
          <cell r="O478">
            <v>39327</v>
          </cell>
          <cell r="P478">
            <v>45988</v>
          </cell>
          <cell r="Q478"/>
          <cell r="R478">
            <v>357427</v>
          </cell>
          <cell r="S478">
            <v>36038</v>
          </cell>
          <cell r="T478">
            <v>393465</v>
          </cell>
        </row>
        <row r="479">
          <cell r="A479">
            <v>94947</v>
          </cell>
          <cell r="B479" t="str">
            <v>VALDESE ABC BOARD</v>
          </cell>
          <cell r="C479">
            <v>0</v>
          </cell>
          <cell r="D479">
            <v>0</v>
          </cell>
          <cell r="E479">
            <v>0</v>
          </cell>
          <cell r="F479" t="str">
            <v xml:space="preserve"> </v>
          </cell>
          <cell r="G479">
            <v>0</v>
          </cell>
          <cell r="H479">
            <v>0</v>
          </cell>
          <cell r="I479">
            <v>0</v>
          </cell>
          <cell r="J479">
            <v>0</v>
          </cell>
          <cell r="K479"/>
          <cell r="L479"/>
          <cell r="M479">
            <v>0</v>
          </cell>
          <cell r="N479">
            <v>0</v>
          </cell>
          <cell r="O479">
            <v>0</v>
          </cell>
          <cell r="P479"/>
          <cell r="Q479"/>
          <cell r="R479">
            <v>0</v>
          </cell>
          <cell r="S479">
            <v>0</v>
          </cell>
          <cell r="T479">
            <v>0</v>
          </cell>
        </row>
        <row r="480">
          <cell r="A480">
            <v>95001</v>
          </cell>
          <cell r="B480" t="str">
            <v>JACKSON COUNTY</v>
          </cell>
          <cell r="C480">
            <v>2.3002999999999999E-3</v>
          </cell>
          <cell r="D480">
            <v>2.4867000000000001E-3</v>
          </cell>
          <cell r="E480">
            <v>5457098</v>
          </cell>
          <cell r="F480" t="str">
            <v xml:space="preserve"> </v>
          </cell>
          <cell r="G480">
            <v>841901</v>
          </cell>
          <cell r="H480">
            <v>749098</v>
          </cell>
          <cell r="I480">
            <v>1448103</v>
          </cell>
          <cell r="J480">
            <v>121208</v>
          </cell>
          <cell r="K480">
            <v>3160310</v>
          </cell>
          <cell r="L480"/>
          <cell r="M480">
            <v>28250</v>
          </cell>
          <cell r="N480">
            <v>0</v>
          </cell>
          <cell r="O480">
            <v>49464</v>
          </cell>
          <cell r="P480">
            <v>77714</v>
          </cell>
          <cell r="Q480"/>
          <cell r="R480">
            <v>1515836</v>
          </cell>
          <cell r="S480">
            <v>39325</v>
          </cell>
          <cell r="T480">
            <v>1555161</v>
          </cell>
        </row>
        <row r="481">
          <cell r="A481">
            <v>95002</v>
          </cell>
          <cell r="B481" t="str">
            <v>TUCKASEIGEE WATER AUTHORITY</v>
          </cell>
          <cell r="C481">
            <v>1.8589999999999999E-4</v>
          </cell>
          <cell r="D481">
            <v>1.907E-4</v>
          </cell>
          <cell r="E481">
            <v>441018</v>
          </cell>
          <cell r="F481" t="str">
            <v xml:space="preserve"> </v>
          </cell>
          <cell r="G481">
            <v>68039</v>
          </cell>
          <cell r="H481">
            <v>60538</v>
          </cell>
          <cell r="I481">
            <v>117029</v>
          </cell>
          <cell r="J481">
            <v>18706</v>
          </cell>
          <cell r="K481">
            <v>264312</v>
          </cell>
          <cell r="L481"/>
          <cell r="M481">
            <v>2283</v>
          </cell>
          <cell r="N481">
            <v>0</v>
          </cell>
          <cell r="O481">
            <v>0</v>
          </cell>
          <cell r="P481">
            <v>2283</v>
          </cell>
          <cell r="Q481"/>
          <cell r="R481">
            <v>122503</v>
          </cell>
          <cell r="S481">
            <v>8615</v>
          </cell>
          <cell r="T481">
            <v>131118</v>
          </cell>
        </row>
        <row r="482">
          <cell r="A482">
            <v>95005</v>
          </cell>
          <cell r="B482" t="str">
            <v>FONTANA REGIONAL LIBRARY</v>
          </cell>
          <cell r="C482">
            <v>2.131E-4</v>
          </cell>
          <cell r="D482">
            <v>2.2949999999999999E-4</v>
          </cell>
          <cell r="E482">
            <v>505546</v>
          </cell>
          <cell r="F482" t="str">
            <v xml:space="preserve"> </v>
          </cell>
          <cell r="G482">
            <v>77994</v>
          </cell>
          <cell r="H482">
            <v>69397</v>
          </cell>
          <cell r="I482">
            <v>134152</v>
          </cell>
          <cell r="J482">
            <v>4292</v>
          </cell>
          <cell r="K482">
            <v>285835</v>
          </cell>
          <cell r="L482"/>
          <cell r="M482">
            <v>2617</v>
          </cell>
          <cell r="N482">
            <v>0</v>
          </cell>
          <cell r="O482">
            <v>4029</v>
          </cell>
          <cell r="P482">
            <v>6646</v>
          </cell>
          <cell r="Q482"/>
          <cell r="R482">
            <v>140427</v>
          </cell>
          <cell r="S482">
            <v>8291</v>
          </cell>
          <cell r="T482">
            <v>148718</v>
          </cell>
        </row>
        <row r="483">
          <cell r="A483">
            <v>95008</v>
          </cell>
          <cell r="B483" t="str">
            <v>SOUTHWESTERN NC PLANNING &amp; ECON.DEV.COMMIS.</v>
          </cell>
          <cell r="C483">
            <v>1.188E-4</v>
          </cell>
          <cell r="D483">
            <v>1.1519999999999999E-4</v>
          </cell>
          <cell r="E483">
            <v>281834</v>
          </cell>
          <cell r="F483" t="str">
            <v xml:space="preserve"> </v>
          </cell>
          <cell r="G483">
            <v>43480</v>
          </cell>
          <cell r="H483">
            <v>38688</v>
          </cell>
          <cell r="I483">
            <v>74788</v>
          </cell>
          <cell r="J483">
            <v>18509</v>
          </cell>
          <cell r="K483">
            <v>175465</v>
          </cell>
          <cell r="L483"/>
          <cell r="M483">
            <v>1459</v>
          </cell>
          <cell r="N483">
            <v>0</v>
          </cell>
          <cell r="O483">
            <v>4058</v>
          </cell>
          <cell r="P483">
            <v>5517</v>
          </cell>
          <cell r="Q483"/>
          <cell r="R483">
            <v>78286</v>
          </cell>
          <cell r="S483">
            <v>11671</v>
          </cell>
          <cell r="T483">
            <v>89957</v>
          </cell>
        </row>
        <row r="484">
          <cell r="A484">
            <v>95009</v>
          </cell>
          <cell r="B484" t="str">
            <v>VAYA HEALTH</v>
          </cell>
          <cell r="C484">
            <v>4.0277999999999998E-3</v>
          </cell>
          <cell r="D484">
            <v>4.2208999999999997E-3</v>
          </cell>
          <cell r="E484">
            <v>9555319</v>
          </cell>
          <cell r="F484" t="str">
            <v xml:space="preserve"> </v>
          </cell>
          <cell r="G484">
            <v>1474159</v>
          </cell>
          <cell r="H484">
            <v>1311662</v>
          </cell>
          <cell r="I484">
            <v>2535613</v>
          </cell>
          <cell r="J484">
            <v>318871</v>
          </cell>
          <cell r="K484">
            <v>5640305</v>
          </cell>
          <cell r="L484"/>
          <cell r="M484">
            <v>49465</v>
          </cell>
          <cell r="N484">
            <v>0</v>
          </cell>
          <cell r="O484">
            <v>113116</v>
          </cell>
          <cell r="P484">
            <v>162581</v>
          </cell>
          <cell r="Q484"/>
          <cell r="R484">
            <v>2654211</v>
          </cell>
          <cell r="S484">
            <v>550303</v>
          </cell>
          <cell r="T484">
            <v>3204514</v>
          </cell>
        </row>
        <row r="485">
          <cell r="A485">
            <v>95011</v>
          </cell>
          <cell r="B485" t="str">
            <v xml:space="preserve"> SYLVA</v>
          </cell>
          <cell r="C485">
            <v>1.8760000000000001E-4</v>
          </cell>
          <cell r="D485">
            <v>1.8000000000000001E-4</v>
          </cell>
          <cell r="E485">
            <v>445051</v>
          </cell>
          <cell r="F485" t="str">
            <v xml:space="preserve"> </v>
          </cell>
          <cell r="G485">
            <v>68661</v>
          </cell>
          <cell r="H485">
            <v>61093</v>
          </cell>
          <cell r="I485">
            <v>118099</v>
          </cell>
          <cell r="J485">
            <v>5719</v>
          </cell>
          <cell r="K485">
            <v>253572</v>
          </cell>
          <cell r="L485"/>
          <cell r="M485">
            <v>2304</v>
          </cell>
          <cell r="N485">
            <v>0</v>
          </cell>
          <cell r="O485">
            <v>4270</v>
          </cell>
          <cell r="P485">
            <v>6574</v>
          </cell>
          <cell r="Q485"/>
          <cell r="R485">
            <v>123623</v>
          </cell>
          <cell r="S485">
            <v>-3004</v>
          </cell>
          <cell r="T485">
            <v>120619</v>
          </cell>
        </row>
        <row r="486">
          <cell r="A486">
            <v>95017</v>
          </cell>
          <cell r="B486" t="str">
            <v>JACKSON COUNTY ABC BOARD</v>
          </cell>
          <cell r="C486">
            <v>4.5500000000000001E-5</v>
          </cell>
          <cell r="D486">
            <v>3.8800000000000001E-5</v>
          </cell>
          <cell r="E486">
            <v>107942</v>
          </cell>
          <cell r="F486" t="str">
            <v xml:space="preserve"> </v>
          </cell>
          <cell r="G486">
            <v>16653</v>
          </cell>
          <cell r="H486">
            <v>14818</v>
          </cell>
          <cell r="I486">
            <v>28644</v>
          </cell>
          <cell r="J486">
            <v>6820</v>
          </cell>
          <cell r="K486">
            <v>66935</v>
          </cell>
          <cell r="L486"/>
          <cell r="M486">
            <v>559</v>
          </cell>
          <cell r="N486">
            <v>0</v>
          </cell>
          <cell r="O486">
            <v>0</v>
          </cell>
          <cell r="P486">
            <v>559</v>
          </cell>
          <cell r="Q486"/>
          <cell r="R486">
            <v>29983</v>
          </cell>
          <cell r="S486">
            <v>7890</v>
          </cell>
          <cell r="T486">
            <v>37873</v>
          </cell>
        </row>
        <row r="487">
          <cell r="A487">
            <v>95101</v>
          </cell>
          <cell r="B487" t="str">
            <v>JOHNSTON COUNTY</v>
          </cell>
          <cell r="C487">
            <v>8.5109999999999995E-3</v>
          </cell>
          <cell r="D487">
            <v>8.3750999999999999E-3</v>
          </cell>
          <cell r="E487">
            <v>20191003</v>
          </cell>
          <cell r="F487" t="str">
            <v xml:space="preserve"> </v>
          </cell>
          <cell r="G487">
            <v>3114992</v>
          </cell>
          <cell r="H487">
            <v>2771624</v>
          </cell>
          <cell r="I487">
            <v>5357913</v>
          </cell>
          <cell r="J487">
            <v>2454</v>
          </cell>
          <cell r="K487">
            <v>11246983</v>
          </cell>
          <cell r="L487"/>
          <cell r="M487">
            <v>104524</v>
          </cell>
          <cell r="N487">
            <v>0</v>
          </cell>
          <cell r="O487">
            <v>152878</v>
          </cell>
          <cell r="P487">
            <v>257402</v>
          </cell>
          <cell r="Q487"/>
          <cell r="R487">
            <v>5608519</v>
          </cell>
          <cell r="S487">
            <v>-16926</v>
          </cell>
          <cell r="T487">
            <v>5591593</v>
          </cell>
        </row>
        <row r="488">
          <cell r="A488">
            <v>95103</v>
          </cell>
          <cell r="B488" t="str">
            <v>BENSON HOUSING AUTHORITY</v>
          </cell>
          <cell r="C488">
            <v>4.4400000000000002E-5</v>
          </cell>
          <cell r="D488">
            <v>4.9100000000000001E-5</v>
          </cell>
          <cell r="E488">
            <v>105332</v>
          </cell>
          <cell r="F488" t="str">
            <v xml:space="preserve"> </v>
          </cell>
          <cell r="G488">
            <v>16250</v>
          </cell>
          <cell r="H488">
            <v>14459</v>
          </cell>
          <cell r="I488">
            <v>27951</v>
          </cell>
          <cell r="J488">
            <v>9697</v>
          </cell>
          <cell r="K488">
            <v>68357</v>
          </cell>
          <cell r="L488"/>
          <cell r="M488">
            <v>545</v>
          </cell>
          <cell r="N488">
            <v>0</v>
          </cell>
          <cell r="O488">
            <v>0</v>
          </cell>
          <cell r="P488">
            <v>545</v>
          </cell>
          <cell r="Q488"/>
          <cell r="R488">
            <v>29258</v>
          </cell>
          <cell r="S488">
            <v>18768</v>
          </cell>
          <cell r="T488">
            <v>48026</v>
          </cell>
        </row>
        <row r="489">
          <cell r="A489">
            <v>95104</v>
          </cell>
          <cell r="B489" t="str">
            <v>JOHNSTON COUNTY ABC BOARD</v>
          </cell>
          <cell r="C489">
            <v>9.8300000000000004E-5</v>
          </cell>
          <cell r="D489">
            <v>1.02E-4</v>
          </cell>
          <cell r="E489">
            <v>233201</v>
          </cell>
          <cell r="F489" t="str">
            <v xml:space="preserve"> </v>
          </cell>
          <cell r="G489">
            <v>35977</v>
          </cell>
          <cell r="H489">
            <v>32012</v>
          </cell>
          <cell r="I489">
            <v>61883</v>
          </cell>
          <cell r="J489">
            <v>19229</v>
          </cell>
          <cell r="K489">
            <v>149101</v>
          </cell>
          <cell r="L489"/>
          <cell r="M489">
            <v>1207</v>
          </cell>
          <cell r="N489">
            <v>0</v>
          </cell>
          <cell r="O489">
            <v>0</v>
          </cell>
          <cell r="P489">
            <v>1207</v>
          </cell>
          <cell r="Q489"/>
          <cell r="R489">
            <v>64777</v>
          </cell>
          <cell r="S489">
            <v>10356</v>
          </cell>
          <cell r="T489">
            <v>75133</v>
          </cell>
        </row>
        <row r="490">
          <cell r="A490">
            <v>95105</v>
          </cell>
          <cell r="B490" t="str">
            <v>PUBLIC LIBRARY OF JOHNSTON CO AND SMITHFIELD</v>
          </cell>
          <cell r="C490">
            <v>6.5900000000000003E-5</v>
          </cell>
          <cell r="D490">
            <v>6.1099999999999994E-5</v>
          </cell>
          <cell r="E490">
            <v>156337</v>
          </cell>
          <cell r="F490" t="str">
            <v xml:space="preserve"> </v>
          </cell>
          <cell r="G490">
            <v>24119</v>
          </cell>
          <cell r="H490">
            <v>21460</v>
          </cell>
          <cell r="I490">
            <v>41486</v>
          </cell>
          <cell r="J490">
            <v>10343</v>
          </cell>
          <cell r="K490">
            <v>97408</v>
          </cell>
          <cell r="L490"/>
          <cell r="M490">
            <v>809</v>
          </cell>
          <cell r="N490">
            <v>0</v>
          </cell>
          <cell r="O490">
            <v>0</v>
          </cell>
          <cell r="P490">
            <v>809</v>
          </cell>
          <cell r="Q490"/>
          <cell r="R490">
            <v>43426</v>
          </cell>
          <cell r="S490">
            <v>5557</v>
          </cell>
          <cell r="T490">
            <v>48983</v>
          </cell>
        </row>
        <row r="491">
          <cell r="A491">
            <v>95106</v>
          </cell>
          <cell r="B491" t="str">
            <v xml:space="preserve"> ARCHER LODGE</v>
          </cell>
          <cell r="C491">
            <v>1.3900000000000001E-5</v>
          </cell>
          <cell r="D491">
            <v>1.2099999999999999E-5</v>
          </cell>
          <cell r="E491">
            <v>32976</v>
          </cell>
          <cell r="F491" t="str">
            <v xml:space="preserve"> </v>
          </cell>
          <cell r="G491">
            <v>5087</v>
          </cell>
          <cell r="H491">
            <v>4527</v>
          </cell>
          <cell r="I491">
            <v>8750</v>
          </cell>
          <cell r="J491">
            <v>4636</v>
          </cell>
          <cell r="K491">
            <v>23000</v>
          </cell>
          <cell r="L491"/>
          <cell r="M491">
            <v>171</v>
          </cell>
          <cell r="N491">
            <v>0</v>
          </cell>
          <cell r="O491">
            <v>1076</v>
          </cell>
          <cell r="P491">
            <v>1247</v>
          </cell>
          <cell r="Q491"/>
          <cell r="R491">
            <v>9160</v>
          </cell>
          <cell r="S491">
            <v>2803</v>
          </cell>
          <cell r="T491">
            <v>11963</v>
          </cell>
        </row>
        <row r="492">
          <cell r="A492">
            <v>95110</v>
          </cell>
          <cell r="B492" t="str">
            <v>JOHNSTON HEALTH CENTER</v>
          </cell>
          <cell r="C492">
            <v>3.5975E-3</v>
          </cell>
          <cell r="D492">
            <v>4.2902000000000001E-3</v>
          </cell>
          <cell r="E492">
            <v>8534500</v>
          </cell>
          <cell r="F492" t="str">
            <v xml:space="preserve"> </v>
          </cell>
          <cell r="G492">
            <v>1316671</v>
          </cell>
          <cell r="H492">
            <v>1171533</v>
          </cell>
          <cell r="I492">
            <v>2264727</v>
          </cell>
          <cell r="J492">
            <v>0</v>
          </cell>
          <cell r="K492">
            <v>4752931</v>
          </cell>
          <cell r="L492"/>
          <cell r="M492">
            <v>44181</v>
          </cell>
          <cell r="N492">
            <v>0</v>
          </cell>
          <cell r="O492">
            <v>813395</v>
          </cell>
          <cell r="P492">
            <v>857576</v>
          </cell>
          <cell r="Q492"/>
          <cell r="R492">
            <v>2370655</v>
          </cell>
          <cell r="S492">
            <v>-720222</v>
          </cell>
          <cell r="T492">
            <v>1650433</v>
          </cell>
        </row>
        <row r="493">
          <cell r="A493">
            <v>95111</v>
          </cell>
          <cell r="B493" t="str">
            <v xml:space="preserve"> SMITHFIELD</v>
          </cell>
          <cell r="C493">
            <v>1.1188999999999999E-3</v>
          </cell>
          <cell r="D493">
            <v>1.0778999999999999E-3</v>
          </cell>
          <cell r="E493">
            <v>2654413</v>
          </cell>
          <cell r="F493" t="str">
            <v xml:space="preserve"> </v>
          </cell>
          <cell r="G493">
            <v>409513</v>
          </cell>
          <cell r="H493">
            <v>364372</v>
          </cell>
          <cell r="I493">
            <v>704379</v>
          </cell>
          <cell r="J493">
            <v>0</v>
          </cell>
          <cell r="K493">
            <v>1478264</v>
          </cell>
          <cell r="L493"/>
          <cell r="M493">
            <v>13741</v>
          </cell>
          <cell r="N493">
            <v>0</v>
          </cell>
          <cell r="O493">
            <v>72731</v>
          </cell>
          <cell r="P493">
            <v>86472</v>
          </cell>
          <cell r="Q493"/>
          <cell r="R493">
            <v>737325</v>
          </cell>
          <cell r="S493">
            <v>-62211</v>
          </cell>
          <cell r="T493">
            <v>675114</v>
          </cell>
        </row>
        <row r="494">
          <cell r="A494">
            <v>95113</v>
          </cell>
          <cell r="B494" t="str">
            <v>SMITHFIELD HOUSING AUTHORITY</v>
          </cell>
          <cell r="C494">
            <v>4.49E-5</v>
          </cell>
          <cell r="D494">
            <v>4.6699999999999997E-5</v>
          </cell>
          <cell r="E494">
            <v>106518</v>
          </cell>
          <cell r="F494" t="str">
            <v xml:space="preserve"> </v>
          </cell>
          <cell r="G494">
            <v>16433</v>
          </cell>
          <cell r="H494">
            <v>14621</v>
          </cell>
          <cell r="I494">
            <v>28266</v>
          </cell>
          <cell r="J494">
            <v>91937</v>
          </cell>
          <cell r="K494">
            <v>151257</v>
          </cell>
          <cell r="L494"/>
          <cell r="M494">
            <v>551</v>
          </cell>
          <cell r="N494">
            <v>0</v>
          </cell>
          <cell r="O494">
            <v>0</v>
          </cell>
          <cell r="P494">
            <v>551</v>
          </cell>
          <cell r="Q494"/>
          <cell r="R494">
            <v>29588</v>
          </cell>
          <cell r="S494">
            <v>41492</v>
          </cell>
          <cell r="T494">
            <v>71080</v>
          </cell>
        </row>
        <row r="495">
          <cell r="A495">
            <v>95121</v>
          </cell>
          <cell r="B495" t="str">
            <v xml:space="preserve"> SELMA</v>
          </cell>
          <cell r="C495">
            <v>5.2059999999999997E-4</v>
          </cell>
          <cell r="D495">
            <v>4.9770000000000001E-4</v>
          </cell>
          <cell r="E495">
            <v>1235041</v>
          </cell>
          <cell r="F495" t="str">
            <v xml:space="preserve"> </v>
          </cell>
          <cell r="G495">
            <v>190538</v>
          </cell>
          <cell r="H495">
            <v>169535</v>
          </cell>
          <cell r="I495">
            <v>327732</v>
          </cell>
          <cell r="J495">
            <v>13463</v>
          </cell>
          <cell r="K495">
            <v>701268</v>
          </cell>
          <cell r="L495"/>
          <cell r="M495">
            <v>6393</v>
          </cell>
          <cell r="N495">
            <v>0</v>
          </cell>
          <cell r="O495">
            <v>1285</v>
          </cell>
          <cell r="P495">
            <v>7678</v>
          </cell>
          <cell r="Q495"/>
          <cell r="R495">
            <v>343061</v>
          </cell>
          <cell r="S495">
            <v>-5897</v>
          </cell>
          <cell r="T495">
            <v>337164</v>
          </cell>
        </row>
        <row r="496">
          <cell r="A496">
            <v>95122</v>
          </cell>
          <cell r="B496" t="str">
            <v xml:space="preserve"> MICRO</v>
          </cell>
          <cell r="C496">
            <v>6.6000000000000003E-6</v>
          </cell>
          <cell r="D496">
            <v>6.4999999999999996E-6</v>
          </cell>
          <cell r="E496">
            <v>15657</v>
          </cell>
          <cell r="F496" t="str">
            <v xml:space="preserve"> </v>
          </cell>
          <cell r="G496">
            <v>2416</v>
          </cell>
          <cell r="H496">
            <v>2149</v>
          </cell>
          <cell r="I496">
            <v>4155</v>
          </cell>
          <cell r="J496">
            <v>3737</v>
          </cell>
          <cell r="K496">
            <v>12457</v>
          </cell>
          <cell r="L496"/>
          <cell r="M496">
            <v>81</v>
          </cell>
          <cell r="N496">
            <v>0</v>
          </cell>
          <cell r="O496">
            <v>0</v>
          </cell>
          <cell r="P496">
            <v>81</v>
          </cell>
          <cell r="Q496"/>
          <cell r="R496">
            <v>4349</v>
          </cell>
          <cell r="S496">
            <v>1394</v>
          </cell>
          <cell r="T496">
            <v>5743</v>
          </cell>
        </row>
        <row r="497">
          <cell r="A497">
            <v>95123</v>
          </cell>
          <cell r="B497" t="str">
            <v>SELMA HOUSING AUTHORITY</v>
          </cell>
          <cell r="C497">
            <v>5.41E-5</v>
          </cell>
          <cell r="D497">
            <v>5.7399999999999999E-5</v>
          </cell>
          <cell r="E497">
            <v>128344</v>
          </cell>
          <cell r="F497" t="str">
            <v xml:space="preserve"> </v>
          </cell>
          <cell r="G497">
            <v>19800</v>
          </cell>
          <cell r="H497">
            <v>17617</v>
          </cell>
          <cell r="I497">
            <v>34057</v>
          </cell>
          <cell r="J497">
            <v>5660</v>
          </cell>
          <cell r="K497">
            <v>77134</v>
          </cell>
          <cell r="L497"/>
          <cell r="M497">
            <v>664</v>
          </cell>
          <cell r="N497">
            <v>0</v>
          </cell>
          <cell r="O497">
            <v>0</v>
          </cell>
          <cell r="P497">
            <v>664</v>
          </cell>
          <cell r="Q497"/>
          <cell r="R497">
            <v>35650</v>
          </cell>
          <cell r="S497">
            <v>1881</v>
          </cell>
          <cell r="T497">
            <v>37531</v>
          </cell>
        </row>
        <row r="498">
          <cell r="A498">
            <v>95131</v>
          </cell>
          <cell r="B498" t="str">
            <v xml:space="preserve"> CLAYTON</v>
          </cell>
          <cell r="C498">
            <v>1.7581000000000001E-3</v>
          </cell>
          <cell r="D498">
            <v>1.6682999999999999E-3</v>
          </cell>
          <cell r="E498">
            <v>4170814</v>
          </cell>
          <cell r="F498" t="str">
            <v xml:space="preserve"> </v>
          </cell>
          <cell r="G498">
            <v>643458</v>
          </cell>
          <cell r="H498">
            <v>572529</v>
          </cell>
          <cell r="I498">
            <v>1106773</v>
          </cell>
          <cell r="J498">
            <v>95997</v>
          </cell>
          <cell r="K498">
            <v>2418757</v>
          </cell>
          <cell r="L498"/>
          <cell r="M498">
            <v>21591</v>
          </cell>
          <cell r="N498">
            <v>0</v>
          </cell>
          <cell r="O498">
            <v>0</v>
          </cell>
          <cell r="P498">
            <v>21591</v>
          </cell>
          <cell r="Q498"/>
          <cell r="R498">
            <v>1158540</v>
          </cell>
          <cell r="S498">
            <v>40038</v>
          </cell>
          <cell r="T498">
            <v>1198578</v>
          </cell>
        </row>
        <row r="499">
          <cell r="A499">
            <v>95141</v>
          </cell>
          <cell r="B499" t="str">
            <v xml:space="preserve"> BENSON</v>
          </cell>
          <cell r="C499">
            <v>3.2400000000000001E-4</v>
          </cell>
          <cell r="D499">
            <v>3.2220000000000003E-4</v>
          </cell>
          <cell r="E499">
            <v>768639</v>
          </cell>
          <cell r="F499" t="str">
            <v xml:space="preserve"> </v>
          </cell>
          <cell r="G499">
            <v>118583</v>
          </cell>
          <cell r="H499">
            <v>105512</v>
          </cell>
          <cell r="I499">
            <v>203967</v>
          </cell>
          <cell r="J499">
            <v>0</v>
          </cell>
          <cell r="K499">
            <v>428062</v>
          </cell>
          <cell r="L499"/>
          <cell r="M499">
            <v>3979</v>
          </cell>
          <cell r="N499">
            <v>0</v>
          </cell>
          <cell r="O499">
            <v>23502</v>
          </cell>
          <cell r="P499">
            <v>27481</v>
          </cell>
          <cell r="Q499"/>
          <cell r="R499">
            <v>213507</v>
          </cell>
          <cell r="S499">
            <v>-12963</v>
          </cell>
          <cell r="T499">
            <v>200544</v>
          </cell>
        </row>
        <row r="500">
          <cell r="A500">
            <v>95151</v>
          </cell>
          <cell r="B500" t="str">
            <v xml:space="preserve"> FOUR OAKS</v>
          </cell>
          <cell r="C500">
            <v>1.159E-4</v>
          </cell>
          <cell r="D500">
            <v>1.092E-4</v>
          </cell>
          <cell r="E500">
            <v>274954</v>
          </cell>
          <cell r="F500" t="str">
            <v xml:space="preserve"> </v>
          </cell>
          <cell r="G500">
            <v>42419</v>
          </cell>
          <cell r="H500">
            <v>37743</v>
          </cell>
          <cell r="I500">
            <v>72962</v>
          </cell>
          <cell r="J500">
            <v>249</v>
          </cell>
          <cell r="K500">
            <v>153373</v>
          </cell>
          <cell r="L500"/>
          <cell r="M500">
            <v>1423</v>
          </cell>
          <cell r="N500">
            <v>0</v>
          </cell>
          <cell r="O500">
            <v>7102</v>
          </cell>
          <cell r="P500">
            <v>8525</v>
          </cell>
          <cell r="Q500"/>
          <cell r="R500">
            <v>76375</v>
          </cell>
          <cell r="S500">
            <v>-3275</v>
          </cell>
          <cell r="T500">
            <v>73100</v>
          </cell>
        </row>
        <row r="501">
          <cell r="A501">
            <v>95161</v>
          </cell>
          <cell r="B501" t="str">
            <v xml:space="preserve"> PINE LEVEL</v>
          </cell>
          <cell r="C501">
            <v>6.9200000000000002E-5</v>
          </cell>
          <cell r="D501">
            <v>6.8100000000000002E-5</v>
          </cell>
          <cell r="E501">
            <v>164166</v>
          </cell>
          <cell r="F501" t="str">
            <v xml:space="preserve"> </v>
          </cell>
          <cell r="G501">
            <v>25327</v>
          </cell>
          <cell r="H501">
            <v>22535</v>
          </cell>
          <cell r="I501">
            <v>43563</v>
          </cell>
          <cell r="J501">
            <v>10072</v>
          </cell>
          <cell r="K501">
            <v>101497</v>
          </cell>
          <cell r="L501"/>
          <cell r="M501">
            <v>850</v>
          </cell>
          <cell r="N501">
            <v>0</v>
          </cell>
          <cell r="O501">
            <v>610</v>
          </cell>
          <cell r="P501">
            <v>1460</v>
          </cell>
          <cell r="Q501"/>
          <cell r="R501">
            <v>45601</v>
          </cell>
          <cell r="S501">
            <v>2943</v>
          </cell>
          <cell r="T501">
            <v>48544</v>
          </cell>
        </row>
        <row r="502">
          <cell r="A502">
            <v>95171</v>
          </cell>
          <cell r="B502" t="str">
            <v xml:space="preserve"> KENLY</v>
          </cell>
          <cell r="C502">
            <v>8.8599999999999999E-5</v>
          </cell>
          <cell r="D502">
            <v>1.0459999999999999E-4</v>
          </cell>
          <cell r="E502">
            <v>210190</v>
          </cell>
          <cell r="F502" t="str">
            <v xml:space="preserve"> </v>
          </cell>
          <cell r="G502">
            <v>32427</v>
          </cell>
          <cell r="H502">
            <v>28853</v>
          </cell>
          <cell r="I502">
            <v>55776</v>
          </cell>
          <cell r="J502">
            <v>3021</v>
          </cell>
          <cell r="K502">
            <v>120077</v>
          </cell>
          <cell r="L502"/>
          <cell r="M502">
            <v>1088</v>
          </cell>
          <cell r="N502">
            <v>0</v>
          </cell>
          <cell r="O502">
            <v>15947</v>
          </cell>
          <cell r="P502">
            <v>17035</v>
          </cell>
          <cell r="Q502"/>
          <cell r="R502">
            <v>58385</v>
          </cell>
          <cell r="S502">
            <v>-5663</v>
          </cell>
          <cell r="T502">
            <v>52722</v>
          </cell>
        </row>
        <row r="503">
          <cell r="A503">
            <v>95181</v>
          </cell>
          <cell r="B503" t="str">
            <v xml:space="preserve"> PRINCETON</v>
          </cell>
          <cell r="C503">
            <v>7.7899999999999996E-5</v>
          </cell>
          <cell r="D503">
            <v>7.7100000000000004E-5</v>
          </cell>
          <cell r="E503">
            <v>184805</v>
          </cell>
          <cell r="F503" t="str">
            <v xml:space="preserve"> </v>
          </cell>
          <cell r="G503">
            <v>28511</v>
          </cell>
          <cell r="H503">
            <v>25368</v>
          </cell>
          <cell r="I503">
            <v>49040</v>
          </cell>
          <cell r="J503">
            <v>482</v>
          </cell>
          <cell r="K503">
            <v>103401</v>
          </cell>
          <cell r="L503"/>
          <cell r="M503">
            <v>957</v>
          </cell>
          <cell r="N503">
            <v>0</v>
          </cell>
          <cell r="O503">
            <v>10181</v>
          </cell>
          <cell r="P503">
            <v>11138</v>
          </cell>
          <cell r="Q503"/>
          <cell r="R503">
            <v>51334</v>
          </cell>
          <cell r="S503">
            <v>-3375</v>
          </cell>
          <cell r="T503">
            <v>47959</v>
          </cell>
        </row>
        <row r="504">
          <cell r="A504">
            <v>95191</v>
          </cell>
          <cell r="B504" t="str">
            <v xml:space="preserve"> WILSON'S MILLS</v>
          </cell>
          <cell r="C504">
            <v>4.2599999999999999E-5</v>
          </cell>
          <cell r="D504">
            <v>5.3999999999999998E-5</v>
          </cell>
          <cell r="E504">
            <v>101062</v>
          </cell>
          <cell r="F504" t="str">
            <v xml:space="preserve"> </v>
          </cell>
          <cell r="G504">
            <v>15591</v>
          </cell>
          <cell r="H504">
            <v>13873</v>
          </cell>
          <cell r="I504">
            <v>26818</v>
          </cell>
          <cell r="J504">
            <v>9524</v>
          </cell>
          <cell r="K504">
            <v>65806</v>
          </cell>
          <cell r="L504"/>
          <cell r="M504">
            <v>523</v>
          </cell>
          <cell r="N504">
            <v>0</v>
          </cell>
          <cell r="O504">
            <v>3442</v>
          </cell>
          <cell r="P504">
            <v>3965</v>
          </cell>
          <cell r="Q504"/>
          <cell r="R504">
            <v>28072</v>
          </cell>
          <cell r="S504">
            <v>5235</v>
          </cell>
          <cell r="T504">
            <v>33307</v>
          </cell>
        </row>
        <row r="505">
          <cell r="A505">
            <v>95201</v>
          </cell>
          <cell r="B505" t="str">
            <v>JONES COUNTY</v>
          </cell>
          <cell r="C505">
            <v>7.0259999999999995E-4</v>
          </cell>
          <cell r="D505">
            <v>7.0969999999999996E-4</v>
          </cell>
          <cell r="E505">
            <v>1666807</v>
          </cell>
          <cell r="F505" t="str">
            <v xml:space="preserve"> </v>
          </cell>
          <cell r="G505">
            <v>257149</v>
          </cell>
          <cell r="H505">
            <v>228803</v>
          </cell>
          <cell r="I505">
            <v>442306</v>
          </cell>
          <cell r="J505">
            <v>4233</v>
          </cell>
          <cell r="K505">
            <v>932491</v>
          </cell>
          <cell r="L505"/>
          <cell r="M505">
            <v>8629</v>
          </cell>
          <cell r="N505">
            <v>0</v>
          </cell>
          <cell r="O505">
            <v>29894</v>
          </cell>
          <cell r="P505">
            <v>38523</v>
          </cell>
          <cell r="Q505"/>
          <cell r="R505">
            <v>462994</v>
          </cell>
          <cell r="S505">
            <v>-14817</v>
          </cell>
          <cell r="T505">
            <v>448177</v>
          </cell>
        </row>
        <row r="506">
          <cell r="A506">
            <v>95204</v>
          </cell>
          <cell r="B506" t="str">
            <v>JONES COUNTY ABC BOARD</v>
          </cell>
          <cell r="C506">
            <v>1.06E-5</v>
          </cell>
          <cell r="D506">
            <v>1.26E-5</v>
          </cell>
          <cell r="E506">
            <v>25147</v>
          </cell>
          <cell r="F506" t="str">
            <v xml:space="preserve"> </v>
          </cell>
          <cell r="G506">
            <v>3880</v>
          </cell>
          <cell r="H506">
            <v>3452</v>
          </cell>
          <cell r="I506">
            <v>6673</v>
          </cell>
          <cell r="J506">
            <v>1368</v>
          </cell>
          <cell r="K506">
            <v>15373</v>
          </cell>
          <cell r="L506"/>
          <cell r="M506">
            <v>130</v>
          </cell>
          <cell r="N506">
            <v>0</v>
          </cell>
          <cell r="O506">
            <v>775</v>
          </cell>
          <cell r="P506">
            <v>905</v>
          </cell>
          <cell r="Q506"/>
          <cell r="R506">
            <v>6985</v>
          </cell>
          <cell r="S506">
            <v>-261</v>
          </cell>
          <cell r="T506">
            <v>6724</v>
          </cell>
        </row>
        <row r="507">
          <cell r="A507">
            <v>95205</v>
          </cell>
          <cell r="B507" t="str">
            <v>NEUSE REGIONAL LIBRARY-JONES COUNTY</v>
          </cell>
          <cell r="C507">
            <v>1.7E-6</v>
          </cell>
          <cell r="D507">
            <v>4.5000000000000001E-6</v>
          </cell>
          <cell r="E507">
            <v>4033</v>
          </cell>
          <cell r="F507" t="str">
            <v xml:space="preserve"> </v>
          </cell>
          <cell r="G507">
            <v>622</v>
          </cell>
          <cell r="H507">
            <v>553</v>
          </cell>
          <cell r="I507">
            <v>1070</v>
          </cell>
          <cell r="J507">
            <v>294</v>
          </cell>
          <cell r="K507">
            <v>2539</v>
          </cell>
          <cell r="L507"/>
          <cell r="M507">
            <v>21</v>
          </cell>
          <cell r="N507">
            <v>0</v>
          </cell>
          <cell r="O507">
            <v>949</v>
          </cell>
          <cell r="P507">
            <v>970</v>
          </cell>
          <cell r="Q507"/>
          <cell r="R507">
            <v>1120</v>
          </cell>
          <cell r="S507">
            <v>74</v>
          </cell>
          <cell r="T507">
            <v>1194</v>
          </cell>
        </row>
        <row r="508">
          <cell r="A508">
            <v>95211</v>
          </cell>
          <cell r="B508" t="str">
            <v xml:space="preserve"> POLLOCKSVILLE</v>
          </cell>
          <cell r="C508">
            <v>5.4999999999999999E-6</v>
          </cell>
          <cell r="D508">
            <v>8.3999999999999992E-6</v>
          </cell>
          <cell r="E508">
            <v>13048</v>
          </cell>
          <cell r="F508" t="str">
            <v xml:space="preserve"> </v>
          </cell>
          <cell r="G508">
            <v>2013</v>
          </cell>
          <cell r="H508">
            <v>1791</v>
          </cell>
          <cell r="I508">
            <v>3462</v>
          </cell>
          <cell r="J508">
            <v>946</v>
          </cell>
          <cell r="K508">
            <v>8212</v>
          </cell>
          <cell r="L508"/>
          <cell r="M508">
            <v>68</v>
          </cell>
          <cell r="N508">
            <v>0</v>
          </cell>
          <cell r="O508">
            <v>1758</v>
          </cell>
          <cell r="P508">
            <v>1826</v>
          </cell>
          <cell r="Q508"/>
          <cell r="R508">
            <v>3624</v>
          </cell>
          <cell r="S508">
            <v>-902</v>
          </cell>
          <cell r="T508">
            <v>2722</v>
          </cell>
        </row>
        <row r="509">
          <cell r="A509">
            <v>95221</v>
          </cell>
          <cell r="B509" t="str">
            <v xml:space="preserve"> MAYSVILLE</v>
          </cell>
          <cell r="C509">
            <v>5.7000000000000003E-5</v>
          </cell>
          <cell r="D509">
            <v>4.4100000000000001E-5</v>
          </cell>
          <cell r="E509">
            <v>135223</v>
          </cell>
          <cell r="F509" t="str">
            <v xml:space="preserve"> </v>
          </cell>
          <cell r="G509">
            <v>20862</v>
          </cell>
          <cell r="H509">
            <v>18562</v>
          </cell>
          <cell r="I509">
            <v>35883</v>
          </cell>
          <cell r="J509">
            <v>20204</v>
          </cell>
          <cell r="K509">
            <v>95511</v>
          </cell>
          <cell r="L509"/>
          <cell r="M509">
            <v>700</v>
          </cell>
          <cell r="N509">
            <v>0</v>
          </cell>
          <cell r="O509">
            <v>6516</v>
          </cell>
          <cell r="P509">
            <v>7216</v>
          </cell>
          <cell r="Q509"/>
          <cell r="R509">
            <v>37561</v>
          </cell>
          <cell r="S509">
            <v>4121</v>
          </cell>
          <cell r="T509">
            <v>41682</v>
          </cell>
        </row>
        <row r="510">
          <cell r="A510">
            <v>95301</v>
          </cell>
          <cell r="B510" t="str">
            <v>LEE COUNTY</v>
          </cell>
          <cell r="C510">
            <v>2.3362000000000001E-3</v>
          </cell>
          <cell r="D510">
            <v>2.3917999999999999E-3</v>
          </cell>
          <cell r="E510">
            <v>5542265</v>
          </cell>
          <cell r="F510" t="str">
            <v xml:space="preserve"> </v>
          </cell>
          <cell r="G510">
            <v>855040</v>
          </cell>
          <cell r="H510">
            <v>760788</v>
          </cell>
          <cell r="I510">
            <v>1470703</v>
          </cell>
          <cell r="J510">
            <v>42774</v>
          </cell>
          <cell r="K510">
            <v>3129305</v>
          </cell>
          <cell r="L510"/>
          <cell r="M510">
            <v>28691</v>
          </cell>
          <cell r="N510">
            <v>0</v>
          </cell>
          <cell r="O510">
            <v>25264</v>
          </cell>
          <cell r="P510">
            <v>53955</v>
          </cell>
          <cell r="Q510"/>
          <cell r="R510">
            <v>1539493</v>
          </cell>
          <cell r="S510">
            <v>13159</v>
          </cell>
          <cell r="T510">
            <v>1552652</v>
          </cell>
        </row>
        <row r="511">
          <cell r="A511">
            <v>95311</v>
          </cell>
          <cell r="B511" t="str">
            <v>CITY OF SANFORD</v>
          </cell>
          <cell r="C511">
            <v>2.6302999999999999E-3</v>
          </cell>
          <cell r="D511">
            <v>2.6873999999999999E-3</v>
          </cell>
          <cell r="E511">
            <v>6239971</v>
          </cell>
          <cell r="F511" t="str">
            <v xml:space="preserve"> </v>
          </cell>
          <cell r="G511">
            <v>962679</v>
          </cell>
          <cell r="H511">
            <v>856562</v>
          </cell>
          <cell r="I511">
            <v>1655847</v>
          </cell>
          <cell r="J511">
            <v>41494</v>
          </cell>
          <cell r="K511">
            <v>3516582</v>
          </cell>
          <cell r="L511"/>
          <cell r="M511">
            <v>32303</v>
          </cell>
          <cell r="N511">
            <v>0</v>
          </cell>
          <cell r="O511">
            <v>58842</v>
          </cell>
          <cell r="P511">
            <v>91145</v>
          </cell>
          <cell r="Q511"/>
          <cell r="R511">
            <v>1733297</v>
          </cell>
          <cell r="S511">
            <v>-43357</v>
          </cell>
          <cell r="T511">
            <v>1689940</v>
          </cell>
        </row>
        <row r="512">
          <cell r="A512">
            <v>95317</v>
          </cell>
          <cell r="B512" t="str">
            <v>SANFORD ABC BOARD</v>
          </cell>
          <cell r="C512">
            <v>4.32E-5</v>
          </cell>
          <cell r="D512">
            <v>4.8900000000000003E-5</v>
          </cell>
          <cell r="E512">
            <v>102485</v>
          </cell>
          <cell r="F512" t="str">
            <v xml:space="preserve"> </v>
          </cell>
          <cell r="G512">
            <v>15811</v>
          </cell>
          <cell r="H512">
            <v>14068</v>
          </cell>
          <cell r="I512">
            <v>27196</v>
          </cell>
          <cell r="J512">
            <v>4826</v>
          </cell>
          <cell r="K512">
            <v>61901</v>
          </cell>
          <cell r="L512"/>
          <cell r="M512">
            <v>531</v>
          </cell>
          <cell r="N512">
            <v>0</v>
          </cell>
          <cell r="O512">
            <v>0</v>
          </cell>
          <cell r="P512">
            <v>531</v>
          </cell>
          <cell r="Q512"/>
          <cell r="R512">
            <v>28468</v>
          </cell>
          <cell r="S512">
            <v>2726</v>
          </cell>
          <cell r="T512">
            <v>31194</v>
          </cell>
        </row>
        <row r="513">
          <cell r="A513">
            <v>95321</v>
          </cell>
          <cell r="B513" t="str">
            <v xml:space="preserve"> BROADWAY</v>
          </cell>
          <cell r="C513">
            <v>5.1999999999999997E-5</v>
          </cell>
          <cell r="D513">
            <v>4.71E-5</v>
          </cell>
          <cell r="E513">
            <v>123362</v>
          </cell>
          <cell r="F513" t="str">
            <v xml:space="preserve"> </v>
          </cell>
          <cell r="G513">
            <v>19032</v>
          </cell>
          <cell r="H513">
            <v>16934</v>
          </cell>
          <cell r="I513">
            <v>32735</v>
          </cell>
          <cell r="J513">
            <v>6589</v>
          </cell>
          <cell r="K513">
            <v>75290</v>
          </cell>
          <cell r="L513"/>
          <cell r="M513">
            <v>639</v>
          </cell>
          <cell r="N513">
            <v>0</v>
          </cell>
          <cell r="O513">
            <v>1618</v>
          </cell>
          <cell r="P513">
            <v>2257</v>
          </cell>
          <cell r="Q513"/>
          <cell r="R513">
            <v>34267</v>
          </cell>
          <cell r="S513">
            <v>2368</v>
          </cell>
          <cell r="T513">
            <v>36635</v>
          </cell>
        </row>
        <row r="514">
          <cell r="A514">
            <v>95401</v>
          </cell>
          <cell r="B514" t="str">
            <v>LENOIR COUNTY</v>
          </cell>
          <cell r="C514">
            <v>2.8792000000000002E-3</v>
          </cell>
          <cell r="D514">
            <v>2.9992E-3</v>
          </cell>
          <cell r="E514">
            <v>6830447</v>
          </cell>
          <cell r="F514" t="str">
            <v xml:space="preserve"> </v>
          </cell>
          <cell r="G514">
            <v>1053776</v>
          </cell>
          <cell r="H514">
            <v>937617</v>
          </cell>
          <cell r="I514">
            <v>1812537</v>
          </cell>
          <cell r="J514">
            <v>12696</v>
          </cell>
          <cell r="K514">
            <v>3816626</v>
          </cell>
          <cell r="L514"/>
          <cell r="M514">
            <v>35359</v>
          </cell>
          <cell r="N514">
            <v>0</v>
          </cell>
          <cell r="O514">
            <v>132713</v>
          </cell>
          <cell r="P514">
            <v>168072</v>
          </cell>
          <cell r="Q514"/>
          <cell r="R514">
            <v>1897315</v>
          </cell>
          <cell r="S514">
            <v>-19424</v>
          </cell>
          <cell r="T514">
            <v>1877891</v>
          </cell>
        </row>
        <row r="515">
          <cell r="A515">
            <v>95404</v>
          </cell>
          <cell r="B515" t="str">
            <v>LENOIR COUNTY ABC BOARD</v>
          </cell>
          <cell r="C515">
            <v>5.0000000000000002E-5</v>
          </cell>
          <cell r="D515">
            <v>5.3100000000000003E-5</v>
          </cell>
          <cell r="E515">
            <v>118617</v>
          </cell>
          <cell r="F515" t="str">
            <v xml:space="preserve"> </v>
          </cell>
          <cell r="G515">
            <v>18300</v>
          </cell>
          <cell r="H515">
            <v>16283</v>
          </cell>
          <cell r="I515">
            <v>31476</v>
          </cell>
          <cell r="J515">
            <v>3211</v>
          </cell>
          <cell r="K515">
            <v>69270</v>
          </cell>
          <cell r="L515"/>
          <cell r="M515">
            <v>614</v>
          </cell>
          <cell r="N515">
            <v>0</v>
          </cell>
          <cell r="O515">
            <v>3328</v>
          </cell>
          <cell r="P515">
            <v>3942</v>
          </cell>
          <cell r="Q515"/>
          <cell r="R515">
            <v>32949</v>
          </cell>
          <cell r="S515">
            <v>1115</v>
          </cell>
          <cell r="T515">
            <v>34064</v>
          </cell>
        </row>
        <row r="516">
          <cell r="A516">
            <v>95405</v>
          </cell>
          <cell r="B516" t="str">
            <v>NEUSE REGIONAL LIBRARY</v>
          </cell>
          <cell r="C516">
            <v>1.7600000000000001E-5</v>
          </cell>
          <cell r="D516">
            <v>1.84E-5</v>
          </cell>
          <cell r="E516">
            <v>41753</v>
          </cell>
          <cell r="F516" t="str">
            <v xml:space="preserve"> </v>
          </cell>
          <cell r="G516">
            <v>6442</v>
          </cell>
          <cell r="H516">
            <v>5731</v>
          </cell>
          <cell r="I516">
            <v>11080</v>
          </cell>
          <cell r="J516">
            <v>18233</v>
          </cell>
          <cell r="K516">
            <v>41486</v>
          </cell>
          <cell r="L516"/>
          <cell r="M516">
            <v>216</v>
          </cell>
          <cell r="N516">
            <v>0</v>
          </cell>
          <cell r="O516">
            <v>0</v>
          </cell>
          <cell r="P516">
            <v>216</v>
          </cell>
          <cell r="Q516"/>
          <cell r="R516">
            <v>11598</v>
          </cell>
          <cell r="S516">
            <v>7516</v>
          </cell>
          <cell r="T516">
            <v>19114</v>
          </cell>
        </row>
        <row r="517">
          <cell r="A517">
            <v>95411</v>
          </cell>
          <cell r="B517" t="str">
            <v>CITY OF KINSTON</v>
          </cell>
          <cell r="C517">
            <v>2.1646E-3</v>
          </cell>
          <cell r="D517">
            <v>2.2173000000000002E-3</v>
          </cell>
          <cell r="E517">
            <v>5135171</v>
          </cell>
          <cell r="F517" t="str">
            <v xml:space="preserve"> </v>
          </cell>
          <cell r="G517">
            <v>792235</v>
          </cell>
          <cell r="H517">
            <v>704906</v>
          </cell>
          <cell r="I517">
            <v>1362676</v>
          </cell>
          <cell r="J517">
            <v>8705</v>
          </cell>
          <cell r="K517">
            <v>2868522</v>
          </cell>
          <cell r="L517"/>
          <cell r="M517">
            <v>26583</v>
          </cell>
          <cell r="N517">
            <v>0</v>
          </cell>
          <cell r="O517">
            <v>37742</v>
          </cell>
          <cell r="P517">
            <v>64325</v>
          </cell>
          <cell r="Q517"/>
          <cell r="R517">
            <v>1426413</v>
          </cell>
          <cell r="S517">
            <v>-25353</v>
          </cell>
          <cell r="T517">
            <v>1401060</v>
          </cell>
        </row>
        <row r="518">
          <cell r="A518">
            <v>95412</v>
          </cell>
          <cell r="B518" t="str">
            <v>GLOBAL TRANSPARK DEVELOPMENT COMM</v>
          </cell>
          <cell r="C518">
            <v>0</v>
          </cell>
          <cell r="D518">
            <v>0</v>
          </cell>
          <cell r="E518">
            <v>0</v>
          </cell>
          <cell r="F518" t="str">
            <v xml:space="preserve"> </v>
          </cell>
          <cell r="G518">
            <v>0</v>
          </cell>
          <cell r="H518">
            <v>0</v>
          </cell>
          <cell r="I518">
            <v>0</v>
          </cell>
          <cell r="J518">
            <v>0</v>
          </cell>
          <cell r="K518">
            <v>0</v>
          </cell>
          <cell r="L518"/>
          <cell r="M518">
            <v>0</v>
          </cell>
          <cell r="N518">
            <v>0</v>
          </cell>
          <cell r="O518">
            <v>9383</v>
          </cell>
          <cell r="P518">
            <v>9383</v>
          </cell>
          <cell r="Q518"/>
          <cell r="R518">
            <v>0</v>
          </cell>
          <cell r="S518">
            <v>-18447</v>
          </cell>
          <cell r="T518">
            <v>-18447</v>
          </cell>
        </row>
        <row r="519">
          <cell r="A519">
            <v>95413</v>
          </cell>
          <cell r="B519" t="str">
            <v>HOUSING AUTHORITY FOR THE CTY OF KINSTON</v>
          </cell>
          <cell r="C519">
            <v>2.6879999999999997E-4</v>
          </cell>
          <cell r="D519">
            <v>2.5809999999999999E-4</v>
          </cell>
          <cell r="E519">
            <v>637686</v>
          </cell>
          <cell r="F519" t="str">
            <v xml:space="preserve"> </v>
          </cell>
          <cell r="G519">
            <v>98380</v>
          </cell>
          <cell r="H519">
            <v>87535</v>
          </cell>
          <cell r="I519">
            <v>169217</v>
          </cell>
          <cell r="J519">
            <v>167873</v>
          </cell>
          <cell r="K519">
            <v>523005</v>
          </cell>
          <cell r="L519"/>
          <cell r="M519">
            <v>3301</v>
          </cell>
          <cell r="N519">
            <v>0</v>
          </cell>
          <cell r="O519">
            <v>0</v>
          </cell>
          <cell r="P519">
            <v>3301</v>
          </cell>
          <cell r="Q519"/>
          <cell r="R519">
            <v>177132</v>
          </cell>
          <cell r="S519">
            <v>79192</v>
          </cell>
          <cell r="T519">
            <v>256324</v>
          </cell>
        </row>
        <row r="520">
          <cell r="A520">
            <v>95415</v>
          </cell>
          <cell r="B520" t="str">
            <v>KINSTON-LENOIR CO PUB LIBRARY</v>
          </cell>
          <cell r="C520">
            <v>7.1099999999999994E-5</v>
          </cell>
          <cell r="D520">
            <v>6.2899999999999997E-5</v>
          </cell>
          <cell r="E520">
            <v>168674</v>
          </cell>
          <cell r="F520" t="str">
            <v xml:space="preserve"> </v>
          </cell>
          <cell r="G520">
            <v>26022</v>
          </cell>
          <cell r="H520">
            <v>23154</v>
          </cell>
          <cell r="I520">
            <v>44759</v>
          </cell>
          <cell r="J520">
            <v>3142</v>
          </cell>
          <cell r="K520">
            <v>97077</v>
          </cell>
          <cell r="L520"/>
          <cell r="M520">
            <v>873</v>
          </cell>
          <cell r="N520">
            <v>0</v>
          </cell>
          <cell r="O520">
            <v>11354</v>
          </cell>
          <cell r="P520">
            <v>12227</v>
          </cell>
          <cell r="Q520"/>
          <cell r="R520">
            <v>46853</v>
          </cell>
          <cell r="S520">
            <v>567</v>
          </cell>
          <cell r="T520">
            <v>47420</v>
          </cell>
        </row>
        <row r="521">
          <cell r="A521">
            <v>95421</v>
          </cell>
          <cell r="B521" t="str">
            <v xml:space="preserve"> PINK HILL</v>
          </cell>
          <cell r="C521">
            <v>3.8300000000000003E-5</v>
          </cell>
          <cell r="D521">
            <v>3.8699999999999999E-5</v>
          </cell>
          <cell r="E521">
            <v>90861</v>
          </cell>
          <cell r="F521" t="str">
            <v xml:space="preserve"> </v>
          </cell>
          <cell r="G521">
            <v>14018</v>
          </cell>
          <cell r="H521">
            <v>12473</v>
          </cell>
          <cell r="I521">
            <v>24111</v>
          </cell>
          <cell r="J521">
            <v>560</v>
          </cell>
          <cell r="K521">
            <v>51162</v>
          </cell>
          <cell r="L521"/>
          <cell r="M521">
            <v>470</v>
          </cell>
          <cell r="N521">
            <v>0</v>
          </cell>
          <cell r="O521">
            <v>4403</v>
          </cell>
          <cell r="P521">
            <v>4873</v>
          </cell>
          <cell r="Q521"/>
          <cell r="R521">
            <v>25239</v>
          </cell>
          <cell r="S521">
            <v>-4796</v>
          </cell>
          <cell r="T521">
            <v>20443</v>
          </cell>
        </row>
        <row r="522">
          <cell r="A522">
            <v>95431</v>
          </cell>
          <cell r="B522" t="str">
            <v xml:space="preserve"> LAGRANGE</v>
          </cell>
          <cell r="C522">
            <v>1.4630000000000001E-4</v>
          </cell>
          <cell r="D522">
            <v>1.5300000000000001E-4</v>
          </cell>
          <cell r="E522">
            <v>347074</v>
          </cell>
          <cell r="F522" t="str">
            <v xml:space="preserve"> </v>
          </cell>
          <cell r="G522">
            <v>53545</v>
          </cell>
          <cell r="H522">
            <v>47643</v>
          </cell>
          <cell r="I522">
            <v>92100</v>
          </cell>
          <cell r="J522">
            <v>0</v>
          </cell>
          <cell r="K522">
            <v>193288</v>
          </cell>
          <cell r="L522"/>
          <cell r="M522">
            <v>1797</v>
          </cell>
          <cell r="N522">
            <v>0</v>
          </cell>
          <cell r="O522">
            <v>33027</v>
          </cell>
          <cell r="P522">
            <v>34824</v>
          </cell>
          <cell r="Q522"/>
          <cell r="R522">
            <v>96408</v>
          </cell>
          <cell r="S522">
            <v>-12213</v>
          </cell>
          <cell r="T522">
            <v>84195</v>
          </cell>
        </row>
        <row r="523">
          <cell r="A523">
            <v>95501</v>
          </cell>
          <cell r="B523" t="str">
            <v>LINCOLN COUNTY</v>
          </cell>
          <cell r="C523">
            <v>4.8900999999999997E-3</v>
          </cell>
          <cell r="D523">
            <v>4.8764999999999998E-3</v>
          </cell>
          <cell r="E523">
            <v>11600990</v>
          </cell>
          <cell r="F523" t="str">
            <v xml:space="preserve"> </v>
          </cell>
          <cell r="G523">
            <v>1789757</v>
          </cell>
          <cell r="H523">
            <v>1592471</v>
          </cell>
          <cell r="I523">
            <v>3078455</v>
          </cell>
          <cell r="J523">
            <v>0</v>
          </cell>
          <cell r="K523">
            <v>6460683</v>
          </cell>
          <cell r="L523"/>
          <cell r="M523">
            <v>60055</v>
          </cell>
          <cell r="N523">
            <v>0</v>
          </cell>
          <cell r="O523">
            <v>141278</v>
          </cell>
          <cell r="P523">
            <v>201333</v>
          </cell>
          <cell r="Q523"/>
          <cell r="R523">
            <v>3222444</v>
          </cell>
          <cell r="S523">
            <v>-23300</v>
          </cell>
          <cell r="T523">
            <v>3199144</v>
          </cell>
        </row>
        <row r="524">
          <cell r="A524">
            <v>95504</v>
          </cell>
          <cell r="B524" t="str">
            <v>LINCOLN COUNTY ABC BOARD</v>
          </cell>
          <cell r="C524">
            <v>8.8000000000000004E-6</v>
          </cell>
          <cell r="D524">
            <v>9.3999999999999998E-6</v>
          </cell>
          <cell r="E524">
            <v>20877</v>
          </cell>
          <cell r="F524" t="str">
            <v xml:space="preserve"> </v>
          </cell>
          <cell r="G524">
            <v>3221</v>
          </cell>
          <cell r="H524">
            <v>2866</v>
          </cell>
          <cell r="I524">
            <v>5540</v>
          </cell>
          <cell r="J524">
            <v>9317</v>
          </cell>
          <cell r="K524">
            <v>20944</v>
          </cell>
          <cell r="L524"/>
          <cell r="M524">
            <v>108</v>
          </cell>
          <cell r="N524">
            <v>0</v>
          </cell>
          <cell r="O524">
            <v>0</v>
          </cell>
          <cell r="P524">
            <v>108</v>
          </cell>
          <cell r="Q524"/>
          <cell r="R524">
            <v>5799</v>
          </cell>
          <cell r="S524">
            <v>4040</v>
          </cell>
          <cell r="T524">
            <v>9839</v>
          </cell>
        </row>
        <row r="525">
          <cell r="A525">
            <v>95511</v>
          </cell>
          <cell r="B525" t="str">
            <v>CITY OF LINCOLNTON</v>
          </cell>
          <cell r="C525">
            <v>9.5339999999999997E-4</v>
          </cell>
          <cell r="D525">
            <v>9.7460000000000005E-4</v>
          </cell>
          <cell r="E525">
            <v>2261791</v>
          </cell>
          <cell r="F525" t="str">
            <v xml:space="preserve"> </v>
          </cell>
          <cell r="G525">
            <v>348941</v>
          </cell>
          <cell r="H525">
            <v>310477</v>
          </cell>
          <cell r="I525">
            <v>600192</v>
          </cell>
          <cell r="J525">
            <v>48211</v>
          </cell>
          <cell r="K525">
            <v>1307821</v>
          </cell>
          <cell r="L525"/>
          <cell r="M525">
            <v>11709</v>
          </cell>
          <cell r="N525">
            <v>0</v>
          </cell>
          <cell r="O525">
            <v>32399</v>
          </cell>
          <cell r="P525">
            <v>44108</v>
          </cell>
          <cell r="Q525"/>
          <cell r="R525">
            <v>628265</v>
          </cell>
          <cell r="S525">
            <v>103</v>
          </cell>
          <cell r="T525">
            <v>628368</v>
          </cell>
        </row>
        <row r="526">
          <cell r="A526">
            <v>95513</v>
          </cell>
          <cell r="B526" t="str">
            <v>LINCOLNTON HOUSING AUTHORITY</v>
          </cell>
          <cell r="C526">
            <v>4.5399999999999999E-5</v>
          </cell>
          <cell r="D526">
            <v>4.6699999999999997E-5</v>
          </cell>
          <cell r="E526">
            <v>107704</v>
          </cell>
          <cell r="F526" t="str">
            <v xml:space="preserve"> </v>
          </cell>
          <cell r="G526">
            <v>16616</v>
          </cell>
          <cell r="H526">
            <v>14785</v>
          </cell>
          <cell r="I526">
            <v>28581</v>
          </cell>
          <cell r="J526">
            <v>21477</v>
          </cell>
          <cell r="K526">
            <v>81459</v>
          </cell>
          <cell r="L526"/>
          <cell r="M526">
            <v>558</v>
          </cell>
          <cell r="N526">
            <v>0</v>
          </cell>
          <cell r="O526">
            <v>0</v>
          </cell>
          <cell r="P526">
            <v>558</v>
          </cell>
          <cell r="Q526"/>
          <cell r="R526">
            <v>29917</v>
          </cell>
          <cell r="S526">
            <v>11276</v>
          </cell>
          <cell r="T526">
            <v>41193</v>
          </cell>
        </row>
        <row r="527">
          <cell r="A527">
            <v>95517</v>
          </cell>
          <cell r="B527" t="str">
            <v xml:space="preserve"> LINCOLNTON ABC BOARD</v>
          </cell>
          <cell r="C527">
            <v>1.88E-5</v>
          </cell>
          <cell r="D527">
            <v>2.4499999999999999E-5</v>
          </cell>
          <cell r="E527">
            <v>44600</v>
          </cell>
          <cell r="F527" t="str">
            <v xml:space="preserve"> </v>
          </cell>
          <cell r="G527">
            <v>6881</v>
          </cell>
          <cell r="H527">
            <v>6122</v>
          </cell>
          <cell r="I527">
            <v>11835</v>
          </cell>
          <cell r="J527">
            <v>11454</v>
          </cell>
          <cell r="K527">
            <v>36292</v>
          </cell>
          <cell r="L527"/>
          <cell r="M527">
            <v>231</v>
          </cell>
          <cell r="N527">
            <v>0</v>
          </cell>
          <cell r="O527">
            <v>2556</v>
          </cell>
          <cell r="P527">
            <v>2787</v>
          </cell>
          <cell r="Q527"/>
          <cell r="R527">
            <v>12389</v>
          </cell>
          <cell r="S527">
            <v>5895</v>
          </cell>
          <cell r="T527">
            <v>18284</v>
          </cell>
        </row>
        <row r="528">
          <cell r="A528">
            <v>95601</v>
          </cell>
          <cell r="B528" t="str">
            <v>MACON COUNTY</v>
          </cell>
          <cell r="C528">
            <v>2.6251999999999998E-3</v>
          </cell>
          <cell r="D528">
            <v>2.6280000000000001E-3</v>
          </cell>
          <cell r="E528">
            <v>6227872</v>
          </cell>
          <cell r="F528" t="str">
            <v xml:space="preserve"> </v>
          </cell>
          <cell r="G528">
            <v>960813</v>
          </cell>
          <cell r="H528">
            <v>854902</v>
          </cell>
          <cell r="I528">
            <v>1652637</v>
          </cell>
          <cell r="J528">
            <v>33391</v>
          </cell>
          <cell r="K528">
            <v>3501743</v>
          </cell>
          <cell r="L528"/>
          <cell r="M528">
            <v>32240</v>
          </cell>
          <cell r="N528">
            <v>0</v>
          </cell>
          <cell r="O528">
            <v>33658</v>
          </cell>
          <cell r="P528">
            <v>65898</v>
          </cell>
          <cell r="Q528"/>
          <cell r="R528">
            <v>1729936</v>
          </cell>
          <cell r="S528">
            <v>42593</v>
          </cell>
          <cell r="T528">
            <v>1772529</v>
          </cell>
        </row>
        <row r="529">
          <cell r="A529">
            <v>95611</v>
          </cell>
          <cell r="B529" t="str">
            <v xml:space="preserve"> FRANKLIN</v>
          </cell>
          <cell r="C529">
            <v>3.8440000000000002E-4</v>
          </cell>
          <cell r="D529">
            <v>4.0660000000000002E-4</v>
          </cell>
          <cell r="E529">
            <v>911928</v>
          </cell>
          <cell r="F529" t="str">
            <v xml:space="preserve"> </v>
          </cell>
          <cell r="G529">
            <v>140689</v>
          </cell>
          <cell r="H529">
            <v>125180</v>
          </cell>
          <cell r="I529">
            <v>241991</v>
          </cell>
          <cell r="J529">
            <v>5465</v>
          </cell>
          <cell r="K529">
            <v>513325</v>
          </cell>
          <cell r="L529"/>
          <cell r="M529">
            <v>4721</v>
          </cell>
          <cell r="N529">
            <v>0</v>
          </cell>
          <cell r="O529">
            <v>4327</v>
          </cell>
          <cell r="P529">
            <v>9048</v>
          </cell>
          <cell r="Q529"/>
          <cell r="R529">
            <v>253309</v>
          </cell>
          <cell r="S529">
            <v>529</v>
          </cell>
          <cell r="T529">
            <v>253838</v>
          </cell>
        </row>
        <row r="530">
          <cell r="A530">
            <v>95617</v>
          </cell>
          <cell r="B530" t="str">
            <v>HIGHLANDS ABC BOARD</v>
          </cell>
          <cell r="C530">
            <v>1.59E-5</v>
          </cell>
          <cell r="D530">
            <v>1.6399999999999999E-5</v>
          </cell>
          <cell r="E530">
            <v>37720</v>
          </cell>
          <cell r="F530" t="str">
            <v xml:space="preserve"> </v>
          </cell>
          <cell r="G530">
            <v>5819</v>
          </cell>
          <cell r="H530">
            <v>5178</v>
          </cell>
          <cell r="I530">
            <v>10009</v>
          </cell>
          <cell r="J530">
            <v>916</v>
          </cell>
          <cell r="K530">
            <v>21922</v>
          </cell>
          <cell r="L530"/>
          <cell r="M530">
            <v>195</v>
          </cell>
          <cell r="N530">
            <v>0</v>
          </cell>
          <cell r="O530">
            <v>417</v>
          </cell>
          <cell r="P530">
            <v>612</v>
          </cell>
          <cell r="Q530"/>
          <cell r="R530">
            <v>10478</v>
          </cell>
          <cell r="S530">
            <v>-554</v>
          </cell>
          <cell r="T530">
            <v>9924</v>
          </cell>
        </row>
        <row r="531">
          <cell r="A531">
            <v>95621</v>
          </cell>
          <cell r="B531" t="str">
            <v xml:space="preserve"> HIGHLANDS</v>
          </cell>
          <cell r="C531">
            <v>4.9019999999999999E-4</v>
          </cell>
          <cell r="D531">
            <v>4.5360000000000002E-4</v>
          </cell>
          <cell r="E531">
            <v>1162922</v>
          </cell>
          <cell r="F531" t="str">
            <v xml:space="preserve"> </v>
          </cell>
          <cell r="G531">
            <v>179411</v>
          </cell>
          <cell r="H531">
            <v>159635</v>
          </cell>
          <cell r="I531">
            <v>308595</v>
          </cell>
          <cell r="J531">
            <v>42371</v>
          </cell>
          <cell r="K531">
            <v>690012</v>
          </cell>
          <cell r="L531"/>
          <cell r="M531">
            <v>6020</v>
          </cell>
          <cell r="N531">
            <v>0</v>
          </cell>
          <cell r="O531">
            <v>2706</v>
          </cell>
          <cell r="P531">
            <v>8726</v>
          </cell>
          <cell r="Q531"/>
          <cell r="R531">
            <v>323029</v>
          </cell>
          <cell r="S531">
            <v>12042</v>
          </cell>
          <cell r="T531">
            <v>335071</v>
          </cell>
        </row>
        <row r="532">
          <cell r="A532">
            <v>95701</v>
          </cell>
          <cell r="B532" t="str">
            <v>MADISON COUNTY</v>
          </cell>
          <cell r="C532">
            <v>1.3044E-3</v>
          </cell>
          <cell r="D532">
            <v>1.3747E-3</v>
          </cell>
          <cell r="E532">
            <v>3094483</v>
          </cell>
          <cell r="F532" t="str">
            <v xml:space="preserve"> </v>
          </cell>
          <cell r="G532">
            <v>477405</v>
          </cell>
          <cell r="H532">
            <v>424780</v>
          </cell>
          <cell r="I532">
            <v>821156</v>
          </cell>
          <cell r="J532">
            <v>34377</v>
          </cell>
          <cell r="K532">
            <v>1757718</v>
          </cell>
          <cell r="L532"/>
          <cell r="M532">
            <v>16019</v>
          </cell>
          <cell r="N532">
            <v>0</v>
          </cell>
          <cell r="O532">
            <v>77258</v>
          </cell>
          <cell r="P532">
            <v>93277</v>
          </cell>
          <cell r="Q532"/>
          <cell r="R532">
            <v>859564</v>
          </cell>
          <cell r="S532">
            <v>9205</v>
          </cell>
          <cell r="T532">
            <v>868769</v>
          </cell>
        </row>
        <row r="533">
          <cell r="A533">
            <v>95711</v>
          </cell>
          <cell r="B533" t="str">
            <v xml:space="preserve"> MARS HILL</v>
          </cell>
          <cell r="C533">
            <v>1.4349999999999999E-4</v>
          </cell>
          <cell r="D533">
            <v>1.394E-4</v>
          </cell>
          <cell r="E533">
            <v>340431</v>
          </cell>
          <cell r="F533" t="str">
            <v xml:space="preserve"> </v>
          </cell>
          <cell r="G533">
            <v>52520</v>
          </cell>
          <cell r="H533">
            <v>46731</v>
          </cell>
          <cell r="I533">
            <v>90337</v>
          </cell>
          <cell r="J533">
            <v>2879</v>
          </cell>
          <cell r="K533">
            <v>192467</v>
          </cell>
          <cell r="L533"/>
          <cell r="M533">
            <v>1762</v>
          </cell>
          <cell r="N533">
            <v>0</v>
          </cell>
          <cell r="O533">
            <v>9110</v>
          </cell>
          <cell r="P533">
            <v>10872</v>
          </cell>
          <cell r="Q533"/>
          <cell r="R533">
            <v>94563</v>
          </cell>
          <cell r="S533">
            <v>468</v>
          </cell>
          <cell r="T533">
            <v>95031</v>
          </cell>
        </row>
        <row r="534">
          <cell r="A534">
            <v>95721</v>
          </cell>
          <cell r="B534" t="str">
            <v xml:space="preserve"> MARSHALL</v>
          </cell>
          <cell r="C534">
            <v>6.7799999999999995E-5</v>
          </cell>
          <cell r="D534">
            <v>6.7600000000000003E-5</v>
          </cell>
          <cell r="E534">
            <v>160845</v>
          </cell>
          <cell r="F534" t="str">
            <v xml:space="preserve"> </v>
          </cell>
          <cell r="G534">
            <v>24815</v>
          </cell>
          <cell r="H534">
            <v>22080</v>
          </cell>
          <cell r="I534">
            <v>42682</v>
          </cell>
          <cell r="J534">
            <v>0</v>
          </cell>
          <cell r="K534">
            <v>89577</v>
          </cell>
          <cell r="L534"/>
          <cell r="M534">
            <v>833</v>
          </cell>
          <cell r="N534">
            <v>0</v>
          </cell>
          <cell r="O534">
            <v>6588</v>
          </cell>
          <cell r="P534">
            <v>7421</v>
          </cell>
          <cell r="Q534"/>
          <cell r="R534">
            <v>44678</v>
          </cell>
          <cell r="S534">
            <v>-4986</v>
          </cell>
          <cell r="T534">
            <v>39692</v>
          </cell>
        </row>
        <row r="535">
          <cell r="A535">
            <v>95733</v>
          </cell>
          <cell r="B535" t="str">
            <v>HOT SPRINGS HOUSING AUTHORITY</v>
          </cell>
          <cell r="C535">
            <v>1.5500000000000001E-5</v>
          </cell>
          <cell r="D535">
            <v>1.5400000000000002E-5</v>
          </cell>
          <cell r="E535">
            <v>36771</v>
          </cell>
          <cell r="F535" t="str">
            <v xml:space="preserve"> </v>
          </cell>
          <cell r="G535">
            <v>5673</v>
          </cell>
          <cell r="H535">
            <v>5047</v>
          </cell>
          <cell r="I535">
            <v>9758</v>
          </cell>
          <cell r="J535">
            <v>293</v>
          </cell>
          <cell r="K535">
            <v>20771</v>
          </cell>
          <cell r="L535"/>
          <cell r="M535">
            <v>190</v>
          </cell>
          <cell r="N535">
            <v>0</v>
          </cell>
          <cell r="O535">
            <v>329</v>
          </cell>
          <cell r="P535">
            <v>519</v>
          </cell>
          <cell r="Q535"/>
          <cell r="R535">
            <v>10214</v>
          </cell>
          <cell r="S535">
            <v>222</v>
          </cell>
          <cell r="T535">
            <v>10436</v>
          </cell>
        </row>
        <row r="536">
          <cell r="A536">
            <v>95801</v>
          </cell>
          <cell r="B536" t="str">
            <v>MARTIN COUNTY</v>
          </cell>
          <cell r="C536">
            <v>9.7999999999999997E-4</v>
          </cell>
          <cell r="D536">
            <v>9.6310000000000005E-4</v>
          </cell>
          <cell r="E536">
            <v>2324895</v>
          </cell>
          <cell r="F536" t="str">
            <v xml:space="preserve"> </v>
          </cell>
          <cell r="G536">
            <v>358676</v>
          </cell>
          <cell r="H536">
            <v>319139</v>
          </cell>
          <cell r="I536">
            <v>616937</v>
          </cell>
          <cell r="J536">
            <v>66360</v>
          </cell>
          <cell r="K536">
            <v>1361112</v>
          </cell>
          <cell r="L536"/>
          <cell r="M536">
            <v>12035</v>
          </cell>
          <cell r="N536">
            <v>0</v>
          </cell>
          <cell r="O536">
            <v>165</v>
          </cell>
          <cell r="P536">
            <v>12200</v>
          </cell>
          <cell r="Q536"/>
          <cell r="R536">
            <v>645794</v>
          </cell>
          <cell r="S536">
            <v>20070</v>
          </cell>
          <cell r="T536">
            <v>665864</v>
          </cell>
        </row>
        <row r="537">
          <cell r="A537">
            <v>95802</v>
          </cell>
          <cell r="B537" t="str">
            <v>MARTIN CO TRAVEL &amp; TOURISM AUTHORITY</v>
          </cell>
          <cell r="C537">
            <v>5.4E-6</v>
          </cell>
          <cell r="D537">
            <v>6.1E-6</v>
          </cell>
          <cell r="E537">
            <v>12811</v>
          </cell>
          <cell r="F537" t="str">
            <v xml:space="preserve"> </v>
          </cell>
          <cell r="G537">
            <v>1976</v>
          </cell>
          <cell r="H537">
            <v>1759</v>
          </cell>
          <cell r="I537">
            <v>3399</v>
          </cell>
          <cell r="J537">
            <v>4124</v>
          </cell>
          <cell r="K537">
            <v>11258</v>
          </cell>
          <cell r="L537"/>
          <cell r="M537">
            <v>66</v>
          </cell>
          <cell r="N537">
            <v>0</v>
          </cell>
          <cell r="O537">
            <v>0</v>
          </cell>
          <cell r="P537">
            <v>66</v>
          </cell>
          <cell r="Q537"/>
          <cell r="R537">
            <v>3558</v>
          </cell>
          <cell r="S537">
            <v>434</v>
          </cell>
          <cell r="T537">
            <v>3992</v>
          </cell>
        </row>
        <row r="538">
          <cell r="A538">
            <v>95804</v>
          </cell>
          <cell r="B538" t="str">
            <v>MARTIN COUNTY ABC BOARD</v>
          </cell>
          <cell r="C538">
            <v>2.1699999999999999E-5</v>
          </cell>
          <cell r="D538">
            <v>2.19E-5</v>
          </cell>
          <cell r="E538">
            <v>51480</v>
          </cell>
          <cell r="F538" t="str">
            <v xml:space="preserve"> </v>
          </cell>
          <cell r="G538">
            <v>7942</v>
          </cell>
          <cell r="H538">
            <v>7067</v>
          </cell>
          <cell r="I538">
            <v>13661</v>
          </cell>
          <cell r="J538">
            <v>2008</v>
          </cell>
          <cell r="K538">
            <v>30678</v>
          </cell>
          <cell r="L538"/>
          <cell r="M538">
            <v>266</v>
          </cell>
          <cell r="N538">
            <v>0</v>
          </cell>
          <cell r="O538">
            <v>2353</v>
          </cell>
          <cell r="P538">
            <v>2619</v>
          </cell>
          <cell r="Q538"/>
          <cell r="R538">
            <v>14300</v>
          </cell>
          <cell r="S538">
            <v>1035</v>
          </cell>
          <cell r="T538">
            <v>15335</v>
          </cell>
        </row>
        <row r="539">
          <cell r="A539">
            <v>95811</v>
          </cell>
          <cell r="B539" t="str">
            <v xml:space="preserve"> WILLIAMSTON</v>
          </cell>
          <cell r="C539">
            <v>5.2729999999999997E-4</v>
          </cell>
          <cell r="D539">
            <v>5.3129999999999996E-4</v>
          </cell>
          <cell r="E539">
            <v>1250936</v>
          </cell>
          <cell r="F539" t="str">
            <v xml:space="preserve"> </v>
          </cell>
          <cell r="G539">
            <v>192990</v>
          </cell>
          <cell r="H539">
            <v>171716</v>
          </cell>
          <cell r="I539">
            <v>331950</v>
          </cell>
          <cell r="J539">
            <v>1612</v>
          </cell>
          <cell r="K539">
            <v>698268</v>
          </cell>
          <cell r="L539"/>
          <cell r="M539">
            <v>6476</v>
          </cell>
          <cell r="N539">
            <v>0</v>
          </cell>
          <cell r="O539">
            <v>2962</v>
          </cell>
          <cell r="P539">
            <v>9438</v>
          </cell>
          <cell r="Q539"/>
          <cell r="R539">
            <v>347476</v>
          </cell>
          <cell r="S539">
            <v>-1308</v>
          </cell>
          <cell r="T539">
            <v>346168</v>
          </cell>
        </row>
        <row r="540">
          <cell r="A540">
            <v>95813</v>
          </cell>
          <cell r="B540" t="str">
            <v>WILLIAMSTON HOUSING AUTHORITY</v>
          </cell>
          <cell r="C540">
            <v>5.0699999999999999E-5</v>
          </cell>
          <cell r="D540">
            <v>4.88E-5</v>
          </cell>
          <cell r="E540">
            <v>120278</v>
          </cell>
          <cell r="F540" t="str">
            <v xml:space="preserve"> </v>
          </cell>
          <cell r="G540">
            <v>18556</v>
          </cell>
          <cell r="H540">
            <v>16511</v>
          </cell>
          <cell r="I540">
            <v>31917</v>
          </cell>
          <cell r="J540">
            <v>86198</v>
          </cell>
          <cell r="K540">
            <v>153182</v>
          </cell>
          <cell r="L540"/>
          <cell r="M540">
            <v>623</v>
          </cell>
          <cell r="N540">
            <v>0</v>
          </cell>
          <cell r="O540">
            <v>0</v>
          </cell>
          <cell r="P540">
            <v>623</v>
          </cell>
          <cell r="Q540"/>
          <cell r="R540">
            <v>33410</v>
          </cell>
          <cell r="S540">
            <v>34117</v>
          </cell>
          <cell r="T540">
            <v>67527</v>
          </cell>
        </row>
        <row r="541">
          <cell r="A541">
            <v>95821</v>
          </cell>
          <cell r="B541" t="str">
            <v xml:space="preserve"> OAK CITY</v>
          </cell>
          <cell r="C541">
            <v>0</v>
          </cell>
          <cell r="D541">
            <v>0</v>
          </cell>
          <cell r="E541">
            <v>0</v>
          </cell>
          <cell r="F541" t="str">
            <v xml:space="preserve"> </v>
          </cell>
          <cell r="G541">
            <v>0</v>
          </cell>
          <cell r="H541">
            <v>0</v>
          </cell>
          <cell r="I541">
            <v>0</v>
          </cell>
          <cell r="J541">
            <v>2281</v>
          </cell>
          <cell r="K541">
            <v>2281</v>
          </cell>
          <cell r="L541"/>
          <cell r="M541">
            <v>0</v>
          </cell>
          <cell r="N541">
            <v>0</v>
          </cell>
          <cell r="O541">
            <v>489</v>
          </cell>
          <cell r="P541">
            <v>489</v>
          </cell>
          <cell r="Q541"/>
          <cell r="R541">
            <v>0</v>
          </cell>
          <cell r="S541">
            <v>861</v>
          </cell>
          <cell r="T541">
            <v>861</v>
          </cell>
        </row>
        <row r="542">
          <cell r="A542">
            <v>95831</v>
          </cell>
          <cell r="B542" t="str">
            <v xml:space="preserve"> HAMILTON</v>
          </cell>
          <cell r="C542">
            <v>1.8E-5</v>
          </cell>
          <cell r="D542">
            <v>1.6799999999999998E-5</v>
          </cell>
          <cell r="E542">
            <v>42702</v>
          </cell>
          <cell r="F542" t="str">
            <v xml:space="preserve"> </v>
          </cell>
          <cell r="G542">
            <v>6588</v>
          </cell>
          <cell r="H542">
            <v>5862</v>
          </cell>
          <cell r="I542">
            <v>11332</v>
          </cell>
          <cell r="J542">
            <v>26223</v>
          </cell>
          <cell r="K542">
            <v>50005</v>
          </cell>
          <cell r="L542"/>
          <cell r="M542">
            <v>221</v>
          </cell>
          <cell r="N542">
            <v>0</v>
          </cell>
          <cell r="O542">
            <v>0</v>
          </cell>
          <cell r="P542">
            <v>221</v>
          </cell>
          <cell r="Q542"/>
          <cell r="R542">
            <v>11862</v>
          </cell>
          <cell r="S542">
            <v>10648</v>
          </cell>
          <cell r="T542">
            <v>22510</v>
          </cell>
        </row>
        <row r="543">
          <cell r="A543">
            <v>95841</v>
          </cell>
          <cell r="B543" t="str">
            <v xml:space="preserve"> JAMESVILLE</v>
          </cell>
          <cell r="C543">
            <v>2.0000000000000002E-5</v>
          </cell>
          <cell r="D543">
            <v>2.0999999999999999E-5</v>
          </cell>
          <cell r="E543">
            <v>47447</v>
          </cell>
          <cell r="F543" t="str">
            <v xml:space="preserve"> </v>
          </cell>
          <cell r="G543">
            <v>7320</v>
          </cell>
          <cell r="H543">
            <v>6513</v>
          </cell>
          <cell r="I543">
            <v>12591</v>
          </cell>
          <cell r="J543">
            <v>3014</v>
          </cell>
          <cell r="K543">
            <v>29438</v>
          </cell>
          <cell r="L543"/>
          <cell r="M543">
            <v>246</v>
          </cell>
          <cell r="N543">
            <v>0</v>
          </cell>
          <cell r="O543">
            <v>0</v>
          </cell>
          <cell r="P543">
            <v>246</v>
          </cell>
          <cell r="Q543"/>
          <cell r="R543">
            <v>13179</v>
          </cell>
          <cell r="S543">
            <v>1248</v>
          </cell>
          <cell r="T543">
            <v>14427</v>
          </cell>
        </row>
        <row r="544">
          <cell r="A544">
            <v>95851</v>
          </cell>
          <cell r="B544" t="str">
            <v xml:space="preserve"> ROBERSONVILLE</v>
          </cell>
          <cell r="C544">
            <v>1.403E-4</v>
          </cell>
          <cell r="D544">
            <v>1.327E-4</v>
          </cell>
          <cell r="E544">
            <v>332840</v>
          </cell>
          <cell r="F544" t="str">
            <v xml:space="preserve"> </v>
          </cell>
          <cell r="G544">
            <v>51349</v>
          </cell>
          <cell r="H544">
            <v>45689</v>
          </cell>
          <cell r="I544">
            <v>88323</v>
          </cell>
          <cell r="J544">
            <v>151488</v>
          </cell>
          <cell r="K544">
            <v>336849</v>
          </cell>
          <cell r="L544"/>
          <cell r="M544">
            <v>1723</v>
          </cell>
          <cell r="N544">
            <v>0</v>
          </cell>
          <cell r="O544">
            <v>0</v>
          </cell>
          <cell r="P544">
            <v>1723</v>
          </cell>
          <cell r="Q544"/>
          <cell r="R544">
            <v>92454</v>
          </cell>
          <cell r="S544">
            <v>56099</v>
          </cell>
          <cell r="T544">
            <v>148553</v>
          </cell>
        </row>
        <row r="545">
          <cell r="A545">
            <v>95853</v>
          </cell>
          <cell r="B545" t="str">
            <v>ROBERSONVILLE HOUSING AUTHORITY</v>
          </cell>
          <cell r="C545">
            <v>3.1300000000000002E-5</v>
          </cell>
          <cell r="D545">
            <v>2.69E-5</v>
          </cell>
          <cell r="E545">
            <v>74254</v>
          </cell>
          <cell r="F545" t="str">
            <v xml:space="preserve"> </v>
          </cell>
          <cell r="G545">
            <v>11456</v>
          </cell>
          <cell r="H545">
            <v>10193</v>
          </cell>
          <cell r="I545">
            <v>19704</v>
          </cell>
          <cell r="J545">
            <v>8786</v>
          </cell>
          <cell r="K545">
            <v>50139</v>
          </cell>
          <cell r="L545"/>
          <cell r="M545">
            <v>384</v>
          </cell>
          <cell r="N545">
            <v>0</v>
          </cell>
          <cell r="O545">
            <v>0</v>
          </cell>
          <cell r="P545">
            <v>384</v>
          </cell>
          <cell r="Q545"/>
          <cell r="R545">
            <v>20626</v>
          </cell>
          <cell r="S545">
            <v>4580</v>
          </cell>
          <cell r="T545">
            <v>25206</v>
          </cell>
        </row>
        <row r="546">
          <cell r="A546">
            <v>95901</v>
          </cell>
          <cell r="B546" t="str">
            <v>MCDOWELL COUNTY</v>
          </cell>
          <cell r="C546">
            <v>1.9158000000000001E-3</v>
          </cell>
          <cell r="D546">
            <v>1.8714999999999999E-3</v>
          </cell>
          <cell r="E546">
            <v>4544933</v>
          </cell>
          <cell r="F546" t="str">
            <v xml:space="preserve"> </v>
          </cell>
          <cell r="G546">
            <v>701175</v>
          </cell>
          <cell r="H546">
            <v>623884</v>
          </cell>
          <cell r="I546">
            <v>1206050</v>
          </cell>
          <cell r="J546">
            <v>4319</v>
          </cell>
          <cell r="K546">
            <v>2535428</v>
          </cell>
          <cell r="L546"/>
          <cell r="M546">
            <v>23528</v>
          </cell>
          <cell r="N546">
            <v>0</v>
          </cell>
          <cell r="O546">
            <v>11578</v>
          </cell>
          <cell r="P546">
            <v>35106</v>
          </cell>
          <cell r="Q546"/>
          <cell r="R546">
            <v>1262460</v>
          </cell>
          <cell r="S546">
            <v>27562</v>
          </cell>
          <cell r="T546">
            <v>1290022</v>
          </cell>
        </row>
        <row r="547">
          <cell r="A547">
            <v>95908</v>
          </cell>
          <cell r="B547" t="str">
            <v>PLEASANT GARDEN FIRE DEPT</v>
          </cell>
          <cell r="C547">
            <v>6.1099999999999994E-5</v>
          </cell>
          <cell r="D547">
            <v>7.2200000000000007E-5</v>
          </cell>
          <cell r="E547">
            <v>144950</v>
          </cell>
          <cell r="F547" t="str">
            <v xml:space="preserve"> </v>
          </cell>
          <cell r="G547">
            <v>22362</v>
          </cell>
          <cell r="H547">
            <v>19898</v>
          </cell>
          <cell r="I547">
            <v>38464</v>
          </cell>
          <cell r="J547">
            <v>0</v>
          </cell>
          <cell r="K547">
            <v>80724</v>
          </cell>
          <cell r="L547"/>
          <cell r="M547">
            <v>750</v>
          </cell>
          <cell r="N547">
            <v>0</v>
          </cell>
          <cell r="O547">
            <v>21950</v>
          </cell>
          <cell r="P547">
            <v>22700</v>
          </cell>
          <cell r="Q547"/>
          <cell r="R547">
            <v>40263</v>
          </cell>
          <cell r="S547">
            <v>-13336</v>
          </cell>
          <cell r="T547">
            <v>26927</v>
          </cell>
        </row>
        <row r="548">
          <cell r="A548">
            <v>95911</v>
          </cell>
          <cell r="B548" t="str">
            <v xml:space="preserve"> MARION</v>
          </cell>
          <cell r="C548">
            <v>5.576E-4</v>
          </cell>
          <cell r="D548">
            <v>5.7450000000000003E-4</v>
          </cell>
          <cell r="E548">
            <v>1322818</v>
          </cell>
          <cell r="F548" t="str">
            <v xml:space="preserve"> </v>
          </cell>
          <cell r="G548">
            <v>204079</v>
          </cell>
          <cell r="H548">
            <v>181583</v>
          </cell>
          <cell r="I548">
            <v>351025</v>
          </cell>
          <cell r="J548">
            <v>1306</v>
          </cell>
          <cell r="K548">
            <v>737993</v>
          </cell>
          <cell r="L548"/>
          <cell r="M548">
            <v>6848</v>
          </cell>
          <cell r="N548">
            <v>0</v>
          </cell>
          <cell r="O548">
            <v>50349</v>
          </cell>
          <cell r="P548">
            <v>57197</v>
          </cell>
          <cell r="Q548"/>
          <cell r="R548">
            <v>367443</v>
          </cell>
          <cell r="S548">
            <v>-20293</v>
          </cell>
          <cell r="T548">
            <v>347150</v>
          </cell>
        </row>
        <row r="549">
          <cell r="A549">
            <v>95917</v>
          </cell>
          <cell r="B549" t="str">
            <v>MARION ABC BOARD</v>
          </cell>
          <cell r="C549">
            <v>2.05E-5</v>
          </cell>
          <cell r="D549">
            <v>2.6699999999999998E-5</v>
          </cell>
          <cell r="E549">
            <v>48633</v>
          </cell>
          <cell r="F549" t="str">
            <v xml:space="preserve"> </v>
          </cell>
          <cell r="G549">
            <v>7503</v>
          </cell>
          <cell r="H549">
            <v>6676</v>
          </cell>
          <cell r="I549">
            <v>12905</v>
          </cell>
          <cell r="J549">
            <v>1999</v>
          </cell>
          <cell r="K549">
            <v>29083</v>
          </cell>
          <cell r="L549"/>
          <cell r="M549">
            <v>252</v>
          </cell>
          <cell r="N549">
            <v>0</v>
          </cell>
          <cell r="O549">
            <v>3512</v>
          </cell>
          <cell r="P549">
            <v>3764</v>
          </cell>
          <cell r="Q549"/>
          <cell r="R549">
            <v>13509</v>
          </cell>
          <cell r="S549">
            <v>1407</v>
          </cell>
          <cell r="T549">
            <v>14916</v>
          </cell>
        </row>
        <row r="550">
          <cell r="A550">
            <v>95921</v>
          </cell>
          <cell r="B550" t="str">
            <v xml:space="preserve"> OLD FORT</v>
          </cell>
          <cell r="C550">
            <v>4.9799999999999998E-5</v>
          </cell>
          <cell r="D550">
            <v>4.7500000000000003E-5</v>
          </cell>
          <cell r="E550">
            <v>118143</v>
          </cell>
          <cell r="F550" t="str">
            <v xml:space="preserve"> </v>
          </cell>
          <cell r="G550">
            <v>18227</v>
          </cell>
          <cell r="H550">
            <v>16217</v>
          </cell>
          <cell r="I550">
            <v>31350</v>
          </cell>
          <cell r="J550">
            <v>4597</v>
          </cell>
          <cell r="K550">
            <v>70391</v>
          </cell>
          <cell r="L550"/>
          <cell r="M550">
            <v>612</v>
          </cell>
          <cell r="N550">
            <v>0</v>
          </cell>
          <cell r="O550">
            <v>0</v>
          </cell>
          <cell r="P550">
            <v>612</v>
          </cell>
          <cell r="Q550"/>
          <cell r="R550">
            <v>32817</v>
          </cell>
          <cell r="S550">
            <v>1077</v>
          </cell>
          <cell r="T550">
            <v>33894</v>
          </cell>
        </row>
        <row r="551">
          <cell r="A551">
            <v>96001</v>
          </cell>
          <cell r="B551" t="str">
            <v>MECKLENBURG COUNTY</v>
          </cell>
          <cell r="C551">
            <v>4.3840400000000002E-2</v>
          </cell>
          <cell r="D551">
            <v>4.4386399999999999E-2</v>
          </cell>
          <cell r="E551">
            <v>104004422</v>
          </cell>
          <cell r="F551" t="str">
            <v xml:space="preserve"> </v>
          </cell>
          <cell r="G551">
            <v>16045411</v>
          </cell>
          <cell r="H551">
            <v>14276714</v>
          </cell>
          <cell r="I551">
            <v>27598759</v>
          </cell>
          <cell r="J551">
            <v>120257</v>
          </cell>
          <cell r="K551">
            <v>58041141</v>
          </cell>
          <cell r="L551"/>
          <cell r="M551">
            <v>538404</v>
          </cell>
          <cell r="N551">
            <v>0</v>
          </cell>
          <cell r="O551">
            <v>696147</v>
          </cell>
          <cell r="P551">
            <v>1234551</v>
          </cell>
          <cell r="Q551"/>
          <cell r="R551">
            <v>28889640</v>
          </cell>
          <cell r="S551">
            <v>1107085</v>
          </cell>
          <cell r="T551">
            <v>29996725</v>
          </cell>
        </row>
        <row r="552">
          <cell r="A552">
            <v>96003</v>
          </cell>
          <cell r="B552" t="str">
            <v>CHARLOTTE HOUSING AUTHORITY</v>
          </cell>
          <cell r="C552">
            <v>1.6191999999999999E-3</v>
          </cell>
          <cell r="D552">
            <v>1.6523E-3</v>
          </cell>
          <cell r="E552">
            <v>3841296</v>
          </cell>
          <cell r="F552" t="str">
            <v xml:space="preserve"> </v>
          </cell>
          <cell r="G552">
            <v>592621</v>
          </cell>
          <cell r="H552">
            <v>527296</v>
          </cell>
          <cell r="I552">
            <v>1019332</v>
          </cell>
          <cell r="J552">
            <v>1392</v>
          </cell>
          <cell r="K552">
            <v>2140641</v>
          </cell>
          <cell r="L552"/>
          <cell r="M552">
            <v>19885</v>
          </cell>
          <cell r="N552">
            <v>0</v>
          </cell>
          <cell r="O552">
            <v>162038</v>
          </cell>
          <cell r="P552">
            <v>181923</v>
          </cell>
          <cell r="Q552"/>
          <cell r="R552">
            <v>1067009</v>
          </cell>
          <cell r="S552">
            <v>-76658</v>
          </cell>
          <cell r="T552">
            <v>990351</v>
          </cell>
        </row>
        <row r="553">
          <cell r="A553">
            <v>96004</v>
          </cell>
          <cell r="B553" t="str">
            <v>MECKLENBURG COUNTY ABC BOARD</v>
          </cell>
          <cell r="C553">
            <v>9.0419999999999997E-4</v>
          </cell>
          <cell r="D553">
            <v>8.9439999999999995E-4</v>
          </cell>
          <cell r="E553">
            <v>2145072</v>
          </cell>
          <cell r="F553" t="str">
            <v xml:space="preserve"> </v>
          </cell>
          <cell r="G553">
            <v>330934</v>
          </cell>
          <cell r="H553">
            <v>294454</v>
          </cell>
          <cell r="I553">
            <v>569219</v>
          </cell>
          <cell r="J553">
            <v>137510</v>
          </cell>
          <cell r="K553">
            <v>1332117</v>
          </cell>
          <cell r="L553"/>
          <cell r="M553">
            <v>11104</v>
          </cell>
          <cell r="N553">
            <v>0</v>
          </cell>
          <cell r="O553">
            <v>0</v>
          </cell>
          <cell r="P553">
            <v>11104</v>
          </cell>
          <cell r="Q553"/>
          <cell r="R553">
            <v>595843</v>
          </cell>
          <cell r="S553">
            <v>78642</v>
          </cell>
          <cell r="T553">
            <v>674485</v>
          </cell>
        </row>
        <row r="554">
          <cell r="A554">
            <v>96005</v>
          </cell>
          <cell r="B554" t="str">
            <v>CHARLOTTE MECKLENBURG PUBLIC LIBRARY</v>
          </cell>
          <cell r="C554">
            <v>2.6172999999999999E-3</v>
          </cell>
          <cell r="D554">
            <v>2.6733999999999998E-3</v>
          </cell>
          <cell r="E554">
            <v>6209131</v>
          </cell>
          <cell r="F554" t="str">
            <v xml:space="preserve"> </v>
          </cell>
          <cell r="G554">
            <v>957921</v>
          </cell>
          <cell r="H554">
            <v>852329</v>
          </cell>
          <cell r="I554">
            <v>1647664</v>
          </cell>
          <cell r="J554">
            <v>64243</v>
          </cell>
          <cell r="K554">
            <v>3522157</v>
          </cell>
          <cell r="L554"/>
          <cell r="M554">
            <v>32143</v>
          </cell>
          <cell r="N554">
            <v>0</v>
          </cell>
          <cell r="O554">
            <v>8878</v>
          </cell>
          <cell r="P554">
            <v>41021</v>
          </cell>
          <cell r="Q554"/>
          <cell r="R554">
            <v>1724730</v>
          </cell>
          <cell r="S554">
            <v>155823</v>
          </cell>
          <cell r="T554">
            <v>1880553</v>
          </cell>
        </row>
        <row r="555">
          <cell r="A555">
            <v>96008</v>
          </cell>
          <cell r="B555" t="str">
            <v>MECKLENBURG EMER MED SVCS AGCY</v>
          </cell>
          <cell r="C555">
            <v>6.1884000000000002E-3</v>
          </cell>
          <cell r="D555">
            <v>5.9955E-3</v>
          </cell>
          <cell r="E555">
            <v>14681001</v>
          </cell>
          <cell r="F555" t="str">
            <v xml:space="preserve"> </v>
          </cell>
          <cell r="G555">
            <v>2264930</v>
          </cell>
          <cell r="H555">
            <v>2015265</v>
          </cell>
          <cell r="I555">
            <v>3895771</v>
          </cell>
          <cell r="J555">
            <v>0</v>
          </cell>
          <cell r="K555">
            <v>8175966</v>
          </cell>
          <cell r="L555"/>
          <cell r="M555">
            <v>76000</v>
          </cell>
          <cell r="N555">
            <v>0</v>
          </cell>
          <cell r="O555">
            <v>922165</v>
          </cell>
          <cell r="P555">
            <v>998165</v>
          </cell>
          <cell r="Q555"/>
          <cell r="R555">
            <v>4077989</v>
          </cell>
          <cell r="S555">
            <v>-381090</v>
          </cell>
          <cell r="T555">
            <v>3696899</v>
          </cell>
        </row>
        <row r="556">
          <cell r="A556">
            <v>96009</v>
          </cell>
          <cell r="B556" t="str">
            <v>CENTRALINA COUNCIL OF GOVERNMENTS</v>
          </cell>
          <cell r="C556">
            <v>3.8460000000000002E-4</v>
          </cell>
          <cell r="D556">
            <v>3.7609999999999998E-4</v>
          </cell>
          <cell r="E556">
            <v>912403</v>
          </cell>
          <cell r="F556" t="str">
            <v xml:space="preserve"> </v>
          </cell>
          <cell r="G556">
            <v>140762</v>
          </cell>
          <cell r="H556">
            <v>125246</v>
          </cell>
          <cell r="I556">
            <v>242116</v>
          </cell>
          <cell r="J556">
            <v>46887</v>
          </cell>
          <cell r="K556">
            <v>555011</v>
          </cell>
          <cell r="L556"/>
          <cell r="M556">
            <v>4723</v>
          </cell>
          <cell r="N556">
            <v>0</v>
          </cell>
          <cell r="O556">
            <v>1687</v>
          </cell>
          <cell r="P556">
            <v>6410</v>
          </cell>
          <cell r="Q556"/>
          <cell r="R556">
            <v>253441</v>
          </cell>
          <cell r="S556">
            <v>17980</v>
          </cell>
          <cell r="T556">
            <v>271421</v>
          </cell>
        </row>
        <row r="557">
          <cell r="A557">
            <v>96011</v>
          </cell>
          <cell r="B557" t="str">
            <v>CITY OF CHARLOTTE</v>
          </cell>
          <cell r="C557">
            <v>6.2526600000000002E-2</v>
          </cell>
          <cell r="D557">
            <v>6.1150400000000001E-2</v>
          </cell>
          <cell r="E557">
            <v>148334479</v>
          </cell>
          <cell r="F557" t="str">
            <v xml:space="preserve"> </v>
          </cell>
          <cell r="G557">
            <v>22884485</v>
          </cell>
          <cell r="H557">
            <v>20361912</v>
          </cell>
          <cell r="I557">
            <v>39362245</v>
          </cell>
          <cell r="J557">
            <v>1462569</v>
          </cell>
          <cell r="K557">
            <v>84071211</v>
          </cell>
          <cell r="L557"/>
          <cell r="M557">
            <v>767889</v>
          </cell>
          <cell r="N557">
            <v>0</v>
          </cell>
          <cell r="O557">
            <v>32612</v>
          </cell>
          <cell r="P557">
            <v>800501</v>
          </cell>
          <cell r="Q557"/>
          <cell r="R557">
            <v>41203341</v>
          </cell>
          <cell r="S557">
            <v>436963</v>
          </cell>
          <cell r="T557">
            <v>41640304</v>
          </cell>
        </row>
        <row r="558">
          <cell r="A558">
            <v>96012</v>
          </cell>
          <cell r="B558" t="str">
            <v>CHARLOTTE REGIONAL VISITORS AUTHORITY</v>
          </cell>
          <cell r="C558">
            <v>2.5303000000000001E-3</v>
          </cell>
          <cell r="D558">
            <v>2.4417000000000002E-3</v>
          </cell>
          <cell r="E558">
            <v>6002737</v>
          </cell>
          <cell r="F558" t="str">
            <v xml:space="preserve"> </v>
          </cell>
          <cell r="G558">
            <v>926080</v>
          </cell>
          <cell r="H558">
            <v>823997</v>
          </cell>
          <cell r="I558">
            <v>1592895</v>
          </cell>
          <cell r="J558">
            <v>95917</v>
          </cell>
          <cell r="K558">
            <v>3438889</v>
          </cell>
          <cell r="L558"/>
          <cell r="M558">
            <v>31075</v>
          </cell>
          <cell r="N558">
            <v>0</v>
          </cell>
          <cell r="O558">
            <v>703</v>
          </cell>
          <cell r="P558">
            <v>31778</v>
          </cell>
          <cell r="Q558"/>
          <cell r="R558">
            <v>1667399</v>
          </cell>
          <cell r="S558">
            <v>49156</v>
          </cell>
          <cell r="T558">
            <v>1716555</v>
          </cell>
        </row>
        <row r="559">
          <cell r="A559">
            <v>96018</v>
          </cell>
          <cell r="B559" t="str">
            <v>CHARLOTTE FIREMEN'S RET SYS</v>
          </cell>
          <cell r="C559">
            <v>4.5000000000000003E-5</v>
          </cell>
          <cell r="D559">
            <v>4.3600000000000003E-5</v>
          </cell>
          <cell r="E559">
            <v>106755</v>
          </cell>
          <cell r="F559" t="str">
            <v xml:space="preserve"> </v>
          </cell>
          <cell r="G559">
            <v>16470</v>
          </cell>
          <cell r="H559">
            <v>14654</v>
          </cell>
          <cell r="I559">
            <v>28329</v>
          </cell>
          <cell r="J559">
            <v>3865</v>
          </cell>
          <cell r="K559">
            <v>63318</v>
          </cell>
          <cell r="L559"/>
          <cell r="M559">
            <v>553</v>
          </cell>
          <cell r="N559">
            <v>0</v>
          </cell>
          <cell r="O559">
            <v>0</v>
          </cell>
          <cell r="P559">
            <v>553</v>
          </cell>
          <cell r="Q559"/>
          <cell r="R559">
            <v>29654</v>
          </cell>
          <cell r="S559">
            <v>5885</v>
          </cell>
          <cell r="T559">
            <v>35539</v>
          </cell>
        </row>
        <row r="560">
          <cell r="A560">
            <v>96021</v>
          </cell>
          <cell r="B560" t="str">
            <v xml:space="preserve"> PINEVILLE</v>
          </cell>
          <cell r="C560">
            <v>7.3760000000000004E-4</v>
          </cell>
          <cell r="D560">
            <v>7.2090000000000001E-4</v>
          </cell>
          <cell r="E560">
            <v>1749839</v>
          </cell>
          <cell r="F560" t="str">
            <v xml:space="preserve"> </v>
          </cell>
          <cell r="G560">
            <v>269959</v>
          </cell>
          <cell r="H560">
            <v>240200</v>
          </cell>
          <cell r="I560">
            <v>464340</v>
          </cell>
          <cell r="J560">
            <v>15203</v>
          </cell>
          <cell r="K560">
            <v>989702</v>
          </cell>
          <cell r="L560"/>
          <cell r="M560">
            <v>9058</v>
          </cell>
          <cell r="N560">
            <v>0</v>
          </cell>
          <cell r="O560">
            <v>87034</v>
          </cell>
          <cell r="P560">
            <v>96092</v>
          </cell>
          <cell r="Q560"/>
          <cell r="R560">
            <v>486058</v>
          </cell>
          <cell r="S560">
            <v>-13480</v>
          </cell>
          <cell r="T560">
            <v>472578</v>
          </cell>
        </row>
        <row r="561">
          <cell r="A561">
            <v>96031</v>
          </cell>
          <cell r="B561" t="str">
            <v xml:space="preserve"> MINT HILL</v>
          </cell>
          <cell r="C561">
            <v>8.5170000000000005E-4</v>
          </cell>
          <cell r="D561">
            <v>8.2580000000000001E-4</v>
          </cell>
          <cell r="E561">
            <v>2020524</v>
          </cell>
          <cell r="F561" t="str">
            <v xml:space="preserve"> </v>
          </cell>
          <cell r="G561">
            <v>311719</v>
          </cell>
          <cell r="H561">
            <v>277358</v>
          </cell>
          <cell r="I561">
            <v>536169</v>
          </cell>
          <cell r="J561">
            <v>0</v>
          </cell>
          <cell r="K561">
            <v>1125246</v>
          </cell>
          <cell r="L561"/>
          <cell r="M561">
            <v>10460</v>
          </cell>
          <cell r="N561">
            <v>0</v>
          </cell>
          <cell r="O561">
            <v>145457</v>
          </cell>
          <cell r="P561">
            <v>155917</v>
          </cell>
          <cell r="Q561"/>
          <cell r="R561">
            <v>561247</v>
          </cell>
          <cell r="S561">
            <v>-84382</v>
          </cell>
          <cell r="T561">
            <v>476865</v>
          </cell>
        </row>
        <row r="562">
          <cell r="A562">
            <v>96041</v>
          </cell>
          <cell r="B562" t="str">
            <v xml:space="preserve"> HUNTERSVILLE</v>
          </cell>
          <cell r="C562">
            <v>1.7003999999999999E-3</v>
          </cell>
          <cell r="D562">
            <v>1.7361E-3</v>
          </cell>
          <cell r="E562">
            <v>4033930</v>
          </cell>
          <cell r="F562" t="str">
            <v xml:space="preserve"> </v>
          </cell>
          <cell r="G562">
            <v>622340</v>
          </cell>
          <cell r="H562">
            <v>553738</v>
          </cell>
          <cell r="I562">
            <v>1070449</v>
          </cell>
          <cell r="J562">
            <v>0</v>
          </cell>
          <cell r="K562">
            <v>2246527</v>
          </cell>
          <cell r="L562"/>
          <cell r="M562">
            <v>20883</v>
          </cell>
          <cell r="N562">
            <v>0</v>
          </cell>
          <cell r="O562">
            <v>162463</v>
          </cell>
          <cell r="P562">
            <v>183346</v>
          </cell>
          <cell r="Q562"/>
          <cell r="R562">
            <v>1120518</v>
          </cell>
          <cell r="S562">
            <v>-80644</v>
          </cell>
          <cell r="T562">
            <v>1039874</v>
          </cell>
        </row>
        <row r="563">
          <cell r="A563">
            <v>96051</v>
          </cell>
          <cell r="B563" t="str">
            <v xml:space="preserve"> CORNELIUS</v>
          </cell>
          <cell r="C563">
            <v>1.042E-3</v>
          </cell>
          <cell r="D563">
            <v>1.0062000000000001E-3</v>
          </cell>
          <cell r="E563">
            <v>2471980</v>
          </cell>
          <cell r="F563" t="str">
            <v xml:space="preserve"> </v>
          </cell>
          <cell r="G563">
            <v>381368</v>
          </cell>
          <cell r="H563">
            <v>339329</v>
          </cell>
          <cell r="I563">
            <v>655968</v>
          </cell>
          <cell r="J563">
            <v>0</v>
          </cell>
          <cell r="K563">
            <v>1376665</v>
          </cell>
          <cell r="L563"/>
          <cell r="M563">
            <v>12797</v>
          </cell>
          <cell r="N563">
            <v>0</v>
          </cell>
          <cell r="O563">
            <v>89308</v>
          </cell>
          <cell r="P563">
            <v>102105</v>
          </cell>
          <cell r="Q563"/>
          <cell r="R563">
            <v>686650</v>
          </cell>
          <cell r="S563">
            <v>-50724</v>
          </cell>
          <cell r="T563">
            <v>635926</v>
          </cell>
        </row>
        <row r="564">
          <cell r="A564">
            <v>96061</v>
          </cell>
          <cell r="B564" t="str">
            <v xml:space="preserve"> STALLINGS</v>
          </cell>
          <cell r="C564">
            <v>3.1559999999999997E-4</v>
          </cell>
          <cell r="D564">
            <v>3.3950000000000001E-4</v>
          </cell>
          <cell r="E564">
            <v>748711</v>
          </cell>
          <cell r="F564" t="str">
            <v xml:space="preserve"> </v>
          </cell>
          <cell r="G564">
            <v>115508</v>
          </cell>
          <cell r="H564">
            <v>102775</v>
          </cell>
          <cell r="I564">
            <v>198679</v>
          </cell>
          <cell r="J564">
            <v>15967</v>
          </cell>
          <cell r="K564">
            <v>432929</v>
          </cell>
          <cell r="L564"/>
          <cell r="M564">
            <v>3876</v>
          </cell>
          <cell r="N564">
            <v>0</v>
          </cell>
          <cell r="O564">
            <v>13815</v>
          </cell>
          <cell r="P564">
            <v>17691</v>
          </cell>
          <cell r="Q564"/>
          <cell r="R564">
            <v>207972</v>
          </cell>
          <cell r="S564">
            <v>-246</v>
          </cell>
          <cell r="T564">
            <v>207726</v>
          </cell>
        </row>
        <row r="565">
          <cell r="A565">
            <v>96071</v>
          </cell>
          <cell r="B565" t="str">
            <v xml:space="preserve"> MATTHEWS</v>
          </cell>
          <cell r="C565">
            <v>1.1751000000000001E-3</v>
          </cell>
          <cell r="D565">
            <v>1.1367E-3</v>
          </cell>
          <cell r="E565">
            <v>2787739</v>
          </cell>
          <cell r="F565" t="str">
            <v xml:space="preserve"> </v>
          </cell>
          <cell r="G565">
            <v>430082</v>
          </cell>
          <cell r="H565">
            <v>382674</v>
          </cell>
          <cell r="I565">
            <v>739758</v>
          </cell>
          <cell r="J565">
            <v>90687</v>
          </cell>
          <cell r="K565">
            <v>1643201</v>
          </cell>
          <cell r="L565"/>
          <cell r="M565">
            <v>14431</v>
          </cell>
          <cell r="N565">
            <v>0</v>
          </cell>
          <cell r="O565">
            <v>39863</v>
          </cell>
          <cell r="P565">
            <v>54294</v>
          </cell>
          <cell r="Q565"/>
          <cell r="R565">
            <v>774359</v>
          </cell>
          <cell r="S565">
            <v>10914</v>
          </cell>
          <cell r="T565">
            <v>785273</v>
          </cell>
        </row>
        <row r="566">
          <cell r="A566">
            <v>96081</v>
          </cell>
          <cell r="B566" t="str">
            <v xml:space="preserve"> DAVIDSON</v>
          </cell>
          <cell r="C566">
            <v>5.4920000000000001E-4</v>
          </cell>
          <cell r="D566">
            <v>5.0900000000000001E-4</v>
          </cell>
          <cell r="E566">
            <v>1302890</v>
          </cell>
          <cell r="F566" t="str">
            <v xml:space="preserve"> </v>
          </cell>
          <cell r="G566">
            <v>201005</v>
          </cell>
          <cell r="H566">
            <v>178848</v>
          </cell>
          <cell r="I566">
            <v>345737</v>
          </cell>
          <cell r="J566">
            <v>10068</v>
          </cell>
          <cell r="K566">
            <v>735658</v>
          </cell>
          <cell r="L566"/>
          <cell r="M566">
            <v>6745</v>
          </cell>
          <cell r="N566">
            <v>0</v>
          </cell>
          <cell r="O566">
            <v>1853</v>
          </cell>
          <cell r="P566">
            <v>8598</v>
          </cell>
          <cell r="Q566"/>
          <cell r="R566">
            <v>361908</v>
          </cell>
          <cell r="S566">
            <v>6768</v>
          </cell>
          <cell r="T566">
            <v>368676</v>
          </cell>
        </row>
        <row r="567">
          <cell r="A567">
            <v>96101</v>
          </cell>
          <cell r="B567" t="str">
            <v>MITCHELL COUNTY</v>
          </cell>
          <cell r="C567">
            <v>7.9739999999999998E-4</v>
          </cell>
          <cell r="D567">
            <v>7.6749999999999995E-4</v>
          </cell>
          <cell r="E567">
            <v>1891706</v>
          </cell>
          <cell r="F567" t="str">
            <v xml:space="preserve"> </v>
          </cell>
          <cell r="G567">
            <v>291845</v>
          </cell>
          <cell r="H567">
            <v>259675</v>
          </cell>
          <cell r="I567">
            <v>501986</v>
          </cell>
          <cell r="J567">
            <v>54889</v>
          </cell>
          <cell r="K567">
            <v>1108395</v>
          </cell>
          <cell r="L567"/>
          <cell r="M567">
            <v>9793</v>
          </cell>
          <cell r="N567">
            <v>0</v>
          </cell>
          <cell r="O567">
            <v>2275</v>
          </cell>
          <cell r="P567">
            <v>12068</v>
          </cell>
          <cell r="Q567"/>
          <cell r="R567">
            <v>525465</v>
          </cell>
          <cell r="S567">
            <v>25672</v>
          </cell>
          <cell r="T567">
            <v>551137</v>
          </cell>
        </row>
        <row r="568">
          <cell r="A568">
            <v>96102</v>
          </cell>
          <cell r="B568" t="str">
            <v>MITCHELL SOIL &amp; WATER CONSERVATION DIST</v>
          </cell>
          <cell r="C568">
            <v>1.2999999999999999E-5</v>
          </cell>
          <cell r="D568">
            <v>1.36E-5</v>
          </cell>
          <cell r="E568">
            <v>30840</v>
          </cell>
          <cell r="F568" t="str">
            <v xml:space="preserve"> </v>
          </cell>
          <cell r="G568">
            <v>4758</v>
          </cell>
          <cell r="H568">
            <v>4233</v>
          </cell>
          <cell r="I568">
            <v>8184</v>
          </cell>
          <cell r="J568">
            <v>0</v>
          </cell>
          <cell r="K568">
            <v>17175</v>
          </cell>
          <cell r="L568"/>
          <cell r="M568">
            <v>160</v>
          </cell>
          <cell r="N568">
            <v>0</v>
          </cell>
          <cell r="O568">
            <v>3870</v>
          </cell>
          <cell r="P568">
            <v>4030</v>
          </cell>
          <cell r="Q568"/>
          <cell r="R568">
            <v>8567</v>
          </cell>
          <cell r="S568">
            <v>-1972</v>
          </cell>
          <cell r="T568">
            <v>6595</v>
          </cell>
        </row>
        <row r="569">
          <cell r="A569">
            <v>96111</v>
          </cell>
          <cell r="B569" t="str">
            <v xml:space="preserve"> SPRUCE PINE</v>
          </cell>
          <cell r="C569">
            <v>1.47E-4</v>
          </cell>
          <cell r="D569">
            <v>1.5349999999999999E-4</v>
          </cell>
          <cell r="E569">
            <v>348734</v>
          </cell>
          <cell r="F569" t="str">
            <v xml:space="preserve"> </v>
          </cell>
          <cell r="G569">
            <v>53801</v>
          </cell>
          <cell r="H569">
            <v>47871</v>
          </cell>
          <cell r="I569">
            <v>92541</v>
          </cell>
          <cell r="J569">
            <v>11049</v>
          </cell>
          <cell r="K569">
            <v>205262</v>
          </cell>
          <cell r="L569"/>
          <cell r="M569">
            <v>1805</v>
          </cell>
          <cell r="N569">
            <v>0</v>
          </cell>
          <cell r="O569">
            <v>1261</v>
          </cell>
          <cell r="P569">
            <v>3066</v>
          </cell>
          <cell r="Q569"/>
          <cell r="R569">
            <v>96869</v>
          </cell>
          <cell r="S569">
            <v>8891</v>
          </cell>
          <cell r="T569">
            <v>105760</v>
          </cell>
        </row>
        <row r="570">
          <cell r="A570">
            <v>96121</v>
          </cell>
          <cell r="B570" t="str">
            <v xml:space="preserve"> BAKERSVILLE</v>
          </cell>
          <cell r="C570">
            <v>2.1699999999999999E-5</v>
          </cell>
          <cell r="D570">
            <v>2.2500000000000001E-5</v>
          </cell>
          <cell r="E570">
            <v>51480</v>
          </cell>
          <cell r="F570" t="str">
            <v xml:space="preserve"> </v>
          </cell>
          <cell r="G570">
            <v>7942</v>
          </cell>
          <cell r="H570">
            <v>7067</v>
          </cell>
          <cell r="I570">
            <v>13661</v>
          </cell>
          <cell r="J570">
            <v>258</v>
          </cell>
          <cell r="K570">
            <v>28928</v>
          </cell>
          <cell r="L570"/>
          <cell r="M570">
            <v>266</v>
          </cell>
          <cell r="N570">
            <v>0</v>
          </cell>
          <cell r="O570">
            <v>2114</v>
          </cell>
          <cell r="P570">
            <v>2380</v>
          </cell>
          <cell r="Q570"/>
          <cell r="R570">
            <v>14300</v>
          </cell>
          <cell r="S570">
            <v>-1295</v>
          </cell>
          <cell r="T570">
            <v>13005</v>
          </cell>
        </row>
        <row r="571">
          <cell r="A571">
            <v>96201</v>
          </cell>
          <cell r="B571" t="str">
            <v>MONTGOMERY COUNTY</v>
          </cell>
          <cell r="C571">
            <v>1.1052E-3</v>
          </cell>
          <cell r="D571">
            <v>1.1788E-3</v>
          </cell>
          <cell r="E571">
            <v>2621912</v>
          </cell>
          <cell r="F571" t="str">
            <v xml:space="preserve"> </v>
          </cell>
          <cell r="G571">
            <v>404499</v>
          </cell>
          <cell r="H571">
            <v>359910</v>
          </cell>
          <cell r="I571">
            <v>695754</v>
          </cell>
          <cell r="J571">
            <v>0</v>
          </cell>
          <cell r="K571">
            <v>1460163</v>
          </cell>
          <cell r="L571"/>
          <cell r="M571">
            <v>13573</v>
          </cell>
          <cell r="N571">
            <v>0</v>
          </cell>
          <cell r="O571">
            <v>100519</v>
          </cell>
          <cell r="P571">
            <v>114092</v>
          </cell>
          <cell r="Q571"/>
          <cell r="R571">
            <v>728297</v>
          </cell>
          <cell r="S571">
            <v>-35895</v>
          </cell>
          <cell r="T571">
            <v>692402</v>
          </cell>
        </row>
        <row r="572">
          <cell r="A572">
            <v>96204</v>
          </cell>
          <cell r="B572" t="str">
            <v>MONTGOMERY-MUNICIPAL ABC BOARD</v>
          </cell>
          <cell r="C572">
            <v>1.42E-5</v>
          </cell>
          <cell r="D572">
            <v>1.5099999999999999E-5</v>
          </cell>
          <cell r="E572">
            <v>33687</v>
          </cell>
          <cell r="F572" t="str">
            <v xml:space="preserve"> </v>
          </cell>
          <cell r="G572">
            <v>5197</v>
          </cell>
          <cell r="H572">
            <v>4624</v>
          </cell>
          <cell r="I572">
            <v>8939</v>
          </cell>
          <cell r="J572">
            <v>3075</v>
          </cell>
          <cell r="K572">
            <v>21835</v>
          </cell>
          <cell r="L572"/>
          <cell r="M572">
            <v>174</v>
          </cell>
          <cell r="N572">
            <v>0</v>
          </cell>
          <cell r="O572">
            <v>0</v>
          </cell>
          <cell r="P572">
            <v>174</v>
          </cell>
          <cell r="Q572"/>
          <cell r="R572">
            <v>9357</v>
          </cell>
          <cell r="S572">
            <v>1951</v>
          </cell>
          <cell r="T572">
            <v>11308</v>
          </cell>
        </row>
        <row r="573">
          <cell r="A573">
            <v>96211</v>
          </cell>
          <cell r="B573" t="str">
            <v xml:space="preserve"> STAR</v>
          </cell>
          <cell r="C573">
            <v>2.8099999999999999E-5</v>
          </cell>
          <cell r="D573">
            <v>2.62E-5</v>
          </cell>
          <cell r="E573">
            <v>66663</v>
          </cell>
          <cell r="F573" t="str">
            <v xml:space="preserve"> </v>
          </cell>
          <cell r="G573">
            <v>10284</v>
          </cell>
          <cell r="H573">
            <v>9151</v>
          </cell>
          <cell r="I573">
            <v>17690</v>
          </cell>
          <cell r="J573">
            <v>7064</v>
          </cell>
          <cell r="K573">
            <v>44189</v>
          </cell>
          <cell r="L573"/>
          <cell r="M573">
            <v>345</v>
          </cell>
          <cell r="N573">
            <v>0</v>
          </cell>
          <cell r="O573">
            <v>0</v>
          </cell>
          <cell r="P573">
            <v>345</v>
          </cell>
          <cell r="Q573"/>
          <cell r="R573">
            <v>18517</v>
          </cell>
          <cell r="S573">
            <v>-1535</v>
          </cell>
          <cell r="T573">
            <v>16982</v>
          </cell>
        </row>
        <row r="574">
          <cell r="A574">
            <v>96221</v>
          </cell>
          <cell r="B574" t="str">
            <v xml:space="preserve"> TROY</v>
          </cell>
          <cell r="C574">
            <v>2.2809999999999999E-4</v>
          </cell>
          <cell r="D574">
            <v>2.3350000000000001E-4</v>
          </cell>
          <cell r="E574">
            <v>541131</v>
          </cell>
          <cell r="F574" t="str">
            <v xml:space="preserve"> </v>
          </cell>
          <cell r="G574">
            <v>83484</v>
          </cell>
          <cell r="H574">
            <v>74281</v>
          </cell>
          <cell r="I574">
            <v>143595</v>
          </cell>
          <cell r="J574">
            <v>0</v>
          </cell>
          <cell r="K574">
            <v>301360</v>
          </cell>
          <cell r="L574"/>
          <cell r="M574">
            <v>2801</v>
          </cell>
          <cell r="N574">
            <v>0</v>
          </cell>
          <cell r="O574">
            <v>17587</v>
          </cell>
          <cell r="P574">
            <v>20388</v>
          </cell>
          <cell r="Q574"/>
          <cell r="R574">
            <v>150312</v>
          </cell>
          <cell r="S574">
            <v>-5474</v>
          </cell>
          <cell r="T574">
            <v>144838</v>
          </cell>
        </row>
        <row r="575">
          <cell r="A575">
            <v>96231</v>
          </cell>
          <cell r="B575" t="str">
            <v xml:space="preserve"> BISCOE</v>
          </cell>
          <cell r="C575">
            <v>1.2540000000000001E-4</v>
          </cell>
          <cell r="D575">
            <v>1.3339999999999999E-4</v>
          </cell>
          <cell r="E575">
            <v>297492</v>
          </cell>
          <cell r="F575" t="str">
            <v xml:space="preserve"> </v>
          </cell>
          <cell r="G575">
            <v>45896</v>
          </cell>
          <cell r="H575">
            <v>40837</v>
          </cell>
          <cell r="I575">
            <v>78943</v>
          </cell>
          <cell r="J575">
            <v>1915</v>
          </cell>
          <cell r="K575">
            <v>167591</v>
          </cell>
          <cell r="L575"/>
          <cell r="M575">
            <v>1540</v>
          </cell>
          <cell r="N575">
            <v>0</v>
          </cell>
          <cell r="O575">
            <v>22322</v>
          </cell>
          <cell r="P575">
            <v>23862</v>
          </cell>
          <cell r="Q575"/>
          <cell r="R575">
            <v>82635</v>
          </cell>
          <cell r="S575">
            <v>-10839</v>
          </cell>
          <cell r="T575">
            <v>71796</v>
          </cell>
        </row>
        <row r="576">
          <cell r="A576">
            <v>96241</v>
          </cell>
          <cell r="B576" t="str">
            <v xml:space="preserve"> CANDOR</v>
          </cell>
          <cell r="C576">
            <v>5.4299999999999998E-5</v>
          </cell>
          <cell r="D576">
            <v>4.4700000000000002E-5</v>
          </cell>
          <cell r="E576">
            <v>128818</v>
          </cell>
          <cell r="F576" t="str">
            <v xml:space="preserve"> </v>
          </cell>
          <cell r="G576">
            <v>19874</v>
          </cell>
          <cell r="H576">
            <v>17683</v>
          </cell>
          <cell r="I576">
            <v>34183</v>
          </cell>
          <cell r="J576">
            <v>5386</v>
          </cell>
          <cell r="K576">
            <v>77126</v>
          </cell>
          <cell r="L576"/>
          <cell r="M576">
            <v>667</v>
          </cell>
          <cell r="N576">
            <v>0</v>
          </cell>
          <cell r="O576">
            <v>2843</v>
          </cell>
          <cell r="P576">
            <v>3510</v>
          </cell>
          <cell r="Q576"/>
          <cell r="R576">
            <v>35782</v>
          </cell>
          <cell r="S576">
            <v>3441</v>
          </cell>
          <cell r="T576">
            <v>39223</v>
          </cell>
        </row>
        <row r="577">
          <cell r="A577">
            <v>96251</v>
          </cell>
          <cell r="B577" t="str">
            <v xml:space="preserve"> MOUNT GILEAD</v>
          </cell>
          <cell r="C577">
            <v>1.011E-4</v>
          </cell>
          <cell r="D577">
            <v>9.3999999999999994E-5</v>
          </cell>
          <cell r="E577">
            <v>239844</v>
          </cell>
          <cell r="F577" t="str">
            <v xml:space="preserve"> </v>
          </cell>
          <cell r="G577">
            <v>37002</v>
          </cell>
          <cell r="H577">
            <v>32924</v>
          </cell>
          <cell r="I577">
            <v>63645</v>
          </cell>
          <cell r="J577">
            <v>4649</v>
          </cell>
          <cell r="K577">
            <v>138220</v>
          </cell>
          <cell r="L577"/>
          <cell r="M577">
            <v>1242</v>
          </cell>
          <cell r="N577">
            <v>0</v>
          </cell>
          <cell r="O577">
            <v>10419</v>
          </cell>
          <cell r="P577">
            <v>11661</v>
          </cell>
          <cell r="Q577"/>
          <cell r="R577">
            <v>66622</v>
          </cell>
          <cell r="S577">
            <v>-7630</v>
          </cell>
          <cell r="T577">
            <v>58992</v>
          </cell>
        </row>
        <row r="578">
          <cell r="A578">
            <v>96301</v>
          </cell>
          <cell r="B578" t="str">
            <v>MOORE COUNTY</v>
          </cell>
          <cell r="C578">
            <v>4.4197999999999998E-3</v>
          </cell>
          <cell r="D578">
            <v>4.3712999999999998E-3</v>
          </cell>
          <cell r="E578">
            <v>10485277</v>
          </cell>
          <cell r="F578" t="str">
            <v xml:space="preserve"> </v>
          </cell>
          <cell r="G578">
            <v>1617629</v>
          </cell>
          <cell r="H578">
            <v>1439316</v>
          </cell>
          <cell r="I578">
            <v>2782388</v>
          </cell>
          <cell r="J578">
            <v>27387</v>
          </cell>
          <cell r="K578">
            <v>5866720</v>
          </cell>
          <cell r="L578"/>
          <cell r="M578">
            <v>54280</v>
          </cell>
          <cell r="N578">
            <v>0</v>
          </cell>
          <cell r="O578">
            <v>127331</v>
          </cell>
          <cell r="P578">
            <v>181611</v>
          </cell>
          <cell r="Q578"/>
          <cell r="R578">
            <v>2912529</v>
          </cell>
          <cell r="S578">
            <v>-34571</v>
          </cell>
          <cell r="T578">
            <v>2877958</v>
          </cell>
        </row>
        <row r="579">
          <cell r="A579">
            <v>96302</v>
          </cell>
          <cell r="B579" t="str">
            <v xml:space="preserve"> TAYLORTOWN</v>
          </cell>
          <cell r="C579">
            <v>2.3499999999999999E-5</v>
          </cell>
          <cell r="D579">
            <v>2.5199999999999999E-5</v>
          </cell>
          <cell r="E579">
            <v>55750</v>
          </cell>
          <cell r="F579" t="str">
            <v xml:space="preserve"> </v>
          </cell>
          <cell r="G579">
            <v>8601</v>
          </cell>
          <cell r="H579">
            <v>7653</v>
          </cell>
          <cell r="I579">
            <v>14794</v>
          </cell>
          <cell r="J579">
            <v>4772</v>
          </cell>
          <cell r="K579">
            <v>35820</v>
          </cell>
          <cell r="L579"/>
          <cell r="M579">
            <v>289</v>
          </cell>
          <cell r="N579">
            <v>0</v>
          </cell>
          <cell r="O579">
            <v>746</v>
          </cell>
          <cell r="P579">
            <v>1035</v>
          </cell>
          <cell r="Q579"/>
          <cell r="R579">
            <v>15486</v>
          </cell>
          <cell r="S579">
            <v>2441</v>
          </cell>
          <cell r="T579">
            <v>17927</v>
          </cell>
        </row>
        <row r="580">
          <cell r="A580">
            <v>96304</v>
          </cell>
          <cell r="B580" t="str">
            <v>MOORE COUNTY ABC BOARD</v>
          </cell>
          <cell r="C580">
            <v>4.7500000000000003E-5</v>
          </cell>
          <cell r="D580">
            <v>4.5500000000000001E-5</v>
          </cell>
          <cell r="E580">
            <v>112686</v>
          </cell>
          <cell r="F580" t="str">
            <v xml:space="preserve"> </v>
          </cell>
          <cell r="G580">
            <v>17385</v>
          </cell>
          <cell r="H580">
            <v>15469</v>
          </cell>
          <cell r="I580">
            <v>29903</v>
          </cell>
          <cell r="J580">
            <v>9034</v>
          </cell>
          <cell r="K580">
            <v>71791</v>
          </cell>
          <cell r="L580"/>
          <cell r="M580">
            <v>583</v>
          </cell>
          <cell r="N580">
            <v>0</v>
          </cell>
          <cell r="O580">
            <v>733</v>
          </cell>
          <cell r="P580">
            <v>1316</v>
          </cell>
          <cell r="Q580"/>
          <cell r="R580">
            <v>31301</v>
          </cell>
          <cell r="S580">
            <v>3589</v>
          </cell>
          <cell r="T580">
            <v>34890</v>
          </cell>
        </row>
        <row r="581">
          <cell r="A581">
            <v>96305</v>
          </cell>
          <cell r="B581" t="str">
            <v>MOORE COUNTY TOURISM DEVELOPMENT AUTHORITY</v>
          </cell>
          <cell r="C581">
            <v>4.1100000000000003E-5</v>
          </cell>
          <cell r="D581">
            <v>4.5500000000000001E-5</v>
          </cell>
          <cell r="E581">
            <v>97503</v>
          </cell>
          <cell r="F581" t="str">
            <v xml:space="preserve"> </v>
          </cell>
          <cell r="G581">
            <v>15042</v>
          </cell>
          <cell r="H581">
            <v>13384</v>
          </cell>
          <cell r="I581">
            <v>25874</v>
          </cell>
          <cell r="J581">
            <v>16290</v>
          </cell>
          <cell r="K581">
            <v>70590</v>
          </cell>
          <cell r="L581"/>
          <cell r="M581">
            <v>505</v>
          </cell>
          <cell r="N581">
            <v>0</v>
          </cell>
          <cell r="O581">
            <v>0</v>
          </cell>
          <cell r="P581">
            <v>505</v>
          </cell>
          <cell r="Q581"/>
          <cell r="R581">
            <v>27084</v>
          </cell>
          <cell r="S581">
            <v>6681</v>
          </cell>
          <cell r="T581">
            <v>33765</v>
          </cell>
        </row>
        <row r="582">
          <cell r="A582">
            <v>96310</v>
          </cell>
          <cell r="B582" t="str">
            <v>MOORE COUNTY AIRPORT AUTHORITY</v>
          </cell>
          <cell r="C582">
            <v>5.02E-5</v>
          </cell>
          <cell r="D582">
            <v>6.1099999999999994E-5</v>
          </cell>
          <cell r="E582">
            <v>119092</v>
          </cell>
          <cell r="F582" t="str">
            <v xml:space="preserve"> </v>
          </cell>
          <cell r="G582">
            <v>18373</v>
          </cell>
          <cell r="H582">
            <v>16347</v>
          </cell>
          <cell r="I582">
            <v>31602</v>
          </cell>
          <cell r="J582">
            <v>5953</v>
          </cell>
          <cell r="K582">
            <v>72275</v>
          </cell>
          <cell r="L582"/>
          <cell r="M582">
            <v>617</v>
          </cell>
          <cell r="N582">
            <v>0</v>
          </cell>
          <cell r="O582">
            <v>5950</v>
          </cell>
          <cell r="P582">
            <v>6567</v>
          </cell>
          <cell r="Q582"/>
          <cell r="R582">
            <v>33080</v>
          </cell>
          <cell r="S582">
            <v>2495</v>
          </cell>
          <cell r="T582">
            <v>35575</v>
          </cell>
        </row>
        <row r="583">
          <cell r="A583">
            <v>96311</v>
          </cell>
          <cell r="B583" t="str">
            <v xml:space="preserve"> SOUTHERN PINES</v>
          </cell>
          <cell r="C583">
            <v>1.3328000000000001E-3</v>
          </cell>
          <cell r="D583">
            <v>1.3113000000000001E-3</v>
          </cell>
          <cell r="E583">
            <v>3161857</v>
          </cell>
          <cell r="F583" t="str">
            <v xml:space="preserve"> </v>
          </cell>
          <cell r="G583">
            <v>487799</v>
          </cell>
          <cell r="H583">
            <v>434029</v>
          </cell>
          <cell r="I583">
            <v>839035</v>
          </cell>
          <cell r="J583">
            <v>0</v>
          </cell>
          <cell r="K583">
            <v>1760863</v>
          </cell>
          <cell r="L583"/>
          <cell r="M583">
            <v>16368</v>
          </cell>
          <cell r="N583">
            <v>0</v>
          </cell>
          <cell r="O583">
            <v>112780</v>
          </cell>
          <cell r="P583">
            <v>129148</v>
          </cell>
          <cell r="Q583"/>
          <cell r="R583">
            <v>878279</v>
          </cell>
          <cell r="S583">
            <v>-38768</v>
          </cell>
          <cell r="T583">
            <v>839511</v>
          </cell>
        </row>
        <row r="584">
          <cell r="A584">
            <v>96312</v>
          </cell>
          <cell r="B584" t="str">
            <v xml:space="preserve"> CAMERON</v>
          </cell>
          <cell r="C584">
            <v>6.1E-6</v>
          </cell>
          <cell r="D584">
            <v>1.5999999999999999E-5</v>
          </cell>
          <cell r="E584">
            <v>14471</v>
          </cell>
          <cell r="F584" t="str">
            <v xml:space="preserve"> </v>
          </cell>
          <cell r="G584">
            <v>2233</v>
          </cell>
          <cell r="H584">
            <v>1987</v>
          </cell>
          <cell r="I584">
            <v>3840</v>
          </cell>
          <cell r="J584">
            <v>5741</v>
          </cell>
          <cell r="K584">
            <v>13801</v>
          </cell>
          <cell r="L584"/>
          <cell r="M584">
            <v>75</v>
          </cell>
          <cell r="N584">
            <v>0</v>
          </cell>
          <cell r="O584">
            <v>7008</v>
          </cell>
          <cell r="P584">
            <v>7083</v>
          </cell>
          <cell r="Q584"/>
          <cell r="R584">
            <v>4020</v>
          </cell>
          <cell r="S584">
            <v>-1283</v>
          </cell>
          <cell r="T584">
            <v>2737</v>
          </cell>
        </row>
        <row r="585">
          <cell r="A585">
            <v>96318</v>
          </cell>
          <cell r="B585" t="str">
            <v>SANDHILLS CENTER</v>
          </cell>
          <cell r="C585">
            <v>2.2098999999999999E-3</v>
          </cell>
          <cell r="D585">
            <v>2.1684999999999999E-3</v>
          </cell>
          <cell r="E585">
            <v>5242639</v>
          </cell>
          <cell r="F585" t="str">
            <v xml:space="preserve"> </v>
          </cell>
          <cell r="G585">
            <v>808815</v>
          </cell>
          <cell r="H585">
            <v>719659</v>
          </cell>
          <cell r="I585">
            <v>1391194</v>
          </cell>
          <cell r="J585">
            <v>5150573</v>
          </cell>
          <cell r="K585">
            <v>8070241</v>
          </cell>
          <cell r="L585"/>
          <cell r="M585">
            <v>27140</v>
          </cell>
          <cell r="N585">
            <v>0</v>
          </cell>
          <cell r="O585">
            <v>0</v>
          </cell>
          <cell r="P585">
            <v>27140</v>
          </cell>
          <cell r="Q585"/>
          <cell r="R585">
            <v>1456264</v>
          </cell>
          <cell r="S585">
            <v>2691083</v>
          </cell>
          <cell r="T585">
            <v>4147347</v>
          </cell>
        </row>
        <row r="586">
          <cell r="A586">
            <v>96321</v>
          </cell>
          <cell r="B586" t="str">
            <v xml:space="preserve"> VASS</v>
          </cell>
          <cell r="C586">
            <v>3.7299999999999999E-5</v>
          </cell>
          <cell r="D586">
            <v>3.6900000000000002E-5</v>
          </cell>
          <cell r="E586">
            <v>88488</v>
          </cell>
          <cell r="F586" t="str">
            <v xml:space="preserve"> </v>
          </cell>
          <cell r="G586">
            <v>13652</v>
          </cell>
          <cell r="H586">
            <v>12147</v>
          </cell>
          <cell r="I586">
            <v>23481</v>
          </cell>
          <cell r="J586">
            <v>2037</v>
          </cell>
          <cell r="K586">
            <v>51317</v>
          </cell>
          <cell r="L586"/>
          <cell r="M586">
            <v>458</v>
          </cell>
          <cell r="N586">
            <v>0</v>
          </cell>
          <cell r="O586">
            <v>1391</v>
          </cell>
          <cell r="P586">
            <v>1849</v>
          </cell>
          <cell r="Q586"/>
          <cell r="R586">
            <v>24580</v>
          </cell>
          <cell r="S586">
            <v>-243</v>
          </cell>
          <cell r="T586">
            <v>24337</v>
          </cell>
        </row>
        <row r="587">
          <cell r="A587">
            <v>96331</v>
          </cell>
          <cell r="B587" t="str">
            <v xml:space="preserve"> ABERDEEN</v>
          </cell>
          <cell r="C587">
            <v>7.0220000000000005E-4</v>
          </cell>
          <cell r="D587">
            <v>7.0850000000000004E-4</v>
          </cell>
          <cell r="E587">
            <v>1665859</v>
          </cell>
          <cell r="F587" t="str">
            <v xml:space="preserve"> </v>
          </cell>
          <cell r="G587">
            <v>257002</v>
          </cell>
          <cell r="H587">
            <v>228672</v>
          </cell>
          <cell r="I587">
            <v>442055</v>
          </cell>
          <cell r="J587">
            <v>1400</v>
          </cell>
          <cell r="K587">
            <v>929129</v>
          </cell>
          <cell r="L587"/>
          <cell r="M587">
            <v>8624</v>
          </cell>
          <cell r="N587">
            <v>0</v>
          </cell>
          <cell r="O587">
            <v>67389</v>
          </cell>
          <cell r="P587">
            <v>76013</v>
          </cell>
          <cell r="Q587"/>
          <cell r="R587">
            <v>462731</v>
          </cell>
          <cell r="S587">
            <v>-31677</v>
          </cell>
          <cell r="T587">
            <v>431054</v>
          </cell>
        </row>
        <row r="588">
          <cell r="A588">
            <v>96341</v>
          </cell>
          <cell r="B588" t="str">
            <v xml:space="preserve"> ROBBINS</v>
          </cell>
          <cell r="C588">
            <v>9.1399999999999999E-5</v>
          </cell>
          <cell r="D588">
            <v>8.3800000000000004E-5</v>
          </cell>
          <cell r="E588">
            <v>216832</v>
          </cell>
          <cell r="F588" t="str">
            <v xml:space="preserve"> </v>
          </cell>
          <cell r="G588">
            <v>33452</v>
          </cell>
          <cell r="H588">
            <v>29765</v>
          </cell>
          <cell r="I588">
            <v>57539</v>
          </cell>
          <cell r="J588">
            <v>7342</v>
          </cell>
          <cell r="K588">
            <v>128098</v>
          </cell>
          <cell r="L588"/>
          <cell r="M588">
            <v>1122</v>
          </cell>
          <cell r="N588">
            <v>0</v>
          </cell>
          <cell r="O588">
            <v>5984</v>
          </cell>
          <cell r="P588">
            <v>7106</v>
          </cell>
          <cell r="Q588"/>
          <cell r="R588">
            <v>60230</v>
          </cell>
          <cell r="S588">
            <v>-2239</v>
          </cell>
          <cell r="T588">
            <v>57991</v>
          </cell>
        </row>
        <row r="589">
          <cell r="A589">
            <v>96351</v>
          </cell>
          <cell r="B589" t="str">
            <v xml:space="preserve"> PINEHURST</v>
          </cell>
          <cell r="C589">
            <v>1.0456E-3</v>
          </cell>
          <cell r="D589">
            <v>1.0616E-3</v>
          </cell>
          <cell r="E589">
            <v>2480521</v>
          </cell>
          <cell r="F589" t="str">
            <v xml:space="preserve"> </v>
          </cell>
          <cell r="G589">
            <v>382685</v>
          </cell>
          <cell r="H589">
            <v>340501</v>
          </cell>
          <cell r="I589">
            <v>658234</v>
          </cell>
          <cell r="J589">
            <v>1398</v>
          </cell>
          <cell r="K589">
            <v>1382818</v>
          </cell>
          <cell r="L589"/>
          <cell r="M589">
            <v>12841</v>
          </cell>
          <cell r="N589">
            <v>0</v>
          </cell>
          <cell r="O589">
            <v>35067</v>
          </cell>
          <cell r="P589">
            <v>47908</v>
          </cell>
          <cell r="Q589"/>
          <cell r="R589">
            <v>689022</v>
          </cell>
          <cell r="S589">
            <v>-9188</v>
          </cell>
          <cell r="T589">
            <v>679834</v>
          </cell>
        </row>
        <row r="590">
          <cell r="A590">
            <v>96361</v>
          </cell>
          <cell r="B590" t="str">
            <v xml:space="preserve"> PINEBLUFF</v>
          </cell>
          <cell r="C590">
            <v>4.9400000000000001E-5</v>
          </cell>
          <cell r="D590">
            <v>5.5699999999999999E-5</v>
          </cell>
          <cell r="E590">
            <v>117194</v>
          </cell>
          <cell r="F590" t="str">
            <v xml:space="preserve"> </v>
          </cell>
          <cell r="G590">
            <v>18080</v>
          </cell>
          <cell r="H590">
            <v>16088</v>
          </cell>
          <cell r="I590">
            <v>31099</v>
          </cell>
          <cell r="J590">
            <v>1546</v>
          </cell>
          <cell r="K590">
            <v>66813</v>
          </cell>
          <cell r="L590"/>
          <cell r="M590">
            <v>607</v>
          </cell>
          <cell r="N590">
            <v>0</v>
          </cell>
          <cell r="O590">
            <v>5439</v>
          </cell>
          <cell r="P590">
            <v>6046</v>
          </cell>
          <cell r="Q590"/>
          <cell r="R590">
            <v>32553</v>
          </cell>
          <cell r="S590">
            <v>190</v>
          </cell>
          <cell r="T590">
            <v>32743</v>
          </cell>
        </row>
        <row r="591">
          <cell r="A591">
            <v>96371</v>
          </cell>
          <cell r="B591" t="str">
            <v xml:space="preserve"> WHISPERING PINES</v>
          </cell>
          <cell r="C591">
            <v>1.4200000000000001E-4</v>
          </cell>
          <cell r="D591">
            <v>1.5249999999999999E-4</v>
          </cell>
          <cell r="E591">
            <v>336873</v>
          </cell>
          <cell r="F591" t="str">
            <v xml:space="preserve"> </v>
          </cell>
          <cell r="G591">
            <v>51971</v>
          </cell>
          <cell r="H591">
            <v>46242</v>
          </cell>
          <cell r="I591">
            <v>89393</v>
          </cell>
          <cell r="J591">
            <v>0</v>
          </cell>
          <cell r="K591">
            <v>187606</v>
          </cell>
          <cell r="L591"/>
          <cell r="M591">
            <v>1744</v>
          </cell>
          <cell r="N591">
            <v>0</v>
          </cell>
          <cell r="O591">
            <v>16072</v>
          </cell>
          <cell r="P591">
            <v>17816</v>
          </cell>
          <cell r="Q591"/>
          <cell r="R591">
            <v>93574</v>
          </cell>
          <cell r="S591">
            <v>-4573</v>
          </cell>
          <cell r="T591">
            <v>89001</v>
          </cell>
        </row>
        <row r="592">
          <cell r="A592">
            <v>96381</v>
          </cell>
          <cell r="B592" t="str">
            <v>FOXFIRE VILLAGE</v>
          </cell>
          <cell r="C592">
            <v>3.5200000000000002E-5</v>
          </cell>
          <cell r="D592">
            <v>3.2100000000000001E-5</v>
          </cell>
          <cell r="E592">
            <v>83506</v>
          </cell>
          <cell r="F592" t="str">
            <v xml:space="preserve"> </v>
          </cell>
          <cell r="G592">
            <v>12883</v>
          </cell>
          <cell r="H592">
            <v>11463</v>
          </cell>
          <cell r="I592">
            <v>22159</v>
          </cell>
          <cell r="J592">
            <v>1710</v>
          </cell>
          <cell r="K592">
            <v>48215</v>
          </cell>
          <cell r="L592"/>
          <cell r="M592">
            <v>432</v>
          </cell>
          <cell r="N592">
            <v>0</v>
          </cell>
          <cell r="O592">
            <v>634</v>
          </cell>
          <cell r="P592">
            <v>1066</v>
          </cell>
          <cell r="Q592"/>
          <cell r="R592">
            <v>23196</v>
          </cell>
          <cell r="S592">
            <v>-775</v>
          </cell>
          <cell r="T592">
            <v>22421</v>
          </cell>
        </row>
        <row r="593">
          <cell r="A593">
            <v>96391</v>
          </cell>
          <cell r="B593" t="str">
            <v xml:space="preserve"> CARTHAGE</v>
          </cell>
          <cell r="C593">
            <v>2.1350000000000001E-4</v>
          </cell>
          <cell r="D593">
            <v>2.029E-4</v>
          </cell>
          <cell r="E593">
            <v>506495</v>
          </cell>
          <cell r="F593" t="str">
            <v xml:space="preserve"> </v>
          </cell>
          <cell r="G593">
            <v>78140</v>
          </cell>
          <cell r="H593">
            <v>69527</v>
          </cell>
          <cell r="I593">
            <v>134404</v>
          </cell>
          <cell r="J593">
            <v>0</v>
          </cell>
          <cell r="K593">
            <v>282071</v>
          </cell>
          <cell r="L593"/>
          <cell r="M593">
            <v>2622</v>
          </cell>
          <cell r="N593">
            <v>0</v>
          </cell>
          <cell r="O593">
            <v>20575</v>
          </cell>
          <cell r="P593">
            <v>23197</v>
          </cell>
          <cell r="Q593"/>
          <cell r="R593">
            <v>140691</v>
          </cell>
          <cell r="S593">
            <v>-665</v>
          </cell>
          <cell r="T593">
            <v>140026</v>
          </cell>
        </row>
        <row r="594">
          <cell r="A594">
            <v>96401</v>
          </cell>
          <cell r="B594" t="str">
            <v>NASH COUNTY</v>
          </cell>
          <cell r="C594">
            <v>4.4764999999999996E-3</v>
          </cell>
          <cell r="D594">
            <v>4.5672000000000004E-3</v>
          </cell>
          <cell r="E594">
            <v>10619789</v>
          </cell>
          <cell r="F594" t="str">
            <v xml:space="preserve"> </v>
          </cell>
          <cell r="G594">
            <v>1638381</v>
          </cell>
          <cell r="H594">
            <v>1457781</v>
          </cell>
          <cell r="I594">
            <v>2818082</v>
          </cell>
          <cell r="J594">
            <v>0</v>
          </cell>
          <cell r="K594">
            <v>5914244</v>
          </cell>
          <cell r="L594"/>
          <cell r="M594">
            <v>54976</v>
          </cell>
          <cell r="N594">
            <v>0</v>
          </cell>
          <cell r="O594">
            <v>163892</v>
          </cell>
          <cell r="P594">
            <v>218868</v>
          </cell>
          <cell r="Q594"/>
          <cell r="R594">
            <v>2949893</v>
          </cell>
          <cell r="S594">
            <v>-37128</v>
          </cell>
          <cell r="T594">
            <v>2912765</v>
          </cell>
        </row>
        <row r="595">
          <cell r="A595">
            <v>96404</v>
          </cell>
          <cell r="B595" t="str">
            <v>NASH COUNTY ABC BOARD</v>
          </cell>
          <cell r="C595">
            <v>9.98E-5</v>
          </cell>
          <cell r="D595">
            <v>1.026E-4</v>
          </cell>
          <cell r="E595">
            <v>236760</v>
          </cell>
          <cell r="F595" t="str">
            <v xml:space="preserve"> </v>
          </cell>
          <cell r="G595">
            <v>36526</v>
          </cell>
          <cell r="H595">
            <v>32500</v>
          </cell>
          <cell r="I595">
            <v>62827</v>
          </cell>
          <cell r="J595">
            <v>25677</v>
          </cell>
          <cell r="K595">
            <v>157530</v>
          </cell>
          <cell r="L595"/>
          <cell r="M595">
            <v>1226</v>
          </cell>
          <cell r="N595">
            <v>0</v>
          </cell>
          <cell r="O595">
            <v>0</v>
          </cell>
          <cell r="P595">
            <v>1226</v>
          </cell>
          <cell r="Q595"/>
          <cell r="R595">
            <v>65766</v>
          </cell>
          <cell r="S595">
            <v>12826</v>
          </cell>
          <cell r="T595">
            <v>78592</v>
          </cell>
        </row>
        <row r="596">
          <cell r="A596">
            <v>96405</v>
          </cell>
          <cell r="B596" t="str">
            <v>BRASWELL MEMORIAL LIBRARY</v>
          </cell>
          <cell r="C596">
            <v>1.3219999999999999E-4</v>
          </cell>
          <cell r="D596">
            <v>1.6139999999999999E-4</v>
          </cell>
          <cell r="E596">
            <v>313624</v>
          </cell>
          <cell r="F596" t="str">
            <v xml:space="preserve"> </v>
          </cell>
          <cell r="G596">
            <v>48385</v>
          </cell>
          <cell r="H596">
            <v>43051</v>
          </cell>
          <cell r="I596">
            <v>83224</v>
          </cell>
          <cell r="J596">
            <v>4606</v>
          </cell>
          <cell r="K596">
            <v>179266</v>
          </cell>
          <cell r="L596"/>
          <cell r="M596">
            <v>1624</v>
          </cell>
          <cell r="N596">
            <v>0</v>
          </cell>
          <cell r="O596">
            <v>1578</v>
          </cell>
          <cell r="P596">
            <v>3202</v>
          </cell>
          <cell r="Q596"/>
          <cell r="R596">
            <v>87116</v>
          </cell>
          <cell r="S596">
            <v>4206</v>
          </cell>
          <cell r="T596">
            <v>91322</v>
          </cell>
        </row>
        <row r="597">
          <cell r="A597">
            <v>96411</v>
          </cell>
          <cell r="B597" t="str">
            <v xml:space="preserve"> SPRING HOPE</v>
          </cell>
          <cell r="C597">
            <v>7.1899999999999999E-5</v>
          </cell>
          <cell r="D597">
            <v>7.2299999999999996E-5</v>
          </cell>
          <cell r="E597">
            <v>170571</v>
          </cell>
          <cell r="F597" t="str">
            <v xml:space="preserve"> </v>
          </cell>
          <cell r="G597">
            <v>26315</v>
          </cell>
          <cell r="H597">
            <v>23414</v>
          </cell>
          <cell r="I597">
            <v>45263</v>
          </cell>
          <cell r="J597">
            <v>7628</v>
          </cell>
          <cell r="K597">
            <v>102620</v>
          </cell>
          <cell r="L597"/>
          <cell r="M597">
            <v>883</v>
          </cell>
          <cell r="N597">
            <v>0</v>
          </cell>
          <cell r="O597">
            <v>5714</v>
          </cell>
          <cell r="P597">
            <v>6597</v>
          </cell>
          <cell r="Q597"/>
          <cell r="R597">
            <v>47380</v>
          </cell>
          <cell r="S597">
            <v>1584</v>
          </cell>
          <cell r="T597">
            <v>48964</v>
          </cell>
        </row>
        <row r="598">
          <cell r="A598">
            <v>96421</v>
          </cell>
          <cell r="B598" t="str">
            <v xml:space="preserve"> NASHVILLE</v>
          </cell>
          <cell r="C598">
            <v>4.2880000000000001E-4</v>
          </cell>
          <cell r="D598">
            <v>4.2529999999999998E-4</v>
          </cell>
          <cell r="E598">
            <v>1017260</v>
          </cell>
          <cell r="F598" t="str">
            <v xml:space="preserve"> </v>
          </cell>
          <cell r="G598">
            <v>156939</v>
          </cell>
          <cell r="H598">
            <v>139640</v>
          </cell>
          <cell r="I598">
            <v>269942</v>
          </cell>
          <cell r="J598">
            <v>0</v>
          </cell>
          <cell r="K598">
            <v>566521</v>
          </cell>
          <cell r="L598"/>
          <cell r="M598">
            <v>5266</v>
          </cell>
          <cell r="N598">
            <v>0</v>
          </cell>
          <cell r="O598">
            <v>60679</v>
          </cell>
          <cell r="P598">
            <v>65945</v>
          </cell>
          <cell r="Q598"/>
          <cell r="R598">
            <v>282568</v>
          </cell>
          <cell r="S598">
            <v>-39301</v>
          </cell>
          <cell r="T598">
            <v>243267</v>
          </cell>
        </row>
        <row r="599">
          <cell r="A599">
            <v>96431</v>
          </cell>
          <cell r="B599" t="str">
            <v xml:space="preserve"> MIDDLESEX</v>
          </cell>
          <cell r="C599">
            <v>3.0599999999999998E-5</v>
          </cell>
          <cell r="D599">
            <v>4.2799999999999997E-5</v>
          </cell>
          <cell r="E599">
            <v>72594</v>
          </cell>
          <cell r="F599" t="str">
            <v xml:space="preserve"> </v>
          </cell>
          <cell r="G599">
            <v>11199</v>
          </cell>
          <cell r="H599">
            <v>9965</v>
          </cell>
          <cell r="I599">
            <v>19264</v>
          </cell>
          <cell r="J599">
            <v>4082</v>
          </cell>
          <cell r="K599">
            <v>44510</v>
          </cell>
          <cell r="L599"/>
          <cell r="M599">
            <v>376</v>
          </cell>
          <cell r="N599">
            <v>0</v>
          </cell>
          <cell r="O599">
            <v>9581</v>
          </cell>
          <cell r="P599">
            <v>9957</v>
          </cell>
          <cell r="Q599"/>
          <cell r="R599">
            <v>20165</v>
          </cell>
          <cell r="S599">
            <v>-2392</v>
          </cell>
          <cell r="T599">
            <v>17773</v>
          </cell>
        </row>
        <row r="600">
          <cell r="A600">
            <v>96441</v>
          </cell>
          <cell r="B600" t="str">
            <v xml:space="preserve"> WHITAKERS</v>
          </cell>
          <cell r="C600">
            <v>2.8E-5</v>
          </cell>
          <cell r="D600">
            <v>2.97E-5</v>
          </cell>
          <cell r="E600">
            <v>66426</v>
          </cell>
          <cell r="F600" t="str">
            <v xml:space="preserve"> </v>
          </cell>
          <cell r="G600">
            <v>10248</v>
          </cell>
          <cell r="H600">
            <v>9118</v>
          </cell>
          <cell r="I600">
            <v>17627</v>
          </cell>
          <cell r="J600">
            <v>4392</v>
          </cell>
          <cell r="K600">
            <v>41385</v>
          </cell>
          <cell r="L600"/>
          <cell r="M600">
            <v>344</v>
          </cell>
          <cell r="N600">
            <v>0</v>
          </cell>
          <cell r="O600">
            <v>57</v>
          </cell>
          <cell r="P600">
            <v>401</v>
          </cell>
          <cell r="Q600"/>
          <cell r="R600">
            <v>18451</v>
          </cell>
          <cell r="S600">
            <v>2845</v>
          </cell>
          <cell r="T600">
            <v>21296</v>
          </cell>
        </row>
        <row r="601">
          <cell r="A601">
            <v>96451</v>
          </cell>
          <cell r="B601" t="str">
            <v xml:space="preserve"> BAILEY</v>
          </cell>
          <cell r="C601">
            <v>1.8700000000000001E-5</v>
          </cell>
          <cell r="D601">
            <v>2.0299999999999999E-5</v>
          </cell>
          <cell r="E601">
            <v>44363</v>
          </cell>
          <cell r="F601" t="str">
            <v xml:space="preserve"> </v>
          </cell>
          <cell r="G601">
            <v>6844</v>
          </cell>
          <cell r="H601">
            <v>6089</v>
          </cell>
          <cell r="I601">
            <v>11772</v>
          </cell>
          <cell r="J601">
            <v>4558</v>
          </cell>
          <cell r="K601">
            <v>29263</v>
          </cell>
          <cell r="L601"/>
          <cell r="M601">
            <v>230</v>
          </cell>
          <cell r="N601">
            <v>0</v>
          </cell>
          <cell r="O601">
            <v>2079</v>
          </cell>
          <cell r="P601">
            <v>2309</v>
          </cell>
          <cell r="Q601"/>
          <cell r="R601">
            <v>12323</v>
          </cell>
          <cell r="S601">
            <v>588</v>
          </cell>
          <cell r="T601">
            <v>12911</v>
          </cell>
        </row>
        <row r="602">
          <cell r="A602">
            <v>96461</v>
          </cell>
          <cell r="B602" t="str">
            <v xml:space="preserve"> SHARPSBURG</v>
          </cell>
          <cell r="C602">
            <v>1.538E-4</v>
          </cell>
          <cell r="D602">
            <v>1.361E-4</v>
          </cell>
          <cell r="E602">
            <v>364866</v>
          </cell>
          <cell r="F602" t="str">
            <v xml:space="preserve"> </v>
          </cell>
          <cell r="G602">
            <v>56290</v>
          </cell>
          <cell r="H602">
            <v>50085</v>
          </cell>
          <cell r="I602">
            <v>96821</v>
          </cell>
          <cell r="J602">
            <v>11947</v>
          </cell>
          <cell r="K602">
            <v>215143</v>
          </cell>
          <cell r="L602"/>
          <cell r="M602">
            <v>1889</v>
          </cell>
          <cell r="N602">
            <v>0</v>
          </cell>
          <cell r="O602">
            <v>9861</v>
          </cell>
          <cell r="P602">
            <v>11750</v>
          </cell>
          <cell r="Q602"/>
          <cell r="R602">
            <v>101350</v>
          </cell>
          <cell r="S602">
            <v>-1446</v>
          </cell>
          <cell r="T602">
            <v>99904</v>
          </cell>
        </row>
        <row r="603">
          <cell r="A603">
            <v>96501</v>
          </cell>
          <cell r="B603" t="str">
            <v>NEW HANOVER COUNTY</v>
          </cell>
          <cell r="C603">
            <v>1.453E-2</v>
          </cell>
          <cell r="D603">
            <v>1.44739E-2</v>
          </cell>
          <cell r="E603">
            <v>34470129</v>
          </cell>
          <cell r="F603" t="str">
            <v xml:space="preserve"> </v>
          </cell>
          <cell r="G603">
            <v>5317922</v>
          </cell>
          <cell r="H603">
            <v>4731723</v>
          </cell>
          <cell r="I603">
            <v>9147042</v>
          </cell>
          <cell r="J603">
            <v>113402</v>
          </cell>
          <cell r="K603">
            <v>19310089</v>
          </cell>
          <cell r="L603"/>
          <cell r="M603">
            <v>178443</v>
          </cell>
          <cell r="N603">
            <v>0</v>
          </cell>
          <cell r="O603">
            <v>280861</v>
          </cell>
          <cell r="P603">
            <v>459304</v>
          </cell>
          <cell r="Q603"/>
          <cell r="R603">
            <v>9574878</v>
          </cell>
          <cell r="S603">
            <v>126655</v>
          </cell>
          <cell r="T603">
            <v>9701533</v>
          </cell>
        </row>
        <row r="604">
          <cell r="A604">
            <v>96502</v>
          </cell>
          <cell r="B604" t="str">
            <v>NEW HANOVER AIRPORT AUTHORITY</v>
          </cell>
          <cell r="C604">
            <v>4.059E-4</v>
          </cell>
          <cell r="D604">
            <v>4.2440000000000002E-4</v>
          </cell>
          <cell r="E604">
            <v>962934</v>
          </cell>
          <cell r="F604" t="str">
            <v xml:space="preserve"> </v>
          </cell>
          <cell r="G604">
            <v>148558</v>
          </cell>
          <cell r="H604">
            <v>132183</v>
          </cell>
          <cell r="I604">
            <v>255525</v>
          </cell>
          <cell r="J604">
            <v>16491</v>
          </cell>
          <cell r="K604">
            <v>552757</v>
          </cell>
          <cell r="L604"/>
          <cell r="M604">
            <v>4985</v>
          </cell>
          <cell r="N604">
            <v>0</v>
          </cell>
          <cell r="O604">
            <v>0</v>
          </cell>
          <cell r="P604">
            <v>4985</v>
          </cell>
          <cell r="Q604"/>
          <cell r="R604">
            <v>267477</v>
          </cell>
          <cell r="S604">
            <v>23122</v>
          </cell>
          <cell r="T604">
            <v>290599</v>
          </cell>
        </row>
        <row r="605">
          <cell r="A605">
            <v>96503</v>
          </cell>
          <cell r="B605" t="str">
            <v>WILMINGTON HOUSING AUTHORITY</v>
          </cell>
          <cell r="C605">
            <v>2.856E-4</v>
          </cell>
          <cell r="D605">
            <v>3.0039999999999998E-4</v>
          </cell>
          <cell r="E605">
            <v>677541</v>
          </cell>
          <cell r="F605" t="str">
            <v xml:space="preserve"> </v>
          </cell>
          <cell r="G605">
            <v>104528</v>
          </cell>
          <cell r="H605">
            <v>93006</v>
          </cell>
          <cell r="I605">
            <v>179793</v>
          </cell>
          <cell r="J605">
            <v>287738</v>
          </cell>
          <cell r="K605">
            <v>665065</v>
          </cell>
          <cell r="L605"/>
          <cell r="M605">
            <v>3507</v>
          </cell>
          <cell r="N605">
            <v>0</v>
          </cell>
          <cell r="O605">
            <v>0</v>
          </cell>
          <cell r="P605">
            <v>3507</v>
          </cell>
          <cell r="Q605"/>
          <cell r="R605">
            <v>188203</v>
          </cell>
          <cell r="S605">
            <v>104796</v>
          </cell>
          <cell r="T605">
            <v>292999</v>
          </cell>
        </row>
        <row r="606">
          <cell r="A606">
            <v>96504</v>
          </cell>
          <cell r="B606" t="str">
            <v>NEW HANOVER COUNTY ABC BOARD</v>
          </cell>
          <cell r="C606">
            <v>4.0900000000000002E-4</v>
          </cell>
          <cell r="D606">
            <v>4.1760000000000001E-4</v>
          </cell>
          <cell r="E606">
            <v>970288</v>
          </cell>
          <cell r="F606" t="str">
            <v xml:space="preserve"> </v>
          </cell>
          <cell r="G606">
            <v>149692</v>
          </cell>
          <cell r="H606">
            <v>133192</v>
          </cell>
          <cell r="I606">
            <v>257477</v>
          </cell>
          <cell r="J606">
            <v>30948</v>
          </cell>
          <cell r="K606">
            <v>571309</v>
          </cell>
          <cell r="L606"/>
          <cell r="M606">
            <v>5023</v>
          </cell>
          <cell r="N606">
            <v>0</v>
          </cell>
          <cell r="O606">
            <v>3438</v>
          </cell>
          <cell r="P606">
            <v>8461</v>
          </cell>
          <cell r="Q606"/>
          <cell r="R606">
            <v>269520</v>
          </cell>
          <cell r="S606">
            <v>11348</v>
          </cell>
          <cell r="T606">
            <v>280868</v>
          </cell>
        </row>
        <row r="607">
          <cell r="A607">
            <v>96507</v>
          </cell>
          <cell r="B607" t="str">
            <v>CAPE FEAR PUBLIC UTILITY AUTHORITY</v>
          </cell>
          <cell r="C607">
            <v>2.2176000000000001E-3</v>
          </cell>
          <cell r="D607">
            <v>2.2147E-3</v>
          </cell>
          <cell r="E607">
            <v>5260906</v>
          </cell>
          <cell r="F607" t="str">
            <v xml:space="preserve"> </v>
          </cell>
          <cell r="G607">
            <v>811633</v>
          </cell>
          <cell r="H607">
            <v>722166</v>
          </cell>
          <cell r="I607">
            <v>1396041</v>
          </cell>
          <cell r="J607">
            <v>85460</v>
          </cell>
          <cell r="K607">
            <v>3015300</v>
          </cell>
          <cell r="L607"/>
          <cell r="M607">
            <v>27234</v>
          </cell>
          <cell r="N607">
            <v>0</v>
          </cell>
          <cell r="O607">
            <v>17095</v>
          </cell>
          <cell r="P607">
            <v>44329</v>
          </cell>
          <cell r="Q607"/>
          <cell r="R607">
            <v>1461339</v>
          </cell>
          <cell r="S607">
            <v>67118</v>
          </cell>
          <cell r="T607">
            <v>1528457</v>
          </cell>
        </row>
        <row r="608">
          <cell r="A608">
            <v>96508</v>
          </cell>
          <cell r="B608" t="str">
            <v>LOWER CAPE FEAR WATER &amp; SEWER AUTHORITY</v>
          </cell>
          <cell r="C608">
            <v>7.4000000000000003E-6</v>
          </cell>
          <cell r="D608">
            <v>8.6000000000000007E-6</v>
          </cell>
          <cell r="E608">
            <v>17555</v>
          </cell>
          <cell r="F608" t="str">
            <v xml:space="preserve"> </v>
          </cell>
          <cell r="G608">
            <v>2708</v>
          </cell>
          <cell r="H608">
            <v>2410</v>
          </cell>
          <cell r="I608">
            <v>4659</v>
          </cell>
          <cell r="J608">
            <v>12344</v>
          </cell>
          <cell r="K608">
            <v>22121</v>
          </cell>
          <cell r="L608"/>
          <cell r="M608">
            <v>91</v>
          </cell>
          <cell r="N608">
            <v>0</v>
          </cell>
          <cell r="O608">
            <v>0</v>
          </cell>
          <cell r="P608">
            <v>91</v>
          </cell>
          <cell r="Q608"/>
          <cell r="R608">
            <v>4876</v>
          </cell>
          <cell r="S608">
            <v>5799</v>
          </cell>
          <cell r="T608">
            <v>10675</v>
          </cell>
        </row>
        <row r="609">
          <cell r="A609">
            <v>96511</v>
          </cell>
          <cell r="B609" t="str">
            <v xml:space="preserve"> WRIGHTSVILLE BEACH</v>
          </cell>
          <cell r="C609">
            <v>6.1580000000000001E-4</v>
          </cell>
          <cell r="D609">
            <v>6.2069999999999996E-4</v>
          </cell>
          <cell r="E609">
            <v>1460888</v>
          </cell>
          <cell r="F609" t="str">
            <v xml:space="preserve"> </v>
          </cell>
          <cell r="G609">
            <v>225380</v>
          </cell>
          <cell r="H609">
            <v>200536</v>
          </cell>
          <cell r="I609">
            <v>387663</v>
          </cell>
          <cell r="J609">
            <v>0</v>
          </cell>
          <cell r="K609">
            <v>813579</v>
          </cell>
          <cell r="L609"/>
          <cell r="M609">
            <v>7563</v>
          </cell>
          <cell r="N609">
            <v>0</v>
          </cell>
          <cell r="O609">
            <v>55836</v>
          </cell>
          <cell r="P609">
            <v>63399</v>
          </cell>
          <cell r="Q609"/>
          <cell r="R609">
            <v>405796</v>
          </cell>
          <cell r="S609">
            <v>-51447</v>
          </cell>
          <cell r="T609">
            <v>354349</v>
          </cell>
        </row>
        <row r="610">
          <cell r="A610">
            <v>96512</v>
          </cell>
          <cell r="B610" t="str">
            <v>CAPE FEAR PUBLIC TRANSPORTATION AUTHORITY</v>
          </cell>
          <cell r="C610">
            <v>1.5899999999999999E-4</v>
          </cell>
          <cell r="D610">
            <v>1.5119999999999999E-4</v>
          </cell>
          <cell r="E610">
            <v>377202</v>
          </cell>
          <cell r="F610" t="str">
            <v xml:space="preserve"> </v>
          </cell>
          <cell r="G610">
            <v>58193</v>
          </cell>
          <cell r="H610">
            <v>51778</v>
          </cell>
          <cell r="I610">
            <v>100095</v>
          </cell>
          <cell r="J610">
            <v>10002</v>
          </cell>
          <cell r="K610">
            <v>220068</v>
          </cell>
          <cell r="L610"/>
          <cell r="M610">
            <v>1953</v>
          </cell>
          <cell r="N610">
            <v>0</v>
          </cell>
          <cell r="O610">
            <v>7472</v>
          </cell>
          <cell r="P610">
            <v>9425</v>
          </cell>
          <cell r="Q610"/>
          <cell r="R610">
            <v>104777</v>
          </cell>
          <cell r="S610">
            <v>1973</v>
          </cell>
          <cell r="T610">
            <v>106750</v>
          </cell>
        </row>
        <row r="612">
          <cell r="A612">
            <v>96521</v>
          </cell>
          <cell r="B612" t="str">
            <v xml:space="preserve"> CAROLINA BEACH</v>
          </cell>
          <cell r="C612">
            <v>9.6719999999999998E-4</v>
          </cell>
          <cell r="D612">
            <v>9.881E-4</v>
          </cell>
          <cell r="E612">
            <v>2294529</v>
          </cell>
          <cell r="F612" t="str">
            <v xml:space="preserve"> </v>
          </cell>
          <cell r="G612">
            <v>353991</v>
          </cell>
          <cell r="H612">
            <v>314971</v>
          </cell>
          <cell r="I612">
            <v>608879</v>
          </cell>
          <cell r="J612">
            <v>13526</v>
          </cell>
          <cell r="K612">
            <v>1291367</v>
          </cell>
          <cell r="L612"/>
          <cell r="M612">
            <v>11878</v>
          </cell>
          <cell r="N612">
            <v>0</v>
          </cell>
          <cell r="O612">
            <v>66754</v>
          </cell>
          <cell r="P612">
            <v>78632</v>
          </cell>
          <cell r="Q612"/>
          <cell r="R612">
            <v>637359</v>
          </cell>
          <cell r="S612">
            <v>-6086</v>
          </cell>
          <cell r="T612">
            <v>631273</v>
          </cell>
        </row>
        <row r="613">
          <cell r="A613">
            <v>96531</v>
          </cell>
          <cell r="B613" t="str">
            <v>CITY OF WILMINGTON</v>
          </cell>
          <cell r="C613">
            <v>8.7183999999999994E-3</v>
          </cell>
          <cell r="D613">
            <v>8.5845000000000001E-3</v>
          </cell>
          <cell r="E613">
            <v>20683026</v>
          </cell>
          <cell r="F613" t="str">
            <v xml:space="preserve"> </v>
          </cell>
          <cell r="G613">
            <v>3190900</v>
          </cell>
          <cell r="H613">
            <v>2839165</v>
          </cell>
          <cell r="I613">
            <v>5488477</v>
          </cell>
          <cell r="J613">
            <v>21971</v>
          </cell>
          <cell r="K613">
            <v>11540513</v>
          </cell>
          <cell r="L613"/>
          <cell r="M613">
            <v>107071</v>
          </cell>
          <cell r="N613">
            <v>0</v>
          </cell>
          <cell r="O613">
            <v>363715</v>
          </cell>
          <cell r="P613">
            <v>470786</v>
          </cell>
          <cell r="Q613"/>
          <cell r="R613">
            <v>5745190</v>
          </cell>
          <cell r="S613">
            <v>-139676</v>
          </cell>
          <cell r="T613">
            <v>5605514</v>
          </cell>
        </row>
        <row r="614">
          <cell r="A614">
            <v>96541</v>
          </cell>
          <cell r="B614" t="str">
            <v xml:space="preserve"> KURE BEACH</v>
          </cell>
          <cell r="C614">
            <v>3.5780000000000002E-4</v>
          </cell>
          <cell r="D614">
            <v>3.5950000000000001E-4</v>
          </cell>
          <cell r="E614">
            <v>848824</v>
          </cell>
          <cell r="F614" t="str">
            <v xml:space="preserve"> </v>
          </cell>
          <cell r="G614">
            <v>130953</v>
          </cell>
          <cell r="H614">
            <v>116518</v>
          </cell>
          <cell r="I614">
            <v>225245</v>
          </cell>
          <cell r="J614">
            <v>11846</v>
          </cell>
          <cell r="K614">
            <v>484562</v>
          </cell>
          <cell r="L614"/>
          <cell r="M614">
            <v>4394</v>
          </cell>
          <cell r="N614">
            <v>0</v>
          </cell>
          <cell r="O614">
            <v>5150</v>
          </cell>
          <cell r="P614">
            <v>9544</v>
          </cell>
          <cell r="Q614"/>
          <cell r="R614">
            <v>235781</v>
          </cell>
          <cell r="S614">
            <v>11668</v>
          </cell>
          <cell r="T614">
            <v>247449</v>
          </cell>
        </row>
        <row r="615">
          <cell r="A615">
            <v>96601</v>
          </cell>
          <cell r="B615" t="str">
            <v>NORTHAMPTON COUNTY</v>
          </cell>
          <cell r="C615">
            <v>1.7382999999999999E-3</v>
          </cell>
          <cell r="D615">
            <v>1.8169E-3</v>
          </cell>
          <cell r="E615">
            <v>4123842</v>
          </cell>
          <cell r="F615" t="str">
            <v xml:space="preserve"> </v>
          </cell>
          <cell r="G615">
            <v>636211</v>
          </cell>
          <cell r="H615">
            <v>566081</v>
          </cell>
          <cell r="I615">
            <v>1094309</v>
          </cell>
          <cell r="J615">
            <v>18007</v>
          </cell>
          <cell r="K615">
            <v>2314608</v>
          </cell>
          <cell r="L615"/>
          <cell r="M615">
            <v>21348</v>
          </cell>
          <cell r="N615">
            <v>0</v>
          </cell>
          <cell r="O615">
            <v>78122</v>
          </cell>
          <cell r="P615">
            <v>99470</v>
          </cell>
          <cell r="Q615"/>
          <cell r="R615">
            <v>1145493</v>
          </cell>
          <cell r="S615">
            <v>10810</v>
          </cell>
          <cell r="T615">
            <v>1156303</v>
          </cell>
        </row>
        <row r="616">
          <cell r="A616">
            <v>96604</v>
          </cell>
          <cell r="B616" t="str">
            <v>NORTHAMPTON COUNTY ABC BOARD</v>
          </cell>
          <cell r="C616">
            <v>5.5999999999999997E-6</v>
          </cell>
          <cell r="D616">
            <v>7.6000000000000001E-6</v>
          </cell>
          <cell r="E616">
            <v>13285</v>
          </cell>
          <cell r="F616" t="str">
            <v xml:space="preserve"> </v>
          </cell>
          <cell r="G616">
            <v>2050</v>
          </cell>
          <cell r="H616">
            <v>1823</v>
          </cell>
          <cell r="I616">
            <v>3525</v>
          </cell>
          <cell r="J616">
            <v>1487</v>
          </cell>
          <cell r="K616">
            <v>8885</v>
          </cell>
          <cell r="L616"/>
          <cell r="M616">
            <v>69</v>
          </cell>
          <cell r="N616">
            <v>0</v>
          </cell>
          <cell r="O616">
            <v>31</v>
          </cell>
          <cell r="P616">
            <v>100</v>
          </cell>
          <cell r="Q616"/>
          <cell r="R616">
            <v>3690</v>
          </cell>
          <cell r="S616">
            <v>870</v>
          </cell>
          <cell r="T616">
            <v>4560</v>
          </cell>
        </row>
        <row r="617">
          <cell r="A617">
            <v>96611</v>
          </cell>
          <cell r="B617" t="str">
            <v xml:space="preserve"> RICH SQUARE</v>
          </cell>
          <cell r="C617">
            <v>2.41E-5</v>
          </cell>
          <cell r="D617">
            <v>2.83E-5</v>
          </cell>
          <cell r="E617">
            <v>57173</v>
          </cell>
          <cell r="F617" t="str">
            <v xml:space="preserve"> </v>
          </cell>
          <cell r="G617">
            <v>8821</v>
          </cell>
          <cell r="H617">
            <v>7848</v>
          </cell>
          <cell r="I617">
            <v>15172</v>
          </cell>
          <cell r="J617">
            <v>263</v>
          </cell>
          <cell r="K617">
            <v>32104</v>
          </cell>
          <cell r="L617"/>
          <cell r="M617">
            <v>296</v>
          </cell>
          <cell r="N617">
            <v>0</v>
          </cell>
          <cell r="O617">
            <v>5198</v>
          </cell>
          <cell r="P617">
            <v>5494</v>
          </cell>
          <cell r="Q617"/>
          <cell r="R617">
            <v>15881</v>
          </cell>
          <cell r="S617">
            <v>-426</v>
          </cell>
          <cell r="T617">
            <v>15455</v>
          </cell>
        </row>
        <row r="618">
          <cell r="A618">
            <v>96612</v>
          </cell>
          <cell r="B618" t="str">
            <v>CHOANOKE PUBLIC TRANSPORTATION AUTHORITY</v>
          </cell>
          <cell r="C618">
            <v>5.4500000000000003E-5</v>
          </cell>
          <cell r="D618">
            <v>6.3299999999999994E-5</v>
          </cell>
          <cell r="E618">
            <v>129293</v>
          </cell>
          <cell r="F618" t="str">
            <v xml:space="preserve"> </v>
          </cell>
          <cell r="G618">
            <v>19947</v>
          </cell>
          <cell r="H618">
            <v>17748</v>
          </cell>
          <cell r="I618">
            <v>34309</v>
          </cell>
          <cell r="J618">
            <v>4765</v>
          </cell>
          <cell r="K618">
            <v>76769</v>
          </cell>
          <cell r="L618"/>
          <cell r="M618">
            <v>669</v>
          </cell>
          <cell r="N618">
            <v>0</v>
          </cell>
          <cell r="O618">
            <v>2264</v>
          </cell>
          <cell r="P618">
            <v>2933</v>
          </cell>
          <cell r="Q618"/>
          <cell r="R618">
            <v>35914</v>
          </cell>
          <cell r="S618">
            <v>1711</v>
          </cell>
          <cell r="T618">
            <v>37625</v>
          </cell>
        </row>
        <row r="619">
          <cell r="A619">
            <v>96621</v>
          </cell>
          <cell r="B619" t="str">
            <v xml:space="preserve"> WOODLAND</v>
          </cell>
          <cell r="C619">
            <v>1.9199999999999999E-5</v>
          </cell>
          <cell r="D619">
            <v>2.5999999999999998E-5</v>
          </cell>
          <cell r="E619">
            <v>45549</v>
          </cell>
          <cell r="F619" t="str">
            <v xml:space="preserve"> </v>
          </cell>
          <cell r="G619">
            <v>7027</v>
          </cell>
          <cell r="H619">
            <v>6253</v>
          </cell>
          <cell r="I619">
            <v>12087</v>
          </cell>
          <cell r="J619">
            <v>856</v>
          </cell>
          <cell r="K619">
            <v>26223</v>
          </cell>
          <cell r="L619"/>
          <cell r="M619">
            <v>236</v>
          </cell>
          <cell r="N619">
            <v>0</v>
          </cell>
          <cell r="O619">
            <v>4283</v>
          </cell>
          <cell r="P619">
            <v>4519</v>
          </cell>
          <cell r="Q619"/>
          <cell r="R619">
            <v>12652</v>
          </cell>
          <cell r="S619">
            <v>-2837</v>
          </cell>
          <cell r="T619">
            <v>9815</v>
          </cell>
        </row>
        <row r="620">
          <cell r="A620">
            <v>96631</v>
          </cell>
          <cell r="B620" t="str">
            <v xml:space="preserve"> GARYSBURG</v>
          </cell>
          <cell r="C620">
            <v>2.3600000000000001E-5</v>
          </cell>
          <cell r="D620">
            <v>2.51E-5</v>
          </cell>
          <cell r="E620">
            <v>55987</v>
          </cell>
          <cell r="F620" t="str">
            <v xml:space="preserve"> </v>
          </cell>
          <cell r="G620">
            <v>8638</v>
          </cell>
          <cell r="H620">
            <v>7685</v>
          </cell>
          <cell r="I620">
            <v>14857</v>
          </cell>
          <cell r="J620">
            <v>1094</v>
          </cell>
          <cell r="K620">
            <v>32274</v>
          </cell>
          <cell r="L620"/>
          <cell r="M620">
            <v>290</v>
          </cell>
          <cell r="N620">
            <v>0</v>
          </cell>
          <cell r="O620">
            <v>531</v>
          </cell>
          <cell r="P620">
            <v>821</v>
          </cell>
          <cell r="Q620"/>
          <cell r="R620">
            <v>15552</v>
          </cell>
          <cell r="S620">
            <v>2111</v>
          </cell>
          <cell r="T620">
            <v>17663</v>
          </cell>
        </row>
        <row r="621">
          <cell r="A621">
            <v>96641</v>
          </cell>
          <cell r="B621" t="str">
            <v xml:space="preserve"> CONWAY</v>
          </cell>
          <cell r="C621">
            <v>3.2100000000000001E-5</v>
          </cell>
          <cell r="D621">
            <v>3.2199999999999997E-5</v>
          </cell>
          <cell r="E621">
            <v>76152</v>
          </cell>
          <cell r="F621" t="str">
            <v xml:space="preserve"> </v>
          </cell>
          <cell r="G621">
            <v>11748</v>
          </cell>
          <cell r="H621">
            <v>10453</v>
          </cell>
          <cell r="I621">
            <v>20208</v>
          </cell>
          <cell r="J621">
            <v>14432</v>
          </cell>
          <cell r="K621">
            <v>56841</v>
          </cell>
          <cell r="L621"/>
          <cell r="M621">
            <v>394</v>
          </cell>
          <cell r="N621">
            <v>0</v>
          </cell>
          <cell r="O621">
            <v>0</v>
          </cell>
          <cell r="P621">
            <v>394</v>
          </cell>
          <cell r="Q621"/>
          <cell r="R621">
            <v>21153</v>
          </cell>
          <cell r="S621">
            <v>7161</v>
          </cell>
          <cell r="T621">
            <v>28314</v>
          </cell>
        </row>
        <row r="622">
          <cell r="A622">
            <v>96651</v>
          </cell>
          <cell r="B622" t="str">
            <v xml:space="preserve"> GASTON</v>
          </cell>
          <cell r="C622">
            <v>1.9400000000000001E-5</v>
          </cell>
          <cell r="D622">
            <v>1.7399999999999999E-5</v>
          </cell>
          <cell r="E622">
            <v>46023</v>
          </cell>
          <cell r="F622" t="str">
            <v xml:space="preserve"> </v>
          </cell>
          <cell r="G622">
            <v>7100</v>
          </cell>
          <cell r="H622">
            <v>6317</v>
          </cell>
          <cell r="I622">
            <v>12213</v>
          </cell>
          <cell r="J622">
            <v>2918</v>
          </cell>
          <cell r="K622">
            <v>28548</v>
          </cell>
          <cell r="L622"/>
          <cell r="M622">
            <v>238</v>
          </cell>
          <cell r="N622">
            <v>0</v>
          </cell>
          <cell r="O622">
            <v>392</v>
          </cell>
          <cell r="P622">
            <v>630</v>
          </cell>
          <cell r="Q622"/>
          <cell r="R622">
            <v>12784</v>
          </cell>
          <cell r="S622">
            <v>12</v>
          </cell>
          <cell r="T622">
            <v>12796</v>
          </cell>
        </row>
        <row r="623">
          <cell r="A623">
            <v>96661</v>
          </cell>
          <cell r="B623" t="str">
            <v xml:space="preserve"> JACKSON</v>
          </cell>
          <cell r="C623">
            <v>1.9000000000000001E-5</v>
          </cell>
          <cell r="D623">
            <v>1.9700000000000001E-5</v>
          </cell>
          <cell r="E623">
            <v>45074</v>
          </cell>
          <cell r="F623" t="str">
            <v xml:space="preserve"> </v>
          </cell>
          <cell r="G623">
            <v>6954</v>
          </cell>
          <cell r="H623">
            <v>6187</v>
          </cell>
          <cell r="I623">
            <v>11961</v>
          </cell>
          <cell r="J623">
            <v>3696</v>
          </cell>
          <cell r="K623">
            <v>28798</v>
          </cell>
          <cell r="L623"/>
          <cell r="M623">
            <v>233</v>
          </cell>
          <cell r="N623">
            <v>0</v>
          </cell>
          <cell r="O623">
            <v>0</v>
          </cell>
          <cell r="P623">
            <v>233</v>
          </cell>
          <cell r="Q623"/>
          <cell r="R623">
            <v>12520</v>
          </cell>
          <cell r="S623">
            <v>2708</v>
          </cell>
          <cell r="T623">
            <v>15228</v>
          </cell>
        </row>
        <row r="624">
          <cell r="A624">
            <v>96671</v>
          </cell>
          <cell r="B624" t="str">
            <v xml:space="preserve"> SEVERN</v>
          </cell>
          <cell r="C624">
            <v>1.3900000000000001E-5</v>
          </cell>
          <cell r="D624">
            <v>1.49E-5</v>
          </cell>
          <cell r="E624">
            <v>32976</v>
          </cell>
          <cell r="F624" t="str">
            <v xml:space="preserve"> </v>
          </cell>
          <cell r="G624">
            <v>5087</v>
          </cell>
          <cell r="H624">
            <v>4527</v>
          </cell>
          <cell r="I624">
            <v>8750</v>
          </cell>
          <cell r="J624">
            <v>5736</v>
          </cell>
          <cell r="K624">
            <v>24100</v>
          </cell>
          <cell r="L624"/>
          <cell r="M624">
            <v>171</v>
          </cell>
          <cell r="N624">
            <v>0</v>
          </cell>
          <cell r="O624">
            <v>0</v>
          </cell>
          <cell r="P624">
            <v>171</v>
          </cell>
          <cell r="Q624"/>
          <cell r="R624">
            <v>9160</v>
          </cell>
          <cell r="S624">
            <v>3860</v>
          </cell>
          <cell r="T624">
            <v>13020</v>
          </cell>
        </row>
        <row r="625">
          <cell r="A625">
            <v>96681</v>
          </cell>
          <cell r="B625" t="str">
            <v xml:space="preserve"> SEABOARD</v>
          </cell>
          <cell r="C625">
            <v>2.0599999999999999E-5</v>
          </cell>
          <cell r="D625">
            <v>1.7499999999999998E-5</v>
          </cell>
          <cell r="E625">
            <v>48870</v>
          </cell>
          <cell r="F625" t="str">
            <v xml:space="preserve"> </v>
          </cell>
          <cell r="G625">
            <v>7540</v>
          </cell>
          <cell r="H625">
            <v>6709</v>
          </cell>
          <cell r="I625">
            <v>12968</v>
          </cell>
          <cell r="J625">
            <v>13276</v>
          </cell>
          <cell r="K625">
            <v>40493</v>
          </cell>
          <cell r="L625"/>
          <cell r="M625">
            <v>253</v>
          </cell>
          <cell r="N625">
            <v>0</v>
          </cell>
          <cell r="O625">
            <v>6212</v>
          </cell>
          <cell r="P625">
            <v>6465</v>
          </cell>
          <cell r="Q625"/>
          <cell r="R625">
            <v>13575</v>
          </cell>
          <cell r="S625">
            <v>4774</v>
          </cell>
          <cell r="T625">
            <v>18349</v>
          </cell>
        </row>
        <row r="626">
          <cell r="A626">
            <v>96701</v>
          </cell>
          <cell r="B626" t="str">
            <v>ONSLOW COUNTY</v>
          </cell>
          <cell r="C626">
            <v>8.5999000000000006E-3</v>
          </cell>
          <cell r="D626">
            <v>8.4206000000000003E-3</v>
          </cell>
          <cell r="E626">
            <v>20401904</v>
          </cell>
          <cell r="F626" t="str">
            <v xml:space="preserve"> </v>
          </cell>
          <cell r="G626">
            <v>3147529</v>
          </cell>
          <cell r="H626">
            <v>2800575</v>
          </cell>
          <cell r="I626">
            <v>5413878</v>
          </cell>
          <cell r="J626">
            <v>278573</v>
          </cell>
          <cell r="K626">
            <v>11640555</v>
          </cell>
          <cell r="L626"/>
          <cell r="M626">
            <v>105615</v>
          </cell>
          <cell r="N626">
            <v>0</v>
          </cell>
          <cell r="O626">
            <v>118719</v>
          </cell>
          <cell r="P626">
            <v>224334</v>
          </cell>
          <cell r="Q626"/>
          <cell r="R626">
            <v>5667102</v>
          </cell>
          <cell r="S626">
            <v>115986</v>
          </cell>
          <cell r="T626">
            <v>5783088</v>
          </cell>
        </row>
        <row r="627">
          <cell r="A627">
            <v>96704</v>
          </cell>
          <cell r="B627" t="str">
            <v>ONSLOW COUNTY ABC BOARD</v>
          </cell>
          <cell r="C627">
            <v>1.7550000000000001E-4</v>
          </cell>
          <cell r="D627">
            <v>1.7259999999999999E-4</v>
          </cell>
          <cell r="E627">
            <v>416346</v>
          </cell>
          <cell r="F627" t="str">
            <v xml:space="preserve"> </v>
          </cell>
          <cell r="G627">
            <v>64232</v>
          </cell>
          <cell r="H627">
            <v>57152</v>
          </cell>
          <cell r="I627">
            <v>110482</v>
          </cell>
          <cell r="J627">
            <v>38151</v>
          </cell>
          <cell r="K627">
            <v>270017</v>
          </cell>
          <cell r="L627"/>
          <cell r="M627">
            <v>2155</v>
          </cell>
          <cell r="N627">
            <v>0</v>
          </cell>
          <cell r="O627">
            <v>0</v>
          </cell>
          <cell r="P627">
            <v>2155</v>
          </cell>
          <cell r="Q627"/>
          <cell r="R627">
            <v>115650</v>
          </cell>
          <cell r="S627">
            <v>14330</v>
          </cell>
          <cell r="T627">
            <v>129980</v>
          </cell>
        </row>
        <row r="628">
          <cell r="A628">
            <v>96708</v>
          </cell>
          <cell r="B628" t="str">
            <v>ONSLOW WATER &amp; SEWER AUTHORITY</v>
          </cell>
          <cell r="C628">
            <v>8.8579999999999996E-4</v>
          </cell>
          <cell r="D628">
            <v>9.031E-4</v>
          </cell>
          <cell r="E628">
            <v>2101421</v>
          </cell>
          <cell r="F628" t="str">
            <v xml:space="preserve"> </v>
          </cell>
          <cell r="G628">
            <v>324199</v>
          </cell>
          <cell r="H628">
            <v>288462</v>
          </cell>
          <cell r="I628">
            <v>557636</v>
          </cell>
          <cell r="J628">
            <v>83209</v>
          </cell>
          <cell r="K628">
            <v>1253506</v>
          </cell>
          <cell r="L628"/>
          <cell r="M628">
            <v>10879</v>
          </cell>
          <cell r="N628">
            <v>0</v>
          </cell>
          <cell r="O628">
            <v>12940</v>
          </cell>
          <cell r="P628">
            <v>23819</v>
          </cell>
          <cell r="Q628"/>
          <cell r="R628">
            <v>583718</v>
          </cell>
          <cell r="S628">
            <v>35387</v>
          </cell>
          <cell r="T628">
            <v>619105</v>
          </cell>
        </row>
        <row r="629">
          <cell r="A629">
            <v>96711</v>
          </cell>
          <cell r="B629" t="str">
            <v>CITY OF JACKSONVILLE</v>
          </cell>
          <cell r="C629">
            <v>3.9007999999999998E-3</v>
          </cell>
          <cell r="D629">
            <v>4.0464000000000003E-3</v>
          </cell>
          <cell r="E629">
            <v>9254032</v>
          </cell>
          <cell r="F629" t="str">
            <v xml:space="preserve"> </v>
          </cell>
          <cell r="G629">
            <v>1427677</v>
          </cell>
          <cell r="H629">
            <v>1270303</v>
          </cell>
          <cell r="I629">
            <v>2455663</v>
          </cell>
          <cell r="J629">
            <v>0</v>
          </cell>
          <cell r="K629">
            <v>5153643</v>
          </cell>
          <cell r="L629"/>
          <cell r="M629">
            <v>47906</v>
          </cell>
          <cell r="N629">
            <v>0</v>
          </cell>
          <cell r="O629">
            <v>409014</v>
          </cell>
          <cell r="P629">
            <v>456920</v>
          </cell>
          <cell r="Q629"/>
          <cell r="R629">
            <v>2570522</v>
          </cell>
          <cell r="S629">
            <v>-194188</v>
          </cell>
          <cell r="T629">
            <v>2376334</v>
          </cell>
        </row>
        <row r="630">
          <cell r="A630">
            <v>96721</v>
          </cell>
          <cell r="B630" t="str">
            <v xml:space="preserve"> SWANSBORO</v>
          </cell>
          <cell r="C630">
            <v>2.1790000000000001E-4</v>
          </cell>
          <cell r="D630">
            <v>2.1379999999999999E-4</v>
          </cell>
          <cell r="E630">
            <v>516933</v>
          </cell>
          <cell r="F630" t="str">
            <v xml:space="preserve"> </v>
          </cell>
          <cell r="G630">
            <v>79751</v>
          </cell>
          <cell r="H630">
            <v>70959</v>
          </cell>
          <cell r="I630">
            <v>137174</v>
          </cell>
          <cell r="J630">
            <v>8328</v>
          </cell>
          <cell r="K630">
            <v>296212</v>
          </cell>
          <cell r="L630"/>
          <cell r="M630">
            <v>2676</v>
          </cell>
          <cell r="N630">
            <v>0</v>
          </cell>
          <cell r="O630">
            <v>16609</v>
          </cell>
          <cell r="P630">
            <v>19285</v>
          </cell>
          <cell r="Q630"/>
          <cell r="R630">
            <v>143590</v>
          </cell>
          <cell r="S630">
            <v>-991</v>
          </cell>
          <cell r="T630">
            <v>142599</v>
          </cell>
        </row>
        <row r="631">
          <cell r="A631">
            <v>96731</v>
          </cell>
          <cell r="B631" t="str">
            <v xml:space="preserve"> HOLLY RIDGE</v>
          </cell>
          <cell r="C631">
            <v>1.7019999999999999E-4</v>
          </cell>
          <cell r="D631">
            <v>1.697E-4</v>
          </cell>
          <cell r="E631">
            <v>403773</v>
          </cell>
          <cell r="F631" t="str">
            <v xml:space="preserve"> </v>
          </cell>
          <cell r="G631">
            <v>62293</v>
          </cell>
          <cell r="H631">
            <v>55426</v>
          </cell>
          <cell r="I631">
            <v>107146</v>
          </cell>
          <cell r="J631">
            <v>13647</v>
          </cell>
          <cell r="K631">
            <v>238512</v>
          </cell>
          <cell r="L631"/>
          <cell r="M631">
            <v>2090</v>
          </cell>
          <cell r="N631">
            <v>0</v>
          </cell>
          <cell r="O631">
            <v>1770</v>
          </cell>
          <cell r="P631">
            <v>3860</v>
          </cell>
          <cell r="Q631"/>
          <cell r="R631">
            <v>112157</v>
          </cell>
          <cell r="S631">
            <v>6857</v>
          </cell>
          <cell r="T631">
            <v>119014</v>
          </cell>
        </row>
        <row r="632">
          <cell r="A632">
            <v>96733</v>
          </cell>
          <cell r="B632" t="str">
            <v>HOLLY RIDGE HOUSING AUTHORITY</v>
          </cell>
          <cell r="C632">
            <v>1.1800000000000001E-5</v>
          </cell>
          <cell r="D632">
            <v>7.3000000000000004E-6</v>
          </cell>
          <cell r="E632">
            <v>27994</v>
          </cell>
          <cell r="F632" t="str">
            <v xml:space="preserve"> </v>
          </cell>
          <cell r="G632">
            <v>4319</v>
          </cell>
          <cell r="H632">
            <v>3843</v>
          </cell>
          <cell r="I632">
            <v>7428</v>
          </cell>
          <cell r="J632">
            <v>4117</v>
          </cell>
          <cell r="K632">
            <v>19707</v>
          </cell>
          <cell r="L632"/>
          <cell r="M632">
            <v>145</v>
          </cell>
          <cell r="N632">
            <v>0</v>
          </cell>
          <cell r="O632">
            <v>705</v>
          </cell>
          <cell r="P632">
            <v>850</v>
          </cell>
          <cell r="Q632"/>
          <cell r="R632">
            <v>7776</v>
          </cell>
          <cell r="S632">
            <v>2113</v>
          </cell>
          <cell r="T632">
            <v>9889</v>
          </cell>
        </row>
        <row r="633">
          <cell r="A633">
            <v>96741</v>
          </cell>
          <cell r="B633" t="str">
            <v xml:space="preserve"> RICHLANDS</v>
          </cell>
          <cell r="C633">
            <v>9.8900000000000005E-5</v>
          </cell>
          <cell r="D633">
            <v>9.0799999999999998E-5</v>
          </cell>
          <cell r="E633">
            <v>234625</v>
          </cell>
          <cell r="F633" t="str">
            <v xml:space="preserve"> </v>
          </cell>
          <cell r="G633">
            <v>36197</v>
          </cell>
          <cell r="H633">
            <v>32207</v>
          </cell>
          <cell r="I633">
            <v>62260</v>
          </cell>
          <cell r="J633">
            <v>4092</v>
          </cell>
          <cell r="K633">
            <v>134756</v>
          </cell>
          <cell r="L633"/>
          <cell r="M633">
            <v>1215</v>
          </cell>
          <cell r="N633">
            <v>0</v>
          </cell>
          <cell r="O633">
            <v>1693</v>
          </cell>
          <cell r="P633">
            <v>2908</v>
          </cell>
          <cell r="Q633"/>
          <cell r="R633">
            <v>65172</v>
          </cell>
          <cell r="S633">
            <v>2903</v>
          </cell>
          <cell r="T633">
            <v>68075</v>
          </cell>
        </row>
        <row r="634">
          <cell r="A634">
            <v>96751</v>
          </cell>
          <cell r="B634" t="str">
            <v xml:space="preserve"> N TOPSAIL BEACH</v>
          </cell>
          <cell r="C634">
            <v>2.7920000000000001E-4</v>
          </cell>
          <cell r="D634">
            <v>2.5809999999999999E-4</v>
          </cell>
          <cell r="E634">
            <v>662358</v>
          </cell>
          <cell r="F634" t="str">
            <v xml:space="preserve"> </v>
          </cell>
          <cell r="G634">
            <v>102186</v>
          </cell>
          <cell r="H634">
            <v>90922</v>
          </cell>
          <cell r="I634">
            <v>175764</v>
          </cell>
          <cell r="J634">
            <v>1710</v>
          </cell>
          <cell r="K634">
            <v>370582</v>
          </cell>
          <cell r="L634"/>
          <cell r="M634">
            <v>3429</v>
          </cell>
          <cell r="N634">
            <v>0</v>
          </cell>
          <cell r="O634">
            <v>19725</v>
          </cell>
          <cell r="P634">
            <v>23154</v>
          </cell>
          <cell r="Q634"/>
          <cell r="R634">
            <v>183985</v>
          </cell>
          <cell r="S634">
            <v>-418</v>
          </cell>
          <cell r="T634">
            <v>183567</v>
          </cell>
        </row>
        <row r="635">
          <cell r="A635">
            <v>96801</v>
          </cell>
          <cell r="B635" t="str">
            <v>ORANGE COUNTY</v>
          </cell>
          <cell r="C635">
            <v>7.6252999999999998E-3</v>
          </cell>
          <cell r="D635">
            <v>7.5814000000000003E-3</v>
          </cell>
          <cell r="E635">
            <v>18089819</v>
          </cell>
          <cell r="F635" t="str">
            <v xml:space="preserve"> </v>
          </cell>
          <cell r="G635">
            <v>2790829</v>
          </cell>
          <cell r="H635">
            <v>2483194</v>
          </cell>
          <cell r="I635">
            <v>4800340</v>
          </cell>
          <cell r="J635">
            <v>244257</v>
          </cell>
          <cell r="K635">
            <v>10318620</v>
          </cell>
          <cell r="L635"/>
          <cell r="M635">
            <v>93646</v>
          </cell>
          <cell r="N635">
            <v>0</v>
          </cell>
          <cell r="O635">
            <v>54881</v>
          </cell>
          <cell r="P635">
            <v>148527</v>
          </cell>
          <cell r="Q635"/>
          <cell r="R635">
            <v>5024867</v>
          </cell>
          <cell r="S635">
            <v>234375</v>
          </cell>
          <cell r="T635">
            <v>5259242</v>
          </cell>
        </row>
        <row r="636">
          <cell r="A636">
            <v>96804</v>
          </cell>
          <cell r="B636" t="str">
            <v>ORANGE COUNTY ABC BOARD</v>
          </cell>
          <cell r="C636">
            <v>2.5539999999999997E-4</v>
          </cell>
          <cell r="D636">
            <v>2.654E-4</v>
          </cell>
          <cell r="E636">
            <v>605896</v>
          </cell>
          <cell r="F636" t="str">
            <v xml:space="preserve"> </v>
          </cell>
          <cell r="G636">
            <v>93475</v>
          </cell>
          <cell r="H636">
            <v>83171</v>
          </cell>
          <cell r="I636">
            <v>160781</v>
          </cell>
          <cell r="J636">
            <v>4075</v>
          </cell>
          <cell r="K636">
            <v>341502</v>
          </cell>
          <cell r="L636"/>
          <cell r="M636">
            <v>3137</v>
          </cell>
          <cell r="N636">
            <v>0</v>
          </cell>
          <cell r="O636">
            <v>20354</v>
          </cell>
          <cell r="P636">
            <v>23491</v>
          </cell>
          <cell r="Q636"/>
          <cell r="R636">
            <v>168302</v>
          </cell>
          <cell r="S636">
            <v>-2456</v>
          </cell>
          <cell r="T636">
            <v>165846</v>
          </cell>
        </row>
        <row r="637">
          <cell r="A637">
            <v>96808</v>
          </cell>
          <cell r="B637" t="str">
            <v>ORANGE WATER AND SEWER AUTHORITY</v>
          </cell>
          <cell r="C637">
            <v>1.2572E-3</v>
          </cell>
          <cell r="D637">
            <v>1.2711000000000001E-3</v>
          </cell>
          <cell r="E637">
            <v>2982508</v>
          </cell>
          <cell r="F637" t="str">
            <v xml:space="preserve"> </v>
          </cell>
          <cell r="G637">
            <v>460130</v>
          </cell>
          <cell r="H637">
            <v>409410</v>
          </cell>
          <cell r="I637">
            <v>791443</v>
          </cell>
          <cell r="J637">
            <v>18089</v>
          </cell>
          <cell r="K637">
            <v>1679072</v>
          </cell>
          <cell r="L637"/>
          <cell r="M637">
            <v>15440</v>
          </cell>
          <cell r="N637">
            <v>0</v>
          </cell>
          <cell r="O637">
            <v>15050</v>
          </cell>
          <cell r="P637">
            <v>30490</v>
          </cell>
          <cell r="Q637"/>
          <cell r="R637">
            <v>828461</v>
          </cell>
          <cell r="S637">
            <v>20446</v>
          </cell>
          <cell r="T637">
            <v>848907</v>
          </cell>
        </row>
        <row r="638">
          <cell r="A638">
            <v>96811</v>
          </cell>
          <cell r="B638" t="str">
            <v xml:space="preserve"> CHAPEL HILL</v>
          </cell>
          <cell r="C638">
            <v>6.1249E-3</v>
          </cell>
          <cell r="D638">
            <v>6.0096999999999998E-3</v>
          </cell>
          <cell r="E638">
            <v>14530358</v>
          </cell>
          <cell r="F638" t="str">
            <v xml:space="preserve"> </v>
          </cell>
          <cell r="G638">
            <v>2241689</v>
          </cell>
          <cell r="H638">
            <v>1994586</v>
          </cell>
          <cell r="I638">
            <v>3855796</v>
          </cell>
          <cell r="J638">
            <v>28059</v>
          </cell>
          <cell r="K638">
            <v>8120130</v>
          </cell>
          <cell r="L638"/>
          <cell r="M638">
            <v>75220</v>
          </cell>
          <cell r="N638">
            <v>0</v>
          </cell>
          <cell r="O638">
            <v>73994</v>
          </cell>
          <cell r="P638">
            <v>149214</v>
          </cell>
          <cell r="Q638"/>
          <cell r="R638">
            <v>4036144</v>
          </cell>
          <cell r="S638">
            <v>-36406</v>
          </cell>
          <cell r="T638">
            <v>3999738</v>
          </cell>
        </row>
        <row r="639">
          <cell r="A639">
            <v>96821</v>
          </cell>
          <cell r="B639" t="str">
            <v xml:space="preserve"> CARRBORO</v>
          </cell>
          <cell r="C639">
            <v>1.1529999999999999E-3</v>
          </cell>
          <cell r="D639">
            <v>1.3247000000000001E-3</v>
          </cell>
          <cell r="E639">
            <v>2735310</v>
          </cell>
          <cell r="F639" t="str">
            <v xml:space="preserve"> </v>
          </cell>
          <cell r="G639">
            <v>421993</v>
          </cell>
          <cell r="H639">
            <v>375477</v>
          </cell>
          <cell r="I639">
            <v>725846</v>
          </cell>
          <cell r="J639">
            <v>0</v>
          </cell>
          <cell r="K639">
            <v>1523316</v>
          </cell>
          <cell r="L639"/>
          <cell r="M639">
            <v>14160</v>
          </cell>
          <cell r="N639">
            <v>0</v>
          </cell>
          <cell r="O639">
            <v>169149</v>
          </cell>
          <cell r="P639">
            <v>183309</v>
          </cell>
          <cell r="Q639"/>
          <cell r="R639">
            <v>759796</v>
          </cell>
          <cell r="S639">
            <v>-77119</v>
          </cell>
          <cell r="T639">
            <v>682677</v>
          </cell>
        </row>
        <row r="640">
          <cell r="A640">
            <v>96831</v>
          </cell>
          <cell r="B640" t="str">
            <v xml:space="preserve"> HILLSBOROUGH</v>
          </cell>
          <cell r="C640">
            <v>9.3130000000000003E-4</v>
          </cell>
          <cell r="D640">
            <v>9.1929999999999996E-4</v>
          </cell>
          <cell r="E640">
            <v>2209362</v>
          </cell>
          <cell r="F640" t="str">
            <v xml:space="preserve"> </v>
          </cell>
          <cell r="G640">
            <v>340852</v>
          </cell>
          <cell r="H640">
            <v>303280</v>
          </cell>
          <cell r="I640">
            <v>586279</v>
          </cell>
          <cell r="J640">
            <v>18400</v>
          </cell>
          <cell r="K640">
            <v>1248811</v>
          </cell>
          <cell r="L640"/>
          <cell r="M640">
            <v>11437</v>
          </cell>
          <cell r="N640">
            <v>0</v>
          </cell>
          <cell r="O640">
            <v>5806</v>
          </cell>
          <cell r="P640">
            <v>17243</v>
          </cell>
          <cell r="Q640"/>
          <cell r="R640">
            <v>613702</v>
          </cell>
          <cell r="S640">
            <v>17873</v>
          </cell>
          <cell r="T640">
            <v>631575</v>
          </cell>
        </row>
        <row r="641">
          <cell r="A641">
            <v>96901</v>
          </cell>
          <cell r="B641" t="str">
            <v>PAMLICO COUNTY</v>
          </cell>
          <cell r="C641">
            <v>9.1089999999999997E-4</v>
          </cell>
          <cell r="D641">
            <v>8.9820000000000004E-4</v>
          </cell>
          <cell r="E641">
            <v>2160966</v>
          </cell>
          <cell r="F641" t="str">
            <v xml:space="preserve"> </v>
          </cell>
          <cell r="G641">
            <v>333386</v>
          </cell>
          <cell r="H641">
            <v>296636</v>
          </cell>
          <cell r="I641">
            <v>573437</v>
          </cell>
          <cell r="J641">
            <v>68835</v>
          </cell>
          <cell r="K641">
            <v>1272294</v>
          </cell>
          <cell r="L641"/>
          <cell r="M641">
            <v>11187</v>
          </cell>
          <cell r="N641">
            <v>0</v>
          </cell>
          <cell r="O641">
            <v>0</v>
          </cell>
          <cell r="P641">
            <v>11187</v>
          </cell>
          <cell r="Q641"/>
          <cell r="R641">
            <v>600259</v>
          </cell>
          <cell r="S641">
            <v>31901</v>
          </cell>
          <cell r="T641">
            <v>632160</v>
          </cell>
        </row>
        <row r="642">
          <cell r="A642">
            <v>96911</v>
          </cell>
          <cell r="B642" t="str">
            <v xml:space="preserve"> BAYBORO</v>
          </cell>
          <cell r="C642">
            <v>2.3E-6</v>
          </cell>
          <cell r="D642">
            <v>2.3999999999999999E-6</v>
          </cell>
          <cell r="E642">
            <v>5456</v>
          </cell>
          <cell r="F642" t="str">
            <v xml:space="preserve"> </v>
          </cell>
          <cell r="G642">
            <v>842</v>
          </cell>
          <cell r="H642">
            <v>749</v>
          </cell>
          <cell r="I642">
            <v>1448</v>
          </cell>
          <cell r="J642">
            <v>1923</v>
          </cell>
          <cell r="K642">
            <v>4962</v>
          </cell>
          <cell r="L642"/>
          <cell r="M642">
            <v>28</v>
          </cell>
          <cell r="N642">
            <v>0</v>
          </cell>
          <cell r="O642">
            <v>1941</v>
          </cell>
          <cell r="P642">
            <v>1969</v>
          </cell>
          <cell r="Q642"/>
          <cell r="R642">
            <v>1516</v>
          </cell>
          <cell r="S642">
            <v>764</v>
          </cell>
          <cell r="T642">
            <v>2280</v>
          </cell>
        </row>
        <row r="643">
          <cell r="A643">
            <v>96912</v>
          </cell>
          <cell r="B643" t="str">
            <v xml:space="preserve"> ORIENTAL</v>
          </cell>
          <cell r="C643">
            <v>6.8100000000000002E-5</v>
          </cell>
          <cell r="D643">
            <v>6.0099999999999997E-5</v>
          </cell>
          <cell r="E643">
            <v>161556</v>
          </cell>
          <cell r="F643" t="str">
            <v xml:space="preserve"> </v>
          </cell>
          <cell r="G643">
            <v>24924</v>
          </cell>
          <cell r="H643">
            <v>22177</v>
          </cell>
          <cell r="I643">
            <v>42871</v>
          </cell>
          <cell r="J643">
            <v>1472</v>
          </cell>
          <cell r="K643">
            <v>91444</v>
          </cell>
          <cell r="L643"/>
          <cell r="M643">
            <v>836</v>
          </cell>
          <cell r="N643">
            <v>0</v>
          </cell>
          <cell r="O643">
            <v>2729</v>
          </cell>
          <cell r="P643">
            <v>3565</v>
          </cell>
          <cell r="Q643"/>
          <cell r="R643">
            <v>44876</v>
          </cell>
          <cell r="S643">
            <v>2396</v>
          </cell>
          <cell r="T643">
            <v>47272</v>
          </cell>
        </row>
        <row r="644">
          <cell r="A644">
            <v>96918</v>
          </cell>
          <cell r="B644" t="str">
            <v>BAY RIVER METRO SEWERAGE DISTRICT</v>
          </cell>
          <cell r="C644">
            <v>3.2299999999999999E-5</v>
          </cell>
          <cell r="D644">
            <v>3.8000000000000002E-5</v>
          </cell>
          <cell r="E644">
            <v>76627</v>
          </cell>
          <cell r="F644" t="str">
            <v xml:space="preserve"> </v>
          </cell>
          <cell r="G644">
            <v>11822</v>
          </cell>
          <cell r="H644">
            <v>10519</v>
          </cell>
          <cell r="I644">
            <v>20334</v>
          </cell>
          <cell r="J644">
            <v>1798</v>
          </cell>
          <cell r="K644">
            <v>44473</v>
          </cell>
          <cell r="L644"/>
          <cell r="M644">
            <v>397</v>
          </cell>
          <cell r="N644">
            <v>0</v>
          </cell>
          <cell r="O644">
            <v>3897</v>
          </cell>
          <cell r="P644">
            <v>4294</v>
          </cell>
          <cell r="Q644"/>
          <cell r="R644">
            <v>21285</v>
          </cell>
          <cell r="S644">
            <v>4776</v>
          </cell>
          <cell r="T644">
            <v>26061</v>
          </cell>
        </row>
        <row r="645">
          <cell r="A645">
            <v>97001</v>
          </cell>
          <cell r="B645" t="str">
            <v>PASQUOTANK COUNTY</v>
          </cell>
          <cell r="C645">
            <v>1.3370999999999999E-3</v>
          </cell>
          <cell r="D645">
            <v>1.3778E-3</v>
          </cell>
          <cell r="E645">
            <v>3172058</v>
          </cell>
          <cell r="F645" t="str">
            <v xml:space="preserve"> </v>
          </cell>
          <cell r="G645">
            <v>489373</v>
          </cell>
          <cell r="H645">
            <v>435430</v>
          </cell>
          <cell r="I645">
            <v>841742</v>
          </cell>
          <cell r="J645">
            <v>142216</v>
          </cell>
          <cell r="K645">
            <v>1908761</v>
          </cell>
          <cell r="L645"/>
          <cell r="M645">
            <v>16421</v>
          </cell>
          <cell r="N645">
            <v>0</v>
          </cell>
          <cell r="O645">
            <v>0</v>
          </cell>
          <cell r="P645">
            <v>16421</v>
          </cell>
          <cell r="Q645"/>
          <cell r="R645">
            <v>881113</v>
          </cell>
          <cell r="S645">
            <v>46843</v>
          </cell>
          <cell r="T645">
            <v>927956</v>
          </cell>
        </row>
        <row r="646">
          <cell r="A646">
            <v>97002</v>
          </cell>
          <cell r="B646" t="str">
            <v>PASQUOTANK-CAMDEN AMBULANCE SERVICE</v>
          </cell>
          <cell r="C646">
            <v>4.8569999999999999E-4</v>
          </cell>
          <cell r="D646">
            <v>5.2610000000000005E-4</v>
          </cell>
          <cell r="E646">
            <v>1152247</v>
          </cell>
          <cell r="F646" t="str">
            <v xml:space="preserve"> </v>
          </cell>
          <cell r="G646">
            <v>177764</v>
          </cell>
          <cell r="H646">
            <v>158169</v>
          </cell>
          <cell r="I646">
            <v>305762</v>
          </cell>
          <cell r="J646">
            <v>5136</v>
          </cell>
          <cell r="K646">
            <v>646831</v>
          </cell>
          <cell r="L646"/>
          <cell r="M646">
            <v>5965</v>
          </cell>
          <cell r="N646">
            <v>0</v>
          </cell>
          <cell r="O646">
            <v>75548</v>
          </cell>
          <cell r="P646">
            <v>81513</v>
          </cell>
          <cell r="Q646"/>
          <cell r="R646">
            <v>320063</v>
          </cell>
          <cell r="S646">
            <v>-7630</v>
          </cell>
          <cell r="T646">
            <v>312433</v>
          </cell>
        </row>
        <row r="647">
          <cell r="A647">
            <v>97004</v>
          </cell>
          <cell r="B647" t="str">
            <v>PASQUOTANK CO ABC BOARD</v>
          </cell>
          <cell r="C647">
            <v>8.4999999999999999E-6</v>
          </cell>
          <cell r="D647">
            <v>9.7999999999999993E-6</v>
          </cell>
          <cell r="E647">
            <v>20165</v>
          </cell>
          <cell r="F647" t="str">
            <v xml:space="preserve"> </v>
          </cell>
          <cell r="G647">
            <v>3111</v>
          </cell>
          <cell r="H647">
            <v>2768</v>
          </cell>
          <cell r="I647">
            <v>5351</v>
          </cell>
          <cell r="J647">
            <v>5157</v>
          </cell>
          <cell r="K647">
            <v>16387</v>
          </cell>
          <cell r="L647"/>
          <cell r="M647">
            <v>104</v>
          </cell>
          <cell r="N647">
            <v>0</v>
          </cell>
          <cell r="O647">
            <v>0</v>
          </cell>
          <cell r="P647">
            <v>104</v>
          </cell>
          <cell r="Q647"/>
          <cell r="R647">
            <v>5601</v>
          </cell>
          <cell r="S647">
            <v>2552</v>
          </cell>
          <cell r="T647">
            <v>8153</v>
          </cell>
        </row>
        <row r="648">
          <cell r="A648">
            <v>97005</v>
          </cell>
          <cell r="B648" t="str">
            <v>EAST ALBEMARLE REGIONAL LIBRARY</v>
          </cell>
          <cell r="C648">
            <v>2.7500000000000001E-5</v>
          </cell>
          <cell r="D648">
            <v>2.83E-5</v>
          </cell>
          <cell r="E648">
            <v>65239</v>
          </cell>
          <cell r="F648" t="str">
            <v xml:space="preserve"> </v>
          </cell>
          <cell r="G648">
            <v>10065</v>
          </cell>
          <cell r="H648">
            <v>8955</v>
          </cell>
          <cell r="I648">
            <v>17312</v>
          </cell>
          <cell r="J648">
            <v>9886</v>
          </cell>
          <cell r="K648">
            <v>46218</v>
          </cell>
          <cell r="L648"/>
          <cell r="M648">
            <v>338</v>
          </cell>
          <cell r="N648">
            <v>0</v>
          </cell>
          <cell r="O648">
            <v>702</v>
          </cell>
          <cell r="P648">
            <v>1040</v>
          </cell>
          <cell r="Q648"/>
          <cell r="R648">
            <v>18122</v>
          </cell>
          <cell r="S648">
            <v>3372</v>
          </cell>
          <cell r="T648">
            <v>21494</v>
          </cell>
        </row>
        <row r="649">
          <cell r="A649">
            <v>97008</v>
          </cell>
          <cell r="B649" t="str">
            <v>ALBEMARLE DISTRICT JAIL COMMISSION</v>
          </cell>
          <cell r="C649">
            <v>2.766E-4</v>
          </cell>
          <cell r="D649">
            <v>2.8659999999999997E-4</v>
          </cell>
          <cell r="E649">
            <v>656190</v>
          </cell>
          <cell r="F649" t="str">
            <v xml:space="preserve"> </v>
          </cell>
          <cell r="G649">
            <v>101234</v>
          </cell>
          <cell r="H649">
            <v>90075</v>
          </cell>
          <cell r="I649">
            <v>174127</v>
          </cell>
          <cell r="J649">
            <v>3810</v>
          </cell>
          <cell r="K649">
            <v>369246</v>
          </cell>
          <cell r="L649"/>
          <cell r="M649">
            <v>3397</v>
          </cell>
          <cell r="N649">
            <v>0</v>
          </cell>
          <cell r="O649">
            <v>5294</v>
          </cell>
          <cell r="P649">
            <v>8691</v>
          </cell>
          <cell r="Q649"/>
          <cell r="R649">
            <v>182272</v>
          </cell>
          <cell r="S649">
            <v>6191</v>
          </cell>
          <cell r="T649">
            <v>188463</v>
          </cell>
        </row>
        <row r="650">
          <cell r="A650">
            <v>97010</v>
          </cell>
          <cell r="B650" t="str">
            <v>ALBEMARLE HOSPITAL AUTHORITY</v>
          </cell>
          <cell r="C650">
            <v>0</v>
          </cell>
          <cell r="D650">
            <v>0</v>
          </cell>
          <cell r="E650">
            <v>0</v>
          </cell>
          <cell r="F650" t="str">
            <v xml:space="preserve"> </v>
          </cell>
          <cell r="G650">
            <v>0</v>
          </cell>
          <cell r="H650">
            <v>0</v>
          </cell>
          <cell r="I650">
            <v>0</v>
          </cell>
          <cell r="J650">
            <v>0</v>
          </cell>
          <cell r="K650">
            <v>0</v>
          </cell>
          <cell r="L650"/>
          <cell r="M650">
            <v>0</v>
          </cell>
          <cell r="N650">
            <v>0</v>
          </cell>
          <cell r="O650">
            <v>777787</v>
          </cell>
          <cell r="P650">
            <v>777787</v>
          </cell>
          <cell r="Q650"/>
          <cell r="R650">
            <v>0</v>
          </cell>
          <cell r="S650">
            <v>-1279115</v>
          </cell>
          <cell r="T650">
            <v>-1279115</v>
          </cell>
        </row>
        <row r="651">
          <cell r="A651">
            <v>97011</v>
          </cell>
          <cell r="B651" t="str">
            <v>ELIZABETH CITY</v>
          </cell>
          <cell r="C651">
            <v>1.9426999999999999E-3</v>
          </cell>
          <cell r="D651">
            <v>1.9166999999999999E-3</v>
          </cell>
          <cell r="E651">
            <v>4608749</v>
          </cell>
          <cell r="F651" t="str">
            <v xml:space="preserve"> </v>
          </cell>
          <cell r="G651">
            <v>711020</v>
          </cell>
          <cell r="H651">
            <v>632644</v>
          </cell>
          <cell r="I651">
            <v>1222984</v>
          </cell>
          <cell r="J651">
            <v>0</v>
          </cell>
          <cell r="K651">
            <v>2566648</v>
          </cell>
          <cell r="L651"/>
          <cell r="M651">
            <v>23858</v>
          </cell>
          <cell r="N651">
            <v>0</v>
          </cell>
          <cell r="O651">
            <v>61009</v>
          </cell>
          <cell r="P651">
            <v>84867</v>
          </cell>
          <cell r="Q651"/>
          <cell r="R651">
            <v>1280187</v>
          </cell>
          <cell r="S651">
            <v>-40429</v>
          </cell>
          <cell r="T651">
            <v>1239758</v>
          </cell>
        </row>
        <row r="652">
          <cell r="A652">
            <v>97012</v>
          </cell>
          <cell r="B652" t="str">
            <v>ELIZABETH CITY-PASQUOTANK CO AIRPORT AUTHORITY</v>
          </cell>
          <cell r="C652">
            <v>3.0700000000000001E-5</v>
          </cell>
          <cell r="D652">
            <v>2.9499999999999999E-5</v>
          </cell>
          <cell r="E652">
            <v>72831</v>
          </cell>
          <cell r="F652" t="str">
            <v xml:space="preserve"> </v>
          </cell>
          <cell r="G652">
            <v>11236</v>
          </cell>
          <cell r="H652">
            <v>9997</v>
          </cell>
          <cell r="I652">
            <v>19327</v>
          </cell>
          <cell r="J652">
            <v>6719</v>
          </cell>
          <cell r="K652">
            <v>47279</v>
          </cell>
          <cell r="L652"/>
          <cell r="M652">
            <v>377</v>
          </cell>
          <cell r="N652">
            <v>0</v>
          </cell>
          <cell r="O652">
            <v>415</v>
          </cell>
          <cell r="P652">
            <v>792</v>
          </cell>
          <cell r="Q652"/>
          <cell r="R652">
            <v>20230</v>
          </cell>
          <cell r="S652">
            <v>1569</v>
          </cell>
          <cell r="T652">
            <v>21799</v>
          </cell>
        </row>
        <row r="653">
          <cell r="A653">
            <v>97013</v>
          </cell>
          <cell r="B653" t="str">
            <v>ELIZABETH CITY PASQUOTANK COUNTY TDA</v>
          </cell>
          <cell r="C653">
            <v>2.19E-5</v>
          </cell>
          <cell r="D653">
            <v>1.8199999999999999E-5</v>
          </cell>
          <cell r="E653">
            <v>51954</v>
          </cell>
          <cell r="F653" t="str">
            <v xml:space="preserve"> </v>
          </cell>
          <cell r="G653">
            <v>8015</v>
          </cell>
          <cell r="H653">
            <v>7132</v>
          </cell>
          <cell r="I653">
            <v>13787</v>
          </cell>
          <cell r="J653">
            <v>7375</v>
          </cell>
          <cell r="K653">
            <v>36309</v>
          </cell>
          <cell r="L653"/>
          <cell r="M653">
            <v>269</v>
          </cell>
          <cell r="N653">
            <v>0</v>
          </cell>
          <cell r="O653">
            <v>0</v>
          </cell>
          <cell r="P653">
            <v>269</v>
          </cell>
          <cell r="Q653"/>
          <cell r="R653">
            <v>14432</v>
          </cell>
          <cell r="S653">
            <v>2956</v>
          </cell>
          <cell r="T653">
            <v>17388</v>
          </cell>
        </row>
        <row r="654">
          <cell r="A654">
            <v>97015</v>
          </cell>
          <cell r="B654" t="str">
            <v>PASQUOTANK-CAMDEN LIBRARY</v>
          </cell>
          <cell r="C654">
            <v>5.1700000000000003E-5</v>
          </cell>
          <cell r="D654">
            <v>4.1499999999999999E-5</v>
          </cell>
          <cell r="E654">
            <v>122650</v>
          </cell>
          <cell r="F654" t="str">
            <v xml:space="preserve"> </v>
          </cell>
          <cell r="G654">
            <v>18922</v>
          </cell>
          <cell r="H654">
            <v>16836</v>
          </cell>
          <cell r="I654">
            <v>32547</v>
          </cell>
          <cell r="J654">
            <v>9840</v>
          </cell>
          <cell r="K654">
            <v>78145</v>
          </cell>
          <cell r="L654"/>
          <cell r="M654">
            <v>635</v>
          </cell>
          <cell r="N654">
            <v>0</v>
          </cell>
          <cell r="O654">
            <v>3745</v>
          </cell>
          <cell r="P654">
            <v>4380</v>
          </cell>
          <cell r="Q654"/>
          <cell r="R654">
            <v>34069</v>
          </cell>
          <cell r="S654">
            <v>1860</v>
          </cell>
          <cell r="T654">
            <v>35929</v>
          </cell>
        </row>
        <row r="655">
          <cell r="A655">
            <v>97018</v>
          </cell>
          <cell r="B655" t="str">
            <v>ELIZABETH CTY-PASQUOTANK CO INDUSTRL DEVELOPMENT C</v>
          </cell>
          <cell r="C655">
            <v>7.4000000000000003E-6</v>
          </cell>
          <cell r="D655">
            <v>8.6000000000000007E-6</v>
          </cell>
          <cell r="E655">
            <v>17555</v>
          </cell>
          <cell r="F655" t="str">
            <v xml:space="preserve"> </v>
          </cell>
          <cell r="G655">
            <v>2708</v>
          </cell>
          <cell r="H655">
            <v>2410</v>
          </cell>
          <cell r="I655">
            <v>4659</v>
          </cell>
          <cell r="J655">
            <v>7148</v>
          </cell>
          <cell r="K655">
            <v>16925</v>
          </cell>
          <cell r="L655"/>
          <cell r="M655">
            <v>91</v>
          </cell>
          <cell r="N655">
            <v>0</v>
          </cell>
          <cell r="O655">
            <v>0</v>
          </cell>
          <cell r="P655">
            <v>91</v>
          </cell>
          <cell r="Q655"/>
          <cell r="R655">
            <v>4876</v>
          </cell>
          <cell r="S655">
            <v>3577</v>
          </cell>
          <cell r="T655">
            <v>8453</v>
          </cell>
        </row>
        <row r="656">
          <cell r="A656">
            <v>97101</v>
          </cell>
          <cell r="B656" t="str">
            <v>PENDER COUNTY</v>
          </cell>
          <cell r="C656">
            <v>2.4805000000000001E-3</v>
          </cell>
          <cell r="D656">
            <v>2.5790000000000001E-3</v>
          </cell>
          <cell r="E656">
            <v>5884594</v>
          </cell>
          <cell r="F656" t="str">
            <v xml:space="preserve"> </v>
          </cell>
          <cell r="G656">
            <v>907853</v>
          </cell>
          <cell r="H656">
            <v>807780</v>
          </cell>
          <cell r="I656">
            <v>1561544</v>
          </cell>
          <cell r="J656">
            <v>35145</v>
          </cell>
          <cell r="K656">
            <v>3312322</v>
          </cell>
          <cell r="L656"/>
          <cell r="M656">
            <v>30463</v>
          </cell>
          <cell r="N656">
            <v>0</v>
          </cell>
          <cell r="O656">
            <v>0</v>
          </cell>
          <cell r="P656">
            <v>30463</v>
          </cell>
          <cell r="Q656"/>
          <cell r="R656">
            <v>1634583</v>
          </cell>
          <cell r="S656">
            <v>9399</v>
          </cell>
          <cell r="T656">
            <v>1643982</v>
          </cell>
        </row>
        <row r="657">
          <cell r="A657">
            <v>97104</v>
          </cell>
          <cell r="B657" t="str">
            <v>PENDER COUNTY ABC BOARD</v>
          </cell>
          <cell r="C657">
            <v>5.6100000000000002E-5</v>
          </cell>
          <cell r="D657">
            <v>5.4299999999999998E-5</v>
          </cell>
          <cell r="E657">
            <v>133088</v>
          </cell>
          <cell r="F657" t="str">
            <v xml:space="preserve"> </v>
          </cell>
          <cell r="G657">
            <v>20532</v>
          </cell>
          <cell r="H657">
            <v>18269</v>
          </cell>
          <cell r="I657">
            <v>35317</v>
          </cell>
          <cell r="J657">
            <v>11210</v>
          </cell>
          <cell r="K657">
            <v>85328</v>
          </cell>
          <cell r="L657"/>
          <cell r="M657">
            <v>689</v>
          </cell>
          <cell r="N657">
            <v>0</v>
          </cell>
          <cell r="O657">
            <v>0</v>
          </cell>
          <cell r="P657">
            <v>689</v>
          </cell>
          <cell r="Q657"/>
          <cell r="R657">
            <v>36968</v>
          </cell>
          <cell r="S657">
            <v>7518</v>
          </cell>
          <cell r="T657">
            <v>44486</v>
          </cell>
        </row>
        <row r="658">
          <cell r="A658">
            <v>97111</v>
          </cell>
          <cell r="B658" t="str">
            <v xml:space="preserve"> BURGAW</v>
          </cell>
          <cell r="C658">
            <v>2.7779999999999998E-4</v>
          </cell>
          <cell r="D658">
            <v>2.8200000000000002E-4</v>
          </cell>
          <cell r="E658">
            <v>659037</v>
          </cell>
          <cell r="F658" t="str">
            <v xml:space="preserve"> </v>
          </cell>
          <cell r="G658">
            <v>101674</v>
          </cell>
          <cell r="H658">
            <v>90466</v>
          </cell>
          <cell r="I658">
            <v>174883</v>
          </cell>
          <cell r="J658">
            <v>656</v>
          </cell>
          <cell r="K658">
            <v>367679</v>
          </cell>
          <cell r="L658"/>
          <cell r="M658">
            <v>3412</v>
          </cell>
          <cell r="N658">
            <v>0</v>
          </cell>
          <cell r="O658">
            <v>19675</v>
          </cell>
          <cell r="P658">
            <v>23087</v>
          </cell>
          <cell r="Q658"/>
          <cell r="R658">
            <v>183063</v>
          </cell>
          <cell r="S658">
            <v>-3431</v>
          </cell>
          <cell r="T658">
            <v>179632</v>
          </cell>
        </row>
        <row r="659">
          <cell r="A659">
            <v>97121</v>
          </cell>
          <cell r="B659" t="str">
            <v xml:space="preserve"> TOPSAIL BEACH</v>
          </cell>
          <cell r="C659">
            <v>1.2980000000000001E-4</v>
          </cell>
          <cell r="D659">
            <v>1.3640000000000001E-4</v>
          </cell>
          <cell r="E659">
            <v>307930</v>
          </cell>
          <cell r="F659" t="str">
            <v xml:space="preserve"> </v>
          </cell>
          <cell r="G659">
            <v>47506</v>
          </cell>
          <cell r="H659">
            <v>42270</v>
          </cell>
          <cell r="I659">
            <v>81713</v>
          </cell>
          <cell r="J659">
            <v>15643</v>
          </cell>
          <cell r="K659">
            <v>187132</v>
          </cell>
          <cell r="L659"/>
          <cell r="M659">
            <v>1594</v>
          </cell>
          <cell r="N659">
            <v>0</v>
          </cell>
          <cell r="O659">
            <v>5525</v>
          </cell>
          <cell r="P659">
            <v>7119</v>
          </cell>
          <cell r="Q659"/>
          <cell r="R659">
            <v>85535</v>
          </cell>
          <cell r="S659">
            <v>263</v>
          </cell>
          <cell r="T659">
            <v>85798</v>
          </cell>
        </row>
        <row r="660">
          <cell r="A660">
            <v>97131</v>
          </cell>
          <cell r="B660" t="str">
            <v xml:space="preserve"> SURF CITY</v>
          </cell>
          <cell r="C660">
            <v>6.0749999999999997E-4</v>
          </cell>
          <cell r="D660">
            <v>7.358E-4</v>
          </cell>
          <cell r="E660">
            <v>1441198</v>
          </cell>
          <cell r="F660" t="str">
            <v xml:space="preserve"> </v>
          </cell>
          <cell r="G660">
            <v>222343</v>
          </cell>
          <cell r="H660">
            <v>197834</v>
          </cell>
          <cell r="I660">
            <v>382438</v>
          </cell>
          <cell r="J660">
            <v>20955</v>
          </cell>
          <cell r="K660">
            <v>823570</v>
          </cell>
          <cell r="L660"/>
          <cell r="M660">
            <v>7461</v>
          </cell>
          <cell r="N660">
            <v>0</v>
          </cell>
          <cell r="O660">
            <v>118742</v>
          </cell>
          <cell r="P660">
            <v>126203</v>
          </cell>
          <cell r="Q660"/>
          <cell r="R660">
            <v>400326</v>
          </cell>
          <cell r="S660">
            <v>-21454</v>
          </cell>
          <cell r="T660">
            <v>378872</v>
          </cell>
        </row>
        <row r="661">
          <cell r="A661">
            <v>97201</v>
          </cell>
          <cell r="B661" t="str">
            <v>PERQUIMANS COUNTY</v>
          </cell>
          <cell r="C661">
            <v>5.1219999999999998E-4</v>
          </cell>
          <cell r="D661">
            <v>5.2689999999999996E-4</v>
          </cell>
          <cell r="E661">
            <v>1215114</v>
          </cell>
          <cell r="F661" t="str">
            <v xml:space="preserve"> </v>
          </cell>
          <cell r="G661">
            <v>187463</v>
          </cell>
          <cell r="H661">
            <v>166799</v>
          </cell>
          <cell r="I661">
            <v>322444</v>
          </cell>
          <cell r="J661">
            <v>30683</v>
          </cell>
          <cell r="K661">
            <v>707389</v>
          </cell>
          <cell r="L661"/>
          <cell r="M661">
            <v>6290</v>
          </cell>
          <cell r="N661">
            <v>0</v>
          </cell>
          <cell r="O661">
            <v>1246</v>
          </cell>
          <cell r="P661">
            <v>7536</v>
          </cell>
          <cell r="Q661"/>
          <cell r="R661">
            <v>337526</v>
          </cell>
          <cell r="S661">
            <v>10658</v>
          </cell>
          <cell r="T661">
            <v>348184</v>
          </cell>
        </row>
        <row r="662">
          <cell r="A662">
            <v>97211</v>
          </cell>
          <cell r="B662" t="str">
            <v xml:space="preserve"> HERTFORD</v>
          </cell>
          <cell r="C662">
            <v>1.4569999999999999E-4</v>
          </cell>
          <cell r="D662">
            <v>1.5980000000000001E-4</v>
          </cell>
          <cell r="E662">
            <v>345650</v>
          </cell>
          <cell r="F662" t="str">
            <v xml:space="preserve"> </v>
          </cell>
          <cell r="G662">
            <v>53326</v>
          </cell>
          <cell r="H662">
            <v>47448</v>
          </cell>
          <cell r="I662">
            <v>91722</v>
          </cell>
          <cell r="J662">
            <v>11315</v>
          </cell>
          <cell r="K662">
            <v>203811</v>
          </cell>
          <cell r="L662"/>
          <cell r="M662">
            <v>1789</v>
          </cell>
          <cell r="N662">
            <v>0</v>
          </cell>
          <cell r="O662">
            <v>12606</v>
          </cell>
          <cell r="P662">
            <v>14395</v>
          </cell>
          <cell r="Q662"/>
          <cell r="R662">
            <v>96012</v>
          </cell>
          <cell r="S662">
            <v>-859</v>
          </cell>
          <cell r="T662">
            <v>95153</v>
          </cell>
        </row>
        <row r="663">
          <cell r="A663">
            <v>97213</v>
          </cell>
          <cell r="B663" t="str">
            <v>HERTFORD HOUSING AUTHORITY</v>
          </cell>
          <cell r="C663">
            <v>4.5599999999999997E-5</v>
          </cell>
          <cell r="D663">
            <v>3.9100000000000002E-5</v>
          </cell>
          <cell r="E663">
            <v>108179</v>
          </cell>
          <cell r="F663" t="str">
            <v xml:space="preserve"> </v>
          </cell>
          <cell r="G663">
            <v>16689</v>
          </cell>
          <cell r="H663">
            <v>14849</v>
          </cell>
          <cell r="I663">
            <v>28706</v>
          </cell>
          <cell r="J663">
            <v>8617</v>
          </cell>
          <cell r="K663">
            <v>68861</v>
          </cell>
          <cell r="L663"/>
          <cell r="M663">
            <v>560</v>
          </cell>
          <cell r="N663">
            <v>0</v>
          </cell>
          <cell r="O663">
            <v>322</v>
          </cell>
          <cell r="P663">
            <v>882</v>
          </cell>
          <cell r="Q663"/>
          <cell r="R663">
            <v>30049</v>
          </cell>
          <cell r="S663">
            <v>3081</v>
          </cell>
          <cell r="T663">
            <v>33130</v>
          </cell>
        </row>
        <row r="664">
          <cell r="A664">
            <v>97217</v>
          </cell>
          <cell r="B664" t="str">
            <v xml:space="preserve"> HERTFORD ABC BOARD</v>
          </cell>
          <cell r="C664">
            <v>4.8999999999999997E-6</v>
          </cell>
          <cell r="D664">
            <v>4.6E-6</v>
          </cell>
          <cell r="E664">
            <v>11624</v>
          </cell>
          <cell r="F664" t="str">
            <v xml:space="preserve"> </v>
          </cell>
          <cell r="G664">
            <v>1793</v>
          </cell>
          <cell r="H664">
            <v>1596</v>
          </cell>
          <cell r="I664">
            <v>3085</v>
          </cell>
          <cell r="J664">
            <v>8394</v>
          </cell>
          <cell r="K664">
            <v>14868</v>
          </cell>
          <cell r="L664"/>
          <cell r="M664">
            <v>60</v>
          </cell>
          <cell r="N664">
            <v>0</v>
          </cell>
          <cell r="O664">
            <v>0</v>
          </cell>
          <cell r="P664">
            <v>60</v>
          </cell>
          <cell r="Q664"/>
          <cell r="R664">
            <v>3229</v>
          </cell>
          <cell r="S664">
            <v>4143</v>
          </cell>
          <cell r="T664">
            <v>7372</v>
          </cell>
        </row>
        <row r="665">
          <cell r="A665">
            <v>97221</v>
          </cell>
          <cell r="B665" t="str">
            <v xml:space="preserve"> WINFALL</v>
          </cell>
          <cell r="C665">
            <v>3.9999999999999998E-6</v>
          </cell>
          <cell r="D665">
            <v>7.1999999999999997E-6</v>
          </cell>
          <cell r="E665">
            <v>9489</v>
          </cell>
          <cell r="F665" t="str">
            <v xml:space="preserve"> </v>
          </cell>
          <cell r="G665">
            <v>1464</v>
          </cell>
          <cell r="H665">
            <v>1303</v>
          </cell>
          <cell r="I665">
            <v>2518</v>
          </cell>
          <cell r="J665">
            <v>6077</v>
          </cell>
          <cell r="K665">
            <v>11362</v>
          </cell>
          <cell r="L665"/>
          <cell r="M665">
            <v>49</v>
          </cell>
          <cell r="N665">
            <v>0</v>
          </cell>
          <cell r="O665">
            <v>0</v>
          </cell>
          <cell r="P665">
            <v>49</v>
          </cell>
          <cell r="Q665"/>
          <cell r="R665">
            <v>2636</v>
          </cell>
          <cell r="S665">
            <v>3385</v>
          </cell>
          <cell r="T665">
            <v>6021</v>
          </cell>
        </row>
        <row r="666">
          <cell r="A666">
            <v>97301</v>
          </cell>
          <cell r="B666" t="str">
            <v>PERSON COUNTY</v>
          </cell>
          <cell r="C666">
            <v>2.4616E-3</v>
          </cell>
          <cell r="D666">
            <v>2.5135999999999999E-3</v>
          </cell>
          <cell r="E666">
            <v>5839757</v>
          </cell>
          <cell r="F666" t="str">
            <v xml:space="preserve"> </v>
          </cell>
          <cell r="G666">
            <v>900936</v>
          </cell>
          <cell r="H666">
            <v>801625</v>
          </cell>
          <cell r="I666">
            <v>1549646</v>
          </cell>
          <cell r="J666">
            <v>10684</v>
          </cell>
          <cell r="K666">
            <v>3262891</v>
          </cell>
          <cell r="L666"/>
          <cell r="M666">
            <v>30231</v>
          </cell>
          <cell r="N666">
            <v>0</v>
          </cell>
          <cell r="O666">
            <v>48917</v>
          </cell>
          <cell r="P666">
            <v>79148</v>
          </cell>
          <cell r="Q666"/>
          <cell r="R666">
            <v>1622128</v>
          </cell>
          <cell r="S666">
            <v>-14603</v>
          </cell>
          <cell r="T666">
            <v>1607525</v>
          </cell>
        </row>
        <row r="667">
          <cell r="A667">
            <v>97304</v>
          </cell>
          <cell r="B667" t="str">
            <v>PERSON CO ABC BD</v>
          </cell>
          <cell r="C667">
            <v>1.5299999999999999E-5</v>
          </cell>
          <cell r="D667">
            <v>1.6799999999999998E-5</v>
          </cell>
          <cell r="E667">
            <v>36297</v>
          </cell>
          <cell r="F667" t="str">
            <v xml:space="preserve"> </v>
          </cell>
          <cell r="G667">
            <v>5600</v>
          </cell>
          <cell r="H667">
            <v>4983</v>
          </cell>
          <cell r="I667">
            <v>9632</v>
          </cell>
          <cell r="J667">
            <v>9181</v>
          </cell>
          <cell r="K667">
            <v>29396</v>
          </cell>
          <cell r="L667"/>
          <cell r="M667">
            <v>188</v>
          </cell>
          <cell r="N667">
            <v>0</v>
          </cell>
          <cell r="O667">
            <v>0</v>
          </cell>
          <cell r="P667">
            <v>188</v>
          </cell>
          <cell r="Q667"/>
          <cell r="R667">
            <v>10082</v>
          </cell>
          <cell r="S667">
            <v>4481</v>
          </cell>
          <cell r="T667">
            <v>14563</v>
          </cell>
        </row>
        <row r="668">
          <cell r="A668">
            <v>97311</v>
          </cell>
          <cell r="B668" t="str">
            <v>CITY OF ROXBORO</v>
          </cell>
          <cell r="C668">
            <v>8.8420000000000002E-4</v>
          </cell>
          <cell r="D668">
            <v>9.1799999999999998E-4</v>
          </cell>
          <cell r="E668">
            <v>2097625</v>
          </cell>
          <cell r="F668" t="str">
            <v xml:space="preserve"> </v>
          </cell>
          <cell r="G668">
            <v>323614</v>
          </cell>
          <cell r="H668">
            <v>287942</v>
          </cell>
          <cell r="I668">
            <v>556629</v>
          </cell>
          <cell r="J668">
            <v>0</v>
          </cell>
          <cell r="K668">
            <v>1168185</v>
          </cell>
          <cell r="L668"/>
          <cell r="M668">
            <v>10859</v>
          </cell>
          <cell r="N668">
            <v>0</v>
          </cell>
          <cell r="O668">
            <v>82924</v>
          </cell>
          <cell r="P668">
            <v>93783</v>
          </cell>
          <cell r="Q668"/>
          <cell r="R668">
            <v>582664</v>
          </cell>
          <cell r="S668">
            <v>-48862</v>
          </cell>
          <cell r="T668">
            <v>533802</v>
          </cell>
        </row>
        <row r="669">
          <cell r="A669">
            <v>97401</v>
          </cell>
          <cell r="B669" t="str">
            <v>PITT COUNTY</v>
          </cell>
          <cell r="C669">
            <v>7.1440000000000002E-3</v>
          </cell>
          <cell r="D669">
            <v>7.1303E-3</v>
          </cell>
          <cell r="E669">
            <v>16948011</v>
          </cell>
          <cell r="F669" t="str">
            <v xml:space="preserve"> </v>
          </cell>
          <cell r="G669">
            <v>2614675</v>
          </cell>
          <cell r="H669">
            <v>2326458</v>
          </cell>
          <cell r="I669">
            <v>4497348</v>
          </cell>
          <cell r="J669">
            <v>194684</v>
          </cell>
          <cell r="K669">
            <v>9633165</v>
          </cell>
          <cell r="L669"/>
          <cell r="M669">
            <v>87735</v>
          </cell>
          <cell r="N669">
            <v>0</v>
          </cell>
          <cell r="O669">
            <v>24107</v>
          </cell>
          <cell r="P669">
            <v>111842</v>
          </cell>
          <cell r="Q669"/>
          <cell r="R669">
            <v>4707703</v>
          </cell>
          <cell r="S669">
            <v>-954</v>
          </cell>
          <cell r="T669">
            <v>4706749</v>
          </cell>
        </row>
        <row r="670">
          <cell r="A670">
            <v>97402</v>
          </cell>
          <cell r="B670" t="str">
            <v>PITT-GREENVILLE CONV &amp; VISTORS</v>
          </cell>
          <cell r="C670">
            <v>4.8399999999999997E-5</v>
          </cell>
          <cell r="D670">
            <v>4.8000000000000001E-5</v>
          </cell>
          <cell r="E670">
            <v>114821</v>
          </cell>
          <cell r="F670" t="str">
            <v xml:space="preserve"> </v>
          </cell>
          <cell r="G670">
            <v>17714</v>
          </cell>
          <cell r="H670">
            <v>15761</v>
          </cell>
          <cell r="I670">
            <v>30469</v>
          </cell>
          <cell r="J670">
            <v>12911</v>
          </cell>
          <cell r="K670">
            <v>76855</v>
          </cell>
          <cell r="L670"/>
          <cell r="M670">
            <v>594</v>
          </cell>
          <cell r="N670">
            <v>0</v>
          </cell>
          <cell r="O670">
            <v>0</v>
          </cell>
          <cell r="P670">
            <v>594</v>
          </cell>
          <cell r="Q670"/>
          <cell r="R670">
            <v>31894</v>
          </cell>
          <cell r="S670">
            <v>5903</v>
          </cell>
          <cell r="T670">
            <v>37797</v>
          </cell>
        </row>
        <row r="671">
          <cell r="A671">
            <v>97404</v>
          </cell>
          <cell r="B671" t="str">
            <v>PITT COUNTY ABC BOARD</v>
          </cell>
          <cell r="C671">
            <v>2.0320000000000001E-4</v>
          </cell>
          <cell r="D671">
            <v>2.1010000000000001E-4</v>
          </cell>
          <cell r="E671">
            <v>482060</v>
          </cell>
          <cell r="F671" t="str">
            <v xml:space="preserve"> </v>
          </cell>
          <cell r="G671">
            <v>74370</v>
          </cell>
          <cell r="H671">
            <v>66173</v>
          </cell>
          <cell r="I671">
            <v>127920</v>
          </cell>
          <cell r="J671">
            <v>0</v>
          </cell>
          <cell r="K671">
            <v>268463</v>
          </cell>
          <cell r="L671"/>
          <cell r="M671">
            <v>2495</v>
          </cell>
          <cell r="N671">
            <v>0</v>
          </cell>
          <cell r="O671">
            <v>26048</v>
          </cell>
          <cell r="P671">
            <v>28543</v>
          </cell>
          <cell r="Q671"/>
          <cell r="R671">
            <v>133903</v>
          </cell>
          <cell r="S671">
            <v>-9082</v>
          </cell>
          <cell r="T671">
            <v>124821</v>
          </cell>
        </row>
        <row r="672">
          <cell r="A672">
            <v>97405</v>
          </cell>
          <cell r="B672" t="str">
            <v>SHEPPARD MEMORIAL LIBRARY</v>
          </cell>
          <cell r="C672">
            <v>1.156E-4</v>
          </cell>
          <cell r="D672">
            <v>1.091E-4</v>
          </cell>
          <cell r="E672">
            <v>274243</v>
          </cell>
          <cell r="F672" t="str">
            <v xml:space="preserve"> </v>
          </cell>
          <cell r="G672">
            <v>42309</v>
          </cell>
          <cell r="H672">
            <v>37646</v>
          </cell>
          <cell r="I672">
            <v>72773</v>
          </cell>
          <cell r="J672">
            <v>33588</v>
          </cell>
          <cell r="K672">
            <v>186316</v>
          </cell>
          <cell r="L672"/>
          <cell r="M672">
            <v>1420</v>
          </cell>
          <cell r="N672">
            <v>0</v>
          </cell>
          <cell r="O672">
            <v>0</v>
          </cell>
          <cell r="P672">
            <v>1420</v>
          </cell>
          <cell r="Q672"/>
          <cell r="R672">
            <v>76177</v>
          </cell>
          <cell r="S672">
            <v>8872</v>
          </cell>
          <cell r="T672">
            <v>85049</v>
          </cell>
        </row>
        <row r="673">
          <cell r="A673">
            <v>97408</v>
          </cell>
          <cell r="B673" t="str">
            <v>CONTENNEA METROPOLITAN SEWERAGE DIST</v>
          </cell>
          <cell r="C673">
            <v>4.3000000000000002E-5</v>
          </cell>
          <cell r="D673">
            <v>4.4499999999999997E-5</v>
          </cell>
          <cell r="E673">
            <v>102011</v>
          </cell>
          <cell r="F673" t="str">
            <v xml:space="preserve"> </v>
          </cell>
          <cell r="G673">
            <v>15738</v>
          </cell>
          <cell r="H673">
            <v>14003</v>
          </cell>
          <cell r="I673">
            <v>27070</v>
          </cell>
          <cell r="J673">
            <v>6868</v>
          </cell>
          <cell r="K673">
            <v>63679</v>
          </cell>
          <cell r="L673"/>
          <cell r="M673">
            <v>528</v>
          </cell>
          <cell r="N673">
            <v>0</v>
          </cell>
          <cell r="O673">
            <v>0</v>
          </cell>
          <cell r="P673">
            <v>528</v>
          </cell>
          <cell r="Q673"/>
          <cell r="R673">
            <v>28336</v>
          </cell>
          <cell r="S673">
            <v>3527</v>
          </cell>
          <cell r="T673">
            <v>31863</v>
          </cell>
        </row>
        <row r="674">
          <cell r="A674">
            <v>97411</v>
          </cell>
          <cell r="B674" t="str">
            <v>CITY OF GREENVILLE</v>
          </cell>
          <cell r="C674">
            <v>6.2385000000000001E-3</v>
          </cell>
          <cell r="D674">
            <v>6.6379000000000004E-3</v>
          </cell>
          <cell r="E674">
            <v>14799856</v>
          </cell>
          <cell r="F674" t="str">
            <v xml:space="preserve"> </v>
          </cell>
          <cell r="G674">
            <v>2283266</v>
          </cell>
          <cell r="H674">
            <v>2031580</v>
          </cell>
          <cell r="I674">
            <v>3927310</v>
          </cell>
          <cell r="J674">
            <v>0</v>
          </cell>
          <cell r="K674">
            <v>8242156</v>
          </cell>
          <cell r="L674"/>
          <cell r="M674">
            <v>76615</v>
          </cell>
          <cell r="N674">
            <v>0</v>
          </cell>
          <cell r="O674">
            <v>667530</v>
          </cell>
          <cell r="P674">
            <v>744145</v>
          </cell>
          <cell r="Q674"/>
          <cell r="R674">
            <v>4111003</v>
          </cell>
          <cell r="S674">
            <v>-393360</v>
          </cell>
          <cell r="T674">
            <v>3717643</v>
          </cell>
        </row>
        <row r="675">
          <cell r="A675">
            <v>97412</v>
          </cell>
          <cell r="B675" t="str">
            <v>GREENVILLE UTILITIES COMMISSION</v>
          </cell>
          <cell r="C675">
            <v>4.6245000000000001E-3</v>
          </cell>
          <cell r="D675">
            <v>4.5082000000000004E-3</v>
          </cell>
          <cell r="E675">
            <v>10970896</v>
          </cell>
          <cell r="F675" t="str">
            <v xml:space="preserve"> </v>
          </cell>
          <cell r="G675">
            <v>1692549</v>
          </cell>
          <cell r="H675">
            <v>1505978</v>
          </cell>
          <cell r="I675">
            <v>2911252</v>
          </cell>
          <cell r="J675">
            <v>233378</v>
          </cell>
          <cell r="K675">
            <v>6343157</v>
          </cell>
          <cell r="L675"/>
          <cell r="M675">
            <v>56793</v>
          </cell>
          <cell r="N675">
            <v>0</v>
          </cell>
          <cell r="O675">
            <v>0</v>
          </cell>
          <cell r="P675">
            <v>56793</v>
          </cell>
          <cell r="Q675"/>
          <cell r="R675">
            <v>3047421</v>
          </cell>
          <cell r="S675">
            <v>107578</v>
          </cell>
          <cell r="T675">
            <v>3154999</v>
          </cell>
        </row>
        <row r="676">
          <cell r="A676">
            <v>97413</v>
          </cell>
          <cell r="B676" t="str">
            <v>GREENVILLE HOUSING AUTHORITY</v>
          </cell>
          <cell r="C676">
            <v>2.7E-4</v>
          </cell>
          <cell r="D676">
            <v>2.6570000000000001E-4</v>
          </cell>
          <cell r="E676">
            <v>640532</v>
          </cell>
          <cell r="F676" t="str">
            <v xml:space="preserve"> </v>
          </cell>
          <cell r="G676">
            <v>98819</v>
          </cell>
          <cell r="H676">
            <v>87926</v>
          </cell>
          <cell r="I676">
            <v>169973</v>
          </cell>
          <cell r="J676">
            <v>21390</v>
          </cell>
          <cell r="K676">
            <v>378108</v>
          </cell>
          <cell r="L676"/>
          <cell r="M676">
            <v>3316</v>
          </cell>
          <cell r="N676">
            <v>0</v>
          </cell>
          <cell r="O676">
            <v>439</v>
          </cell>
          <cell r="P676">
            <v>3755</v>
          </cell>
          <cell r="Q676"/>
          <cell r="R676">
            <v>177923</v>
          </cell>
          <cell r="S676">
            <v>1118</v>
          </cell>
          <cell r="T676">
            <v>179041</v>
          </cell>
        </row>
        <row r="677">
          <cell r="A677">
            <v>97421</v>
          </cell>
          <cell r="B677" t="str">
            <v xml:space="preserve"> FARMVILLE</v>
          </cell>
          <cell r="C677">
            <v>4.4739999999999998E-4</v>
          </cell>
          <cell r="D677">
            <v>4.2890000000000002E-4</v>
          </cell>
          <cell r="E677">
            <v>1061386</v>
          </cell>
          <cell r="F677" t="str">
            <v xml:space="preserve"> </v>
          </cell>
          <cell r="G677">
            <v>163747</v>
          </cell>
          <cell r="H677">
            <v>145696</v>
          </cell>
          <cell r="I677">
            <v>281651</v>
          </cell>
          <cell r="J677">
            <v>12678</v>
          </cell>
          <cell r="K677">
            <v>603772</v>
          </cell>
          <cell r="L677"/>
          <cell r="M677">
            <v>5495</v>
          </cell>
          <cell r="N677">
            <v>0</v>
          </cell>
          <cell r="O677">
            <v>8104</v>
          </cell>
          <cell r="P677">
            <v>13599</v>
          </cell>
          <cell r="Q677"/>
          <cell r="R677">
            <v>294825</v>
          </cell>
          <cell r="S677">
            <v>-12344</v>
          </cell>
          <cell r="T677">
            <v>282481</v>
          </cell>
        </row>
        <row r="678">
          <cell r="A678">
            <v>97423</v>
          </cell>
          <cell r="B678" t="str">
            <v>FARMVILLE HOUSING AUTHORITY</v>
          </cell>
          <cell r="C678">
            <v>3.93E-5</v>
          </cell>
          <cell r="D678">
            <v>4.3600000000000003E-5</v>
          </cell>
          <cell r="E678">
            <v>93233</v>
          </cell>
          <cell r="F678" t="str">
            <v xml:space="preserve"> </v>
          </cell>
          <cell r="G678">
            <v>14384</v>
          </cell>
          <cell r="H678">
            <v>12798</v>
          </cell>
          <cell r="I678">
            <v>24740</v>
          </cell>
          <cell r="J678">
            <v>37150</v>
          </cell>
          <cell r="K678">
            <v>89072</v>
          </cell>
          <cell r="L678"/>
          <cell r="M678">
            <v>483</v>
          </cell>
          <cell r="N678">
            <v>0</v>
          </cell>
          <cell r="O678">
            <v>0</v>
          </cell>
          <cell r="P678">
            <v>483</v>
          </cell>
          <cell r="Q678"/>
          <cell r="R678">
            <v>25898</v>
          </cell>
          <cell r="S678">
            <v>15711</v>
          </cell>
          <cell r="T678">
            <v>41609</v>
          </cell>
        </row>
        <row r="679">
          <cell r="A679">
            <v>97431</v>
          </cell>
          <cell r="B679" t="str">
            <v xml:space="preserve"> GRIFTON</v>
          </cell>
          <cell r="C679">
            <v>1.0349999999999999E-4</v>
          </cell>
          <cell r="D679">
            <v>8.5599999999999994E-5</v>
          </cell>
          <cell r="E679">
            <v>245537</v>
          </cell>
          <cell r="F679" t="str">
            <v xml:space="preserve"> </v>
          </cell>
          <cell r="G679">
            <v>37881</v>
          </cell>
          <cell r="H679">
            <v>33705</v>
          </cell>
          <cell r="I679">
            <v>65156</v>
          </cell>
          <cell r="J679">
            <v>17263</v>
          </cell>
          <cell r="K679">
            <v>154005</v>
          </cell>
          <cell r="L679"/>
          <cell r="M679">
            <v>1271</v>
          </cell>
          <cell r="N679">
            <v>0</v>
          </cell>
          <cell r="O679">
            <v>0</v>
          </cell>
          <cell r="P679">
            <v>1271</v>
          </cell>
          <cell r="Q679"/>
          <cell r="R679">
            <v>68204</v>
          </cell>
          <cell r="S679">
            <v>5239</v>
          </cell>
          <cell r="T679">
            <v>73443</v>
          </cell>
        </row>
        <row r="680">
          <cell r="A680">
            <v>97441</v>
          </cell>
          <cell r="B680" t="str">
            <v xml:space="preserve"> BETHEL</v>
          </cell>
          <cell r="C680">
            <v>5.2899999999999998E-5</v>
          </cell>
          <cell r="D680">
            <v>7.5799999999999999E-5</v>
          </cell>
          <cell r="E680">
            <v>125497</v>
          </cell>
          <cell r="F680" t="str">
            <v xml:space="preserve"> </v>
          </cell>
          <cell r="G680">
            <v>19361</v>
          </cell>
          <cell r="H680">
            <v>17227</v>
          </cell>
          <cell r="I680">
            <v>33302</v>
          </cell>
          <cell r="J680">
            <v>0</v>
          </cell>
          <cell r="K680">
            <v>69890</v>
          </cell>
          <cell r="L680"/>
          <cell r="M680">
            <v>650</v>
          </cell>
          <cell r="N680">
            <v>0</v>
          </cell>
          <cell r="O680">
            <v>25076</v>
          </cell>
          <cell r="P680">
            <v>25726</v>
          </cell>
          <cell r="Q680"/>
          <cell r="R680">
            <v>34860</v>
          </cell>
          <cell r="S680">
            <v>-7198</v>
          </cell>
          <cell r="T680">
            <v>27662</v>
          </cell>
        </row>
        <row r="681">
          <cell r="A681">
            <v>97451</v>
          </cell>
          <cell r="B681" t="str">
            <v xml:space="preserve"> WINTERVILLE</v>
          </cell>
          <cell r="C681">
            <v>6.3380000000000001E-4</v>
          </cell>
          <cell r="D681">
            <v>5.5820000000000002E-4</v>
          </cell>
          <cell r="E681">
            <v>1503590</v>
          </cell>
          <cell r="F681" t="str">
            <v xml:space="preserve"> </v>
          </cell>
          <cell r="G681">
            <v>231968</v>
          </cell>
          <cell r="H681">
            <v>206398</v>
          </cell>
          <cell r="I681">
            <v>398995</v>
          </cell>
          <cell r="J681">
            <v>21165</v>
          </cell>
          <cell r="K681">
            <v>858526</v>
          </cell>
          <cell r="L681"/>
          <cell r="M681">
            <v>7784</v>
          </cell>
          <cell r="N681">
            <v>0</v>
          </cell>
          <cell r="O681">
            <v>34586</v>
          </cell>
          <cell r="P681">
            <v>42370</v>
          </cell>
          <cell r="Q681"/>
          <cell r="R681">
            <v>417657</v>
          </cell>
          <cell r="S681">
            <v>81</v>
          </cell>
          <cell r="T681">
            <v>417738</v>
          </cell>
        </row>
        <row r="682">
          <cell r="A682" t="str">
            <v>97461M</v>
          </cell>
          <cell r="B682" t="str">
            <v xml:space="preserve"> AYDEN</v>
          </cell>
          <cell r="C682">
            <v>5.3019999999999999E-4</v>
          </cell>
          <cell r="D682">
            <v>5.5650000000000003E-4</v>
          </cell>
          <cell r="E682">
            <v>1257816</v>
          </cell>
          <cell r="F682" t="str">
            <v xml:space="preserve"> </v>
          </cell>
          <cell r="G682">
            <v>194051</v>
          </cell>
          <cell r="H682">
            <v>172661</v>
          </cell>
          <cell r="I682">
            <v>333776</v>
          </cell>
          <cell r="J682">
            <v>2730</v>
          </cell>
          <cell r="K682">
            <v>703218</v>
          </cell>
          <cell r="L682"/>
          <cell r="M682">
            <v>6511</v>
          </cell>
          <cell r="N682">
            <v>0</v>
          </cell>
          <cell r="O682">
            <v>55903</v>
          </cell>
          <cell r="P682">
            <v>62414</v>
          </cell>
          <cell r="Q682"/>
          <cell r="R682">
            <v>349387</v>
          </cell>
          <cell r="S682">
            <v>-21034</v>
          </cell>
          <cell r="T682">
            <v>328353</v>
          </cell>
        </row>
        <row r="683">
          <cell r="A683" t="str">
            <v>97463M</v>
          </cell>
          <cell r="B683" t="str">
            <v>AYDEN HOUSING AUTHORITY</v>
          </cell>
          <cell r="C683">
            <v>0</v>
          </cell>
          <cell r="D683">
            <v>4.1100000000000003E-5</v>
          </cell>
          <cell r="E683">
            <v>0</v>
          </cell>
          <cell r="F683" t="str">
            <v xml:space="preserve"> </v>
          </cell>
          <cell r="G683">
            <v>0</v>
          </cell>
          <cell r="H683">
            <v>0</v>
          </cell>
          <cell r="I683">
            <v>0</v>
          </cell>
          <cell r="J683">
            <v>310</v>
          </cell>
          <cell r="K683">
            <v>310</v>
          </cell>
          <cell r="L683"/>
          <cell r="M683">
            <v>0</v>
          </cell>
          <cell r="N683">
            <v>0</v>
          </cell>
          <cell r="O683">
            <v>31362</v>
          </cell>
          <cell r="P683">
            <v>31362</v>
          </cell>
          <cell r="Q683"/>
          <cell r="R683">
            <v>0</v>
          </cell>
          <cell r="S683">
            <v>-8061</v>
          </cell>
          <cell r="T683">
            <v>-8061</v>
          </cell>
        </row>
        <row r="684">
          <cell r="A684">
            <v>97461</v>
          </cell>
          <cell r="B684" t="str">
            <v xml:space="preserve"> AYDEN</v>
          </cell>
          <cell r="C684">
            <v>5.3019999999999999E-4</v>
          </cell>
          <cell r="D684">
            <v>5.976E-4</v>
          </cell>
          <cell r="E684">
            <v>1257816</v>
          </cell>
          <cell r="F684"/>
          <cell r="G684">
            <v>194051</v>
          </cell>
          <cell r="H684">
            <v>172661</v>
          </cell>
          <cell r="I684">
            <v>333776</v>
          </cell>
          <cell r="J684">
            <v>3040</v>
          </cell>
          <cell r="K684">
            <v>703528</v>
          </cell>
          <cell r="L684"/>
          <cell r="M684">
            <v>6511</v>
          </cell>
          <cell r="N684">
            <v>0</v>
          </cell>
          <cell r="O684">
            <v>87265</v>
          </cell>
          <cell r="P684">
            <v>93776</v>
          </cell>
          <cell r="Q684"/>
          <cell r="R684">
            <v>349387</v>
          </cell>
          <cell r="S684">
            <v>-29095</v>
          </cell>
          <cell r="T684">
            <v>320292</v>
          </cell>
        </row>
        <row r="685">
          <cell r="A685">
            <v>97471</v>
          </cell>
          <cell r="B685" t="str">
            <v xml:space="preserve"> GRIMESLAND</v>
          </cell>
          <cell r="C685">
            <v>1.66E-5</v>
          </cell>
          <cell r="D685">
            <v>1.22E-5</v>
          </cell>
          <cell r="E685">
            <v>39381</v>
          </cell>
          <cell r="F685" t="str">
            <v xml:space="preserve"> </v>
          </cell>
          <cell r="G685">
            <v>6076</v>
          </cell>
          <cell r="H685">
            <v>5406</v>
          </cell>
          <cell r="I685">
            <v>10450</v>
          </cell>
          <cell r="J685">
            <v>10650</v>
          </cell>
          <cell r="K685">
            <v>32582</v>
          </cell>
          <cell r="L685"/>
          <cell r="M685">
            <v>204</v>
          </cell>
          <cell r="N685">
            <v>0</v>
          </cell>
          <cell r="O685">
            <v>0</v>
          </cell>
          <cell r="P685">
            <v>204</v>
          </cell>
          <cell r="Q685"/>
          <cell r="R685">
            <v>10939</v>
          </cell>
          <cell r="S685">
            <v>4239</v>
          </cell>
          <cell r="T685">
            <v>15178</v>
          </cell>
        </row>
        <row r="686">
          <cell r="A686">
            <v>97481</v>
          </cell>
          <cell r="B686" t="str">
            <v xml:space="preserve"> SIMPSON</v>
          </cell>
          <cell r="C686">
            <v>1.26E-5</v>
          </cell>
          <cell r="D686">
            <v>9.9000000000000001E-6</v>
          </cell>
          <cell r="E686">
            <v>29892</v>
          </cell>
          <cell r="F686" t="str">
            <v xml:space="preserve"> </v>
          </cell>
          <cell r="G686">
            <v>4612</v>
          </cell>
          <cell r="H686">
            <v>4103</v>
          </cell>
          <cell r="I686">
            <v>7932</v>
          </cell>
          <cell r="J686">
            <v>1760</v>
          </cell>
          <cell r="K686">
            <v>18407</v>
          </cell>
          <cell r="L686"/>
          <cell r="M686">
            <v>155</v>
          </cell>
          <cell r="N686">
            <v>0</v>
          </cell>
          <cell r="O686">
            <v>2336</v>
          </cell>
          <cell r="P686">
            <v>2491</v>
          </cell>
          <cell r="Q686"/>
          <cell r="R686">
            <v>8303</v>
          </cell>
          <cell r="S686">
            <v>1709</v>
          </cell>
          <cell r="T686">
            <v>10012</v>
          </cell>
        </row>
        <row r="687">
          <cell r="A687">
            <v>97491</v>
          </cell>
          <cell r="B687" t="str">
            <v xml:space="preserve">FOUNTAIN, </v>
          </cell>
          <cell r="C687">
            <v>0</v>
          </cell>
          <cell r="D687">
            <v>0</v>
          </cell>
          <cell r="E687">
            <v>0</v>
          </cell>
          <cell r="F687" t="str">
            <v xml:space="preserve"> </v>
          </cell>
          <cell r="G687">
            <v>0</v>
          </cell>
          <cell r="H687">
            <v>0</v>
          </cell>
          <cell r="I687">
            <v>0</v>
          </cell>
          <cell r="J687">
            <v>0</v>
          </cell>
          <cell r="K687">
            <v>0</v>
          </cell>
          <cell r="L687"/>
          <cell r="M687">
            <v>0</v>
          </cell>
          <cell r="N687">
            <v>0</v>
          </cell>
          <cell r="O687">
            <v>2921</v>
          </cell>
          <cell r="P687">
            <v>2921</v>
          </cell>
          <cell r="Q687"/>
          <cell r="R687">
            <v>0</v>
          </cell>
          <cell r="S687">
            <v>-4927</v>
          </cell>
          <cell r="T687">
            <v>-4927</v>
          </cell>
        </row>
        <row r="688">
          <cell r="A688">
            <v>97501</v>
          </cell>
          <cell r="B688" t="str">
            <v>POLK COUNTY</v>
          </cell>
          <cell r="C688">
            <v>1.0767999999999999E-3</v>
          </cell>
          <cell r="D688">
            <v>1.1000999999999999E-3</v>
          </cell>
          <cell r="E688">
            <v>2554538</v>
          </cell>
          <cell r="F688" t="str">
            <v xml:space="preserve"> </v>
          </cell>
          <cell r="G688">
            <v>394104</v>
          </cell>
          <cell r="H688">
            <v>350662</v>
          </cell>
          <cell r="I688">
            <v>677876</v>
          </cell>
          <cell r="J688">
            <v>80569</v>
          </cell>
          <cell r="K688">
            <v>1503211</v>
          </cell>
          <cell r="L688"/>
          <cell r="M688">
            <v>13224</v>
          </cell>
          <cell r="N688">
            <v>0</v>
          </cell>
          <cell r="O688">
            <v>3282</v>
          </cell>
          <cell r="P688">
            <v>16506</v>
          </cell>
          <cell r="Q688"/>
          <cell r="R688">
            <v>709582</v>
          </cell>
          <cell r="S688">
            <v>43661</v>
          </cell>
          <cell r="T688">
            <v>753243</v>
          </cell>
        </row>
        <row r="689">
          <cell r="A689">
            <v>97511</v>
          </cell>
          <cell r="B689" t="str">
            <v xml:space="preserve"> TRYON</v>
          </cell>
          <cell r="C689">
            <v>1.8090000000000001E-4</v>
          </cell>
          <cell r="D689">
            <v>2.3450000000000001E-4</v>
          </cell>
          <cell r="E689">
            <v>429157</v>
          </cell>
          <cell r="F689" t="str">
            <v xml:space="preserve"> </v>
          </cell>
          <cell r="G689">
            <v>66209</v>
          </cell>
          <cell r="H689">
            <v>58911</v>
          </cell>
          <cell r="I689">
            <v>113882</v>
          </cell>
          <cell r="J689">
            <v>8581</v>
          </cell>
          <cell r="K689">
            <v>247583</v>
          </cell>
          <cell r="L689"/>
          <cell r="M689">
            <v>2222</v>
          </cell>
          <cell r="N689">
            <v>0</v>
          </cell>
          <cell r="O689">
            <v>27881</v>
          </cell>
          <cell r="P689">
            <v>30103</v>
          </cell>
          <cell r="Q689"/>
          <cell r="R689">
            <v>119208</v>
          </cell>
          <cell r="S689">
            <v>-3085</v>
          </cell>
          <cell r="T689">
            <v>116123</v>
          </cell>
        </row>
        <row r="690">
          <cell r="A690">
            <v>97521</v>
          </cell>
          <cell r="B690" t="str">
            <v xml:space="preserve"> COLUMBUS</v>
          </cell>
          <cell r="C690">
            <v>1.2640000000000001E-4</v>
          </cell>
          <cell r="D690">
            <v>1.2870000000000001E-4</v>
          </cell>
          <cell r="E690">
            <v>299864</v>
          </cell>
          <cell r="F690" t="str">
            <v xml:space="preserve"> </v>
          </cell>
          <cell r="G690">
            <v>46262</v>
          </cell>
          <cell r="H690">
            <v>41162</v>
          </cell>
          <cell r="I690">
            <v>79572</v>
          </cell>
          <cell r="J690">
            <v>0</v>
          </cell>
          <cell r="K690">
            <v>166996</v>
          </cell>
          <cell r="L690"/>
          <cell r="M690">
            <v>1552</v>
          </cell>
          <cell r="N690">
            <v>0</v>
          </cell>
          <cell r="O690">
            <v>13218</v>
          </cell>
          <cell r="P690">
            <v>14770</v>
          </cell>
          <cell r="Q690"/>
          <cell r="R690">
            <v>83294</v>
          </cell>
          <cell r="S690">
            <v>-4767</v>
          </cell>
          <cell r="T690">
            <v>78527</v>
          </cell>
        </row>
        <row r="691">
          <cell r="A691">
            <v>97527</v>
          </cell>
          <cell r="B691" t="str">
            <v>COLUMBUS ABC BOARD</v>
          </cell>
          <cell r="C691">
            <v>1.3999999999999999E-6</v>
          </cell>
          <cell r="D691">
            <v>0</v>
          </cell>
          <cell r="E691">
            <v>3321</v>
          </cell>
          <cell r="F691" t="str">
            <v xml:space="preserve"> </v>
          </cell>
          <cell r="G691">
            <v>512</v>
          </cell>
          <cell r="H691">
            <v>456</v>
          </cell>
          <cell r="I691">
            <v>881</v>
          </cell>
          <cell r="J691">
            <v>3462</v>
          </cell>
          <cell r="K691">
            <v>5311</v>
          </cell>
          <cell r="L691"/>
          <cell r="M691">
            <v>17</v>
          </cell>
          <cell r="N691">
            <v>0</v>
          </cell>
          <cell r="O691">
            <v>0</v>
          </cell>
          <cell r="P691">
            <v>17</v>
          </cell>
          <cell r="Q691"/>
          <cell r="R691">
            <v>923</v>
          </cell>
          <cell r="S691">
            <v>866</v>
          </cell>
          <cell r="T691">
            <v>1789</v>
          </cell>
        </row>
        <row r="692">
          <cell r="A692">
            <v>97531</v>
          </cell>
          <cell r="B692" t="str">
            <v>CITY OF SALUDA</v>
          </cell>
          <cell r="C692">
            <v>5.2800000000000003E-5</v>
          </cell>
          <cell r="D692">
            <v>4.32E-5</v>
          </cell>
          <cell r="E692">
            <v>125260</v>
          </cell>
          <cell r="F692" t="str">
            <v xml:space="preserve"> </v>
          </cell>
          <cell r="G692">
            <v>19325</v>
          </cell>
          <cell r="H692">
            <v>17194</v>
          </cell>
          <cell r="I692">
            <v>33239</v>
          </cell>
          <cell r="J692">
            <v>18303</v>
          </cell>
          <cell r="K692">
            <v>88061</v>
          </cell>
          <cell r="L692"/>
          <cell r="M692">
            <v>648</v>
          </cell>
          <cell r="N692">
            <v>0</v>
          </cell>
          <cell r="O692">
            <v>3521</v>
          </cell>
          <cell r="P692">
            <v>4169</v>
          </cell>
          <cell r="Q692"/>
          <cell r="R692">
            <v>34794</v>
          </cell>
          <cell r="S692">
            <v>42</v>
          </cell>
          <cell r="T692">
            <v>34836</v>
          </cell>
        </row>
        <row r="693">
          <cell r="A693">
            <v>97601</v>
          </cell>
          <cell r="B693" t="str">
            <v>RANDOLPH COUNTY</v>
          </cell>
          <cell r="C693">
            <v>5.2467E-3</v>
          </cell>
          <cell r="D693">
            <v>5.1672000000000003E-3</v>
          </cell>
          <cell r="E693">
            <v>12446967</v>
          </cell>
          <cell r="F693" t="str">
            <v xml:space="preserve"> </v>
          </cell>
          <cell r="G693">
            <v>1920271</v>
          </cell>
          <cell r="H693">
            <v>1708599</v>
          </cell>
          <cell r="I693">
            <v>3302945</v>
          </cell>
          <cell r="J693">
            <v>143195</v>
          </cell>
          <cell r="K693">
            <v>7075010</v>
          </cell>
          <cell r="L693"/>
          <cell r="M693">
            <v>64435</v>
          </cell>
          <cell r="N693">
            <v>0</v>
          </cell>
          <cell r="O693">
            <v>56258</v>
          </cell>
          <cell r="P693">
            <v>120693</v>
          </cell>
          <cell r="Q693"/>
          <cell r="R693">
            <v>3457434</v>
          </cell>
          <cell r="S693">
            <v>-900</v>
          </cell>
          <cell r="T693">
            <v>3456534</v>
          </cell>
        </row>
        <row r="694">
          <cell r="A694">
            <v>97607</v>
          </cell>
          <cell r="B694" t="str">
            <v>ASHEBORO ABC BOARD</v>
          </cell>
          <cell r="C694">
            <v>2.23E-5</v>
          </cell>
          <cell r="D694">
            <v>2.3200000000000001E-5</v>
          </cell>
          <cell r="E694">
            <v>52903</v>
          </cell>
          <cell r="F694" t="str">
            <v xml:space="preserve"> </v>
          </cell>
          <cell r="G694">
            <v>8162</v>
          </cell>
          <cell r="H694">
            <v>7262</v>
          </cell>
          <cell r="I694">
            <v>14038</v>
          </cell>
          <cell r="J694">
            <v>13674</v>
          </cell>
          <cell r="K694">
            <v>43136</v>
          </cell>
          <cell r="L694"/>
          <cell r="M694">
            <v>274</v>
          </cell>
          <cell r="N694">
            <v>0</v>
          </cell>
          <cell r="O694">
            <v>0</v>
          </cell>
          <cell r="P694">
            <v>274</v>
          </cell>
          <cell r="Q694"/>
          <cell r="R694">
            <v>14695</v>
          </cell>
          <cell r="S694">
            <v>6841</v>
          </cell>
          <cell r="T694">
            <v>21536</v>
          </cell>
        </row>
        <row r="695">
          <cell r="A695">
            <v>97611</v>
          </cell>
          <cell r="B695" t="str">
            <v>CITY OF ASHEBORO</v>
          </cell>
          <cell r="C695">
            <v>2.3620999999999998E-3</v>
          </cell>
          <cell r="D695">
            <v>2.4767999999999999E-3</v>
          </cell>
          <cell r="E695">
            <v>5603709</v>
          </cell>
          <cell r="F695" t="str">
            <v xml:space="preserve"> </v>
          </cell>
          <cell r="G695">
            <v>864519</v>
          </cell>
          <cell r="H695">
            <v>769222</v>
          </cell>
          <cell r="I695">
            <v>1487008</v>
          </cell>
          <cell r="J695">
            <v>0</v>
          </cell>
          <cell r="K695">
            <v>3120749</v>
          </cell>
          <cell r="L695"/>
          <cell r="M695">
            <v>29009</v>
          </cell>
          <cell r="N695">
            <v>0</v>
          </cell>
          <cell r="O695">
            <v>262473</v>
          </cell>
          <cell r="P695">
            <v>291482</v>
          </cell>
          <cell r="Q695"/>
          <cell r="R695">
            <v>1556560</v>
          </cell>
          <cell r="S695">
            <v>-141266</v>
          </cell>
          <cell r="T695">
            <v>1415294</v>
          </cell>
        </row>
        <row r="696">
          <cell r="A696">
            <v>97613</v>
          </cell>
          <cell r="B696" t="str">
            <v>ASHEBORO HOUSING AUTHORITY</v>
          </cell>
          <cell r="C696">
            <v>1.155E-4</v>
          </cell>
          <cell r="D696">
            <v>1.1629999999999999E-4</v>
          </cell>
          <cell r="E696">
            <v>274006</v>
          </cell>
          <cell r="F696" t="str">
            <v xml:space="preserve"> </v>
          </cell>
          <cell r="G696">
            <v>42273</v>
          </cell>
          <cell r="H696">
            <v>37613</v>
          </cell>
          <cell r="I696">
            <v>72710</v>
          </cell>
          <cell r="J696">
            <v>7279</v>
          </cell>
          <cell r="K696">
            <v>159875</v>
          </cell>
          <cell r="L696"/>
          <cell r="M696">
            <v>1418</v>
          </cell>
          <cell r="N696">
            <v>0</v>
          </cell>
          <cell r="O696">
            <v>1649</v>
          </cell>
          <cell r="P696">
            <v>3067</v>
          </cell>
          <cell r="Q696"/>
          <cell r="R696">
            <v>76111</v>
          </cell>
          <cell r="S696">
            <v>633</v>
          </cell>
          <cell r="T696">
            <v>76744</v>
          </cell>
        </row>
        <row r="697">
          <cell r="A697">
            <v>97621</v>
          </cell>
          <cell r="B697" t="str">
            <v>CITY OF RANDLEMAN</v>
          </cell>
          <cell r="C697">
            <v>4.4650000000000001E-4</v>
          </cell>
          <cell r="D697">
            <v>4.5179999999999998E-4</v>
          </cell>
          <cell r="E697">
            <v>1059251</v>
          </cell>
          <cell r="F697" t="str">
            <v xml:space="preserve"> </v>
          </cell>
          <cell r="G697">
            <v>163417</v>
          </cell>
          <cell r="H697">
            <v>145404</v>
          </cell>
          <cell r="I697">
            <v>281084</v>
          </cell>
          <cell r="J697">
            <v>7112</v>
          </cell>
          <cell r="K697">
            <v>597017</v>
          </cell>
          <cell r="L697"/>
          <cell r="M697">
            <v>5483</v>
          </cell>
          <cell r="N697">
            <v>0</v>
          </cell>
          <cell r="O697">
            <v>77672</v>
          </cell>
          <cell r="P697">
            <v>83155</v>
          </cell>
          <cell r="Q697"/>
          <cell r="R697">
            <v>294231</v>
          </cell>
          <cell r="S697">
            <v>-19086</v>
          </cell>
          <cell r="T697">
            <v>275145</v>
          </cell>
        </row>
        <row r="698">
          <cell r="A698">
            <v>97623</v>
          </cell>
          <cell r="B698" t="str">
            <v>CITY OF RANDLEMAN HOUSING AUTHORITY</v>
          </cell>
          <cell r="C698">
            <v>2.4000000000000001E-5</v>
          </cell>
          <cell r="D698">
            <v>2.9499999999999999E-5</v>
          </cell>
          <cell r="E698">
            <v>56936</v>
          </cell>
          <cell r="F698" t="str">
            <v xml:space="preserve"> </v>
          </cell>
          <cell r="G698">
            <v>8784</v>
          </cell>
          <cell r="H698">
            <v>7815</v>
          </cell>
          <cell r="I698">
            <v>15109</v>
          </cell>
          <cell r="J698">
            <v>2822</v>
          </cell>
          <cell r="K698">
            <v>34530</v>
          </cell>
          <cell r="L698"/>
          <cell r="M698">
            <v>295</v>
          </cell>
          <cell r="N698">
            <v>0</v>
          </cell>
          <cell r="O698">
            <v>5509</v>
          </cell>
          <cell r="P698">
            <v>5804</v>
          </cell>
          <cell r="Q698"/>
          <cell r="R698">
            <v>15815</v>
          </cell>
          <cell r="S698">
            <v>2196</v>
          </cell>
          <cell r="T698">
            <v>18011</v>
          </cell>
        </row>
        <row r="699">
          <cell r="A699">
            <v>97627</v>
          </cell>
          <cell r="B699" t="str">
            <v>CITY OF RANDLEMAN ABC BOARD</v>
          </cell>
          <cell r="C699">
            <v>9.5000000000000005E-6</v>
          </cell>
          <cell r="D699">
            <v>9.7000000000000003E-6</v>
          </cell>
          <cell r="E699">
            <v>22537</v>
          </cell>
          <cell r="F699" t="str">
            <v xml:space="preserve"> </v>
          </cell>
          <cell r="G699">
            <v>3477</v>
          </cell>
          <cell r="H699">
            <v>3094</v>
          </cell>
          <cell r="I699">
            <v>5981</v>
          </cell>
          <cell r="J699">
            <v>860</v>
          </cell>
          <cell r="K699">
            <v>13412</v>
          </cell>
          <cell r="L699"/>
          <cell r="M699">
            <v>117</v>
          </cell>
          <cell r="N699">
            <v>0</v>
          </cell>
          <cell r="O699">
            <v>455</v>
          </cell>
          <cell r="P699">
            <v>572</v>
          </cell>
          <cell r="Q699"/>
          <cell r="R699">
            <v>6260</v>
          </cell>
          <cell r="S699">
            <v>-64</v>
          </cell>
          <cell r="T699">
            <v>6196</v>
          </cell>
        </row>
        <row r="700">
          <cell r="A700">
            <v>97631</v>
          </cell>
          <cell r="B700" t="str">
            <v xml:space="preserve"> LIBERTY</v>
          </cell>
          <cell r="C700">
            <v>2.0909999999999999E-4</v>
          </cell>
          <cell r="D700">
            <v>2.051E-4</v>
          </cell>
          <cell r="E700">
            <v>496057</v>
          </cell>
          <cell r="F700" t="str">
            <v xml:space="preserve"> </v>
          </cell>
          <cell r="G700">
            <v>76530</v>
          </cell>
          <cell r="H700">
            <v>68094</v>
          </cell>
          <cell r="I700">
            <v>131634</v>
          </cell>
          <cell r="J700">
            <v>3847</v>
          </cell>
          <cell r="K700">
            <v>280105</v>
          </cell>
          <cell r="L700"/>
          <cell r="M700">
            <v>2568</v>
          </cell>
          <cell r="N700">
            <v>0</v>
          </cell>
          <cell r="O700">
            <v>7878</v>
          </cell>
          <cell r="P700">
            <v>10446</v>
          </cell>
          <cell r="Q700"/>
          <cell r="R700">
            <v>137791</v>
          </cell>
          <cell r="S700">
            <v>3264</v>
          </cell>
          <cell r="T700">
            <v>141055</v>
          </cell>
        </row>
        <row r="701">
          <cell r="A701">
            <v>97637</v>
          </cell>
          <cell r="B701" t="str">
            <v>LIBERTY ABC BOARD</v>
          </cell>
          <cell r="C701">
            <v>3.7000000000000002E-6</v>
          </cell>
          <cell r="D701">
            <v>4.3000000000000003E-6</v>
          </cell>
          <cell r="E701">
            <v>8778</v>
          </cell>
          <cell r="F701" t="str">
            <v xml:space="preserve"> </v>
          </cell>
          <cell r="G701">
            <v>1354</v>
          </cell>
          <cell r="H701">
            <v>1205</v>
          </cell>
          <cell r="I701">
            <v>2329</v>
          </cell>
          <cell r="J701">
            <v>1324</v>
          </cell>
          <cell r="K701">
            <v>6212</v>
          </cell>
          <cell r="L701"/>
          <cell r="M701">
            <v>45</v>
          </cell>
          <cell r="N701">
            <v>0</v>
          </cell>
          <cell r="O701">
            <v>20</v>
          </cell>
          <cell r="P701">
            <v>65</v>
          </cell>
          <cell r="Q701"/>
          <cell r="R701">
            <v>2438</v>
          </cell>
          <cell r="S701">
            <v>571</v>
          </cell>
          <cell r="T701">
            <v>3009</v>
          </cell>
        </row>
        <row r="702">
          <cell r="A702">
            <v>97641</v>
          </cell>
          <cell r="B702" t="str">
            <v xml:space="preserve"> RAMSEUR</v>
          </cell>
          <cell r="C702">
            <v>5.1400000000000003E-5</v>
          </cell>
          <cell r="D702">
            <v>6.8899999999999994E-5</v>
          </cell>
          <cell r="E702">
            <v>121938</v>
          </cell>
          <cell r="F702" t="str">
            <v xml:space="preserve"> </v>
          </cell>
          <cell r="G702">
            <v>18812</v>
          </cell>
          <cell r="H702">
            <v>16739</v>
          </cell>
          <cell r="I702">
            <v>32358</v>
          </cell>
          <cell r="J702">
            <v>8101</v>
          </cell>
          <cell r="K702">
            <v>76010</v>
          </cell>
          <cell r="L702"/>
          <cell r="M702">
            <v>631</v>
          </cell>
          <cell r="N702">
            <v>0</v>
          </cell>
          <cell r="O702">
            <v>8286</v>
          </cell>
          <cell r="P702">
            <v>8917</v>
          </cell>
          <cell r="Q702"/>
          <cell r="R702">
            <v>33871</v>
          </cell>
          <cell r="S702">
            <v>0</v>
          </cell>
          <cell r="T702">
            <v>33871</v>
          </cell>
        </row>
        <row r="703">
          <cell r="A703">
            <v>97651</v>
          </cell>
          <cell r="B703" t="str">
            <v>CITY OF ARCHDALE</v>
          </cell>
          <cell r="C703">
            <v>5.1929999999999999E-4</v>
          </cell>
          <cell r="D703">
            <v>5.1979999999999995E-4</v>
          </cell>
          <cell r="E703">
            <v>1231957</v>
          </cell>
          <cell r="F703" t="str">
            <v xml:space="preserve"> </v>
          </cell>
          <cell r="G703">
            <v>190062</v>
          </cell>
          <cell r="H703">
            <v>169112</v>
          </cell>
          <cell r="I703">
            <v>326914</v>
          </cell>
          <cell r="J703">
            <v>1180</v>
          </cell>
          <cell r="K703">
            <v>687268</v>
          </cell>
          <cell r="L703"/>
          <cell r="M703">
            <v>6378</v>
          </cell>
          <cell r="N703">
            <v>0</v>
          </cell>
          <cell r="O703">
            <v>40115</v>
          </cell>
          <cell r="P703">
            <v>46493</v>
          </cell>
          <cell r="Q703"/>
          <cell r="R703">
            <v>342205</v>
          </cell>
          <cell r="S703">
            <v>-23900</v>
          </cell>
          <cell r="T703">
            <v>318305</v>
          </cell>
        </row>
        <row r="704">
          <cell r="A704">
            <v>97661</v>
          </cell>
          <cell r="B704" t="str">
            <v>CITY OF TRINITY</v>
          </cell>
          <cell r="C704">
            <v>4.3999999999999999E-5</v>
          </cell>
          <cell r="D704">
            <v>5.1600000000000001E-5</v>
          </cell>
          <cell r="E704">
            <v>104383</v>
          </cell>
          <cell r="F704" t="str">
            <v xml:space="preserve"> </v>
          </cell>
          <cell r="G704">
            <v>16104</v>
          </cell>
          <cell r="H704">
            <v>14329</v>
          </cell>
          <cell r="I704">
            <v>27699</v>
          </cell>
          <cell r="J704">
            <v>7695</v>
          </cell>
          <cell r="K704">
            <v>65827</v>
          </cell>
          <cell r="L704"/>
          <cell r="M704">
            <v>540</v>
          </cell>
          <cell r="N704">
            <v>0</v>
          </cell>
          <cell r="O704">
            <v>2802</v>
          </cell>
          <cell r="P704">
            <v>3342</v>
          </cell>
          <cell r="Q704"/>
          <cell r="R704">
            <v>28995</v>
          </cell>
          <cell r="S704">
            <v>4350</v>
          </cell>
          <cell r="T704">
            <v>33345</v>
          </cell>
        </row>
        <row r="705">
          <cell r="A705">
            <v>97701</v>
          </cell>
          <cell r="B705" t="str">
            <v>RICHMOND COUNTY</v>
          </cell>
          <cell r="C705">
            <v>2.5590000000000001E-3</v>
          </cell>
          <cell r="D705">
            <v>2.4975000000000002E-3</v>
          </cell>
          <cell r="E705">
            <v>6070823</v>
          </cell>
          <cell r="F705" t="str">
            <v xml:space="preserve"> </v>
          </cell>
          <cell r="G705">
            <v>936584</v>
          </cell>
          <cell r="H705">
            <v>833344</v>
          </cell>
          <cell r="I705">
            <v>1610962</v>
          </cell>
          <cell r="J705">
            <v>51260</v>
          </cell>
          <cell r="K705">
            <v>3432150</v>
          </cell>
          <cell r="L705"/>
          <cell r="M705">
            <v>31427</v>
          </cell>
          <cell r="N705">
            <v>0</v>
          </cell>
          <cell r="O705">
            <v>0</v>
          </cell>
          <cell r="P705">
            <v>31427</v>
          </cell>
          <cell r="Q705"/>
          <cell r="R705">
            <v>1686312</v>
          </cell>
          <cell r="S705">
            <v>10250</v>
          </cell>
          <cell r="T705">
            <v>1696562</v>
          </cell>
        </row>
        <row r="706">
          <cell r="A706">
            <v>97705</v>
          </cell>
          <cell r="B706" t="str">
            <v>SANDHILL REGIONAL LIBRARY</v>
          </cell>
          <cell r="C706">
            <v>4.5500000000000001E-5</v>
          </cell>
          <cell r="D706">
            <v>4.7700000000000001E-5</v>
          </cell>
          <cell r="E706">
            <v>107942</v>
          </cell>
          <cell r="F706" t="str">
            <v xml:space="preserve"> </v>
          </cell>
          <cell r="G706">
            <v>16653</v>
          </cell>
          <cell r="H706">
            <v>14818</v>
          </cell>
          <cell r="I706">
            <v>28644</v>
          </cell>
          <cell r="J706">
            <v>1548</v>
          </cell>
          <cell r="K706">
            <v>61663</v>
          </cell>
          <cell r="L706"/>
          <cell r="M706">
            <v>559</v>
          </cell>
          <cell r="N706">
            <v>0</v>
          </cell>
          <cell r="O706">
            <v>9592</v>
          </cell>
          <cell r="P706">
            <v>10151</v>
          </cell>
          <cell r="Q706"/>
          <cell r="R706">
            <v>29983</v>
          </cell>
          <cell r="S706">
            <v>-54</v>
          </cell>
          <cell r="T706">
            <v>29929</v>
          </cell>
        </row>
        <row r="707">
          <cell r="A707">
            <v>97711</v>
          </cell>
          <cell r="B707" t="str">
            <v>CITY OF ROCKINGHAM</v>
          </cell>
          <cell r="C707">
            <v>9.1239999999999995E-4</v>
          </cell>
          <cell r="D707">
            <v>9.0879999999999997E-4</v>
          </cell>
          <cell r="E707">
            <v>2164525</v>
          </cell>
          <cell r="F707" t="str">
            <v xml:space="preserve"> </v>
          </cell>
          <cell r="G707">
            <v>333935</v>
          </cell>
          <cell r="H707">
            <v>297125</v>
          </cell>
          <cell r="I707">
            <v>574381</v>
          </cell>
          <cell r="J707">
            <v>12495</v>
          </cell>
          <cell r="K707">
            <v>1217936</v>
          </cell>
          <cell r="L707"/>
          <cell r="M707">
            <v>11205</v>
          </cell>
          <cell r="N707">
            <v>0</v>
          </cell>
          <cell r="O707">
            <v>22125</v>
          </cell>
          <cell r="P707">
            <v>33330</v>
          </cell>
          <cell r="Q707"/>
          <cell r="R707">
            <v>601247</v>
          </cell>
          <cell r="S707">
            <v>1420</v>
          </cell>
          <cell r="T707">
            <v>602667</v>
          </cell>
        </row>
        <row r="708">
          <cell r="A708">
            <v>97713</v>
          </cell>
          <cell r="B708" t="str">
            <v>ROCKINGHAM HOUSING AUTHORITY</v>
          </cell>
          <cell r="C708">
            <v>5.0500000000000001E-5</v>
          </cell>
          <cell r="D708">
            <v>4.1199999999999999E-5</v>
          </cell>
          <cell r="E708">
            <v>119803</v>
          </cell>
          <cell r="F708" t="str">
            <v xml:space="preserve"> </v>
          </cell>
          <cell r="G708">
            <v>18483</v>
          </cell>
          <cell r="H708">
            <v>16445</v>
          </cell>
          <cell r="I708">
            <v>31791</v>
          </cell>
          <cell r="J708">
            <v>4434</v>
          </cell>
          <cell r="K708">
            <v>71153</v>
          </cell>
          <cell r="L708"/>
          <cell r="M708">
            <v>620</v>
          </cell>
          <cell r="N708">
            <v>0</v>
          </cell>
          <cell r="O708">
            <v>11193</v>
          </cell>
          <cell r="P708">
            <v>11813</v>
          </cell>
          <cell r="Q708"/>
          <cell r="R708">
            <v>33278</v>
          </cell>
          <cell r="S708">
            <v>-3702</v>
          </cell>
          <cell r="T708">
            <v>29576</v>
          </cell>
        </row>
        <row r="709">
          <cell r="A709">
            <v>97717</v>
          </cell>
          <cell r="B709" t="str">
            <v>HAMLET ABC BOARD</v>
          </cell>
          <cell r="C709">
            <v>5.3000000000000001E-6</v>
          </cell>
          <cell r="D709">
            <v>4.6999999999999999E-6</v>
          </cell>
          <cell r="E709">
            <v>12573</v>
          </cell>
          <cell r="F709" t="str">
            <v xml:space="preserve"> </v>
          </cell>
          <cell r="G709">
            <v>1940</v>
          </cell>
          <cell r="H709">
            <v>1726</v>
          </cell>
          <cell r="I709">
            <v>3336</v>
          </cell>
          <cell r="J709">
            <v>1033</v>
          </cell>
          <cell r="K709">
            <v>8035</v>
          </cell>
          <cell r="L709"/>
          <cell r="M709">
            <v>65</v>
          </cell>
          <cell r="N709">
            <v>0</v>
          </cell>
          <cell r="O709">
            <v>1481</v>
          </cell>
          <cell r="P709">
            <v>1546</v>
          </cell>
          <cell r="Q709"/>
          <cell r="R709">
            <v>3493</v>
          </cell>
          <cell r="S709">
            <v>-1455</v>
          </cell>
          <cell r="T709">
            <v>2038</v>
          </cell>
        </row>
        <row r="710">
          <cell r="A710">
            <v>97721</v>
          </cell>
          <cell r="B710" t="str">
            <v>CITY OF HAMLET</v>
          </cell>
          <cell r="C710">
            <v>5.9069999999999999E-4</v>
          </cell>
          <cell r="D710">
            <v>5.6599999999999999E-4</v>
          </cell>
          <cell r="E710">
            <v>1401342</v>
          </cell>
          <cell r="F710" t="str">
            <v xml:space="preserve"> </v>
          </cell>
          <cell r="G710">
            <v>216194</v>
          </cell>
          <cell r="H710">
            <v>192363</v>
          </cell>
          <cell r="I710">
            <v>371862</v>
          </cell>
          <cell r="J710">
            <v>11194</v>
          </cell>
          <cell r="K710">
            <v>791613</v>
          </cell>
          <cell r="L710"/>
          <cell r="M710">
            <v>7254</v>
          </cell>
          <cell r="N710">
            <v>0</v>
          </cell>
          <cell r="O710">
            <v>16380</v>
          </cell>
          <cell r="P710">
            <v>23634</v>
          </cell>
          <cell r="Q710"/>
          <cell r="R710">
            <v>389255</v>
          </cell>
          <cell r="S710">
            <v>-8177</v>
          </cell>
          <cell r="T710">
            <v>381078</v>
          </cell>
        </row>
        <row r="711">
          <cell r="A711">
            <v>97727</v>
          </cell>
          <cell r="B711" t="str">
            <v>CITY OF ROCKINGHAM ABC BOARD</v>
          </cell>
          <cell r="C711">
            <v>2.0599999999999999E-5</v>
          </cell>
          <cell r="D711">
            <v>2.27E-5</v>
          </cell>
          <cell r="E711">
            <v>48870</v>
          </cell>
          <cell r="F711" t="str">
            <v xml:space="preserve"> </v>
          </cell>
          <cell r="G711">
            <v>7540</v>
          </cell>
          <cell r="H711">
            <v>6709</v>
          </cell>
          <cell r="I711">
            <v>12968</v>
          </cell>
          <cell r="J711">
            <v>0</v>
          </cell>
          <cell r="K711">
            <v>27217</v>
          </cell>
          <cell r="L711"/>
          <cell r="M711">
            <v>253</v>
          </cell>
          <cell r="N711">
            <v>0</v>
          </cell>
          <cell r="O711">
            <v>1628</v>
          </cell>
          <cell r="P711">
            <v>1881</v>
          </cell>
          <cell r="Q711"/>
          <cell r="R711">
            <v>13575</v>
          </cell>
          <cell r="S711">
            <v>-1410</v>
          </cell>
          <cell r="T711">
            <v>12165</v>
          </cell>
        </row>
        <row r="712">
          <cell r="A712">
            <v>97731</v>
          </cell>
          <cell r="B712" t="str">
            <v xml:space="preserve"> ELLERBE</v>
          </cell>
          <cell r="C712">
            <v>3.3200000000000001E-5</v>
          </cell>
          <cell r="D712">
            <v>3.5500000000000002E-5</v>
          </cell>
          <cell r="E712">
            <v>78762</v>
          </cell>
          <cell r="F712" t="str">
            <v xml:space="preserve"> </v>
          </cell>
          <cell r="G712">
            <v>12151</v>
          </cell>
          <cell r="H712">
            <v>10811</v>
          </cell>
          <cell r="I712">
            <v>20900</v>
          </cell>
          <cell r="J712">
            <v>4695</v>
          </cell>
          <cell r="K712">
            <v>48557</v>
          </cell>
          <cell r="L712"/>
          <cell r="M712">
            <v>408</v>
          </cell>
          <cell r="N712">
            <v>0</v>
          </cell>
          <cell r="O712">
            <v>0</v>
          </cell>
          <cell r="P712">
            <v>408</v>
          </cell>
          <cell r="Q712"/>
          <cell r="R712">
            <v>21878</v>
          </cell>
          <cell r="S712">
            <v>3280</v>
          </cell>
          <cell r="T712">
            <v>25158</v>
          </cell>
        </row>
        <row r="713">
          <cell r="A713">
            <v>97801</v>
          </cell>
          <cell r="B713" t="str">
            <v>ROBESON COUNTY</v>
          </cell>
          <cell r="C713">
            <v>6.5702E-3</v>
          </cell>
          <cell r="D713">
            <v>6.9303000000000003E-3</v>
          </cell>
          <cell r="E713">
            <v>15586761</v>
          </cell>
          <cell r="F713" t="str">
            <v xml:space="preserve"> </v>
          </cell>
          <cell r="G713">
            <v>2404667</v>
          </cell>
          <cell r="H713">
            <v>2139599</v>
          </cell>
          <cell r="I713">
            <v>4136125</v>
          </cell>
          <cell r="J713">
            <v>0</v>
          </cell>
          <cell r="K713">
            <v>8680391</v>
          </cell>
          <cell r="L713"/>
          <cell r="M713">
            <v>80689</v>
          </cell>
          <cell r="N713">
            <v>0</v>
          </cell>
          <cell r="O713">
            <v>508951</v>
          </cell>
          <cell r="P713">
            <v>589640</v>
          </cell>
          <cell r="Q713"/>
          <cell r="R713">
            <v>4329584</v>
          </cell>
          <cell r="S713">
            <v>-154797</v>
          </cell>
          <cell r="T713">
            <v>4174787</v>
          </cell>
        </row>
        <row r="714">
          <cell r="A714">
            <v>97802</v>
          </cell>
          <cell r="B714" t="str">
            <v>LUMBER RIVER COUNCIL OF GOVERNMENTS</v>
          </cell>
          <cell r="C714">
            <v>1.684E-4</v>
          </cell>
          <cell r="D714">
            <v>1.5300000000000001E-4</v>
          </cell>
          <cell r="E714">
            <v>399502</v>
          </cell>
          <cell r="F714" t="str">
            <v xml:space="preserve"> </v>
          </cell>
          <cell r="G714">
            <v>61634</v>
          </cell>
          <cell r="H714">
            <v>54840</v>
          </cell>
          <cell r="I714">
            <v>106013</v>
          </cell>
          <cell r="J714">
            <v>12750</v>
          </cell>
          <cell r="K714">
            <v>235237</v>
          </cell>
          <cell r="L714"/>
          <cell r="M714">
            <v>2068</v>
          </cell>
          <cell r="N714">
            <v>0</v>
          </cell>
          <cell r="O714">
            <v>17264</v>
          </cell>
          <cell r="P714">
            <v>19332</v>
          </cell>
          <cell r="Q714"/>
          <cell r="R714">
            <v>110971</v>
          </cell>
          <cell r="S714">
            <v>1914</v>
          </cell>
          <cell r="T714">
            <v>112885</v>
          </cell>
        </row>
        <row r="715">
          <cell r="A715">
            <v>97803</v>
          </cell>
          <cell r="B715" t="str">
            <v>ROBESON COUNTY HOUSING AUTHORITY</v>
          </cell>
          <cell r="C715">
            <v>8.1699999999999994E-5</v>
          </cell>
          <cell r="D715">
            <v>7.5300000000000001E-5</v>
          </cell>
          <cell r="E715">
            <v>193820</v>
          </cell>
          <cell r="F715" t="str">
            <v xml:space="preserve"> </v>
          </cell>
          <cell r="G715">
            <v>29902</v>
          </cell>
          <cell r="H715">
            <v>26605</v>
          </cell>
          <cell r="I715">
            <v>51432</v>
          </cell>
          <cell r="J715">
            <v>5367</v>
          </cell>
          <cell r="K715">
            <v>113306</v>
          </cell>
          <cell r="L715"/>
          <cell r="M715">
            <v>1003</v>
          </cell>
          <cell r="N715">
            <v>0</v>
          </cell>
          <cell r="O715">
            <v>685</v>
          </cell>
          <cell r="P715">
            <v>1688</v>
          </cell>
          <cell r="Q715"/>
          <cell r="R715">
            <v>53838</v>
          </cell>
          <cell r="S715">
            <v>4391</v>
          </cell>
          <cell r="T715">
            <v>58229</v>
          </cell>
        </row>
        <row r="716">
          <cell r="A716">
            <v>97805</v>
          </cell>
          <cell r="B716" t="str">
            <v>ROBESON COUNTY PUBLIC LIBRARY</v>
          </cell>
          <cell r="C716">
            <v>8.2700000000000004E-5</v>
          </cell>
          <cell r="D716">
            <v>7.9400000000000006E-5</v>
          </cell>
          <cell r="E716">
            <v>196193</v>
          </cell>
          <cell r="F716" t="str">
            <v xml:space="preserve"> </v>
          </cell>
          <cell r="G716">
            <v>30268</v>
          </cell>
          <cell r="H716">
            <v>26932</v>
          </cell>
          <cell r="I716">
            <v>52062</v>
          </cell>
          <cell r="J716">
            <v>9379</v>
          </cell>
          <cell r="K716">
            <v>118641</v>
          </cell>
          <cell r="L716"/>
          <cell r="M716">
            <v>1016</v>
          </cell>
          <cell r="N716">
            <v>0</v>
          </cell>
          <cell r="O716">
            <v>0</v>
          </cell>
          <cell r="P716">
            <v>1016</v>
          </cell>
          <cell r="Q716"/>
          <cell r="R716">
            <v>54497</v>
          </cell>
          <cell r="S716">
            <v>4756</v>
          </cell>
          <cell r="T716">
            <v>59253</v>
          </cell>
        </row>
        <row r="717">
          <cell r="A717">
            <v>97811</v>
          </cell>
          <cell r="B717" t="str">
            <v>CITY OF LUMBERTON</v>
          </cell>
          <cell r="C717">
            <v>2.4342999999999999E-3</v>
          </cell>
          <cell r="D717">
            <v>2.4172E-3</v>
          </cell>
          <cell r="E717">
            <v>5774992</v>
          </cell>
          <cell r="F717" t="str">
            <v xml:space="preserve"> </v>
          </cell>
          <cell r="G717">
            <v>890944</v>
          </cell>
          <cell r="H717">
            <v>792734</v>
          </cell>
          <cell r="I717">
            <v>1532460</v>
          </cell>
          <cell r="J717">
            <v>0</v>
          </cell>
          <cell r="K717">
            <v>3216138</v>
          </cell>
          <cell r="L717"/>
          <cell r="M717">
            <v>29896</v>
          </cell>
          <cell r="N717">
            <v>0</v>
          </cell>
          <cell r="O717">
            <v>95364</v>
          </cell>
          <cell r="P717">
            <v>125260</v>
          </cell>
          <cell r="Q717"/>
          <cell r="R717">
            <v>1604138</v>
          </cell>
          <cell r="S717">
            <v>-74364</v>
          </cell>
          <cell r="T717">
            <v>1529774</v>
          </cell>
        </row>
        <row r="718">
          <cell r="A718">
            <v>97817</v>
          </cell>
          <cell r="B718" t="str">
            <v>LUMBERTON ABC BOARD</v>
          </cell>
          <cell r="C718">
            <v>1.8199999999999999E-5</v>
          </cell>
          <cell r="D718">
            <v>2.2200000000000001E-5</v>
          </cell>
          <cell r="E718">
            <v>43177</v>
          </cell>
          <cell r="F718" t="str">
            <v xml:space="preserve"> </v>
          </cell>
          <cell r="G718">
            <v>6661</v>
          </cell>
          <cell r="H718">
            <v>5927</v>
          </cell>
          <cell r="I718">
            <v>11457</v>
          </cell>
          <cell r="J718">
            <v>13908</v>
          </cell>
          <cell r="K718">
            <v>37953</v>
          </cell>
          <cell r="L718"/>
          <cell r="M718">
            <v>224</v>
          </cell>
          <cell r="N718">
            <v>0</v>
          </cell>
          <cell r="O718">
            <v>1088</v>
          </cell>
          <cell r="P718">
            <v>1312</v>
          </cell>
          <cell r="Q718"/>
          <cell r="R718">
            <v>11993</v>
          </cell>
          <cell r="S718">
            <v>4171</v>
          </cell>
          <cell r="T718">
            <v>16164</v>
          </cell>
        </row>
        <row r="719">
          <cell r="A719">
            <v>97818</v>
          </cell>
          <cell r="B719" t="str">
            <v>LUMBERTON AIRPORT COMM</v>
          </cell>
          <cell r="C719">
            <v>2.0299999999999999E-5</v>
          </cell>
          <cell r="D719">
            <v>2.1999999999999999E-5</v>
          </cell>
          <cell r="E719">
            <v>48159</v>
          </cell>
          <cell r="F719" t="str">
            <v xml:space="preserve"> </v>
          </cell>
          <cell r="G719">
            <v>7430</v>
          </cell>
          <cell r="H719">
            <v>6611</v>
          </cell>
          <cell r="I719">
            <v>12779</v>
          </cell>
          <cell r="J719">
            <v>3906</v>
          </cell>
          <cell r="K719">
            <v>30726</v>
          </cell>
          <cell r="L719"/>
          <cell r="M719">
            <v>249</v>
          </cell>
          <cell r="N719">
            <v>0</v>
          </cell>
          <cell r="O719">
            <v>983</v>
          </cell>
          <cell r="P719">
            <v>1232</v>
          </cell>
          <cell r="Q719"/>
          <cell r="R719">
            <v>13377</v>
          </cell>
          <cell r="S719">
            <v>-89</v>
          </cell>
          <cell r="T719">
            <v>13288</v>
          </cell>
        </row>
        <row r="720">
          <cell r="A720">
            <v>97821</v>
          </cell>
          <cell r="B720" t="str">
            <v xml:space="preserve"> FAIRMONT</v>
          </cell>
          <cell r="C720">
            <v>1.071E-4</v>
          </cell>
          <cell r="D720">
            <v>1.126E-4</v>
          </cell>
          <cell r="E720">
            <v>254078</v>
          </cell>
          <cell r="F720" t="str">
            <v xml:space="preserve"> </v>
          </cell>
          <cell r="G720">
            <v>39198</v>
          </cell>
          <cell r="H720">
            <v>34878</v>
          </cell>
          <cell r="I720">
            <v>67422</v>
          </cell>
          <cell r="J720">
            <v>12602</v>
          </cell>
          <cell r="K720">
            <v>154100</v>
          </cell>
          <cell r="L720"/>
          <cell r="M720">
            <v>1315</v>
          </cell>
          <cell r="N720">
            <v>0</v>
          </cell>
          <cell r="O720">
            <v>5606</v>
          </cell>
          <cell r="P720">
            <v>6921</v>
          </cell>
          <cell r="Q720"/>
          <cell r="R720">
            <v>70576</v>
          </cell>
          <cell r="S720">
            <v>-7137</v>
          </cell>
          <cell r="T720">
            <v>63439</v>
          </cell>
        </row>
        <row r="721">
          <cell r="A721">
            <v>97823</v>
          </cell>
          <cell r="B721" t="str">
            <v>FAIRMONT HOUSING AUTHORITY</v>
          </cell>
          <cell r="C721">
            <v>1.7200000000000001E-5</v>
          </cell>
          <cell r="D721">
            <v>2.3300000000000001E-5</v>
          </cell>
          <cell r="E721">
            <v>40804</v>
          </cell>
          <cell r="F721" t="str">
            <v xml:space="preserve"> </v>
          </cell>
          <cell r="G721">
            <v>6295</v>
          </cell>
          <cell r="H721">
            <v>5601</v>
          </cell>
          <cell r="I721">
            <v>10828</v>
          </cell>
          <cell r="J721">
            <v>1190</v>
          </cell>
          <cell r="K721">
            <v>23914</v>
          </cell>
          <cell r="L721"/>
          <cell r="M721">
            <v>211</v>
          </cell>
          <cell r="N721">
            <v>0</v>
          </cell>
          <cell r="O721">
            <v>2106</v>
          </cell>
          <cell r="P721">
            <v>2317</v>
          </cell>
          <cell r="Q721"/>
          <cell r="R721">
            <v>11334</v>
          </cell>
          <cell r="S721">
            <v>-598</v>
          </cell>
          <cell r="T721">
            <v>10736</v>
          </cell>
        </row>
        <row r="722">
          <cell r="A722">
            <v>97831</v>
          </cell>
          <cell r="B722" t="str">
            <v xml:space="preserve"> ST PAULS</v>
          </cell>
          <cell r="C722">
            <v>1.5200000000000001E-4</v>
          </cell>
          <cell r="D722">
            <v>1.7009999999999999E-4</v>
          </cell>
          <cell r="E722">
            <v>360596</v>
          </cell>
          <cell r="F722" t="str">
            <v xml:space="preserve"> </v>
          </cell>
          <cell r="G722">
            <v>55631</v>
          </cell>
          <cell r="H722">
            <v>49499</v>
          </cell>
          <cell r="I722">
            <v>95688</v>
          </cell>
          <cell r="J722">
            <v>11447</v>
          </cell>
          <cell r="K722">
            <v>212265</v>
          </cell>
          <cell r="L722"/>
          <cell r="M722">
            <v>1867</v>
          </cell>
          <cell r="N722">
            <v>0</v>
          </cell>
          <cell r="O722">
            <v>5865</v>
          </cell>
          <cell r="P722">
            <v>7732</v>
          </cell>
          <cell r="Q722"/>
          <cell r="R722">
            <v>100164</v>
          </cell>
          <cell r="S722">
            <v>-2869</v>
          </cell>
          <cell r="T722">
            <v>97295</v>
          </cell>
        </row>
        <row r="723">
          <cell r="A723">
            <v>97837</v>
          </cell>
          <cell r="B723" t="str">
            <v>ST PAUL'S BRD OF ALCOHOLIC CTL</v>
          </cell>
          <cell r="C723">
            <v>9.3000000000000007E-6</v>
          </cell>
          <cell r="D723">
            <v>1.0200000000000001E-5</v>
          </cell>
          <cell r="E723">
            <v>22063</v>
          </cell>
          <cell r="F723" t="str">
            <v xml:space="preserve"> </v>
          </cell>
          <cell r="G723">
            <v>3404</v>
          </cell>
          <cell r="H723">
            <v>3029</v>
          </cell>
          <cell r="I723">
            <v>5855</v>
          </cell>
          <cell r="J723">
            <v>3379</v>
          </cell>
          <cell r="K723">
            <v>15667</v>
          </cell>
          <cell r="L723"/>
          <cell r="M723">
            <v>114</v>
          </cell>
          <cell r="N723">
            <v>0</v>
          </cell>
          <cell r="O723">
            <v>139</v>
          </cell>
          <cell r="P723">
            <v>253</v>
          </cell>
          <cell r="Q723"/>
          <cell r="R723">
            <v>6128</v>
          </cell>
          <cell r="S723">
            <v>1610</v>
          </cell>
          <cell r="T723">
            <v>7738</v>
          </cell>
        </row>
        <row r="724">
          <cell r="A724">
            <v>97840</v>
          </cell>
          <cell r="B724" t="str">
            <v xml:space="preserve"> MAXTON</v>
          </cell>
          <cell r="C724">
            <v>1.36E-4</v>
          </cell>
          <cell r="D724">
            <v>1.3190000000000001E-4</v>
          </cell>
          <cell r="E724">
            <v>322639</v>
          </cell>
          <cell r="F724" t="str">
            <v xml:space="preserve"> </v>
          </cell>
          <cell r="G724">
            <v>49775</v>
          </cell>
          <cell r="H724">
            <v>44288</v>
          </cell>
          <cell r="I724">
            <v>85616</v>
          </cell>
          <cell r="J724">
            <v>90526</v>
          </cell>
          <cell r="K724">
            <v>270205</v>
          </cell>
          <cell r="L724"/>
          <cell r="M724">
            <v>1670</v>
          </cell>
          <cell r="N724">
            <v>0</v>
          </cell>
          <cell r="O724">
            <v>0</v>
          </cell>
          <cell r="P724">
            <v>1670</v>
          </cell>
          <cell r="Q724"/>
          <cell r="R724">
            <v>89620</v>
          </cell>
          <cell r="S724">
            <v>37670</v>
          </cell>
          <cell r="T724">
            <v>127290</v>
          </cell>
        </row>
        <row r="725">
          <cell r="A725">
            <v>97841</v>
          </cell>
          <cell r="B725" t="str">
            <v xml:space="preserve"> PARKTON</v>
          </cell>
          <cell r="C725">
            <v>1.2E-5</v>
          </cell>
          <cell r="D725">
            <v>1.31E-5</v>
          </cell>
          <cell r="E725">
            <v>28468</v>
          </cell>
          <cell r="F725" t="str">
            <v xml:space="preserve"> </v>
          </cell>
          <cell r="G725">
            <v>4392</v>
          </cell>
          <cell r="H725">
            <v>3908</v>
          </cell>
          <cell r="I725">
            <v>7554</v>
          </cell>
          <cell r="J725">
            <v>186</v>
          </cell>
          <cell r="K725">
            <v>16040</v>
          </cell>
          <cell r="L725"/>
          <cell r="M725">
            <v>147</v>
          </cell>
          <cell r="N725">
            <v>0</v>
          </cell>
          <cell r="O725">
            <v>783</v>
          </cell>
          <cell r="P725">
            <v>930</v>
          </cell>
          <cell r="Q725"/>
          <cell r="R725">
            <v>7908</v>
          </cell>
          <cell r="S725">
            <v>-3836</v>
          </cell>
          <cell r="T725">
            <v>4072</v>
          </cell>
        </row>
        <row r="726">
          <cell r="A726">
            <v>97847</v>
          </cell>
          <cell r="B726" t="str">
            <v>MAXTON ABC BOARD</v>
          </cell>
          <cell r="C726">
            <v>1.9999999999999999E-6</v>
          </cell>
          <cell r="D726">
            <v>2.0999999999999998E-6</v>
          </cell>
          <cell r="E726">
            <v>4745</v>
          </cell>
          <cell r="F726" t="str">
            <v xml:space="preserve"> </v>
          </cell>
          <cell r="G726">
            <v>732</v>
          </cell>
          <cell r="H726">
            <v>651</v>
          </cell>
          <cell r="I726">
            <v>1259</v>
          </cell>
          <cell r="J726">
            <v>2019</v>
          </cell>
          <cell r="K726">
            <v>4661</v>
          </cell>
          <cell r="L726"/>
          <cell r="M726">
            <v>25</v>
          </cell>
          <cell r="N726">
            <v>0</v>
          </cell>
          <cell r="O726">
            <v>0</v>
          </cell>
          <cell r="P726">
            <v>25</v>
          </cell>
          <cell r="Q726"/>
          <cell r="R726">
            <v>1318</v>
          </cell>
          <cell r="S726">
            <v>610</v>
          </cell>
          <cell r="T726">
            <v>1928</v>
          </cell>
        </row>
        <row r="727">
          <cell r="A727">
            <v>97851</v>
          </cell>
          <cell r="B727" t="str">
            <v xml:space="preserve"> PEMBROKE</v>
          </cell>
          <cell r="C727">
            <v>2.7750000000000002E-4</v>
          </cell>
          <cell r="D727">
            <v>2.7799999999999998E-4</v>
          </cell>
          <cell r="E727">
            <v>658325</v>
          </cell>
          <cell r="F727" t="str">
            <v xml:space="preserve"> </v>
          </cell>
          <cell r="G727">
            <v>101564</v>
          </cell>
          <cell r="H727">
            <v>90369</v>
          </cell>
          <cell r="I727">
            <v>174694</v>
          </cell>
          <cell r="J727">
            <v>0</v>
          </cell>
          <cell r="K727">
            <v>366627</v>
          </cell>
          <cell r="L727"/>
          <cell r="M727">
            <v>3408</v>
          </cell>
          <cell r="N727">
            <v>0</v>
          </cell>
          <cell r="O727">
            <v>25332</v>
          </cell>
          <cell r="P727">
            <v>28740</v>
          </cell>
          <cell r="Q727"/>
          <cell r="R727">
            <v>182865</v>
          </cell>
          <cell r="S727">
            <v>-6676</v>
          </cell>
          <cell r="T727">
            <v>176189</v>
          </cell>
        </row>
        <row r="728">
          <cell r="A728">
            <v>97853</v>
          </cell>
          <cell r="B728" t="str">
            <v>PEMBROKE HOUSING AUTHORITY</v>
          </cell>
          <cell r="C728">
            <v>9.09E-5</v>
          </cell>
          <cell r="D728">
            <v>1.0289999999999999E-4</v>
          </cell>
          <cell r="E728">
            <v>215646</v>
          </cell>
          <cell r="F728" t="str">
            <v xml:space="preserve"> </v>
          </cell>
          <cell r="G728">
            <v>33269</v>
          </cell>
          <cell r="H728">
            <v>29601</v>
          </cell>
          <cell r="I728">
            <v>57224</v>
          </cell>
          <cell r="J728">
            <v>4930</v>
          </cell>
          <cell r="K728">
            <v>125024</v>
          </cell>
          <cell r="L728"/>
          <cell r="M728">
            <v>1116</v>
          </cell>
          <cell r="N728">
            <v>0</v>
          </cell>
          <cell r="O728">
            <v>18002</v>
          </cell>
          <cell r="P728">
            <v>19118</v>
          </cell>
          <cell r="Q728"/>
          <cell r="R728">
            <v>59901</v>
          </cell>
          <cell r="S728">
            <v>-2497</v>
          </cell>
          <cell r="T728">
            <v>57404</v>
          </cell>
        </row>
        <row r="729">
          <cell r="A729">
            <v>97861</v>
          </cell>
          <cell r="B729" t="str">
            <v xml:space="preserve"> ROWLAND</v>
          </cell>
          <cell r="C729">
            <v>4.3000000000000002E-5</v>
          </cell>
          <cell r="D729">
            <v>6.7000000000000002E-5</v>
          </cell>
          <cell r="E729">
            <v>102011</v>
          </cell>
          <cell r="F729" t="str">
            <v xml:space="preserve"> </v>
          </cell>
          <cell r="G729">
            <v>15738</v>
          </cell>
          <cell r="H729">
            <v>14003</v>
          </cell>
          <cell r="I729">
            <v>27070</v>
          </cell>
          <cell r="J729">
            <v>799</v>
          </cell>
          <cell r="K729">
            <v>57610</v>
          </cell>
          <cell r="L729"/>
          <cell r="M729">
            <v>528</v>
          </cell>
          <cell r="N729">
            <v>0</v>
          </cell>
          <cell r="O729">
            <v>15816</v>
          </cell>
          <cell r="P729">
            <v>16344</v>
          </cell>
          <cell r="Q729"/>
          <cell r="R729">
            <v>28336</v>
          </cell>
          <cell r="S729">
            <v>-6822</v>
          </cell>
          <cell r="T729">
            <v>21514</v>
          </cell>
        </row>
        <row r="730">
          <cell r="A730">
            <v>97871</v>
          </cell>
          <cell r="B730" t="str">
            <v xml:space="preserve"> RED SPRINGS</v>
          </cell>
          <cell r="C730">
            <v>3.1080000000000002E-4</v>
          </cell>
          <cell r="D730">
            <v>2.9930000000000001E-4</v>
          </cell>
          <cell r="E730">
            <v>737324</v>
          </cell>
          <cell r="F730" t="str">
            <v xml:space="preserve"> </v>
          </cell>
          <cell r="G730">
            <v>113752</v>
          </cell>
          <cell r="H730">
            <v>101213</v>
          </cell>
          <cell r="I730">
            <v>195657</v>
          </cell>
          <cell r="J730">
            <v>260432</v>
          </cell>
          <cell r="K730">
            <v>671054</v>
          </cell>
          <cell r="L730"/>
          <cell r="M730">
            <v>3817</v>
          </cell>
          <cell r="N730">
            <v>0</v>
          </cell>
          <cell r="O730">
            <v>0</v>
          </cell>
          <cell r="P730">
            <v>3817</v>
          </cell>
          <cell r="Q730"/>
          <cell r="R730">
            <v>204809</v>
          </cell>
          <cell r="S730">
            <v>109999</v>
          </cell>
          <cell r="T730">
            <v>314808</v>
          </cell>
        </row>
        <row r="731">
          <cell r="A731">
            <v>97877</v>
          </cell>
          <cell r="B731" t="str">
            <v>RED SPRINGS ABC BOARD</v>
          </cell>
          <cell r="C731">
            <v>1.7999999999999999E-6</v>
          </cell>
          <cell r="D731">
            <v>1.9E-6</v>
          </cell>
          <cell r="E731">
            <v>4270</v>
          </cell>
          <cell r="F731" t="str">
            <v xml:space="preserve"> </v>
          </cell>
          <cell r="G731">
            <v>659</v>
          </cell>
          <cell r="H731">
            <v>586</v>
          </cell>
          <cell r="I731">
            <v>1133</v>
          </cell>
          <cell r="J731">
            <v>2439</v>
          </cell>
          <cell r="K731">
            <v>4817</v>
          </cell>
          <cell r="L731"/>
          <cell r="M731">
            <v>22</v>
          </cell>
          <cell r="N731">
            <v>0</v>
          </cell>
          <cell r="O731">
            <v>0</v>
          </cell>
          <cell r="P731">
            <v>22</v>
          </cell>
          <cell r="Q731"/>
          <cell r="R731">
            <v>1186</v>
          </cell>
          <cell r="S731">
            <v>1008</v>
          </cell>
          <cell r="T731">
            <v>2194</v>
          </cell>
        </row>
        <row r="732">
          <cell r="A732">
            <v>97901</v>
          </cell>
          <cell r="B732" t="str">
            <v>ROCKINGHAM COUNTY</v>
          </cell>
          <cell r="C732">
            <v>4.2154000000000002E-3</v>
          </cell>
          <cell r="D732">
            <v>4.2658000000000001E-3</v>
          </cell>
          <cell r="E732">
            <v>10000370</v>
          </cell>
          <cell r="F732" t="str">
            <v xml:space="preserve"> </v>
          </cell>
          <cell r="G732">
            <v>1542820</v>
          </cell>
          <cell r="H732">
            <v>1372753</v>
          </cell>
          <cell r="I732">
            <v>2653712</v>
          </cell>
          <cell r="J732">
            <v>48144</v>
          </cell>
          <cell r="K732">
            <v>5617429</v>
          </cell>
          <cell r="L732"/>
          <cell r="M732">
            <v>51769</v>
          </cell>
          <cell r="N732">
            <v>0</v>
          </cell>
          <cell r="O732">
            <v>28304</v>
          </cell>
          <cell r="P732">
            <v>80073</v>
          </cell>
          <cell r="Q732"/>
          <cell r="R732">
            <v>2777835</v>
          </cell>
          <cell r="S732">
            <v>30359</v>
          </cell>
          <cell r="T732">
            <v>2808194</v>
          </cell>
        </row>
        <row r="733">
          <cell r="A733">
            <v>97911</v>
          </cell>
          <cell r="B733" t="str">
            <v>CITY OF REIDSVILLE</v>
          </cell>
          <cell r="C733">
            <v>1.2834000000000001E-3</v>
          </cell>
          <cell r="D733">
            <v>1.3005E-3</v>
          </cell>
          <cell r="E733">
            <v>3044664</v>
          </cell>
          <cell r="F733" t="str">
            <v xml:space="preserve"> </v>
          </cell>
          <cell r="G733">
            <v>469719</v>
          </cell>
          <cell r="H733">
            <v>417942</v>
          </cell>
          <cell r="I733">
            <v>807936</v>
          </cell>
          <cell r="J733">
            <v>11320</v>
          </cell>
          <cell r="K733">
            <v>1706917</v>
          </cell>
          <cell r="L733"/>
          <cell r="M733">
            <v>15761</v>
          </cell>
          <cell r="N733">
            <v>0</v>
          </cell>
          <cell r="O733">
            <v>18493</v>
          </cell>
          <cell r="P733">
            <v>34254</v>
          </cell>
          <cell r="Q733"/>
          <cell r="R733">
            <v>845726</v>
          </cell>
          <cell r="S733">
            <v>10611</v>
          </cell>
          <cell r="T733">
            <v>856337</v>
          </cell>
        </row>
        <row r="734">
          <cell r="A734">
            <v>97913</v>
          </cell>
          <cell r="B734" t="str">
            <v>THE NEW REIDSVILLE HOUSING AUTHORITY</v>
          </cell>
          <cell r="C734">
            <v>3.3899999999999997E-5</v>
          </cell>
          <cell r="D734">
            <v>3.5899999999999998E-5</v>
          </cell>
          <cell r="E734">
            <v>80422</v>
          </cell>
          <cell r="F734" t="str">
            <v xml:space="preserve"> </v>
          </cell>
          <cell r="G734">
            <v>12407</v>
          </cell>
          <cell r="H734">
            <v>11039</v>
          </cell>
          <cell r="I734">
            <v>21341</v>
          </cell>
          <cell r="J734">
            <v>17313</v>
          </cell>
          <cell r="K734">
            <v>62100</v>
          </cell>
          <cell r="L734"/>
          <cell r="M734">
            <v>416</v>
          </cell>
          <cell r="N734">
            <v>0</v>
          </cell>
          <cell r="O734">
            <v>0</v>
          </cell>
          <cell r="P734">
            <v>416</v>
          </cell>
          <cell r="Q734"/>
          <cell r="R734">
            <v>22339</v>
          </cell>
          <cell r="S734">
            <v>7130</v>
          </cell>
          <cell r="T734">
            <v>29469</v>
          </cell>
        </row>
        <row r="735">
          <cell r="A735">
            <v>97917</v>
          </cell>
          <cell r="B735" t="str">
            <v>REIDSVILLE ABC BOARD</v>
          </cell>
          <cell r="C735">
            <v>1.9700000000000001E-5</v>
          </cell>
          <cell r="D735">
            <v>2.0999999999999999E-5</v>
          </cell>
          <cell r="E735">
            <v>46735</v>
          </cell>
          <cell r="F735" t="str">
            <v xml:space="preserve"> </v>
          </cell>
          <cell r="G735">
            <v>7210</v>
          </cell>
          <cell r="H735">
            <v>6415</v>
          </cell>
          <cell r="I735">
            <v>12402</v>
          </cell>
          <cell r="J735">
            <v>7021</v>
          </cell>
          <cell r="K735">
            <v>33048</v>
          </cell>
          <cell r="L735"/>
          <cell r="M735">
            <v>242</v>
          </cell>
          <cell r="N735">
            <v>0</v>
          </cell>
          <cell r="O735">
            <v>0</v>
          </cell>
          <cell r="P735">
            <v>242</v>
          </cell>
          <cell r="Q735"/>
          <cell r="R735">
            <v>12982</v>
          </cell>
          <cell r="S735">
            <v>3750</v>
          </cell>
          <cell r="T735">
            <v>16732</v>
          </cell>
        </row>
        <row r="736">
          <cell r="A736">
            <v>97921</v>
          </cell>
          <cell r="B736" t="str">
            <v xml:space="preserve"> MAYODAN</v>
          </cell>
          <cell r="C736">
            <v>2.2699999999999999E-4</v>
          </cell>
          <cell r="D736">
            <v>2.1699999999999999E-4</v>
          </cell>
          <cell r="E736">
            <v>538522</v>
          </cell>
          <cell r="F736" t="str">
            <v xml:space="preserve"> </v>
          </cell>
          <cell r="G736">
            <v>83081</v>
          </cell>
          <cell r="H736">
            <v>73923</v>
          </cell>
          <cell r="I736">
            <v>142903</v>
          </cell>
          <cell r="J736">
            <v>12802</v>
          </cell>
          <cell r="K736">
            <v>312709</v>
          </cell>
          <cell r="L736"/>
          <cell r="M736">
            <v>2788</v>
          </cell>
          <cell r="N736">
            <v>0</v>
          </cell>
          <cell r="O736">
            <v>2898</v>
          </cell>
          <cell r="P736">
            <v>5686</v>
          </cell>
          <cell r="Q736"/>
          <cell r="R736">
            <v>149587</v>
          </cell>
          <cell r="S736">
            <v>5157</v>
          </cell>
          <cell r="T736">
            <v>154744</v>
          </cell>
        </row>
        <row r="737">
          <cell r="A737">
            <v>97931</v>
          </cell>
          <cell r="B737" t="str">
            <v xml:space="preserve"> STONEVILLE</v>
          </cell>
          <cell r="C737">
            <v>6.7600000000000003E-5</v>
          </cell>
          <cell r="D737">
            <v>7.0199999999999999E-5</v>
          </cell>
          <cell r="E737">
            <v>160370</v>
          </cell>
          <cell r="F737" t="str">
            <v xml:space="preserve"> </v>
          </cell>
          <cell r="G737">
            <v>24741</v>
          </cell>
          <cell r="H737">
            <v>22014</v>
          </cell>
          <cell r="I737">
            <v>42556</v>
          </cell>
          <cell r="J737">
            <v>9841</v>
          </cell>
          <cell r="K737">
            <v>99152</v>
          </cell>
          <cell r="L737"/>
          <cell r="M737">
            <v>830</v>
          </cell>
          <cell r="N737">
            <v>0</v>
          </cell>
          <cell r="O737">
            <v>3109</v>
          </cell>
          <cell r="P737">
            <v>3939</v>
          </cell>
          <cell r="Q737"/>
          <cell r="R737">
            <v>44547</v>
          </cell>
          <cell r="S737">
            <v>1729</v>
          </cell>
          <cell r="T737">
            <v>46276</v>
          </cell>
        </row>
        <row r="738">
          <cell r="A738">
            <v>97941</v>
          </cell>
          <cell r="B738" t="str">
            <v xml:space="preserve"> MADISON</v>
          </cell>
          <cell r="C738">
            <v>2.0159999999999999E-4</v>
          </cell>
          <cell r="D738">
            <v>2.0479999999999999E-4</v>
          </cell>
          <cell r="E738">
            <v>478264</v>
          </cell>
          <cell r="F738" t="str">
            <v xml:space="preserve"> </v>
          </cell>
          <cell r="G738">
            <v>73785</v>
          </cell>
          <cell r="H738">
            <v>65651</v>
          </cell>
          <cell r="I738">
            <v>126913</v>
          </cell>
          <cell r="J738">
            <v>19522</v>
          </cell>
          <cell r="K738">
            <v>285871</v>
          </cell>
          <cell r="L738"/>
          <cell r="M738">
            <v>2476</v>
          </cell>
          <cell r="N738">
            <v>0</v>
          </cell>
          <cell r="O738">
            <v>6561</v>
          </cell>
          <cell r="P738">
            <v>9037</v>
          </cell>
          <cell r="Q738"/>
          <cell r="R738">
            <v>132849</v>
          </cell>
          <cell r="S738">
            <v>9717</v>
          </cell>
          <cell r="T738">
            <v>142566</v>
          </cell>
        </row>
        <row r="739">
          <cell r="A739">
            <v>97947</v>
          </cell>
          <cell r="B739" t="str">
            <v>MADISON ABC BOARD</v>
          </cell>
          <cell r="C739">
            <v>1.47E-5</v>
          </cell>
          <cell r="D739">
            <v>1.3900000000000001E-5</v>
          </cell>
          <cell r="E739">
            <v>34873</v>
          </cell>
          <cell r="F739" t="str">
            <v xml:space="preserve"> </v>
          </cell>
          <cell r="G739">
            <v>5380</v>
          </cell>
          <cell r="H739">
            <v>4788</v>
          </cell>
          <cell r="I739">
            <v>9254</v>
          </cell>
          <cell r="J739">
            <v>11430</v>
          </cell>
          <cell r="K739">
            <v>30852</v>
          </cell>
          <cell r="L739"/>
          <cell r="M739">
            <v>181</v>
          </cell>
          <cell r="N739">
            <v>0</v>
          </cell>
          <cell r="O739">
            <v>0</v>
          </cell>
          <cell r="P739">
            <v>181</v>
          </cell>
          <cell r="Q739"/>
          <cell r="R739">
            <v>9687</v>
          </cell>
          <cell r="S739">
            <v>4453</v>
          </cell>
          <cell r="T739">
            <v>14140</v>
          </cell>
        </row>
        <row r="740">
          <cell r="A740">
            <v>97948</v>
          </cell>
          <cell r="B740" t="str">
            <v>MADISON-MAYODAN RECREATION COMM</v>
          </cell>
          <cell r="C740">
            <v>2.1299999999999999E-5</v>
          </cell>
          <cell r="D740">
            <v>2.2099999999999998E-5</v>
          </cell>
          <cell r="E740">
            <v>50531</v>
          </cell>
          <cell r="F740" t="str">
            <v xml:space="preserve"> </v>
          </cell>
          <cell r="G740">
            <v>7796</v>
          </cell>
          <cell r="H740">
            <v>6936</v>
          </cell>
          <cell r="I740">
            <v>13409</v>
          </cell>
          <cell r="J740">
            <v>1178</v>
          </cell>
          <cell r="K740">
            <v>29319</v>
          </cell>
          <cell r="L740"/>
          <cell r="M740">
            <v>262</v>
          </cell>
          <cell r="N740">
            <v>0</v>
          </cell>
          <cell r="O740">
            <v>6237</v>
          </cell>
          <cell r="P740">
            <v>6499</v>
          </cell>
          <cell r="Q740"/>
          <cell r="R740">
            <v>14036</v>
          </cell>
          <cell r="S740">
            <v>-878</v>
          </cell>
          <cell r="T740">
            <v>13158</v>
          </cell>
        </row>
        <row r="741">
          <cell r="A741">
            <v>97951</v>
          </cell>
          <cell r="B741" t="str">
            <v>CITY OF EDEN</v>
          </cell>
          <cell r="C741">
            <v>1.1826E-3</v>
          </cell>
          <cell r="D741">
            <v>1.2440999999999999E-3</v>
          </cell>
          <cell r="E741">
            <v>2805532</v>
          </cell>
          <cell r="F741" t="str">
            <v xml:space="preserve"> </v>
          </cell>
          <cell r="G741">
            <v>432827</v>
          </cell>
          <cell r="H741">
            <v>385116</v>
          </cell>
          <cell r="I741">
            <v>744480</v>
          </cell>
          <cell r="J741">
            <v>20429</v>
          </cell>
          <cell r="K741">
            <v>1582852</v>
          </cell>
          <cell r="L741"/>
          <cell r="M741">
            <v>14524</v>
          </cell>
          <cell r="N741">
            <v>0</v>
          </cell>
          <cell r="O741">
            <v>100</v>
          </cell>
          <cell r="P741">
            <v>14624</v>
          </cell>
          <cell r="Q741"/>
          <cell r="R741">
            <v>779301</v>
          </cell>
          <cell r="S741">
            <v>4342</v>
          </cell>
          <cell r="T741">
            <v>783643</v>
          </cell>
        </row>
        <row r="742">
          <cell r="A742">
            <v>97957</v>
          </cell>
          <cell r="B742" t="str">
            <v>EDEN ABC BOARD</v>
          </cell>
          <cell r="C742">
            <v>1.7200000000000001E-5</v>
          </cell>
          <cell r="D742">
            <v>1.8700000000000001E-5</v>
          </cell>
          <cell r="E742">
            <v>40804</v>
          </cell>
          <cell r="F742" t="str">
            <v xml:space="preserve"> </v>
          </cell>
          <cell r="G742">
            <v>6295</v>
          </cell>
          <cell r="H742">
            <v>5601</v>
          </cell>
          <cell r="I742">
            <v>10828</v>
          </cell>
          <cell r="J742">
            <v>5813</v>
          </cell>
          <cell r="K742">
            <v>28537</v>
          </cell>
          <cell r="L742"/>
          <cell r="M742">
            <v>211</v>
          </cell>
          <cell r="N742">
            <v>0</v>
          </cell>
          <cell r="O742">
            <v>466</v>
          </cell>
          <cell r="P742">
            <v>677</v>
          </cell>
          <cell r="Q742"/>
          <cell r="R742">
            <v>11334</v>
          </cell>
          <cell r="S742">
            <v>1280</v>
          </cell>
          <cell r="T742">
            <v>12614</v>
          </cell>
        </row>
        <row r="743">
          <cell r="A743">
            <v>98001</v>
          </cell>
          <cell r="B743" t="str">
            <v>ROWAN COUNTY</v>
          </cell>
          <cell r="C743">
            <v>5.3728999999999999E-3</v>
          </cell>
          <cell r="D743">
            <v>5.1148000000000001E-3</v>
          </cell>
          <cell r="E743">
            <v>12746356</v>
          </cell>
          <cell r="F743" t="str">
            <v xml:space="preserve"> </v>
          </cell>
          <cell r="G743">
            <v>1966460</v>
          </cell>
          <cell r="H743">
            <v>1749696</v>
          </cell>
          <cell r="I743">
            <v>3382391</v>
          </cell>
          <cell r="J743">
            <v>275498</v>
          </cell>
          <cell r="K743">
            <v>7374045</v>
          </cell>
          <cell r="L743"/>
          <cell r="M743">
            <v>65985</v>
          </cell>
          <cell r="N743">
            <v>0</v>
          </cell>
          <cell r="O743">
            <v>0</v>
          </cell>
          <cell r="P743">
            <v>65985</v>
          </cell>
          <cell r="Q743"/>
          <cell r="R743">
            <v>3540596</v>
          </cell>
          <cell r="S743">
            <v>124587</v>
          </cell>
          <cell r="T743">
            <v>3665183</v>
          </cell>
        </row>
        <row r="744">
          <cell r="A744">
            <v>98002</v>
          </cell>
          <cell r="B744" t="str">
            <v>ROWAN CONVENTION &amp; VISTORS BUREAU</v>
          </cell>
          <cell r="C744">
            <v>6.4999999999999996E-6</v>
          </cell>
          <cell r="D744">
            <v>6.7000000000000002E-6</v>
          </cell>
          <cell r="E744">
            <v>15420</v>
          </cell>
          <cell r="F744" t="str">
            <v xml:space="preserve"> </v>
          </cell>
          <cell r="G744">
            <v>2379</v>
          </cell>
          <cell r="H744">
            <v>2117</v>
          </cell>
          <cell r="I744">
            <v>4092</v>
          </cell>
          <cell r="J744">
            <v>1772</v>
          </cell>
          <cell r="K744">
            <v>10360</v>
          </cell>
          <cell r="L744"/>
          <cell r="M744">
            <v>80</v>
          </cell>
          <cell r="N744">
            <v>0</v>
          </cell>
          <cell r="O744">
            <v>0</v>
          </cell>
          <cell r="P744">
            <v>80</v>
          </cell>
          <cell r="Q744"/>
          <cell r="R744">
            <v>4283</v>
          </cell>
          <cell r="S744">
            <v>-5879</v>
          </cell>
          <cell r="T744">
            <v>-1596</v>
          </cell>
        </row>
        <row r="745">
          <cell r="A745">
            <v>98003</v>
          </cell>
          <cell r="B745" t="str">
            <v>ROWAN CO HOUSING AUTHORITY</v>
          </cell>
          <cell r="C745">
            <v>7.7000000000000001E-5</v>
          </cell>
          <cell r="D745">
            <v>7.9599999999999997E-5</v>
          </cell>
          <cell r="E745">
            <v>182670</v>
          </cell>
          <cell r="F745" t="str">
            <v xml:space="preserve"> </v>
          </cell>
          <cell r="G745">
            <v>28182</v>
          </cell>
          <cell r="H745">
            <v>25075</v>
          </cell>
          <cell r="I745">
            <v>48474</v>
          </cell>
          <cell r="J745">
            <v>62655</v>
          </cell>
          <cell r="K745">
            <v>164386</v>
          </cell>
          <cell r="L745"/>
          <cell r="M745">
            <v>946</v>
          </cell>
          <cell r="N745">
            <v>0</v>
          </cell>
          <cell r="O745">
            <v>0</v>
          </cell>
          <cell r="P745">
            <v>946</v>
          </cell>
          <cell r="Q745"/>
          <cell r="R745">
            <v>50741</v>
          </cell>
          <cell r="S745">
            <v>25199</v>
          </cell>
          <cell r="T745">
            <v>75940</v>
          </cell>
        </row>
        <row r="746">
          <cell r="A746">
            <v>98004</v>
          </cell>
          <cell r="B746" t="str">
            <v>ROWAN COUNTY ABC BOARD</v>
          </cell>
          <cell r="C746">
            <v>1.189E-4</v>
          </cell>
          <cell r="D746">
            <v>1.182E-4</v>
          </cell>
          <cell r="E746">
            <v>282071</v>
          </cell>
          <cell r="F746" t="str">
            <v xml:space="preserve"> </v>
          </cell>
          <cell r="G746">
            <v>43517</v>
          </cell>
          <cell r="H746">
            <v>38720</v>
          </cell>
          <cell r="I746">
            <v>74851</v>
          </cell>
          <cell r="J746">
            <v>41871</v>
          </cell>
          <cell r="K746">
            <v>198959</v>
          </cell>
          <cell r="L746"/>
          <cell r="M746">
            <v>1460</v>
          </cell>
          <cell r="N746">
            <v>0</v>
          </cell>
          <cell r="O746">
            <v>0</v>
          </cell>
          <cell r="P746">
            <v>1460</v>
          </cell>
          <cell r="Q746"/>
          <cell r="R746">
            <v>78352</v>
          </cell>
          <cell r="S746">
            <v>19024</v>
          </cell>
          <cell r="T746">
            <v>97376</v>
          </cell>
        </row>
        <row r="747">
          <cell r="A747">
            <v>98008</v>
          </cell>
          <cell r="B747" t="str">
            <v>ROWAN CO SOIL &amp; WATER CONV DIST</v>
          </cell>
          <cell r="C747">
            <v>7.7000000000000008E-6</v>
          </cell>
          <cell r="D747">
            <v>7.9999999999999996E-6</v>
          </cell>
          <cell r="E747">
            <v>18267</v>
          </cell>
          <cell r="F747" t="str">
            <v xml:space="preserve"> </v>
          </cell>
          <cell r="G747">
            <v>2818</v>
          </cell>
          <cell r="H747">
            <v>2507</v>
          </cell>
          <cell r="I747">
            <v>4847</v>
          </cell>
          <cell r="J747">
            <v>20</v>
          </cell>
          <cell r="K747">
            <v>10192</v>
          </cell>
          <cell r="L747"/>
          <cell r="M747">
            <v>95</v>
          </cell>
          <cell r="N747">
            <v>0</v>
          </cell>
          <cell r="O747">
            <v>556</v>
          </cell>
          <cell r="P747">
            <v>651</v>
          </cell>
          <cell r="Q747"/>
          <cell r="R747">
            <v>5074</v>
          </cell>
          <cell r="S747">
            <v>-548</v>
          </cell>
          <cell r="T747">
            <v>4526</v>
          </cell>
        </row>
        <row r="748">
          <cell r="A748">
            <v>98011</v>
          </cell>
          <cell r="B748" t="str">
            <v>CITY OF SALISBURY</v>
          </cell>
          <cell r="C748">
            <v>3.2946999999999998E-3</v>
          </cell>
          <cell r="D748">
            <v>3.1578999999999999E-3</v>
          </cell>
          <cell r="E748">
            <v>7816155</v>
          </cell>
          <cell r="F748" t="str">
            <v xml:space="preserve"> </v>
          </cell>
          <cell r="G748">
            <v>1205847</v>
          </cell>
          <cell r="H748">
            <v>1072925</v>
          </cell>
          <cell r="I748">
            <v>2074106</v>
          </cell>
          <cell r="J748">
            <v>81290</v>
          </cell>
          <cell r="K748">
            <v>4434168</v>
          </cell>
          <cell r="L748"/>
          <cell r="M748">
            <v>40462</v>
          </cell>
          <cell r="N748">
            <v>0</v>
          </cell>
          <cell r="O748">
            <v>168657</v>
          </cell>
          <cell r="P748">
            <v>209119</v>
          </cell>
          <cell r="Q748"/>
          <cell r="R748">
            <v>2171118</v>
          </cell>
          <cell r="S748">
            <v>-126045</v>
          </cell>
          <cell r="T748">
            <v>2045073</v>
          </cell>
        </row>
        <row r="749">
          <cell r="A749">
            <v>98013</v>
          </cell>
          <cell r="B749" t="str">
            <v>HOUSING AUTHORITY OF THE CTY OF SALISBURY</v>
          </cell>
          <cell r="C749">
            <v>1.3439999999999999E-4</v>
          </cell>
          <cell r="D749">
            <v>1.415E-4</v>
          </cell>
          <cell r="E749">
            <v>318843</v>
          </cell>
          <cell r="F749"/>
          <cell r="G749">
            <v>49190</v>
          </cell>
          <cell r="H749">
            <v>43768</v>
          </cell>
          <cell r="I749">
            <v>84609</v>
          </cell>
          <cell r="J749">
            <v>137928</v>
          </cell>
          <cell r="K749">
            <v>315495</v>
          </cell>
          <cell r="L749"/>
          <cell r="M749">
            <v>1651</v>
          </cell>
          <cell r="N749">
            <v>0</v>
          </cell>
          <cell r="O749">
            <v>0</v>
          </cell>
          <cell r="P749">
            <v>1651</v>
          </cell>
          <cell r="Q749"/>
          <cell r="R749">
            <v>88566</v>
          </cell>
          <cell r="S749">
            <v>55732</v>
          </cell>
          <cell r="T749">
            <v>144298</v>
          </cell>
        </row>
        <row r="750">
          <cell r="A750">
            <v>98021</v>
          </cell>
          <cell r="B750" t="str">
            <v xml:space="preserve"> EAST SPENCER</v>
          </cell>
          <cell r="C750">
            <v>3.6100000000000003E-5</v>
          </cell>
          <cell r="D750">
            <v>8.6199999999999995E-5</v>
          </cell>
          <cell r="E750">
            <v>85642</v>
          </cell>
          <cell r="F750"/>
          <cell r="G750">
            <v>13212</v>
          </cell>
          <cell r="H750">
            <v>11756</v>
          </cell>
          <cell r="I750">
            <v>22726</v>
          </cell>
          <cell r="J750">
            <v>6068</v>
          </cell>
          <cell r="K750">
            <v>53762</v>
          </cell>
          <cell r="L750"/>
          <cell r="M750">
            <v>443</v>
          </cell>
          <cell r="N750">
            <v>0</v>
          </cell>
          <cell r="O750">
            <v>29951</v>
          </cell>
          <cell r="P750">
            <v>30394</v>
          </cell>
          <cell r="Q750"/>
          <cell r="R750">
            <v>23789</v>
          </cell>
          <cell r="S750">
            <v>-559</v>
          </cell>
          <cell r="T750">
            <v>23230</v>
          </cell>
        </row>
        <row r="751">
          <cell r="A751">
            <v>98023</v>
          </cell>
          <cell r="B751" t="str">
            <v>EAST SPENCER HOUSING AUTHORITY</v>
          </cell>
          <cell r="C751">
            <v>1.88E-5</v>
          </cell>
          <cell r="D751">
            <v>1.43E-5</v>
          </cell>
          <cell r="E751">
            <v>44600</v>
          </cell>
          <cell r="F751"/>
          <cell r="G751">
            <v>6881</v>
          </cell>
          <cell r="H751">
            <v>6122</v>
          </cell>
          <cell r="I751">
            <v>11835</v>
          </cell>
          <cell r="J751">
            <v>1700</v>
          </cell>
          <cell r="K751">
            <v>26538</v>
          </cell>
          <cell r="L751"/>
          <cell r="M751">
            <v>231</v>
          </cell>
          <cell r="N751">
            <v>0</v>
          </cell>
          <cell r="O751">
            <v>2588</v>
          </cell>
          <cell r="P751">
            <v>2819</v>
          </cell>
          <cell r="Q751"/>
          <cell r="R751">
            <v>12389</v>
          </cell>
          <cell r="S751">
            <v>-2200</v>
          </cell>
          <cell r="T751">
            <v>10189</v>
          </cell>
        </row>
        <row r="752">
          <cell r="A752">
            <v>98031</v>
          </cell>
          <cell r="B752" t="str">
            <v xml:space="preserve"> SPENCER</v>
          </cell>
          <cell r="C752">
            <v>1.717E-4</v>
          </cell>
          <cell r="D752">
            <v>1.537E-4</v>
          </cell>
          <cell r="E752">
            <v>407331</v>
          </cell>
          <cell r="F752"/>
          <cell r="G752">
            <v>62842</v>
          </cell>
          <cell r="H752">
            <v>55914</v>
          </cell>
          <cell r="I752">
            <v>108090</v>
          </cell>
          <cell r="J752">
            <v>7268</v>
          </cell>
          <cell r="K752">
            <v>234114</v>
          </cell>
          <cell r="L752"/>
          <cell r="M752">
            <v>2109</v>
          </cell>
          <cell r="N752">
            <v>0</v>
          </cell>
          <cell r="O752">
            <v>5245</v>
          </cell>
          <cell r="P752">
            <v>7354</v>
          </cell>
          <cell r="Q752"/>
          <cell r="R752">
            <v>113146</v>
          </cell>
          <cell r="S752">
            <v>-92</v>
          </cell>
          <cell r="T752">
            <v>113054</v>
          </cell>
        </row>
        <row r="753">
          <cell r="A753">
            <v>98041</v>
          </cell>
          <cell r="B753" t="str">
            <v xml:space="preserve"> CHINA GROVE</v>
          </cell>
          <cell r="C753">
            <v>2.242E-4</v>
          </cell>
          <cell r="D753">
            <v>1.9230000000000001E-4</v>
          </cell>
          <cell r="E753">
            <v>531879</v>
          </cell>
          <cell r="F753"/>
          <cell r="G753">
            <v>82056</v>
          </cell>
          <cell r="H753">
            <v>73011</v>
          </cell>
          <cell r="I753">
            <v>141140</v>
          </cell>
          <cell r="J753">
            <v>23837</v>
          </cell>
          <cell r="K753">
            <v>320044</v>
          </cell>
          <cell r="L753"/>
          <cell r="M753">
            <v>2753</v>
          </cell>
          <cell r="N753">
            <v>0</v>
          </cell>
          <cell r="O753">
            <v>1903</v>
          </cell>
          <cell r="P753">
            <v>4656</v>
          </cell>
          <cell r="Q753"/>
          <cell r="R753">
            <v>147742</v>
          </cell>
          <cell r="S753">
            <v>3840</v>
          </cell>
          <cell r="T753">
            <v>151582</v>
          </cell>
        </row>
        <row r="754">
          <cell r="A754">
            <v>98051</v>
          </cell>
          <cell r="B754" t="str">
            <v xml:space="preserve"> LANDIS</v>
          </cell>
          <cell r="C754">
            <v>2.699E-4</v>
          </cell>
          <cell r="D754">
            <v>2.8019999999999998E-4</v>
          </cell>
          <cell r="E754">
            <v>640295</v>
          </cell>
          <cell r="F754"/>
          <cell r="G754">
            <v>98782</v>
          </cell>
          <cell r="H754">
            <v>87893</v>
          </cell>
          <cell r="I754">
            <v>169910</v>
          </cell>
          <cell r="J754">
            <v>12423</v>
          </cell>
          <cell r="K754">
            <v>369008</v>
          </cell>
          <cell r="L754"/>
          <cell r="M754">
            <v>3315</v>
          </cell>
          <cell r="N754">
            <v>0</v>
          </cell>
          <cell r="O754">
            <v>5552</v>
          </cell>
          <cell r="P754">
            <v>8867</v>
          </cell>
          <cell r="Q754"/>
          <cell r="R754">
            <v>177857</v>
          </cell>
          <cell r="S754">
            <v>7633</v>
          </cell>
          <cell r="T754">
            <v>185490</v>
          </cell>
        </row>
        <row r="755">
          <cell r="A755">
            <v>98061</v>
          </cell>
          <cell r="B755" t="str">
            <v xml:space="preserve"> GRANITE QUARRY</v>
          </cell>
          <cell r="C755">
            <v>1.3420000000000001E-4</v>
          </cell>
          <cell r="D755">
            <v>1.0670000000000001E-4</v>
          </cell>
          <cell r="E755">
            <v>318368</v>
          </cell>
          <cell r="F755"/>
          <cell r="G755">
            <v>49117</v>
          </cell>
          <cell r="H755">
            <v>43702</v>
          </cell>
          <cell r="I755">
            <v>84483</v>
          </cell>
          <cell r="J755">
            <v>14234</v>
          </cell>
          <cell r="K755">
            <v>191536</v>
          </cell>
          <cell r="L755"/>
          <cell r="M755">
            <v>1648</v>
          </cell>
          <cell r="N755">
            <v>0</v>
          </cell>
          <cell r="O755">
            <v>10224</v>
          </cell>
          <cell r="P755">
            <v>11872</v>
          </cell>
          <cell r="Q755"/>
          <cell r="R755">
            <v>88434</v>
          </cell>
          <cell r="S755">
            <v>-3412</v>
          </cell>
          <cell r="T755">
            <v>85022</v>
          </cell>
        </row>
        <row r="756">
          <cell r="A756">
            <v>98071</v>
          </cell>
          <cell r="B756" t="str">
            <v xml:space="preserve"> ROCKWELL</v>
          </cell>
          <cell r="C756">
            <v>3.5800000000000003E-5</v>
          </cell>
          <cell r="D756">
            <v>4.0099999999999999E-5</v>
          </cell>
          <cell r="E756">
            <v>84930</v>
          </cell>
          <cell r="F756"/>
          <cell r="G756">
            <v>13103</v>
          </cell>
          <cell r="H756">
            <v>11658</v>
          </cell>
          <cell r="I756">
            <v>22537</v>
          </cell>
          <cell r="J756">
            <v>20473</v>
          </cell>
          <cell r="K756">
            <v>67771</v>
          </cell>
          <cell r="L756"/>
          <cell r="M756">
            <v>440</v>
          </cell>
          <cell r="N756">
            <v>0</v>
          </cell>
          <cell r="O756">
            <v>541</v>
          </cell>
          <cell r="P756">
            <v>981</v>
          </cell>
          <cell r="Q756"/>
          <cell r="R756">
            <v>23591</v>
          </cell>
          <cell r="S756">
            <v>6474</v>
          </cell>
          <cell r="T756">
            <v>30065</v>
          </cell>
        </row>
        <row r="757">
          <cell r="A757">
            <v>98081</v>
          </cell>
          <cell r="B757" t="str">
            <v xml:space="preserve"> FAITH</v>
          </cell>
          <cell r="C757">
            <v>1.7200000000000001E-5</v>
          </cell>
          <cell r="D757">
            <v>1.8300000000000001E-5</v>
          </cell>
          <cell r="E757">
            <v>40804</v>
          </cell>
          <cell r="F757"/>
          <cell r="G757">
            <v>6295</v>
          </cell>
          <cell r="H757">
            <v>5601</v>
          </cell>
          <cell r="I757">
            <v>10828</v>
          </cell>
          <cell r="J757">
            <v>0</v>
          </cell>
          <cell r="K757">
            <v>22724</v>
          </cell>
          <cell r="L757"/>
          <cell r="M757">
            <v>211</v>
          </cell>
          <cell r="N757">
            <v>0</v>
          </cell>
          <cell r="O757">
            <v>3428</v>
          </cell>
          <cell r="P757">
            <v>3639</v>
          </cell>
          <cell r="Q757"/>
          <cell r="R757">
            <v>11334</v>
          </cell>
          <cell r="S757">
            <v>-2166</v>
          </cell>
          <cell r="T757">
            <v>9168</v>
          </cell>
        </row>
        <row r="758">
          <cell r="A758">
            <v>98091</v>
          </cell>
          <cell r="B758" t="str">
            <v xml:space="preserve"> CLEVELAND</v>
          </cell>
          <cell r="C758">
            <v>5.1600000000000001E-5</v>
          </cell>
          <cell r="D758">
            <v>4.7500000000000003E-5</v>
          </cell>
          <cell r="E758">
            <v>122413</v>
          </cell>
          <cell r="F758"/>
          <cell r="G758">
            <v>18885</v>
          </cell>
          <cell r="H758">
            <v>16803</v>
          </cell>
          <cell r="I758">
            <v>32484</v>
          </cell>
          <cell r="J758">
            <v>5795</v>
          </cell>
          <cell r="K758">
            <v>73967</v>
          </cell>
          <cell r="L758"/>
          <cell r="M758">
            <v>634</v>
          </cell>
          <cell r="N758">
            <v>0</v>
          </cell>
          <cell r="O758">
            <v>0</v>
          </cell>
          <cell r="P758">
            <v>634</v>
          </cell>
          <cell r="Q758"/>
          <cell r="R758">
            <v>34003</v>
          </cell>
          <cell r="S758">
            <v>976</v>
          </cell>
          <cell r="T758">
            <v>34979</v>
          </cell>
        </row>
        <row r="759">
          <cell r="A759">
            <v>98101</v>
          </cell>
          <cell r="B759" t="str">
            <v>RUTHERFORD COUNTY</v>
          </cell>
          <cell r="C759">
            <v>2.6497999999999999E-3</v>
          </cell>
          <cell r="D759">
            <v>2.8706999999999999E-3</v>
          </cell>
          <cell r="E759">
            <v>6286232</v>
          </cell>
          <cell r="F759"/>
          <cell r="G759">
            <v>969816</v>
          </cell>
          <cell r="H759">
            <v>862912</v>
          </cell>
          <cell r="I759">
            <v>1668123</v>
          </cell>
          <cell r="J759">
            <v>13234</v>
          </cell>
          <cell r="K759">
            <v>3514085</v>
          </cell>
          <cell r="L759"/>
          <cell r="M759">
            <v>32542</v>
          </cell>
          <cell r="N759">
            <v>0</v>
          </cell>
          <cell r="O759">
            <v>206313</v>
          </cell>
          <cell r="P759">
            <v>238855</v>
          </cell>
          <cell r="Q759"/>
          <cell r="R759">
            <v>1746147</v>
          </cell>
          <cell r="S759">
            <v>-31729</v>
          </cell>
          <cell r="T759">
            <v>1714418</v>
          </cell>
        </row>
        <row r="760">
          <cell r="A760">
            <v>98102</v>
          </cell>
          <cell r="B760" t="str">
            <v>BROAD RIVER WATER AUTHORITY</v>
          </cell>
          <cell r="C760">
            <v>1.496E-4</v>
          </cell>
          <cell r="D760">
            <v>1.5809999999999999E-4</v>
          </cell>
          <cell r="E760">
            <v>354902</v>
          </cell>
          <cell r="F760"/>
          <cell r="G760">
            <v>54753</v>
          </cell>
          <cell r="H760">
            <v>48718</v>
          </cell>
          <cell r="I760">
            <v>94177</v>
          </cell>
          <cell r="J760">
            <v>0</v>
          </cell>
          <cell r="K760">
            <v>197648</v>
          </cell>
          <cell r="L760"/>
          <cell r="M760">
            <v>1837</v>
          </cell>
          <cell r="N760">
            <v>0</v>
          </cell>
          <cell r="O760">
            <v>13146</v>
          </cell>
          <cell r="P760">
            <v>14983</v>
          </cell>
          <cell r="Q760"/>
          <cell r="R760">
            <v>98582</v>
          </cell>
          <cell r="S760">
            <v>-6674</v>
          </cell>
          <cell r="T760">
            <v>91908</v>
          </cell>
        </row>
        <row r="761">
          <cell r="A761">
            <v>98103</v>
          </cell>
          <cell r="B761" t="str">
            <v>RUTHERFORD POLK MCDOWELL DIST BRD OF HEALTH</v>
          </cell>
          <cell r="C761">
            <v>4.8450000000000001E-4</v>
          </cell>
          <cell r="D761">
            <v>5.4410000000000005E-4</v>
          </cell>
          <cell r="E761">
            <v>1149400</v>
          </cell>
          <cell r="F761"/>
          <cell r="G761">
            <v>177325</v>
          </cell>
          <cell r="H761">
            <v>157779</v>
          </cell>
          <cell r="I761">
            <v>305006</v>
          </cell>
          <cell r="J761">
            <v>7298</v>
          </cell>
          <cell r="K761">
            <v>647408</v>
          </cell>
          <cell r="L761"/>
          <cell r="M761">
            <v>5950</v>
          </cell>
          <cell r="N761">
            <v>0</v>
          </cell>
          <cell r="O761">
            <v>39675</v>
          </cell>
          <cell r="P761">
            <v>45625</v>
          </cell>
          <cell r="Q761"/>
          <cell r="R761">
            <v>319272</v>
          </cell>
          <cell r="S761">
            <v>-24913</v>
          </cell>
          <cell r="T761">
            <v>294359</v>
          </cell>
        </row>
        <row r="762">
          <cell r="A762">
            <v>98107</v>
          </cell>
          <cell r="B762" t="str">
            <v>FOREST CITY ABC BOARD 168</v>
          </cell>
          <cell r="C762">
            <v>1.01E-5</v>
          </cell>
          <cell r="D762">
            <v>1.08E-5</v>
          </cell>
          <cell r="E762">
            <v>23961</v>
          </cell>
          <cell r="F762"/>
          <cell r="G762">
            <v>3697</v>
          </cell>
          <cell r="H762">
            <v>3289</v>
          </cell>
          <cell r="I762">
            <v>6358</v>
          </cell>
          <cell r="J762">
            <v>7863</v>
          </cell>
          <cell r="K762">
            <v>21207</v>
          </cell>
          <cell r="L762"/>
          <cell r="M762">
            <v>124</v>
          </cell>
          <cell r="N762">
            <v>0</v>
          </cell>
          <cell r="O762">
            <v>0</v>
          </cell>
          <cell r="P762">
            <v>124</v>
          </cell>
          <cell r="Q762"/>
          <cell r="R762">
            <v>6656</v>
          </cell>
          <cell r="S762">
            <v>4229</v>
          </cell>
          <cell r="T762">
            <v>10885</v>
          </cell>
        </row>
        <row r="763">
          <cell r="A763">
            <v>98109</v>
          </cell>
          <cell r="B763" t="str">
            <v>ISOTHERMAL PLANNING AND DEV COMM</v>
          </cell>
          <cell r="C763">
            <v>1.4310000000000001E-4</v>
          </cell>
          <cell r="D763">
            <v>1.573E-4</v>
          </cell>
          <cell r="E763">
            <v>339482</v>
          </cell>
          <cell r="F763"/>
          <cell r="G763">
            <v>52374</v>
          </cell>
          <cell r="H763">
            <v>46601</v>
          </cell>
          <cell r="I763">
            <v>90085</v>
          </cell>
          <cell r="J763">
            <v>8985</v>
          </cell>
          <cell r="K763">
            <v>198045</v>
          </cell>
          <cell r="L763"/>
          <cell r="M763">
            <v>1757</v>
          </cell>
          <cell r="N763">
            <v>0</v>
          </cell>
          <cell r="O763">
            <v>13377</v>
          </cell>
          <cell r="P763">
            <v>15134</v>
          </cell>
          <cell r="Q763"/>
          <cell r="R763">
            <v>94299</v>
          </cell>
          <cell r="S763">
            <v>-7438</v>
          </cell>
          <cell r="T763">
            <v>86861</v>
          </cell>
        </row>
        <row r="764">
          <cell r="A764">
            <v>98111</v>
          </cell>
          <cell r="B764" t="str">
            <v xml:space="preserve"> FOREST CITY</v>
          </cell>
          <cell r="C764">
            <v>1.0207E-3</v>
          </cell>
          <cell r="D764">
            <v>1.0143000000000001E-3</v>
          </cell>
          <cell r="E764">
            <v>2421449</v>
          </cell>
          <cell r="F764"/>
          <cell r="G764">
            <v>373572</v>
          </cell>
          <cell r="H764">
            <v>332393</v>
          </cell>
          <cell r="I764">
            <v>642559</v>
          </cell>
          <cell r="J764">
            <v>0</v>
          </cell>
          <cell r="K764">
            <v>1348524</v>
          </cell>
          <cell r="L764"/>
          <cell r="M764">
            <v>12535</v>
          </cell>
          <cell r="N764">
            <v>0</v>
          </cell>
          <cell r="O764">
            <v>76213</v>
          </cell>
          <cell r="P764">
            <v>88748</v>
          </cell>
          <cell r="Q764"/>
          <cell r="R764">
            <v>672614</v>
          </cell>
          <cell r="S764">
            <v>-29272</v>
          </cell>
          <cell r="T764">
            <v>643342</v>
          </cell>
        </row>
        <row r="765">
          <cell r="A765">
            <v>98113</v>
          </cell>
          <cell r="B765" t="str">
            <v>FOREST CITY HOUSING AUTHORITY</v>
          </cell>
          <cell r="C765">
            <v>3.8999999999999999E-5</v>
          </cell>
          <cell r="D765">
            <v>4.6199999999999998E-5</v>
          </cell>
          <cell r="E765">
            <v>92521</v>
          </cell>
          <cell r="F765"/>
          <cell r="G765">
            <v>14274</v>
          </cell>
          <cell r="H765">
            <v>12700</v>
          </cell>
          <cell r="I765">
            <v>24552</v>
          </cell>
          <cell r="J765">
            <v>7102</v>
          </cell>
          <cell r="K765">
            <v>58628</v>
          </cell>
          <cell r="L765"/>
          <cell r="M765">
            <v>479</v>
          </cell>
          <cell r="N765">
            <v>0</v>
          </cell>
          <cell r="O765">
            <v>416</v>
          </cell>
          <cell r="P765">
            <v>895</v>
          </cell>
          <cell r="Q765"/>
          <cell r="R765">
            <v>25700</v>
          </cell>
          <cell r="S765">
            <v>4533</v>
          </cell>
          <cell r="T765">
            <v>30233</v>
          </cell>
        </row>
        <row r="766">
          <cell r="A766">
            <v>98121</v>
          </cell>
          <cell r="B766" t="str">
            <v xml:space="preserve"> SPINDALE</v>
          </cell>
          <cell r="C766">
            <v>2.241E-4</v>
          </cell>
          <cell r="D766">
            <v>2.0100000000000001E-4</v>
          </cell>
          <cell r="E766">
            <v>531642</v>
          </cell>
          <cell r="F766"/>
          <cell r="G766">
            <v>82020</v>
          </cell>
          <cell r="H766">
            <v>72979</v>
          </cell>
          <cell r="I766">
            <v>141077</v>
          </cell>
          <cell r="J766">
            <v>5555</v>
          </cell>
          <cell r="K766">
            <v>301631</v>
          </cell>
          <cell r="L766"/>
          <cell r="M766">
            <v>2752</v>
          </cell>
          <cell r="N766">
            <v>0</v>
          </cell>
          <cell r="O766">
            <v>17709</v>
          </cell>
          <cell r="P766">
            <v>20461</v>
          </cell>
          <cell r="Q766"/>
          <cell r="R766">
            <v>147676</v>
          </cell>
          <cell r="S766">
            <v>-4423</v>
          </cell>
          <cell r="T766">
            <v>143253</v>
          </cell>
        </row>
        <row r="767">
          <cell r="A767">
            <v>98131</v>
          </cell>
          <cell r="B767" t="str">
            <v xml:space="preserve"> LAKE LURE</v>
          </cell>
          <cell r="C767">
            <v>2.297E-4</v>
          </cell>
          <cell r="D767">
            <v>2.5230000000000001E-4</v>
          </cell>
          <cell r="E767">
            <v>544927</v>
          </cell>
          <cell r="F767"/>
          <cell r="G767">
            <v>84069</v>
          </cell>
          <cell r="H767">
            <v>74802</v>
          </cell>
          <cell r="I767">
            <v>144603</v>
          </cell>
          <cell r="J767">
            <v>0</v>
          </cell>
          <cell r="K767">
            <v>303474</v>
          </cell>
          <cell r="L767"/>
          <cell r="M767">
            <v>2821</v>
          </cell>
          <cell r="N767">
            <v>0</v>
          </cell>
          <cell r="O767">
            <v>41009</v>
          </cell>
          <cell r="P767">
            <v>43830</v>
          </cell>
          <cell r="Q767"/>
          <cell r="R767">
            <v>151366</v>
          </cell>
          <cell r="S767">
            <v>-26275</v>
          </cell>
          <cell r="T767">
            <v>125091</v>
          </cell>
        </row>
        <row r="768">
          <cell r="A768">
            <v>98141</v>
          </cell>
          <cell r="B768" t="str">
            <v xml:space="preserve"> RUTHERFORDTON</v>
          </cell>
          <cell r="C768">
            <v>3.0160000000000001E-4</v>
          </cell>
          <cell r="D768">
            <v>3.0360000000000001E-4</v>
          </cell>
          <cell r="E768">
            <v>715498</v>
          </cell>
          <cell r="F768"/>
          <cell r="G768">
            <v>110384</v>
          </cell>
          <cell r="H768">
            <v>98217</v>
          </cell>
          <cell r="I768">
            <v>189866</v>
          </cell>
          <cell r="J768">
            <v>3632</v>
          </cell>
          <cell r="K768">
            <v>402099</v>
          </cell>
          <cell r="L768"/>
          <cell r="M768">
            <v>3704</v>
          </cell>
          <cell r="N768">
            <v>0</v>
          </cell>
          <cell r="O768">
            <v>20500</v>
          </cell>
          <cell r="P768">
            <v>24204</v>
          </cell>
          <cell r="Q768"/>
          <cell r="R768">
            <v>198746</v>
          </cell>
          <cell r="S768">
            <v>-14365</v>
          </cell>
          <cell r="T768">
            <v>184381</v>
          </cell>
        </row>
        <row r="769">
          <cell r="A769">
            <v>98147</v>
          </cell>
          <cell r="B769" t="str">
            <v xml:space="preserve"> RUTHERFORDTON ABC BRD</v>
          </cell>
          <cell r="C769">
            <v>1.15E-5</v>
          </cell>
          <cell r="D769">
            <v>1.29E-5</v>
          </cell>
          <cell r="E769">
            <v>27282</v>
          </cell>
          <cell r="F769"/>
          <cell r="G769">
            <v>4209</v>
          </cell>
          <cell r="H769">
            <v>3745</v>
          </cell>
          <cell r="I769">
            <v>7240</v>
          </cell>
          <cell r="J769">
            <v>7998</v>
          </cell>
          <cell r="K769">
            <v>23192</v>
          </cell>
          <cell r="L769"/>
          <cell r="M769">
            <v>141</v>
          </cell>
          <cell r="N769">
            <v>0</v>
          </cell>
          <cell r="O769">
            <v>0</v>
          </cell>
          <cell r="P769">
            <v>141</v>
          </cell>
          <cell r="Q769"/>
          <cell r="R769">
            <v>7578</v>
          </cell>
          <cell r="S769">
            <v>4051</v>
          </cell>
          <cell r="T769">
            <v>11629</v>
          </cell>
        </row>
        <row r="770">
          <cell r="A770">
            <v>98161</v>
          </cell>
          <cell r="B770" t="str">
            <v xml:space="preserve"> ELLENBORO</v>
          </cell>
          <cell r="C770">
            <v>6.7000000000000002E-6</v>
          </cell>
          <cell r="D770">
            <v>7.3000000000000004E-6</v>
          </cell>
          <cell r="E770">
            <v>15895</v>
          </cell>
          <cell r="F770"/>
          <cell r="G770">
            <v>2452</v>
          </cell>
          <cell r="H770">
            <v>2182</v>
          </cell>
          <cell r="I770">
            <v>4218</v>
          </cell>
          <cell r="J770">
            <v>2865</v>
          </cell>
          <cell r="K770">
            <v>11717</v>
          </cell>
          <cell r="L770"/>
          <cell r="M770">
            <v>82</v>
          </cell>
          <cell r="N770">
            <v>0</v>
          </cell>
          <cell r="O770">
            <v>0</v>
          </cell>
          <cell r="P770">
            <v>82</v>
          </cell>
          <cell r="Q770"/>
          <cell r="R770">
            <v>4415</v>
          </cell>
          <cell r="S770">
            <v>1383</v>
          </cell>
          <cell r="T770">
            <v>5798</v>
          </cell>
        </row>
        <row r="771">
          <cell r="A771">
            <v>98201</v>
          </cell>
          <cell r="B771" t="str">
            <v>SAMPSON COUNTY</v>
          </cell>
          <cell r="C771">
            <v>3.1725E-3</v>
          </cell>
          <cell r="D771">
            <v>3.1664000000000002E-3</v>
          </cell>
          <cell r="E771">
            <v>7526255</v>
          </cell>
          <cell r="F771"/>
          <cell r="G771">
            <v>1161122</v>
          </cell>
          <cell r="H771">
            <v>1033131</v>
          </cell>
          <cell r="I771">
            <v>1997178</v>
          </cell>
          <cell r="J771">
            <v>47695</v>
          </cell>
          <cell r="K771">
            <v>4239126</v>
          </cell>
          <cell r="L771"/>
          <cell r="M771">
            <v>38961</v>
          </cell>
          <cell r="N771">
            <v>0</v>
          </cell>
          <cell r="O771">
            <v>50438</v>
          </cell>
          <cell r="P771">
            <v>89399</v>
          </cell>
          <cell r="Q771"/>
          <cell r="R771">
            <v>2090592</v>
          </cell>
          <cell r="S771">
            <v>-13335</v>
          </cell>
          <cell r="T771">
            <v>2077257</v>
          </cell>
        </row>
        <row r="772">
          <cell r="A772">
            <v>98205</v>
          </cell>
          <cell r="B772" t="str">
            <v>J C HOLIDAY MEM LIBRARY</v>
          </cell>
          <cell r="C772">
            <v>3.6100000000000003E-5</v>
          </cell>
          <cell r="D772">
            <v>4.6799999999999999E-5</v>
          </cell>
          <cell r="E772">
            <v>85642</v>
          </cell>
          <cell r="F772"/>
          <cell r="G772">
            <v>13212</v>
          </cell>
          <cell r="H772">
            <v>11756</v>
          </cell>
          <cell r="I772">
            <v>22726</v>
          </cell>
          <cell r="J772">
            <v>1169</v>
          </cell>
          <cell r="K772">
            <v>48863</v>
          </cell>
          <cell r="L772"/>
          <cell r="M772">
            <v>443</v>
          </cell>
          <cell r="N772">
            <v>0</v>
          </cell>
          <cell r="O772">
            <v>6010</v>
          </cell>
          <cell r="P772">
            <v>6453</v>
          </cell>
          <cell r="Q772"/>
          <cell r="R772">
            <v>23789</v>
          </cell>
          <cell r="S772">
            <v>-1258</v>
          </cell>
          <cell r="T772">
            <v>22531</v>
          </cell>
        </row>
        <row r="773">
          <cell r="A773">
            <v>98211</v>
          </cell>
          <cell r="B773" t="str">
            <v>CITY OF CLINTON</v>
          </cell>
          <cell r="C773">
            <v>8.5470000000000001E-4</v>
          </cell>
          <cell r="D773">
            <v>8.6689999999999998E-4</v>
          </cell>
          <cell r="E773">
            <v>2027641</v>
          </cell>
          <cell r="F773"/>
          <cell r="G773">
            <v>312817</v>
          </cell>
          <cell r="H773">
            <v>278335</v>
          </cell>
          <cell r="I773">
            <v>538058</v>
          </cell>
          <cell r="J773">
            <v>0</v>
          </cell>
          <cell r="K773">
            <v>1129210</v>
          </cell>
          <cell r="L773"/>
          <cell r="M773">
            <v>10497</v>
          </cell>
          <cell r="N773">
            <v>0</v>
          </cell>
          <cell r="O773">
            <v>112320</v>
          </cell>
          <cell r="P773">
            <v>122817</v>
          </cell>
          <cell r="Q773"/>
          <cell r="R773">
            <v>563224</v>
          </cell>
          <cell r="S773">
            <v>-56480</v>
          </cell>
          <cell r="T773">
            <v>506744</v>
          </cell>
        </row>
        <row r="774">
          <cell r="A774">
            <v>98218</v>
          </cell>
          <cell r="B774" t="str">
            <v>CLINTON ABC BOARD</v>
          </cell>
          <cell r="C774">
            <v>1.5500000000000001E-5</v>
          </cell>
          <cell r="D774">
            <v>1.3200000000000001E-5</v>
          </cell>
          <cell r="E774">
            <v>36771</v>
          </cell>
          <cell r="F774"/>
          <cell r="G774">
            <v>5673</v>
          </cell>
          <cell r="H774">
            <v>5047</v>
          </cell>
          <cell r="I774">
            <v>9758</v>
          </cell>
          <cell r="J774">
            <v>3767</v>
          </cell>
          <cell r="K774">
            <v>24245</v>
          </cell>
          <cell r="L774"/>
          <cell r="M774">
            <v>190</v>
          </cell>
          <cell r="N774">
            <v>0</v>
          </cell>
          <cell r="O774">
            <v>285</v>
          </cell>
          <cell r="P774">
            <v>475</v>
          </cell>
          <cell r="Q774"/>
          <cell r="R774">
            <v>10214</v>
          </cell>
          <cell r="S774">
            <v>269</v>
          </cell>
          <cell r="T774">
            <v>10483</v>
          </cell>
        </row>
        <row r="775">
          <cell r="A775">
            <v>98221</v>
          </cell>
          <cell r="B775" t="str">
            <v xml:space="preserve"> SALEMBURG</v>
          </cell>
          <cell r="C775">
            <v>1.8499999999999999E-5</v>
          </cell>
          <cell r="D775">
            <v>1.8899999999999999E-5</v>
          </cell>
          <cell r="E775">
            <v>43888</v>
          </cell>
          <cell r="F775"/>
          <cell r="G775">
            <v>6771</v>
          </cell>
          <cell r="H775">
            <v>6025</v>
          </cell>
          <cell r="I775">
            <v>11646</v>
          </cell>
          <cell r="J775">
            <v>4486</v>
          </cell>
          <cell r="K775">
            <v>28928</v>
          </cell>
          <cell r="L775"/>
          <cell r="M775">
            <v>227</v>
          </cell>
          <cell r="N775">
            <v>0</v>
          </cell>
          <cell r="O775">
            <v>0</v>
          </cell>
          <cell r="P775">
            <v>227</v>
          </cell>
          <cell r="Q775"/>
          <cell r="R775">
            <v>12191</v>
          </cell>
          <cell r="S775">
            <v>1809</v>
          </cell>
          <cell r="T775">
            <v>14000</v>
          </cell>
        </row>
        <row r="776">
          <cell r="A776">
            <v>98231</v>
          </cell>
          <cell r="B776" t="str">
            <v xml:space="preserve"> NEWTON GROVE</v>
          </cell>
          <cell r="C776">
            <v>3.1000000000000001E-5</v>
          </cell>
          <cell r="D776">
            <v>2.2799999999999999E-5</v>
          </cell>
          <cell r="E776">
            <v>73543</v>
          </cell>
          <cell r="F776"/>
          <cell r="G776">
            <v>11346</v>
          </cell>
          <cell r="H776">
            <v>10096</v>
          </cell>
          <cell r="I776">
            <v>19515</v>
          </cell>
          <cell r="J776">
            <v>7747</v>
          </cell>
          <cell r="K776">
            <v>48704</v>
          </cell>
          <cell r="L776"/>
          <cell r="M776">
            <v>381</v>
          </cell>
          <cell r="N776">
            <v>0</v>
          </cell>
          <cell r="O776">
            <v>5129</v>
          </cell>
          <cell r="P776">
            <v>5510</v>
          </cell>
          <cell r="Q776"/>
          <cell r="R776">
            <v>20428</v>
          </cell>
          <cell r="S776">
            <v>-1821</v>
          </cell>
          <cell r="T776">
            <v>18607</v>
          </cell>
        </row>
        <row r="777">
          <cell r="A777">
            <v>98237</v>
          </cell>
          <cell r="B777" t="str">
            <v>ROSEBORO ABC BOARD</v>
          </cell>
          <cell r="C777">
            <v>5.5999999999999997E-6</v>
          </cell>
          <cell r="D777">
            <v>5.9000000000000003E-6</v>
          </cell>
          <cell r="E777">
            <v>13285</v>
          </cell>
          <cell r="F777"/>
          <cell r="G777">
            <v>2050</v>
          </cell>
          <cell r="H777">
            <v>1823</v>
          </cell>
          <cell r="I777">
            <v>3525</v>
          </cell>
          <cell r="J777">
            <v>4018</v>
          </cell>
          <cell r="K777">
            <v>11416</v>
          </cell>
          <cell r="L777"/>
          <cell r="M777">
            <v>69</v>
          </cell>
          <cell r="N777">
            <v>0</v>
          </cell>
          <cell r="O777">
            <v>0</v>
          </cell>
          <cell r="P777">
            <v>69</v>
          </cell>
          <cell r="Q777"/>
          <cell r="R777">
            <v>3690</v>
          </cell>
          <cell r="S777">
            <v>1826</v>
          </cell>
          <cell r="T777">
            <v>5516</v>
          </cell>
        </row>
        <row r="778">
          <cell r="A778">
            <v>98241</v>
          </cell>
          <cell r="B778" t="str">
            <v xml:space="preserve"> GARLAND</v>
          </cell>
          <cell r="C778">
            <v>1.22E-5</v>
          </cell>
          <cell r="D778">
            <v>1.5099999999999999E-5</v>
          </cell>
          <cell r="E778">
            <v>28943</v>
          </cell>
          <cell r="F778"/>
          <cell r="G778">
            <v>4465</v>
          </cell>
          <cell r="H778">
            <v>3973</v>
          </cell>
          <cell r="I778">
            <v>7680</v>
          </cell>
          <cell r="J778">
            <v>2352</v>
          </cell>
          <cell r="K778">
            <v>18470</v>
          </cell>
          <cell r="L778"/>
          <cell r="M778">
            <v>150</v>
          </cell>
          <cell r="N778">
            <v>0</v>
          </cell>
          <cell r="O778">
            <v>2460</v>
          </cell>
          <cell r="P778">
            <v>2610</v>
          </cell>
          <cell r="Q778"/>
          <cell r="R778">
            <v>8039</v>
          </cell>
          <cell r="S778">
            <v>2327</v>
          </cell>
          <cell r="T778">
            <v>10366</v>
          </cell>
        </row>
        <row r="779">
          <cell r="A779">
            <v>98251</v>
          </cell>
          <cell r="B779" t="str">
            <v xml:space="preserve"> TURKEY</v>
          </cell>
          <cell r="C779">
            <v>2.7E-6</v>
          </cell>
          <cell r="D779">
            <v>3.0000000000000001E-6</v>
          </cell>
          <cell r="E779">
            <v>6405</v>
          </cell>
          <cell r="F779"/>
          <cell r="G779">
            <v>988</v>
          </cell>
          <cell r="H779">
            <v>879</v>
          </cell>
          <cell r="I779">
            <v>1700</v>
          </cell>
          <cell r="J779">
            <v>1458</v>
          </cell>
          <cell r="K779">
            <v>5025</v>
          </cell>
          <cell r="L779"/>
          <cell r="M779">
            <v>33</v>
          </cell>
          <cell r="N779">
            <v>0</v>
          </cell>
          <cell r="O779">
            <v>0</v>
          </cell>
          <cell r="P779">
            <v>33</v>
          </cell>
          <cell r="Q779"/>
          <cell r="R779">
            <v>1779</v>
          </cell>
          <cell r="S779">
            <v>722</v>
          </cell>
          <cell r="T779">
            <v>2501</v>
          </cell>
        </row>
        <row r="780">
          <cell r="A780">
            <v>98261</v>
          </cell>
          <cell r="B780" t="str">
            <v xml:space="preserve"> ROSEBORO</v>
          </cell>
          <cell r="C780">
            <v>3.3099999999999998E-5</v>
          </cell>
          <cell r="D780">
            <v>3.3200000000000001E-5</v>
          </cell>
          <cell r="E780">
            <v>78525</v>
          </cell>
          <cell r="F780"/>
          <cell r="G780">
            <v>12114</v>
          </cell>
          <cell r="H780">
            <v>10779</v>
          </cell>
          <cell r="I780">
            <v>20837</v>
          </cell>
          <cell r="J780">
            <v>6529</v>
          </cell>
          <cell r="K780">
            <v>50259</v>
          </cell>
          <cell r="L780"/>
          <cell r="M780">
            <v>407</v>
          </cell>
          <cell r="N780">
            <v>0</v>
          </cell>
          <cell r="O780">
            <v>3201</v>
          </cell>
          <cell r="P780">
            <v>3608</v>
          </cell>
          <cell r="Q780"/>
          <cell r="R780">
            <v>21812</v>
          </cell>
          <cell r="S780">
            <v>1417</v>
          </cell>
          <cell r="T780">
            <v>23229</v>
          </cell>
        </row>
        <row r="781">
          <cell r="A781">
            <v>98271</v>
          </cell>
          <cell r="B781" t="str">
            <v xml:space="preserve"> AUTRYVILLE</v>
          </cell>
          <cell r="C781">
            <v>5.3000000000000001E-6</v>
          </cell>
          <cell r="D781">
            <v>5.1000000000000003E-6</v>
          </cell>
          <cell r="E781">
            <v>12573</v>
          </cell>
          <cell r="F781"/>
          <cell r="G781">
            <v>1940</v>
          </cell>
          <cell r="H781">
            <v>1726</v>
          </cell>
          <cell r="I781">
            <v>3336</v>
          </cell>
          <cell r="J781">
            <v>2879</v>
          </cell>
          <cell r="K781">
            <v>9881</v>
          </cell>
          <cell r="L781"/>
          <cell r="M781">
            <v>65</v>
          </cell>
          <cell r="N781">
            <v>0</v>
          </cell>
          <cell r="O781">
            <v>0</v>
          </cell>
          <cell r="P781">
            <v>65</v>
          </cell>
          <cell r="Q781"/>
          <cell r="R781">
            <v>3493</v>
          </cell>
          <cell r="S781">
            <v>1857</v>
          </cell>
          <cell r="T781">
            <v>5350</v>
          </cell>
        </row>
        <row r="782">
          <cell r="A782">
            <v>98301</v>
          </cell>
          <cell r="B782" t="str">
            <v>SCOTLAND COUNTY</v>
          </cell>
          <cell r="C782">
            <v>1.7489999999999999E-3</v>
          </cell>
          <cell r="D782">
            <v>1.7542E-3</v>
          </cell>
          <cell r="E782">
            <v>4149226</v>
          </cell>
          <cell r="F782"/>
          <cell r="G782">
            <v>640127</v>
          </cell>
          <cell r="H782">
            <v>569565</v>
          </cell>
          <cell r="I782">
            <v>1101044</v>
          </cell>
          <cell r="J782">
            <v>56900</v>
          </cell>
          <cell r="K782">
            <v>2367636</v>
          </cell>
          <cell r="L782"/>
          <cell r="M782">
            <v>21479</v>
          </cell>
          <cell r="N782">
            <v>0</v>
          </cell>
          <cell r="O782">
            <v>0</v>
          </cell>
          <cell r="P782">
            <v>21479</v>
          </cell>
          <cell r="Q782"/>
          <cell r="R782">
            <v>1152544</v>
          </cell>
          <cell r="S782">
            <v>25032</v>
          </cell>
          <cell r="T782">
            <v>1177576</v>
          </cell>
        </row>
        <row r="783">
          <cell r="A783">
            <v>98304</v>
          </cell>
          <cell r="B783" t="str">
            <v>SCOTLAND COUNTY ABC BOARD</v>
          </cell>
          <cell r="C783">
            <v>1.9300000000000002E-5</v>
          </cell>
          <cell r="D783">
            <v>2.0999999999999999E-5</v>
          </cell>
          <cell r="E783">
            <v>45786</v>
          </cell>
          <cell r="F783"/>
          <cell r="G783">
            <v>7064</v>
          </cell>
          <cell r="H783">
            <v>6286</v>
          </cell>
          <cell r="I783">
            <v>12150</v>
          </cell>
          <cell r="J783">
            <v>3861</v>
          </cell>
          <cell r="K783">
            <v>29361</v>
          </cell>
          <cell r="L783"/>
          <cell r="M783">
            <v>237</v>
          </cell>
          <cell r="N783">
            <v>0</v>
          </cell>
          <cell r="O783">
            <v>0</v>
          </cell>
          <cell r="P783">
            <v>237</v>
          </cell>
          <cell r="Q783"/>
          <cell r="R783">
            <v>12718</v>
          </cell>
          <cell r="S783">
            <v>1416</v>
          </cell>
          <cell r="T783">
            <v>14134</v>
          </cell>
        </row>
        <row r="784">
          <cell r="A784">
            <v>98308</v>
          </cell>
          <cell r="B784" t="str">
            <v>LAURINBURG-MAXTON AIRPORT COMMISSION</v>
          </cell>
          <cell r="C784">
            <v>2.2399999999999999E-5</v>
          </cell>
          <cell r="D784">
            <v>2.37E-5</v>
          </cell>
          <cell r="E784">
            <v>53140</v>
          </cell>
          <cell r="F784" t="str">
            <v xml:space="preserve"> </v>
          </cell>
          <cell r="G784">
            <v>8198</v>
          </cell>
          <cell r="H784">
            <v>7295</v>
          </cell>
          <cell r="I784">
            <v>14101</v>
          </cell>
          <cell r="J784">
            <v>7416</v>
          </cell>
          <cell r="K784">
            <v>37010</v>
          </cell>
          <cell r="L784"/>
          <cell r="M784">
            <v>275</v>
          </cell>
          <cell r="N784">
            <v>0</v>
          </cell>
          <cell r="O784">
            <v>0</v>
          </cell>
          <cell r="P784">
            <v>275</v>
          </cell>
          <cell r="Q784"/>
          <cell r="R784">
            <v>14761</v>
          </cell>
          <cell r="S784">
            <v>4258</v>
          </cell>
          <cell r="T784">
            <v>19019</v>
          </cell>
        </row>
        <row r="785">
          <cell r="A785">
            <v>98311</v>
          </cell>
          <cell r="B785" t="str">
            <v>CITY OF LAURINBURG</v>
          </cell>
          <cell r="C785">
            <v>1.0931999999999999E-3</v>
          </cell>
          <cell r="D785">
            <v>1.1536000000000001E-3</v>
          </cell>
          <cell r="E785">
            <v>2593444</v>
          </cell>
          <cell r="F785" t="str">
            <v xml:space="preserve"> </v>
          </cell>
          <cell r="G785">
            <v>400107</v>
          </cell>
          <cell r="H785">
            <v>356003</v>
          </cell>
          <cell r="I785">
            <v>688200</v>
          </cell>
          <cell r="J785">
            <v>0</v>
          </cell>
          <cell r="K785">
            <v>1444310</v>
          </cell>
          <cell r="L785"/>
          <cell r="M785">
            <v>13426</v>
          </cell>
          <cell r="N785">
            <v>0</v>
          </cell>
          <cell r="O785">
            <v>152880</v>
          </cell>
          <cell r="P785">
            <v>166306</v>
          </cell>
          <cell r="Q785"/>
          <cell r="R785">
            <v>720389</v>
          </cell>
          <cell r="S785">
            <v>-39908</v>
          </cell>
          <cell r="T785">
            <v>680481</v>
          </cell>
        </row>
        <row r="786">
          <cell r="A786">
            <v>98313</v>
          </cell>
          <cell r="B786" t="str">
            <v>LAURINBURG HOUSING AUTHORITY</v>
          </cell>
          <cell r="C786">
            <v>2.4240000000000001E-4</v>
          </cell>
          <cell r="D786">
            <v>2.3560000000000001E-4</v>
          </cell>
          <cell r="E786">
            <v>575056</v>
          </cell>
          <cell r="F786" t="str">
            <v xml:space="preserve"> </v>
          </cell>
          <cell r="G786">
            <v>88717</v>
          </cell>
          <cell r="H786">
            <v>78938</v>
          </cell>
          <cell r="I786">
            <v>152598</v>
          </cell>
          <cell r="J786">
            <v>283623</v>
          </cell>
          <cell r="K786">
            <v>603876</v>
          </cell>
          <cell r="L786"/>
          <cell r="M786">
            <v>2977</v>
          </cell>
          <cell r="N786">
            <v>0</v>
          </cell>
          <cell r="O786">
            <v>0</v>
          </cell>
          <cell r="P786">
            <v>2977</v>
          </cell>
          <cell r="Q786"/>
          <cell r="R786">
            <v>159735</v>
          </cell>
          <cell r="S786">
            <v>109986</v>
          </cell>
          <cell r="T786">
            <v>269721</v>
          </cell>
        </row>
        <row r="787">
          <cell r="A787">
            <v>98321</v>
          </cell>
          <cell r="B787" t="str">
            <v xml:space="preserve"> WAGRAM</v>
          </cell>
          <cell r="C787">
            <v>1.9199999999999999E-5</v>
          </cell>
          <cell r="D787">
            <v>2.05E-5</v>
          </cell>
          <cell r="E787">
            <v>45549</v>
          </cell>
          <cell r="F787" t="str">
            <v xml:space="preserve"> </v>
          </cell>
          <cell r="G787">
            <v>7027</v>
          </cell>
          <cell r="H787">
            <v>6253</v>
          </cell>
          <cell r="I787">
            <v>12087</v>
          </cell>
          <cell r="J787">
            <v>63</v>
          </cell>
          <cell r="K787">
            <v>25430</v>
          </cell>
          <cell r="L787"/>
          <cell r="M787">
            <v>236</v>
          </cell>
          <cell r="N787">
            <v>0</v>
          </cell>
          <cell r="O787">
            <v>1957</v>
          </cell>
          <cell r="P787">
            <v>2193</v>
          </cell>
          <cell r="Q787"/>
          <cell r="R787">
            <v>12652</v>
          </cell>
          <cell r="S787">
            <v>453</v>
          </cell>
          <cell r="T787">
            <v>13105</v>
          </cell>
        </row>
        <row r="788">
          <cell r="A788">
            <v>98331</v>
          </cell>
          <cell r="B788" t="str">
            <v xml:space="preserve"> GIBSON</v>
          </cell>
          <cell r="C788">
            <v>9.3000000000000007E-6</v>
          </cell>
          <cell r="D788">
            <v>9.7999999999999993E-6</v>
          </cell>
          <cell r="E788">
            <v>22063</v>
          </cell>
          <cell r="F788" t="str">
            <v xml:space="preserve"> </v>
          </cell>
          <cell r="G788">
            <v>3404</v>
          </cell>
          <cell r="H788">
            <v>3029</v>
          </cell>
          <cell r="I788">
            <v>5855</v>
          </cell>
          <cell r="J788">
            <v>3274</v>
          </cell>
          <cell r="K788">
            <v>15562</v>
          </cell>
          <cell r="L788"/>
          <cell r="M788">
            <v>114</v>
          </cell>
          <cell r="N788">
            <v>0</v>
          </cell>
          <cell r="O788">
            <v>0</v>
          </cell>
          <cell r="P788">
            <v>114</v>
          </cell>
          <cell r="Q788"/>
          <cell r="R788">
            <v>6128</v>
          </cell>
          <cell r="S788">
            <v>1309</v>
          </cell>
          <cell r="T788">
            <v>7437</v>
          </cell>
        </row>
        <row r="789">
          <cell r="A789">
            <v>98401</v>
          </cell>
          <cell r="B789" t="str">
            <v>STANLY COUNTY</v>
          </cell>
          <cell r="C789">
            <v>2.7358E-3</v>
          </cell>
          <cell r="D789">
            <v>2.7655000000000002E-3</v>
          </cell>
          <cell r="E789">
            <v>6490253</v>
          </cell>
          <cell r="F789" t="str">
            <v xml:space="preserve"> </v>
          </cell>
          <cell r="G789">
            <v>1001292</v>
          </cell>
          <cell r="H789">
            <v>890919</v>
          </cell>
          <cell r="I789">
            <v>1722263</v>
          </cell>
          <cell r="J789">
            <v>198418</v>
          </cell>
          <cell r="K789">
            <v>3812892</v>
          </cell>
          <cell r="L789"/>
          <cell r="M789">
            <v>33598</v>
          </cell>
          <cell r="N789">
            <v>0</v>
          </cell>
          <cell r="O789">
            <v>4093</v>
          </cell>
          <cell r="P789">
            <v>37691</v>
          </cell>
          <cell r="Q789"/>
          <cell r="R789">
            <v>1802818</v>
          </cell>
          <cell r="S789">
            <v>81533</v>
          </cell>
          <cell r="T789">
            <v>1884351</v>
          </cell>
        </row>
        <row r="790">
          <cell r="A790">
            <v>98404</v>
          </cell>
          <cell r="B790" t="str">
            <v>LOCUST ABC BOARD</v>
          </cell>
          <cell r="C790">
            <v>1.5099999999999999E-5</v>
          </cell>
          <cell r="D790">
            <v>1.52E-5</v>
          </cell>
          <cell r="E790">
            <v>35822</v>
          </cell>
          <cell r="F790" t="str">
            <v xml:space="preserve"> </v>
          </cell>
          <cell r="G790">
            <v>5527</v>
          </cell>
          <cell r="H790">
            <v>4917</v>
          </cell>
          <cell r="I790">
            <v>9506</v>
          </cell>
          <cell r="J790">
            <v>7686</v>
          </cell>
          <cell r="K790">
            <v>27636</v>
          </cell>
          <cell r="L790"/>
          <cell r="M790">
            <v>185</v>
          </cell>
          <cell r="N790">
            <v>0</v>
          </cell>
          <cell r="O790">
            <v>0</v>
          </cell>
          <cell r="P790">
            <v>185</v>
          </cell>
          <cell r="Q790"/>
          <cell r="R790">
            <v>9950</v>
          </cell>
          <cell r="S790">
            <v>2503</v>
          </cell>
          <cell r="T790">
            <v>12453</v>
          </cell>
        </row>
        <row r="791">
          <cell r="A791">
            <v>98411</v>
          </cell>
          <cell r="B791" t="str">
            <v>CITY OF ALBEMARLE</v>
          </cell>
          <cell r="C791">
            <v>1.9327000000000001E-3</v>
          </cell>
          <cell r="D791">
            <v>1.9816E-3</v>
          </cell>
          <cell r="E791">
            <v>4585025</v>
          </cell>
          <cell r="F791" t="str">
            <v xml:space="preserve"> </v>
          </cell>
          <cell r="G791">
            <v>707360</v>
          </cell>
          <cell r="H791">
            <v>629388</v>
          </cell>
          <cell r="I791">
            <v>1216689</v>
          </cell>
          <cell r="J791">
            <v>0</v>
          </cell>
          <cell r="K791">
            <v>2553437</v>
          </cell>
          <cell r="L791"/>
          <cell r="M791">
            <v>23735</v>
          </cell>
          <cell r="N791">
            <v>0</v>
          </cell>
          <cell r="O791">
            <v>116454</v>
          </cell>
          <cell r="P791">
            <v>140189</v>
          </cell>
          <cell r="Q791"/>
          <cell r="R791">
            <v>1273597</v>
          </cell>
          <cell r="S791">
            <v>-35630</v>
          </cell>
          <cell r="T791">
            <v>1237967</v>
          </cell>
        </row>
        <row r="792">
          <cell r="A792" t="str">
            <v>98414M</v>
          </cell>
          <cell r="B792" t="str">
            <v xml:space="preserve"> MISENHEIMER</v>
          </cell>
          <cell r="C792">
            <v>4.1600000000000002E-5</v>
          </cell>
          <cell r="D792">
            <v>2.83E-5</v>
          </cell>
          <cell r="E792">
            <v>98689</v>
          </cell>
          <cell r="F792" t="str">
            <v xml:space="preserve"> </v>
          </cell>
          <cell r="G792">
            <v>15225</v>
          </cell>
          <cell r="H792">
            <v>13548</v>
          </cell>
          <cell r="I792">
            <v>26188</v>
          </cell>
          <cell r="J792">
            <v>18529</v>
          </cell>
          <cell r="K792">
            <v>73490</v>
          </cell>
          <cell r="L792"/>
          <cell r="M792">
            <v>511</v>
          </cell>
          <cell r="N792">
            <v>0</v>
          </cell>
          <cell r="O792">
            <v>0</v>
          </cell>
          <cell r="P792">
            <v>511</v>
          </cell>
          <cell r="Q792"/>
          <cell r="R792">
            <v>27413</v>
          </cell>
          <cell r="S792">
            <v>5537</v>
          </cell>
          <cell r="T792">
            <v>32950</v>
          </cell>
        </row>
        <row r="793">
          <cell r="A793" t="str">
            <v>71786M</v>
          </cell>
          <cell r="B793" t="str">
            <v xml:space="preserve"> MISENHEIMER</v>
          </cell>
          <cell r="C793">
            <v>0</v>
          </cell>
          <cell r="D793">
            <v>1.0200000000000001E-5</v>
          </cell>
          <cell r="E793">
            <v>0</v>
          </cell>
          <cell r="F793" t="str">
            <v xml:space="preserve"> </v>
          </cell>
          <cell r="G793">
            <v>0</v>
          </cell>
          <cell r="H793">
            <v>0</v>
          </cell>
          <cell r="I793">
            <v>0</v>
          </cell>
          <cell r="J793">
            <v>0</v>
          </cell>
          <cell r="K793">
            <v>0</v>
          </cell>
          <cell r="L793"/>
          <cell r="M793">
            <v>0</v>
          </cell>
          <cell r="N793">
            <v>0</v>
          </cell>
          <cell r="O793">
            <v>24349</v>
          </cell>
          <cell r="P793">
            <v>24349</v>
          </cell>
          <cell r="R793">
            <v>0</v>
          </cell>
          <cell r="S793">
            <v>-9271</v>
          </cell>
          <cell r="T793">
            <v>-9271</v>
          </cell>
        </row>
        <row r="794">
          <cell r="A794">
            <v>98414</v>
          </cell>
          <cell r="B794" t="str">
            <v xml:space="preserve"> MISENHEIMER</v>
          </cell>
          <cell r="C794">
            <v>4.1600000000000002E-5</v>
          </cell>
          <cell r="D794">
            <v>3.8500000000000001E-5</v>
          </cell>
          <cell r="E794">
            <v>98689</v>
          </cell>
          <cell r="F794"/>
          <cell r="G794">
            <v>15225</v>
          </cell>
          <cell r="H794">
            <v>13548</v>
          </cell>
          <cell r="I794">
            <v>26188</v>
          </cell>
          <cell r="J794">
            <v>18529</v>
          </cell>
          <cell r="K794">
            <v>73490</v>
          </cell>
          <cell r="L794"/>
          <cell r="M794">
            <v>511</v>
          </cell>
          <cell r="N794">
            <v>0</v>
          </cell>
          <cell r="O794">
            <v>24349</v>
          </cell>
          <cell r="P794">
            <v>24860</v>
          </cell>
          <cell r="R794">
            <v>27413</v>
          </cell>
          <cell r="S794">
            <v>-3734</v>
          </cell>
          <cell r="T794">
            <v>23679</v>
          </cell>
        </row>
        <row r="795">
          <cell r="A795">
            <v>98417</v>
          </cell>
          <cell r="B795" t="str">
            <v>ALBEMARLE ABC BOARD</v>
          </cell>
          <cell r="C795">
            <v>2.1500000000000001E-5</v>
          </cell>
          <cell r="D795">
            <v>2.2900000000000001E-5</v>
          </cell>
          <cell r="E795">
            <v>51005</v>
          </cell>
          <cell r="F795" t="str">
            <v xml:space="preserve"> </v>
          </cell>
          <cell r="G795">
            <v>7869</v>
          </cell>
          <cell r="H795">
            <v>7001</v>
          </cell>
          <cell r="I795">
            <v>13535</v>
          </cell>
          <cell r="J795">
            <v>4701</v>
          </cell>
          <cell r="K795">
            <v>33106</v>
          </cell>
          <cell r="L795"/>
          <cell r="M795">
            <v>264</v>
          </cell>
          <cell r="N795">
            <v>0</v>
          </cell>
          <cell r="O795">
            <v>0</v>
          </cell>
          <cell r="P795">
            <v>264</v>
          </cell>
          <cell r="Q795"/>
          <cell r="R795">
            <v>14168</v>
          </cell>
          <cell r="S795">
            <v>1052</v>
          </cell>
          <cell r="T795">
            <v>15220</v>
          </cell>
        </row>
        <row r="796">
          <cell r="A796">
            <v>98421</v>
          </cell>
          <cell r="B796" t="str">
            <v xml:space="preserve"> NORWOOD</v>
          </cell>
          <cell r="C796">
            <v>1.06E-4</v>
          </cell>
          <cell r="D796">
            <v>8.2700000000000004E-5</v>
          </cell>
          <cell r="E796">
            <v>251468</v>
          </cell>
          <cell r="F796" t="str">
            <v xml:space="preserve"> </v>
          </cell>
          <cell r="G796">
            <v>38796</v>
          </cell>
          <cell r="H796">
            <v>34519</v>
          </cell>
          <cell r="I796">
            <v>66730</v>
          </cell>
          <cell r="J796">
            <v>17902</v>
          </cell>
          <cell r="K796">
            <v>157947</v>
          </cell>
          <cell r="L796"/>
          <cell r="M796">
            <v>1302</v>
          </cell>
          <cell r="N796">
            <v>0</v>
          </cell>
          <cell r="O796">
            <v>9065</v>
          </cell>
          <cell r="P796">
            <v>10367</v>
          </cell>
          <cell r="Q796"/>
          <cell r="R796">
            <v>69851</v>
          </cell>
          <cell r="S796">
            <v>2976</v>
          </cell>
          <cell r="T796">
            <v>72827</v>
          </cell>
        </row>
        <row r="797">
          <cell r="A797">
            <v>98427</v>
          </cell>
          <cell r="B797" t="str">
            <v>NORWOOD ABC BD</v>
          </cell>
          <cell r="C797">
            <v>3.4000000000000001E-6</v>
          </cell>
          <cell r="D797">
            <v>3.9999999999999998E-6</v>
          </cell>
          <cell r="E797">
            <v>8066</v>
          </cell>
          <cell r="F797" t="str">
            <v xml:space="preserve"> </v>
          </cell>
          <cell r="G797">
            <v>1244</v>
          </cell>
          <cell r="H797">
            <v>1107</v>
          </cell>
          <cell r="I797">
            <v>2140</v>
          </cell>
          <cell r="J797">
            <v>1747</v>
          </cell>
          <cell r="K797">
            <v>6238</v>
          </cell>
          <cell r="L797"/>
          <cell r="M797">
            <v>42</v>
          </cell>
          <cell r="N797">
            <v>0</v>
          </cell>
          <cell r="O797">
            <v>0</v>
          </cell>
          <cell r="P797">
            <v>42</v>
          </cell>
          <cell r="Q797"/>
          <cell r="R797">
            <v>2241</v>
          </cell>
          <cell r="S797">
            <v>707</v>
          </cell>
          <cell r="T797">
            <v>2948</v>
          </cell>
        </row>
        <row r="798">
          <cell r="A798">
            <v>98431</v>
          </cell>
          <cell r="B798" t="str">
            <v>CITY OF LOCUST</v>
          </cell>
          <cell r="C798">
            <v>1.961E-4</v>
          </cell>
          <cell r="D798">
            <v>2.0589999999999999E-4</v>
          </cell>
          <cell r="E798">
            <v>465216</v>
          </cell>
          <cell r="F798" t="str">
            <v xml:space="preserve"> </v>
          </cell>
          <cell r="G798">
            <v>71772</v>
          </cell>
          <cell r="H798">
            <v>63861</v>
          </cell>
          <cell r="I798">
            <v>123450</v>
          </cell>
          <cell r="J798">
            <v>0</v>
          </cell>
          <cell r="K798">
            <v>259083</v>
          </cell>
          <cell r="L798"/>
          <cell r="M798">
            <v>2408</v>
          </cell>
          <cell r="N798">
            <v>0</v>
          </cell>
          <cell r="O798">
            <v>33499</v>
          </cell>
          <cell r="P798">
            <v>35907</v>
          </cell>
          <cell r="Q798"/>
          <cell r="R798">
            <v>129225</v>
          </cell>
          <cell r="S798">
            <v>-12036</v>
          </cell>
          <cell r="T798">
            <v>117189</v>
          </cell>
        </row>
        <row r="799">
          <cell r="A799">
            <v>98441</v>
          </cell>
          <cell r="B799" t="str">
            <v xml:space="preserve"> OAKBORO</v>
          </cell>
          <cell r="C799">
            <v>1.0900000000000001E-4</v>
          </cell>
          <cell r="D799">
            <v>8.2700000000000004E-5</v>
          </cell>
          <cell r="E799">
            <v>258585</v>
          </cell>
          <cell r="F799" t="str">
            <v xml:space="preserve"> </v>
          </cell>
          <cell r="G799">
            <v>39894</v>
          </cell>
          <cell r="H799">
            <v>35496</v>
          </cell>
          <cell r="I799">
            <v>68619</v>
          </cell>
          <cell r="J799">
            <v>12072</v>
          </cell>
          <cell r="K799">
            <v>156081</v>
          </cell>
          <cell r="L799"/>
          <cell r="M799">
            <v>1339</v>
          </cell>
          <cell r="N799">
            <v>0</v>
          </cell>
          <cell r="O799">
            <v>13805</v>
          </cell>
          <cell r="P799">
            <v>15144</v>
          </cell>
          <cell r="Q799"/>
          <cell r="R799">
            <v>71828</v>
          </cell>
          <cell r="S799">
            <v>-5014</v>
          </cell>
          <cell r="T799">
            <v>66814</v>
          </cell>
        </row>
        <row r="800">
          <cell r="A800">
            <v>98451</v>
          </cell>
          <cell r="B800" t="str">
            <v xml:space="preserve"> BADIN</v>
          </cell>
          <cell r="C800">
            <v>4.88E-5</v>
          </cell>
          <cell r="D800">
            <v>5.7000000000000003E-5</v>
          </cell>
          <cell r="E800">
            <v>115770</v>
          </cell>
          <cell r="F800" t="str">
            <v xml:space="preserve"> </v>
          </cell>
          <cell r="G800">
            <v>17861</v>
          </cell>
          <cell r="H800">
            <v>15892</v>
          </cell>
          <cell r="I800">
            <v>30721</v>
          </cell>
          <cell r="J800">
            <v>380</v>
          </cell>
          <cell r="K800">
            <v>64854</v>
          </cell>
          <cell r="L800"/>
          <cell r="M800">
            <v>599</v>
          </cell>
          <cell r="N800">
            <v>0</v>
          </cell>
          <cell r="O800">
            <v>4433</v>
          </cell>
          <cell r="P800">
            <v>5032</v>
          </cell>
          <cell r="Q800"/>
          <cell r="R800">
            <v>32158</v>
          </cell>
          <cell r="S800">
            <v>-1432</v>
          </cell>
          <cell r="T800">
            <v>30726</v>
          </cell>
        </row>
        <row r="801">
          <cell r="A801">
            <v>98471</v>
          </cell>
          <cell r="B801" t="str">
            <v xml:space="preserve"> NEW LONDON</v>
          </cell>
          <cell r="C801">
            <v>6.1E-6</v>
          </cell>
          <cell r="D801">
            <v>0</v>
          </cell>
          <cell r="E801">
            <v>14471</v>
          </cell>
          <cell r="F801" t="str">
            <v xml:space="preserve"> </v>
          </cell>
          <cell r="G801">
            <v>2233</v>
          </cell>
          <cell r="H801">
            <v>1987</v>
          </cell>
          <cell r="I801">
            <v>3840</v>
          </cell>
          <cell r="J801">
            <v>5121</v>
          </cell>
          <cell r="K801">
            <v>13181</v>
          </cell>
          <cell r="L801"/>
          <cell r="M801">
            <v>75</v>
          </cell>
          <cell r="N801">
            <v>0</v>
          </cell>
          <cell r="O801">
            <v>0</v>
          </cell>
          <cell r="P801">
            <v>75</v>
          </cell>
          <cell r="Q801"/>
          <cell r="R801">
            <v>4020</v>
          </cell>
          <cell r="S801">
            <v>1280</v>
          </cell>
          <cell r="T801">
            <v>5300</v>
          </cell>
        </row>
        <row r="802">
          <cell r="A802">
            <v>98481</v>
          </cell>
          <cell r="B802" t="str">
            <v xml:space="preserve"> STANFIELD</v>
          </cell>
          <cell r="C802">
            <v>7.2000000000000002E-5</v>
          </cell>
          <cell r="D802">
            <v>6.3899999999999995E-5</v>
          </cell>
          <cell r="E802">
            <v>170809</v>
          </cell>
          <cell r="F802" t="str">
            <v xml:space="preserve"> </v>
          </cell>
          <cell r="G802">
            <v>26352</v>
          </cell>
          <cell r="H802">
            <v>23447</v>
          </cell>
          <cell r="I802">
            <v>45326</v>
          </cell>
          <cell r="J802">
            <v>2185</v>
          </cell>
          <cell r="K802">
            <v>97310</v>
          </cell>
          <cell r="L802"/>
          <cell r="M802">
            <v>884</v>
          </cell>
          <cell r="N802">
            <v>0</v>
          </cell>
          <cell r="O802">
            <v>4175</v>
          </cell>
          <cell r="P802">
            <v>5059</v>
          </cell>
          <cell r="Q802"/>
          <cell r="R802">
            <v>47446</v>
          </cell>
          <cell r="S802">
            <v>495</v>
          </cell>
          <cell r="T802">
            <v>47941</v>
          </cell>
        </row>
        <row r="803">
          <cell r="A803">
            <v>98501</v>
          </cell>
          <cell r="B803" t="str">
            <v>STOKES COUNTY</v>
          </cell>
          <cell r="C803">
            <v>1.6239E-3</v>
          </cell>
          <cell r="D803">
            <v>1.6022E-3</v>
          </cell>
          <cell r="E803">
            <v>3852446</v>
          </cell>
          <cell r="F803" t="str">
            <v xml:space="preserve"> </v>
          </cell>
          <cell r="G803">
            <v>594341</v>
          </cell>
          <cell r="H803">
            <v>528826</v>
          </cell>
          <cell r="I803">
            <v>1022291</v>
          </cell>
          <cell r="J803">
            <v>103062</v>
          </cell>
          <cell r="K803">
            <v>2248520</v>
          </cell>
          <cell r="L803"/>
          <cell r="M803">
            <v>19943</v>
          </cell>
          <cell r="N803">
            <v>0</v>
          </cell>
          <cell r="O803">
            <v>0</v>
          </cell>
          <cell r="P803">
            <v>19943</v>
          </cell>
          <cell r="Q803"/>
          <cell r="R803">
            <v>1070106</v>
          </cell>
          <cell r="S803">
            <v>31738</v>
          </cell>
          <cell r="T803">
            <v>1101844</v>
          </cell>
        </row>
        <row r="804">
          <cell r="A804">
            <v>98511</v>
          </cell>
          <cell r="B804" t="str">
            <v xml:space="preserve"> WALNUT COVE</v>
          </cell>
          <cell r="C804">
            <v>4.0000000000000003E-5</v>
          </cell>
          <cell r="D804">
            <v>4.8000000000000001E-5</v>
          </cell>
          <cell r="E804">
            <v>94894</v>
          </cell>
          <cell r="F804" t="str">
            <v xml:space="preserve"> </v>
          </cell>
          <cell r="G804">
            <v>14640</v>
          </cell>
          <cell r="H804">
            <v>13026</v>
          </cell>
          <cell r="I804">
            <v>25181</v>
          </cell>
          <cell r="J804">
            <v>4106</v>
          </cell>
          <cell r="K804">
            <v>56953</v>
          </cell>
          <cell r="L804"/>
          <cell r="M804">
            <v>491</v>
          </cell>
          <cell r="N804">
            <v>0</v>
          </cell>
          <cell r="O804">
            <v>3548</v>
          </cell>
          <cell r="P804">
            <v>4039</v>
          </cell>
          <cell r="Q804"/>
          <cell r="R804">
            <v>26359</v>
          </cell>
          <cell r="S804">
            <v>-9955</v>
          </cell>
          <cell r="T804">
            <v>16404</v>
          </cell>
        </row>
        <row r="805">
          <cell r="A805">
            <v>98517</v>
          </cell>
          <cell r="B805" t="str">
            <v>WALNUT COVE ABC BOARD</v>
          </cell>
          <cell r="C805">
            <v>2.3E-6</v>
          </cell>
          <cell r="D805">
            <v>2.3E-6</v>
          </cell>
          <cell r="E805">
            <v>5456</v>
          </cell>
          <cell r="F805" t="str">
            <v xml:space="preserve"> </v>
          </cell>
          <cell r="G805">
            <v>842</v>
          </cell>
          <cell r="H805">
            <v>749</v>
          </cell>
          <cell r="I805">
            <v>1448</v>
          </cell>
          <cell r="J805">
            <v>2754</v>
          </cell>
          <cell r="K805">
            <v>5793</v>
          </cell>
          <cell r="L805"/>
          <cell r="M805">
            <v>28</v>
          </cell>
          <cell r="N805">
            <v>0</v>
          </cell>
          <cell r="O805">
            <v>0</v>
          </cell>
          <cell r="P805">
            <v>28</v>
          </cell>
          <cell r="Q805"/>
          <cell r="R805">
            <v>1516</v>
          </cell>
          <cell r="S805">
            <v>1018</v>
          </cell>
          <cell r="T805">
            <v>2534</v>
          </cell>
        </row>
        <row r="806">
          <cell r="A806">
            <v>98521</v>
          </cell>
          <cell r="B806" t="str">
            <v>CITY OF KING</v>
          </cell>
          <cell r="C806">
            <v>6.4780000000000003E-4</v>
          </cell>
          <cell r="D806">
            <v>6.6180000000000004E-4</v>
          </cell>
          <cell r="E806">
            <v>1536803</v>
          </cell>
          <cell r="F806" t="str">
            <v xml:space="preserve"> </v>
          </cell>
          <cell r="G806">
            <v>237092</v>
          </cell>
          <cell r="H806">
            <v>210957</v>
          </cell>
          <cell r="I806">
            <v>407808</v>
          </cell>
          <cell r="J806">
            <v>26095</v>
          </cell>
          <cell r="K806">
            <v>881952</v>
          </cell>
          <cell r="L806"/>
          <cell r="M806">
            <v>7956</v>
          </cell>
          <cell r="N806">
            <v>0</v>
          </cell>
          <cell r="O806">
            <v>52330</v>
          </cell>
          <cell r="P806">
            <v>60286</v>
          </cell>
          <cell r="Q806"/>
          <cell r="R806">
            <v>426883</v>
          </cell>
          <cell r="S806">
            <v>-16971</v>
          </cell>
          <cell r="T806">
            <v>409912</v>
          </cell>
        </row>
        <row r="807">
          <cell r="A807">
            <v>98601</v>
          </cell>
          <cell r="B807" t="str">
            <v>SURRY COUNTY</v>
          </cell>
          <cell r="C807">
            <v>3.4765999999999998E-3</v>
          </cell>
          <cell r="D807">
            <v>3.4148E-3</v>
          </cell>
          <cell r="E807">
            <v>8247684</v>
          </cell>
          <cell r="F807" t="str">
            <v xml:space="preserve"> </v>
          </cell>
          <cell r="G807">
            <v>1272422</v>
          </cell>
          <cell r="H807">
            <v>1132162</v>
          </cell>
          <cell r="I807">
            <v>2188617</v>
          </cell>
          <cell r="J807">
            <v>0</v>
          </cell>
          <cell r="K807">
            <v>4593201</v>
          </cell>
          <cell r="L807"/>
          <cell r="M807">
            <v>42696</v>
          </cell>
          <cell r="N807">
            <v>0</v>
          </cell>
          <cell r="O807">
            <v>132455</v>
          </cell>
          <cell r="P807">
            <v>175151</v>
          </cell>
          <cell r="Q807"/>
          <cell r="R807">
            <v>2290986</v>
          </cell>
          <cell r="S807">
            <v>-95496</v>
          </cell>
          <cell r="T807">
            <v>2195490</v>
          </cell>
        </row>
        <row r="808">
          <cell r="A808" t="str">
            <v>98604M</v>
          </cell>
          <cell r="B808" t="str">
            <v>YADKIN VALLEY ABC BOARD</v>
          </cell>
          <cell r="C808">
            <v>1.29E-5</v>
          </cell>
          <cell r="D808">
            <v>1.34E-5</v>
          </cell>
          <cell r="E808">
            <v>30603</v>
          </cell>
          <cell r="F808" t="str">
            <v xml:space="preserve"> </v>
          </cell>
          <cell r="G808">
            <v>4721</v>
          </cell>
          <cell r="H808">
            <v>4201</v>
          </cell>
          <cell r="I808">
            <v>8121</v>
          </cell>
          <cell r="J808">
            <v>4763</v>
          </cell>
          <cell r="K808">
            <v>21806</v>
          </cell>
          <cell r="L808"/>
          <cell r="M808">
            <v>158</v>
          </cell>
          <cell r="N808">
            <v>0</v>
          </cell>
          <cell r="O808">
            <v>395</v>
          </cell>
          <cell r="P808">
            <v>553</v>
          </cell>
          <cell r="Q808"/>
          <cell r="R808">
            <v>8501</v>
          </cell>
          <cell r="S808">
            <v>2178</v>
          </cell>
          <cell r="T808">
            <v>10679</v>
          </cell>
        </row>
        <row r="809">
          <cell r="A809" t="str">
            <v>98647M</v>
          </cell>
          <cell r="B809" t="str">
            <v>ELKIN ABC BOARD</v>
          </cell>
          <cell r="C809">
            <v>0</v>
          </cell>
          <cell r="D809">
            <v>0</v>
          </cell>
          <cell r="E809">
            <v>0</v>
          </cell>
          <cell r="F809" t="str">
            <v xml:space="preserve"> </v>
          </cell>
          <cell r="G809">
            <v>0</v>
          </cell>
          <cell r="H809">
            <v>0</v>
          </cell>
          <cell r="I809">
            <v>0</v>
          </cell>
          <cell r="J809">
            <v>1056</v>
          </cell>
          <cell r="K809">
            <v>1056</v>
          </cell>
          <cell r="L809"/>
          <cell r="M809">
            <v>0</v>
          </cell>
          <cell r="N809">
            <v>0</v>
          </cell>
          <cell r="O809">
            <v>3238</v>
          </cell>
          <cell r="P809">
            <v>3238</v>
          </cell>
          <cell r="Q809"/>
          <cell r="R809">
            <v>0</v>
          </cell>
          <cell r="S809">
            <v>171</v>
          </cell>
          <cell r="T809">
            <v>171</v>
          </cell>
        </row>
        <row r="810">
          <cell r="A810">
            <v>98604</v>
          </cell>
          <cell r="B810" t="str">
            <v>YADKIN VALLEY ABC BOARD</v>
          </cell>
          <cell r="C810">
            <v>1.29E-5</v>
          </cell>
          <cell r="D810">
            <v>1.34E-5</v>
          </cell>
          <cell r="E810">
            <v>30603</v>
          </cell>
          <cell r="F810"/>
          <cell r="G810">
            <v>4721</v>
          </cell>
          <cell r="H810">
            <v>4201</v>
          </cell>
          <cell r="I810">
            <v>8121</v>
          </cell>
          <cell r="J810">
            <v>5819</v>
          </cell>
          <cell r="K810">
            <v>22862</v>
          </cell>
          <cell r="L810"/>
          <cell r="M810">
            <v>158</v>
          </cell>
          <cell r="N810">
            <v>0</v>
          </cell>
          <cell r="O810">
            <v>3633</v>
          </cell>
          <cell r="P810">
            <v>3791</v>
          </cell>
          <cell r="Q810"/>
          <cell r="R810">
            <v>8501</v>
          </cell>
          <cell r="S810">
            <v>2349</v>
          </cell>
          <cell r="T810">
            <v>10850</v>
          </cell>
        </row>
        <row r="811">
          <cell r="A811">
            <v>98607</v>
          </cell>
          <cell r="B811" t="str">
            <v>PILOT MOUNTAIN ABC BOARD</v>
          </cell>
          <cell r="C811">
            <v>6.9E-6</v>
          </cell>
          <cell r="D811">
            <v>5.9000000000000003E-6</v>
          </cell>
          <cell r="E811">
            <v>16369</v>
          </cell>
          <cell r="F811" t="str">
            <v xml:space="preserve"> </v>
          </cell>
          <cell r="G811">
            <v>2525</v>
          </cell>
          <cell r="H811">
            <v>2247</v>
          </cell>
          <cell r="I811">
            <v>4344</v>
          </cell>
          <cell r="J811">
            <v>1428</v>
          </cell>
          <cell r="K811">
            <v>10544</v>
          </cell>
          <cell r="L811"/>
          <cell r="M811">
            <v>85</v>
          </cell>
          <cell r="N811">
            <v>0</v>
          </cell>
          <cell r="O811">
            <v>602</v>
          </cell>
          <cell r="P811">
            <v>687</v>
          </cell>
          <cell r="Q811"/>
          <cell r="R811">
            <v>4547</v>
          </cell>
          <cell r="S811">
            <v>-512</v>
          </cell>
          <cell r="T811">
            <v>4035</v>
          </cell>
        </row>
        <row r="812">
          <cell r="A812">
            <v>98608</v>
          </cell>
          <cell r="B812" t="str">
            <v>YADKIN VALLEY SEWER AUTHORITY</v>
          </cell>
          <cell r="C812">
            <v>4.3099999999999997E-5</v>
          </cell>
          <cell r="D812">
            <v>4.9200000000000003E-5</v>
          </cell>
          <cell r="E812">
            <v>102248</v>
          </cell>
          <cell r="F812" t="str">
            <v xml:space="preserve"> </v>
          </cell>
          <cell r="G812">
            <v>15774</v>
          </cell>
          <cell r="H812">
            <v>14035</v>
          </cell>
          <cell r="I812">
            <v>27133</v>
          </cell>
          <cell r="J812">
            <v>3440</v>
          </cell>
          <cell r="K812">
            <v>60382</v>
          </cell>
          <cell r="L812"/>
          <cell r="M812">
            <v>529</v>
          </cell>
          <cell r="N812">
            <v>0</v>
          </cell>
          <cell r="O812">
            <v>4498</v>
          </cell>
          <cell r="P812">
            <v>5027</v>
          </cell>
          <cell r="Q812"/>
          <cell r="R812">
            <v>28402</v>
          </cell>
          <cell r="S812">
            <v>961</v>
          </cell>
          <cell r="T812">
            <v>29363</v>
          </cell>
        </row>
        <row r="813">
          <cell r="A813">
            <v>98611</v>
          </cell>
          <cell r="B813" t="str">
            <v xml:space="preserve"> PILOT MOUNTAIN</v>
          </cell>
          <cell r="C813">
            <v>1.143E-4</v>
          </cell>
          <cell r="D813">
            <v>8.6899999999999998E-5</v>
          </cell>
          <cell r="E813">
            <v>271159</v>
          </cell>
          <cell r="F813" t="str">
            <v xml:space="preserve"> </v>
          </cell>
          <cell r="G813">
            <v>41833</v>
          </cell>
          <cell r="H813">
            <v>37222</v>
          </cell>
          <cell r="I813">
            <v>71955</v>
          </cell>
          <cell r="J813">
            <v>27552</v>
          </cell>
          <cell r="K813">
            <v>178562</v>
          </cell>
          <cell r="L813"/>
          <cell r="M813">
            <v>1404</v>
          </cell>
          <cell r="N813">
            <v>0</v>
          </cell>
          <cell r="O813">
            <v>6191</v>
          </cell>
          <cell r="P813">
            <v>7595</v>
          </cell>
          <cell r="Q813"/>
          <cell r="R813">
            <v>75321</v>
          </cell>
          <cell r="S813">
            <v>6163</v>
          </cell>
          <cell r="T813">
            <v>81484</v>
          </cell>
        </row>
        <row r="814">
          <cell r="A814">
            <v>98621</v>
          </cell>
          <cell r="B814" t="str">
            <v xml:space="preserve"> DOBSON</v>
          </cell>
          <cell r="C814">
            <v>1.371E-4</v>
          </cell>
          <cell r="D814">
            <v>1.314E-4</v>
          </cell>
          <cell r="E814">
            <v>325248</v>
          </cell>
          <cell r="F814" t="str">
            <v xml:space="preserve"> </v>
          </cell>
          <cell r="G814">
            <v>50178</v>
          </cell>
          <cell r="H814">
            <v>44647</v>
          </cell>
          <cell r="I814">
            <v>86308</v>
          </cell>
          <cell r="J814">
            <v>229</v>
          </cell>
          <cell r="K814">
            <v>181362</v>
          </cell>
          <cell r="L814"/>
          <cell r="M814">
            <v>1684</v>
          </cell>
          <cell r="N814">
            <v>0</v>
          </cell>
          <cell r="O814">
            <v>6715</v>
          </cell>
          <cell r="P814">
            <v>8399</v>
          </cell>
          <cell r="Q814"/>
          <cell r="R814">
            <v>90345</v>
          </cell>
          <cell r="S814">
            <v>-3483</v>
          </cell>
          <cell r="T814">
            <v>86862</v>
          </cell>
        </row>
        <row r="815">
          <cell r="A815">
            <v>98627</v>
          </cell>
          <cell r="B815" t="str">
            <v>DOBSON ABC BD</v>
          </cell>
          <cell r="C815">
            <v>8.3000000000000002E-6</v>
          </cell>
          <cell r="D815">
            <v>8.6999999999999997E-6</v>
          </cell>
          <cell r="E815">
            <v>19690</v>
          </cell>
          <cell r="F815" t="str">
            <v xml:space="preserve"> </v>
          </cell>
          <cell r="G815">
            <v>3038</v>
          </cell>
          <cell r="H815">
            <v>2703</v>
          </cell>
          <cell r="I815">
            <v>5225</v>
          </cell>
          <cell r="J815">
            <v>206</v>
          </cell>
          <cell r="K815">
            <v>11172</v>
          </cell>
          <cell r="L815"/>
          <cell r="M815">
            <v>102</v>
          </cell>
          <cell r="N815">
            <v>0</v>
          </cell>
          <cell r="O815">
            <v>1443</v>
          </cell>
          <cell r="P815">
            <v>1545</v>
          </cell>
          <cell r="Q815"/>
          <cell r="R815">
            <v>5469</v>
          </cell>
          <cell r="S815">
            <v>-389</v>
          </cell>
          <cell r="T815">
            <v>5080</v>
          </cell>
        </row>
        <row r="816">
          <cell r="A816">
            <v>98631</v>
          </cell>
          <cell r="B816" t="str">
            <v>CITY OF MOUNT AIRY</v>
          </cell>
          <cell r="C816">
            <v>1.0238000000000001E-3</v>
          </cell>
          <cell r="D816">
            <v>1.0051999999999999E-3</v>
          </cell>
          <cell r="E816">
            <v>2428804</v>
          </cell>
          <cell r="F816" t="str">
            <v xml:space="preserve"> </v>
          </cell>
          <cell r="G816">
            <v>374707</v>
          </cell>
          <cell r="H816">
            <v>333403</v>
          </cell>
          <cell r="I816">
            <v>644511</v>
          </cell>
          <cell r="J816">
            <v>18991</v>
          </cell>
          <cell r="K816">
            <v>1371612</v>
          </cell>
          <cell r="L816"/>
          <cell r="M816">
            <v>12573</v>
          </cell>
          <cell r="N816">
            <v>0</v>
          </cell>
          <cell r="O816">
            <v>60399</v>
          </cell>
          <cell r="P816">
            <v>72972</v>
          </cell>
          <cell r="Q816"/>
          <cell r="R816">
            <v>674657</v>
          </cell>
          <cell r="S816">
            <v>-36968</v>
          </cell>
          <cell r="T816">
            <v>637689</v>
          </cell>
        </row>
        <row r="817">
          <cell r="A817">
            <v>98637</v>
          </cell>
          <cell r="B817" t="str">
            <v>MOUNT AIRY ALCOHOLIC BOARD OF CONTROL</v>
          </cell>
          <cell r="C817">
            <v>1.9000000000000001E-5</v>
          </cell>
          <cell r="D817">
            <v>2.0800000000000001E-5</v>
          </cell>
          <cell r="E817">
            <v>45074</v>
          </cell>
          <cell r="F817" t="str">
            <v xml:space="preserve"> </v>
          </cell>
          <cell r="G817">
            <v>6954</v>
          </cell>
          <cell r="H817">
            <v>6187</v>
          </cell>
          <cell r="I817">
            <v>11961</v>
          </cell>
          <cell r="J817">
            <v>9802</v>
          </cell>
          <cell r="K817">
            <v>34904</v>
          </cell>
          <cell r="L817"/>
          <cell r="M817">
            <v>233</v>
          </cell>
          <cell r="N817">
            <v>0</v>
          </cell>
          <cell r="O817">
            <v>0</v>
          </cell>
          <cell r="P817">
            <v>233</v>
          </cell>
          <cell r="Q817"/>
          <cell r="R817">
            <v>12520</v>
          </cell>
          <cell r="S817">
            <v>4352</v>
          </cell>
          <cell r="T817">
            <v>16872</v>
          </cell>
        </row>
        <row r="818">
          <cell r="A818">
            <v>98641</v>
          </cell>
          <cell r="B818" t="str">
            <v xml:space="preserve"> ELKIN</v>
          </cell>
          <cell r="C818">
            <v>2.9080000000000002E-4</v>
          </cell>
          <cell r="D818">
            <v>2.965E-4</v>
          </cell>
          <cell r="E818">
            <v>689877</v>
          </cell>
          <cell r="F818" t="str">
            <v xml:space="preserve"> </v>
          </cell>
          <cell r="G818">
            <v>106432</v>
          </cell>
          <cell r="H818">
            <v>94699</v>
          </cell>
          <cell r="I818">
            <v>183067</v>
          </cell>
          <cell r="J818">
            <v>1967</v>
          </cell>
          <cell r="K818">
            <v>386165</v>
          </cell>
          <cell r="L818"/>
          <cell r="M818">
            <v>3571</v>
          </cell>
          <cell r="N818">
            <v>0</v>
          </cell>
          <cell r="O818">
            <v>5099</v>
          </cell>
          <cell r="P818">
            <v>8670</v>
          </cell>
          <cell r="Q818"/>
          <cell r="R818">
            <v>191629</v>
          </cell>
          <cell r="S818">
            <v>68</v>
          </cell>
          <cell r="T818">
            <v>191697</v>
          </cell>
        </row>
        <row r="820">
          <cell r="A820">
            <v>98701</v>
          </cell>
          <cell r="B820" t="str">
            <v>SWAIN COUNTY</v>
          </cell>
          <cell r="C820">
            <v>1.0870000000000001E-3</v>
          </cell>
          <cell r="D820">
            <v>1.1333999999999999E-3</v>
          </cell>
          <cell r="E820">
            <v>2578736</v>
          </cell>
          <cell r="F820" t="str">
            <v xml:space="preserve"> </v>
          </cell>
          <cell r="G820">
            <v>397838</v>
          </cell>
          <cell r="H820">
            <v>353983</v>
          </cell>
          <cell r="I820">
            <v>684297</v>
          </cell>
          <cell r="J820">
            <v>2231</v>
          </cell>
          <cell r="K820">
            <v>1438349</v>
          </cell>
          <cell r="L820"/>
          <cell r="M820">
            <v>13349</v>
          </cell>
          <cell r="N820">
            <v>0</v>
          </cell>
          <cell r="O820">
            <v>78824</v>
          </cell>
          <cell r="P820">
            <v>92173</v>
          </cell>
          <cell r="Q820"/>
          <cell r="R820">
            <v>716304</v>
          </cell>
          <cell r="S820">
            <v>-35842</v>
          </cell>
          <cell r="T820">
            <v>680462</v>
          </cell>
        </row>
        <row r="821">
          <cell r="A821">
            <v>98711</v>
          </cell>
          <cell r="B821" t="str">
            <v xml:space="preserve"> BRYSON CITY</v>
          </cell>
          <cell r="C821">
            <v>1.6679999999999999E-4</v>
          </cell>
          <cell r="D821">
            <v>1.8369999999999999E-4</v>
          </cell>
          <cell r="E821">
            <v>395707</v>
          </cell>
          <cell r="F821" t="str">
            <v xml:space="preserve"> </v>
          </cell>
          <cell r="G821">
            <v>61048</v>
          </cell>
          <cell r="H821">
            <v>54318</v>
          </cell>
          <cell r="I821">
            <v>105005</v>
          </cell>
          <cell r="J821">
            <v>0</v>
          </cell>
          <cell r="K821">
            <v>220371</v>
          </cell>
          <cell r="L821"/>
          <cell r="M821">
            <v>2048</v>
          </cell>
          <cell r="N821">
            <v>0</v>
          </cell>
          <cell r="O821">
            <v>31195</v>
          </cell>
          <cell r="P821">
            <v>33243</v>
          </cell>
          <cell r="Q821"/>
          <cell r="R821">
            <v>109917</v>
          </cell>
          <cell r="S821">
            <v>-9096</v>
          </cell>
          <cell r="T821">
            <v>100821</v>
          </cell>
        </row>
        <row r="822">
          <cell r="A822">
            <v>98717</v>
          </cell>
          <cell r="B822" t="str">
            <v>BRYSON CITY ABC BOARD</v>
          </cell>
          <cell r="C822">
            <v>1.9599999999999999E-5</v>
          </cell>
          <cell r="D822">
            <v>2.1100000000000001E-5</v>
          </cell>
          <cell r="E822">
            <v>46498</v>
          </cell>
          <cell r="F822" t="str">
            <v xml:space="preserve"> </v>
          </cell>
          <cell r="G822">
            <v>7174</v>
          </cell>
          <cell r="H822">
            <v>6383</v>
          </cell>
          <cell r="I822">
            <v>12339</v>
          </cell>
          <cell r="J822">
            <v>928</v>
          </cell>
          <cell r="K822">
            <v>26824</v>
          </cell>
          <cell r="L822"/>
          <cell r="M822">
            <v>241</v>
          </cell>
          <cell r="N822">
            <v>0</v>
          </cell>
          <cell r="O822">
            <v>2000</v>
          </cell>
          <cell r="P822">
            <v>2241</v>
          </cell>
          <cell r="Q822"/>
          <cell r="R822">
            <v>12916</v>
          </cell>
          <cell r="S822">
            <v>-184</v>
          </cell>
          <cell r="T822">
            <v>12732</v>
          </cell>
        </row>
        <row r="823">
          <cell r="A823">
            <v>98801</v>
          </cell>
          <cell r="B823" t="str">
            <v>TRANSYLVANIA COUNTY</v>
          </cell>
          <cell r="C823">
            <v>2.1394999999999999E-3</v>
          </cell>
          <cell r="D823">
            <v>2.2859E-3</v>
          </cell>
          <cell r="E823">
            <v>5075626</v>
          </cell>
          <cell r="F823" t="str">
            <v xml:space="preserve"> </v>
          </cell>
          <cell r="G823">
            <v>783048</v>
          </cell>
          <cell r="H823">
            <v>696732</v>
          </cell>
          <cell r="I823">
            <v>1346875</v>
          </cell>
          <cell r="J823">
            <v>90601</v>
          </cell>
          <cell r="K823">
            <v>2917256</v>
          </cell>
          <cell r="L823"/>
          <cell r="M823">
            <v>26275</v>
          </cell>
          <cell r="N823">
            <v>0</v>
          </cell>
          <cell r="O823">
            <v>76084</v>
          </cell>
          <cell r="P823">
            <v>102359</v>
          </cell>
          <cell r="Q823"/>
          <cell r="R823">
            <v>1409873</v>
          </cell>
          <cell r="S823">
            <v>36447</v>
          </cell>
          <cell r="T823">
            <v>1446320</v>
          </cell>
        </row>
        <row r="824">
          <cell r="A824">
            <v>98811</v>
          </cell>
          <cell r="B824" t="str">
            <v>CITY OF BREVARD</v>
          </cell>
          <cell r="C824">
            <v>6.332E-4</v>
          </cell>
          <cell r="D824">
            <v>6.5160000000000001E-4</v>
          </cell>
          <cell r="E824">
            <v>1502167</v>
          </cell>
          <cell r="F824" t="str">
            <v xml:space="preserve"> </v>
          </cell>
          <cell r="G824">
            <v>231749</v>
          </cell>
          <cell r="H824">
            <v>206203</v>
          </cell>
          <cell r="I824">
            <v>398617</v>
          </cell>
          <cell r="J824">
            <v>10392</v>
          </cell>
          <cell r="K824">
            <v>846961</v>
          </cell>
          <cell r="L824"/>
          <cell r="M824">
            <v>7776</v>
          </cell>
          <cell r="N824">
            <v>0</v>
          </cell>
          <cell r="O824">
            <v>32558</v>
          </cell>
          <cell r="P824">
            <v>40334</v>
          </cell>
          <cell r="Q824"/>
          <cell r="R824">
            <v>417262</v>
          </cell>
          <cell r="S824">
            <v>1421</v>
          </cell>
          <cell r="T824">
            <v>418683</v>
          </cell>
        </row>
        <row r="825">
          <cell r="A825">
            <v>98817</v>
          </cell>
          <cell r="B825" t="str">
            <v>BREVARD ABC BOARD</v>
          </cell>
          <cell r="C825">
            <v>2.4000000000000001E-5</v>
          </cell>
          <cell r="D825">
            <v>2.5199999999999999E-5</v>
          </cell>
          <cell r="E825">
            <v>56936</v>
          </cell>
          <cell r="F825" t="str">
            <v xml:space="preserve"> </v>
          </cell>
          <cell r="G825">
            <v>8784</v>
          </cell>
          <cell r="H825">
            <v>7815</v>
          </cell>
          <cell r="I825">
            <v>15109</v>
          </cell>
          <cell r="J825">
            <v>3830</v>
          </cell>
          <cell r="K825">
            <v>35538</v>
          </cell>
          <cell r="L825"/>
          <cell r="M825">
            <v>295</v>
          </cell>
          <cell r="N825">
            <v>0</v>
          </cell>
          <cell r="O825">
            <v>0</v>
          </cell>
          <cell r="P825">
            <v>295</v>
          </cell>
          <cell r="Q825"/>
          <cell r="R825">
            <v>15815</v>
          </cell>
          <cell r="S825">
            <v>-955</v>
          </cell>
          <cell r="T825">
            <v>14860</v>
          </cell>
        </row>
        <row r="826">
          <cell r="A826">
            <v>98901</v>
          </cell>
          <cell r="B826" t="str">
            <v>TYRRELL COUNTY</v>
          </cell>
          <cell r="C826">
            <v>3.0289999999999999E-4</v>
          </cell>
          <cell r="D826">
            <v>3.5050000000000001E-4</v>
          </cell>
          <cell r="E826">
            <v>718582</v>
          </cell>
          <cell r="F826" t="str">
            <v xml:space="preserve"> </v>
          </cell>
          <cell r="G826">
            <v>110860</v>
          </cell>
          <cell r="H826">
            <v>98640</v>
          </cell>
          <cell r="I826">
            <v>190684</v>
          </cell>
          <cell r="J826">
            <v>5223</v>
          </cell>
          <cell r="K826">
            <v>405407</v>
          </cell>
          <cell r="L826"/>
          <cell r="M826">
            <v>3720</v>
          </cell>
          <cell r="N826">
            <v>0</v>
          </cell>
          <cell r="O826">
            <v>23281</v>
          </cell>
          <cell r="P826">
            <v>27001</v>
          </cell>
          <cell r="Q826"/>
          <cell r="R826">
            <v>199603</v>
          </cell>
          <cell r="S826">
            <v>-4531</v>
          </cell>
          <cell r="T826">
            <v>195072</v>
          </cell>
        </row>
        <row r="827">
          <cell r="A827">
            <v>98904</v>
          </cell>
          <cell r="B827" t="str">
            <v>TYRRELL CO ABC BOARD</v>
          </cell>
          <cell r="C827">
            <v>3.9999999999999998E-6</v>
          </cell>
          <cell r="D827">
            <v>2.7999999999999999E-6</v>
          </cell>
          <cell r="E827">
            <v>9489</v>
          </cell>
          <cell r="F827" t="str">
            <v xml:space="preserve"> </v>
          </cell>
          <cell r="G827">
            <v>1464</v>
          </cell>
          <cell r="H827">
            <v>1303</v>
          </cell>
          <cell r="I827">
            <v>2518</v>
          </cell>
          <cell r="J827">
            <v>762</v>
          </cell>
          <cell r="K827">
            <v>6047</v>
          </cell>
          <cell r="L827"/>
          <cell r="M827">
            <v>49</v>
          </cell>
          <cell r="N827">
            <v>0</v>
          </cell>
          <cell r="O827">
            <v>1361</v>
          </cell>
          <cell r="P827">
            <v>1410</v>
          </cell>
          <cell r="Q827"/>
          <cell r="R827">
            <v>2636</v>
          </cell>
          <cell r="S827">
            <v>-163</v>
          </cell>
          <cell r="T827">
            <v>2473</v>
          </cell>
        </row>
        <row r="828">
          <cell r="A828">
            <v>98911</v>
          </cell>
          <cell r="B828" t="str">
            <v xml:space="preserve"> COLUMBIA</v>
          </cell>
          <cell r="C828">
            <v>2.8900000000000001E-5</v>
          </cell>
          <cell r="D828">
            <v>2.7900000000000001E-5</v>
          </cell>
          <cell r="E828">
            <v>68561</v>
          </cell>
          <cell r="F828" t="str">
            <v xml:space="preserve"> </v>
          </cell>
          <cell r="G828">
            <v>10577</v>
          </cell>
          <cell r="H828">
            <v>9411</v>
          </cell>
          <cell r="I828">
            <v>18193</v>
          </cell>
          <cell r="J828">
            <v>12643</v>
          </cell>
          <cell r="K828">
            <v>50824</v>
          </cell>
          <cell r="L828"/>
          <cell r="M828">
            <v>355</v>
          </cell>
          <cell r="N828">
            <v>0</v>
          </cell>
          <cell r="O828">
            <v>0</v>
          </cell>
          <cell r="P828">
            <v>355</v>
          </cell>
          <cell r="Q828"/>
          <cell r="R828">
            <v>19044</v>
          </cell>
          <cell r="S828">
            <v>6908</v>
          </cell>
          <cell r="T828">
            <v>25952</v>
          </cell>
        </row>
        <row r="829">
          <cell r="A829">
            <v>99001</v>
          </cell>
          <cell r="B829" t="str">
            <v>UNION COUNTY</v>
          </cell>
          <cell r="C829">
            <v>8.2226E-3</v>
          </cell>
          <cell r="D829">
            <v>8.0949000000000004E-3</v>
          </cell>
          <cell r="E829">
            <v>19506819</v>
          </cell>
          <cell r="F829" t="str">
            <v xml:space="preserve"> </v>
          </cell>
          <cell r="G829">
            <v>3009439</v>
          </cell>
          <cell r="H829">
            <v>2677706</v>
          </cell>
          <cell r="I829">
            <v>5176357</v>
          </cell>
          <cell r="J829">
            <v>209363</v>
          </cell>
          <cell r="K829">
            <v>11072865</v>
          </cell>
          <cell r="L829"/>
          <cell r="M829">
            <v>100982</v>
          </cell>
          <cell r="N829">
            <v>0</v>
          </cell>
          <cell r="O829">
            <v>0</v>
          </cell>
          <cell r="P829">
            <v>100982</v>
          </cell>
          <cell r="Q829"/>
          <cell r="R829">
            <v>5418471</v>
          </cell>
          <cell r="S829">
            <v>195187</v>
          </cell>
          <cell r="T829">
            <v>5613658</v>
          </cell>
        </row>
        <row r="830">
          <cell r="A830">
            <v>99011</v>
          </cell>
          <cell r="B830" t="str">
            <v>CITY OF MONROE</v>
          </cell>
          <cell r="C830">
            <v>3.8665000000000001E-3</v>
          </cell>
          <cell r="D830">
            <v>3.8736999999999999E-3</v>
          </cell>
          <cell r="E830">
            <v>9172660</v>
          </cell>
          <cell r="F830" t="str">
            <v xml:space="preserve"> </v>
          </cell>
          <cell r="G830">
            <v>1415124</v>
          </cell>
          <cell r="H830">
            <v>1259134</v>
          </cell>
          <cell r="I830">
            <v>2434070</v>
          </cell>
          <cell r="J830">
            <v>838</v>
          </cell>
          <cell r="K830">
            <v>5109166</v>
          </cell>
          <cell r="L830"/>
          <cell r="M830">
            <v>47484</v>
          </cell>
          <cell r="N830">
            <v>0</v>
          </cell>
          <cell r="O830">
            <v>184222</v>
          </cell>
          <cell r="P830">
            <v>231706</v>
          </cell>
          <cell r="Q830"/>
          <cell r="R830">
            <v>2547919</v>
          </cell>
          <cell r="S830">
            <v>-211857</v>
          </cell>
          <cell r="T830">
            <v>2336062</v>
          </cell>
        </row>
        <row r="831">
          <cell r="A831">
            <v>99013</v>
          </cell>
          <cell r="B831" t="str">
            <v>CITY OF MONROE HOUSING AUTHORITY</v>
          </cell>
          <cell r="C831">
            <v>4.8900000000000003E-5</v>
          </cell>
          <cell r="D831">
            <v>5.5999999999999999E-5</v>
          </cell>
          <cell r="E831">
            <v>116008</v>
          </cell>
          <cell r="F831" t="str">
            <v xml:space="preserve"> </v>
          </cell>
          <cell r="G831">
            <v>17897</v>
          </cell>
          <cell r="H831">
            <v>15924</v>
          </cell>
          <cell r="I831">
            <v>30784</v>
          </cell>
          <cell r="J831">
            <v>0</v>
          </cell>
          <cell r="K831">
            <v>64605</v>
          </cell>
          <cell r="L831"/>
          <cell r="M831">
            <v>601</v>
          </cell>
          <cell r="N831">
            <v>0</v>
          </cell>
          <cell r="O831">
            <v>6685</v>
          </cell>
          <cell r="P831">
            <v>7286</v>
          </cell>
          <cell r="Q831"/>
          <cell r="R831">
            <v>32224</v>
          </cell>
          <cell r="S831">
            <v>-3150</v>
          </cell>
          <cell r="T831">
            <v>29074</v>
          </cell>
        </row>
        <row r="832">
          <cell r="A832">
            <v>99014</v>
          </cell>
          <cell r="B832" t="str">
            <v>INDIAN TRAIL ABC BOARD</v>
          </cell>
          <cell r="C832">
            <v>1.45E-5</v>
          </cell>
          <cell r="D832">
            <v>2.0100000000000001E-5</v>
          </cell>
          <cell r="E832">
            <v>34399</v>
          </cell>
          <cell r="F832" t="str">
            <v xml:space="preserve"> </v>
          </cell>
          <cell r="G832">
            <v>5307</v>
          </cell>
          <cell r="H832">
            <v>4722</v>
          </cell>
          <cell r="I832">
            <v>9128</v>
          </cell>
          <cell r="J832">
            <v>8368</v>
          </cell>
          <cell r="K832">
            <v>27525</v>
          </cell>
          <cell r="L832"/>
          <cell r="M832">
            <v>178</v>
          </cell>
          <cell r="N832">
            <v>0</v>
          </cell>
          <cell r="O832">
            <v>225</v>
          </cell>
          <cell r="P832">
            <v>403</v>
          </cell>
          <cell r="Q832"/>
          <cell r="R832">
            <v>9555</v>
          </cell>
          <cell r="S832">
            <v>4279</v>
          </cell>
          <cell r="T832">
            <v>13834</v>
          </cell>
        </row>
        <row r="833">
          <cell r="A833">
            <v>99017</v>
          </cell>
          <cell r="B833" t="str">
            <v>MONROE ABC BOARD</v>
          </cell>
          <cell r="C833">
            <v>4.5599999999999997E-5</v>
          </cell>
          <cell r="D833">
            <v>5.13E-5</v>
          </cell>
          <cell r="E833">
            <v>108179</v>
          </cell>
          <cell r="F833" t="str">
            <v xml:space="preserve"> </v>
          </cell>
          <cell r="G833">
            <v>16689</v>
          </cell>
          <cell r="H833">
            <v>14849</v>
          </cell>
          <cell r="I833">
            <v>28706</v>
          </cell>
          <cell r="J833">
            <v>5362</v>
          </cell>
          <cell r="K833">
            <v>65606</v>
          </cell>
          <cell r="L833"/>
          <cell r="M833">
            <v>560</v>
          </cell>
          <cell r="N833">
            <v>0</v>
          </cell>
          <cell r="O833">
            <v>3293</v>
          </cell>
          <cell r="P833">
            <v>3853</v>
          </cell>
          <cell r="Q833"/>
          <cell r="R833">
            <v>30049</v>
          </cell>
          <cell r="S833">
            <v>-1419</v>
          </cell>
          <cell r="T833">
            <v>28630</v>
          </cell>
        </row>
        <row r="834">
          <cell r="A834">
            <v>99021</v>
          </cell>
          <cell r="B834" t="str">
            <v xml:space="preserve"> MARSHVILLE</v>
          </cell>
          <cell r="C834">
            <v>1.3200000000000001E-4</v>
          </cell>
          <cell r="D834">
            <v>1.5249999999999999E-4</v>
          </cell>
          <cell r="E834">
            <v>313149</v>
          </cell>
          <cell r="F834" t="str">
            <v xml:space="preserve"> </v>
          </cell>
          <cell r="G834">
            <v>48311</v>
          </cell>
          <cell r="H834">
            <v>42986</v>
          </cell>
          <cell r="I834">
            <v>83098</v>
          </cell>
          <cell r="J834">
            <v>7338</v>
          </cell>
          <cell r="K834">
            <v>181733</v>
          </cell>
          <cell r="L834"/>
          <cell r="M834">
            <v>1621</v>
          </cell>
          <cell r="N834">
            <v>0</v>
          </cell>
          <cell r="O834">
            <v>13687</v>
          </cell>
          <cell r="P834">
            <v>15308</v>
          </cell>
          <cell r="Q834"/>
          <cell r="R834">
            <v>86984</v>
          </cell>
          <cell r="S834">
            <v>669</v>
          </cell>
          <cell r="T834">
            <v>87653</v>
          </cell>
        </row>
        <row r="835">
          <cell r="A835">
            <v>99022</v>
          </cell>
          <cell r="B835" t="str">
            <v xml:space="preserve"> MINERAL SPRINGS</v>
          </cell>
          <cell r="C835">
            <v>9.9000000000000001E-6</v>
          </cell>
          <cell r="D835">
            <v>1.08E-5</v>
          </cell>
          <cell r="E835">
            <v>23486</v>
          </cell>
          <cell r="F835" t="str">
            <v xml:space="preserve"> </v>
          </cell>
          <cell r="G835">
            <v>3623</v>
          </cell>
          <cell r="H835">
            <v>3224</v>
          </cell>
          <cell r="I835">
            <v>6232</v>
          </cell>
          <cell r="J835">
            <v>10975</v>
          </cell>
          <cell r="K835">
            <v>24054</v>
          </cell>
          <cell r="L835"/>
          <cell r="M835">
            <v>122</v>
          </cell>
          <cell r="N835">
            <v>0</v>
          </cell>
          <cell r="O835">
            <v>0</v>
          </cell>
          <cell r="P835">
            <v>122</v>
          </cell>
          <cell r="Q835"/>
          <cell r="R835">
            <v>6524</v>
          </cell>
          <cell r="S835">
            <v>4162</v>
          </cell>
          <cell r="T835">
            <v>10686</v>
          </cell>
        </row>
        <row r="836">
          <cell r="A836">
            <v>99031</v>
          </cell>
          <cell r="B836" t="str">
            <v xml:space="preserve"> WINGATE</v>
          </cell>
          <cell r="C836">
            <v>1.3669999999999999E-4</v>
          </cell>
          <cell r="D836">
            <v>1.518E-4</v>
          </cell>
          <cell r="E836">
            <v>324299</v>
          </cell>
          <cell r="F836" t="str">
            <v xml:space="preserve"> </v>
          </cell>
          <cell r="G836">
            <v>50032</v>
          </cell>
          <cell r="H836">
            <v>44516</v>
          </cell>
          <cell r="I836">
            <v>86056</v>
          </cell>
          <cell r="J836">
            <v>1850</v>
          </cell>
          <cell r="K836">
            <v>182454</v>
          </cell>
          <cell r="L836"/>
          <cell r="M836">
            <v>1679</v>
          </cell>
          <cell r="N836">
            <v>0</v>
          </cell>
          <cell r="O836">
            <v>27900</v>
          </cell>
          <cell r="P836">
            <v>29579</v>
          </cell>
          <cell r="Q836"/>
          <cell r="R836">
            <v>90082</v>
          </cell>
          <cell r="S836">
            <v>-15810</v>
          </cell>
          <cell r="T836">
            <v>74272</v>
          </cell>
        </row>
        <row r="837">
          <cell r="A837">
            <v>99041</v>
          </cell>
          <cell r="B837" t="str">
            <v xml:space="preserve"> WAXHAW</v>
          </cell>
          <cell r="C837">
            <v>6.6399999999999999E-4</v>
          </cell>
          <cell r="D837">
            <v>6.3500000000000004E-4</v>
          </cell>
          <cell r="E837">
            <v>1575235</v>
          </cell>
          <cell r="F837" t="str">
            <v xml:space="preserve"> </v>
          </cell>
          <cell r="G837">
            <v>243021</v>
          </cell>
          <cell r="H837">
            <v>216233</v>
          </cell>
          <cell r="I837">
            <v>418007</v>
          </cell>
          <cell r="J837">
            <v>24066</v>
          </cell>
          <cell r="K837">
            <v>901327</v>
          </cell>
          <cell r="L837"/>
          <cell r="M837">
            <v>8155</v>
          </cell>
          <cell r="N837">
            <v>0</v>
          </cell>
          <cell r="O837">
            <v>13122</v>
          </cell>
          <cell r="P837">
            <v>21277</v>
          </cell>
          <cell r="Q837"/>
          <cell r="R837">
            <v>437558</v>
          </cell>
          <cell r="S837">
            <v>25573</v>
          </cell>
          <cell r="T837">
            <v>463131</v>
          </cell>
        </row>
        <row r="838">
          <cell r="A838">
            <v>99047</v>
          </cell>
          <cell r="B838" t="str">
            <v>WAXHAW ABC BOARD</v>
          </cell>
          <cell r="C838">
            <v>1.56E-5</v>
          </cell>
          <cell r="D838">
            <v>1.42E-5</v>
          </cell>
          <cell r="E838">
            <v>37009</v>
          </cell>
          <cell r="F838" t="str">
            <v xml:space="preserve"> </v>
          </cell>
          <cell r="G838">
            <v>5710</v>
          </cell>
          <cell r="H838">
            <v>5080</v>
          </cell>
          <cell r="I838">
            <v>9821</v>
          </cell>
          <cell r="J838">
            <v>6776</v>
          </cell>
          <cell r="K838">
            <v>27387</v>
          </cell>
          <cell r="L838"/>
          <cell r="M838">
            <v>192</v>
          </cell>
          <cell r="N838">
            <v>0</v>
          </cell>
          <cell r="O838">
            <v>0</v>
          </cell>
          <cell r="P838">
            <v>192</v>
          </cell>
          <cell r="Q838"/>
          <cell r="R838">
            <v>10280</v>
          </cell>
          <cell r="S838">
            <v>3015</v>
          </cell>
          <cell r="T838">
            <v>13295</v>
          </cell>
        </row>
        <row r="839">
          <cell r="A839">
            <v>99051</v>
          </cell>
          <cell r="B839" t="str">
            <v xml:space="preserve"> INDIAN TRAIL</v>
          </cell>
          <cell r="C839">
            <v>3.5330000000000002E-4</v>
          </cell>
          <cell r="D839">
            <v>3.5359999999999998E-4</v>
          </cell>
          <cell r="E839">
            <v>838148</v>
          </cell>
          <cell r="F839" t="str">
            <v xml:space="preserve"> </v>
          </cell>
          <cell r="G839">
            <v>129306</v>
          </cell>
          <cell r="H839">
            <v>115053</v>
          </cell>
          <cell r="I839">
            <v>222412</v>
          </cell>
          <cell r="J839">
            <v>6035</v>
          </cell>
          <cell r="K839">
            <v>472806</v>
          </cell>
          <cell r="L839"/>
          <cell r="M839">
            <v>4339</v>
          </cell>
          <cell r="N839">
            <v>0</v>
          </cell>
          <cell r="O839">
            <v>13404</v>
          </cell>
          <cell r="P839">
            <v>17743</v>
          </cell>
          <cell r="Q839"/>
          <cell r="R839">
            <v>232815</v>
          </cell>
          <cell r="S839">
            <v>1887</v>
          </cell>
          <cell r="T839">
            <v>234702</v>
          </cell>
        </row>
        <row r="840">
          <cell r="A840">
            <v>99061</v>
          </cell>
          <cell r="B840" t="str">
            <v xml:space="preserve"> UNIONVILLE</v>
          </cell>
          <cell r="C840">
            <v>7.5000000000000002E-6</v>
          </cell>
          <cell r="D840">
            <v>8.1000000000000004E-6</v>
          </cell>
          <cell r="E840">
            <v>17793</v>
          </cell>
          <cell r="F840" t="str">
            <v xml:space="preserve"> </v>
          </cell>
          <cell r="G840">
            <v>2745</v>
          </cell>
          <cell r="H840">
            <v>2443</v>
          </cell>
          <cell r="I840">
            <v>4721</v>
          </cell>
          <cell r="J840">
            <v>7969</v>
          </cell>
          <cell r="K840">
            <v>17878</v>
          </cell>
          <cell r="L840"/>
          <cell r="M840">
            <v>92</v>
          </cell>
          <cell r="N840">
            <v>0</v>
          </cell>
          <cell r="O840">
            <v>0</v>
          </cell>
          <cell r="P840">
            <v>92</v>
          </cell>
          <cell r="Q840"/>
          <cell r="R840">
            <v>4942</v>
          </cell>
          <cell r="S840">
            <v>3513</v>
          </cell>
          <cell r="T840">
            <v>8455</v>
          </cell>
        </row>
        <row r="841">
          <cell r="A841">
            <v>99071</v>
          </cell>
          <cell r="B841" t="str">
            <v xml:space="preserve"> WEDDINGTON</v>
          </cell>
          <cell r="C841">
            <v>2.2799999999999999E-5</v>
          </cell>
          <cell r="D841">
            <v>3.04E-5</v>
          </cell>
          <cell r="E841">
            <v>54089</v>
          </cell>
          <cell r="F841" t="str">
            <v xml:space="preserve"> </v>
          </cell>
          <cell r="G841">
            <v>8345</v>
          </cell>
          <cell r="H841">
            <v>7425</v>
          </cell>
          <cell r="I841">
            <v>14353</v>
          </cell>
          <cell r="J841">
            <v>614</v>
          </cell>
          <cell r="K841">
            <v>30737</v>
          </cell>
          <cell r="L841"/>
          <cell r="M841">
            <v>280</v>
          </cell>
          <cell r="N841">
            <v>0</v>
          </cell>
          <cell r="O841">
            <v>4179</v>
          </cell>
          <cell r="P841">
            <v>4459</v>
          </cell>
          <cell r="Q841"/>
          <cell r="R841">
            <v>15025</v>
          </cell>
          <cell r="S841">
            <v>-1950</v>
          </cell>
          <cell r="T841">
            <v>13075</v>
          </cell>
        </row>
        <row r="842">
          <cell r="A842">
            <v>99081</v>
          </cell>
          <cell r="B842" t="str">
            <v xml:space="preserve"> MARVIN</v>
          </cell>
          <cell r="C842">
            <v>1.4600000000000001E-5</v>
          </cell>
          <cell r="D842">
            <v>1.1E-5</v>
          </cell>
          <cell r="E842">
            <v>34636</v>
          </cell>
          <cell r="F842" t="str">
            <v xml:space="preserve"> </v>
          </cell>
          <cell r="G842">
            <v>5344</v>
          </cell>
          <cell r="H842">
            <v>4755</v>
          </cell>
          <cell r="I842">
            <v>9191</v>
          </cell>
          <cell r="J842">
            <v>5866</v>
          </cell>
          <cell r="K842">
            <v>25156</v>
          </cell>
          <cell r="L842"/>
          <cell r="M842">
            <v>179</v>
          </cell>
          <cell r="N842">
            <v>0</v>
          </cell>
          <cell r="O842">
            <v>8362</v>
          </cell>
          <cell r="P842">
            <v>8541</v>
          </cell>
          <cell r="Q842"/>
          <cell r="R842">
            <v>9621</v>
          </cell>
          <cell r="S842">
            <v>-1818</v>
          </cell>
          <cell r="T842">
            <v>7803</v>
          </cell>
        </row>
        <row r="843">
          <cell r="A843">
            <v>99091</v>
          </cell>
          <cell r="B843" t="str">
            <v xml:space="preserve"> WESLEY CHAPEL</v>
          </cell>
          <cell r="C843">
            <v>3.4999999999999999E-6</v>
          </cell>
          <cell r="D843">
            <v>3.9999999999999998E-6</v>
          </cell>
          <cell r="E843">
            <v>8303</v>
          </cell>
          <cell r="F843" t="str">
            <v xml:space="preserve"> </v>
          </cell>
          <cell r="G843">
            <v>1281</v>
          </cell>
          <cell r="H843">
            <v>1140</v>
          </cell>
          <cell r="I843">
            <v>2203</v>
          </cell>
          <cell r="J843">
            <v>5036</v>
          </cell>
          <cell r="K843">
            <v>9660</v>
          </cell>
          <cell r="L843"/>
          <cell r="M843">
            <v>43</v>
          </cell>
          <cell r="N843">
            <v>0</v>
          </cell>
          <cell r="O843">
            <v>0</v>
          </cell>
          <cell r="P843">
            <v>43</v>
          </cell>
          <cell r="Q843"/>
          <cell r="R843">
            <v>2306</v>
          </cell>
          <cell r="S843">
            <v>-1327</v>
          </cell>
          <cell r="T843">
            <v>979</v>
          </cell>
        </row>
        <row r="844">
          <cell r="A844">
            <v>99101</v>
          </cell>
          <cell r="B844" t="str">
            <v>VANCE COUNTY</v>
          </cell>
          <cell r="C844">
            <v>2.1986000000000002E-3</v>
          </cell>
          <cell r="D844">
            <v>2.1724000000000001E-3</v>
          </cell>
          <cell r="E844">
            <v>5215831</v>
          </cell>
          <cell r="F844" t="str">
            <v xml:space="preserve"> </v>
          </cell>
          <cell r="G844">
            <v>804679</v>
          </cell>
          <cell r="H844">
            <v>715979</v>
          </cell>
          <cell r="I844">
            <v>1384080</v>
          </cell>
          <cell r="J844">
            <v>34730</v>
          </cell>
          <cell r="K844">
            <v>2939468</v>
          </cell>
          <cell r="L844"/>
          <cell r="M844">
            <v>27001</v>
          </cell>
          <cell r="N844">
            <v>0</v>
          </cell>
          <cell r="O844">
            <v>54085</v>
          </cell>
          <cell r="P844">
            <v>81086</v>
          </cell>
          <cell r="Q844"/>
          <cell r="R844">
            <v>1448818</v>
          </cell>
          <cell r="S844">
            <v>-23157</v>
          </cell>
          <cell r="T844">
            <v>1425661</v>
          </cell>
        </row>
        <row r="845">
          <cell r="A845">
            <v>99104</v>
          </cell>
          <cell r="B845" t="str">
            <v>VANCE COUNTY ABC BD</v>
          </cell>
          <cell r="C845">
            <v>3.4E-5</v>
          </cell>
          <cell r="D845">
            <v>3.3500000000000001E-5</v>
          </cell>
          <cell r="E845">
            <v>80660</v>
          </cell>
          <cell r="F845" t="str">
            <v xml:space="preserve"> </v>
          </cell>
          <cell r="G845">
            <v>12444</v>
          </cell>
          <cell r="H845">
            <v>11072</v>
          </cell>
          <cell r="I845">
            <v>21404</v>
          </cell>
          <cell r="J845">
            <v>16545</v>
          </cell>
          <cell r="K845">
            <v>61465</v>
          </cell>
          <cell r="L845"/>
          <cell r="M845">
            <v>418</v>
          </cell>
          <cell r="N845">
            <v>0</v>
          </cell>
          <cell r="O845">
            <v>0</v>
          </cell>
          <cell r="P845">
            <v>418</v>
          </cell>
          <cell r="Q845"/>
          <cell r="R845">
            <v>22405</v>
          </cell>
          <cell r="S845">
            <v>8025</v>
          </cell>
          <cell r="T845">
            <v>30430</v>
          </cell>
        </row>
        <row r="846">
          <cell r="A846">
            <v>99109</v>
          </cell>
          <cell r="B846" t="str">
            <v>KERR-TAR REGIONAL COUNCIL OF GOVTS</v>
          </cell>
          <cell r="C846">
            <v>1.194E-4</v>
          </cell>
          <cell r="D846">
            <v>1.2339999999999999E-4</v>
          </cell>
          <cell r="E846">
            <v>283258</v>
          </cell>
          <cell r="F846" t="str">
            <v xml:space="preserve"> </v>
          </cell>
          <cell r="G846">
            <v>43700</v>
          </cell>
          <cell r="H846">
            <v>38883</v>
          </cell>
          <cell r="I846">
            <v>75166</v>
          </cell>
          <cell r="J846">
            <v>3815</v>
          </cell>
          <cell r="K846">
            <v>161564</v>
          </cell>
          <cell r="L846"/>
          <cell r="M846">
            <v>1466</v>
          </cell>
          <cell r="N846">
            <v>0</v>
          </cell>
          <cell r="O846">
            <v>8952</v>
          </cell>
          <cell r="P846">
            <v>10418</v>
          </cell>
          <cell r="Q846"/>
          <cell r="R846">
            <v>78681</v>
          </cell>
          <cell r="S846">
            <v>-6025</v>
          </cell>
          <cell r="T846">
            <v>72656</v>
          </cell>
        </row>
        <row r="847">
          <cell r="A847">
            <v>99110</v>
          </cell>
          <cell r="B847" t="str">
            <v>KERR AREA TRANSPORTATION AUTHORITY</v>
          </cell>
          <cell r="C847">
            <v>1.75E-4</v>
          </cell>
          <cell r="D847">
            <v>1.7670000000000001E-4</v>
          </cell>
          <cell r="E847">
            <v>415160</v>
          </cell>
          <cell r="F847" t="str">
            <v xml:space="preserve"> </v>
          </cell>
          <cell r="G847">
            <v>64049</v>
          </cell>
          <cell r="H847">
            <v>56989</v>
          </cell>
          <cell r="I847">
            <v>110167</v>
          </cell>
          <cell r="J847">
            <v>70943</v>
          </cell>
          <cell r="K847">
            <v>302148</v>
          </cell>
          <cell r="L847"/>
          <cell r="M847">
            <v>2149</v>
          </cell>
          <cell r="N847">
            <v>0</v>
          </cell>
          <cell r="O847">
            <v>0</v>
          </cell>
          <cell r="P847">
            <v>2149</v>
          </cell>
          <cell r="Q847"/>
          <cell r="R847">
            <v>115320</v>
          </cell>
          <cell r="S847">
            <v>34935</v>
          </cell>
          <cell r="T847">
            <v>150255</v>
          </cell>
        </row>
        <row r="848">
          <cell r="A848">
            <v>99111</v>
          </cell>
          <cell r="B848" t="str">
            <v>CITY OF HENDERSON</v>
          </cell>
          <cell r="C848">
            <v>1.3067E-3</v>
          </cell>
          <cell r="D848">
            <v>1.2618E-3</v>
          </cell>
          <cell r="E848">
            <v>3099939</v>
          </cell>
          <cell r="F848" t="str">
            <v xml:space="preserve"> </v>
          </cell>
          <cell r="G848">
            <v>478247</v>
          </cell>
          <cell r="H848">
            <v>425529</v>
          </cell>
          <cell r="I848">
            <v>822604</v>
          </cell>
          <cell r="J848">
            <v>0</v>
          </cell>
          <cell r="K848">
            <v>1726380</v>
          </cell>
          <cell r="L848"/>
          <cell r="M848">
            <v>16048</v>
          </cell>
          <cell r="N848">
            <v>0</v>
          </cell>
          <cell r="O848">
            <v>85364</v>
          </cell>
          <cell r="P848">
            <v>101412</v>
          </cell>
          <cell r="Q848"/>
          <cell r="R848">
            <v>861080</v>
          </cell>
          <cell r="S848">
            <v>-70799</v>
          </cell>
          <cell r="T848">
            <v>790281</v>
          </cell>
        </row>
        <row r="849">
          <cell r="A849">
            <v>99201</v>
          </cell>
          <cell r="B849" t="str">
            <v>WAKE COUNTY</v>
          </cell>
          <cell r="C849">
            <v>3.4217999999999998E-2</v>
          </cell>
          <cell r="D849">
            <v>3.3297199999999999E-2</v>
          </cell>
          <cell r="E849">
            <v>81176799</v>
          </cell>
          <cell r="F849" t="str">
            <v xml:space="preserve"> </v>
          </cell>
          <cell r="G849">
            <v>12523651</v>
          </cell>
          <cell r="H849">
            <v>11143160</v>
          </cell>
          <cell r="I849">
            <v>21541189</v>
          </cell>
          <cell r="J849">
            <v>1400637</v>
          </cell>
          <cell r="K849">
            <v>46608637</v>
          </cell>
          <cell r="L849"/>
          <cell r="M849">
            <v>420231</v>
          </cell>
          <cell r="N849">
            <v>0</v>
          </cell>
          <cell r="O849">
            <v>0</v>
          </cell>
          <cell r="P849">
            <v>420231</v>
          </cell>
          <cell r="Q849"/>
          <cell r="R849">
            <v>22548738</v>
          </cell>
          <cell r="S849">
            <v>386921</v>
          </cell>
          <cell r="T849">
            <v>22935659</v>
          </cell>
        </row>
        <row r="850">
          <cell r="A850">
            <v>99202</v>
          </cell>
          <cell r="B850" t="str">
            <v xml:space="preserve"> HOLLY SPRINGS</v>
          </cell>
          <cell r="C850">
            <v>2.7011000000000001E-3</v>
          </cell>
          <cell r="D850">
            <v>2.5855000000000001E-3</v>
          </cell>
          <cell r="E850">
            <v>6407933</v>
          </cell>
          <cell r="F850" t="str">
            <v xml:space="preserve"> </v>
          </cell>
          <cell r="G850">
            <v>988592</v>
          </cell>
          <cell r="H850">
            <v>879618</v>
          </cell>
          <cell r="I850">
            <v>1700418</v>
          </cell>
          <cell r="J850">
            <v>0</v>
          </cell>
          <cell r="K850">
            <v>3568628</v>
          </cell>
          <cell r="L850"/>
          <cell r="M850">
            <v>33172</v>
          </cell>
          <cell r="N850">
            <v>0</v>
          </cell>
          <cell r="O850">
            <v>120022</v>
          </cell>
          <cell r="P850">
            <v>153194</v>
          </cell>
          <cell r="Q850"/>
          <cell r="R850">
            <v>1779952</v>
          </cell>
          <cell r="S850">
            <v>-75166</v>
          </cell>
          <cell r="T850">
            <v>1704786</v>
          </cell>
        </row>
        <row r="851">
          <cell r="A851">
            <v>99203</v>
          </cell>
          <cell r="B851" t="str">
            <v xml:space="preserve"> ROLESVILLE</v>
          </cell>
          <cell r="C851">
            <v>2.9760000000000002E-4</v>
          </cell>
          <cell r="D851">
            <v>3.0410000000000002E-4</v>
          </cell>
          <cell r="E851">
            <v>706009</v>
          </cell>
          <cell r="F851" t="str">
            <v xml:space="preserve"> </v>
          </cell>
          <cell r="G851">
            <v>108920</v>
          </cell>
          <cell r="H851">
            <v>96914</v>
          </cell>
          <cell r="I851">
            <v>187348</v>
          </cell>
          <cell r="J851">
            <v>8157</v>
          </cell>
          <cell r="K851">
            <v>401339</v>
          </cell>
          <cell r="L851"/>
          <cell r="M851">
            <v>3655</v>
          </cell>
          <cell r="N851">
            <v>0</v>
          </cell>
          <cell r="O851">
            <v>26201</v>
          </cell>
          <cell r="P851">
            <v>29856</v>
          </cell>
          <cell r="Q851"/>
          <cell r="R851">
            <v>196110</v>
          </cell>
          <cell r="S851">
            <v>8430</v>
          </cell>
          <cell r="T851">
            <v>204540</v>
          </cell>
        </row>
        <row r="852">
          <cell r="A852">
            <v>99204</v>
          </cell>
          <cell r="B852" t="str">
            <v>WAKE COUNTY ABC BOARD</v>
          </cell>
          <cell r="C852">
            <v>9.2520000000000005E-4</v>
          </cell>
          <cell r="D852">
            <v>8.3549999999999998E-4</v>
          </cell>
          <cell r="E852">
            <v>2194891</v>
          </cell>
          <cell r="F852" t="str">
            <v xml:space="preserve"> </v>
          </cell>
          <cell r="G852">
            <v>338619</v>
          </cell>
          <cell r="H852">
            <v>301293</v>
          </cell>
          <cell r="I852">
            <v>582439</v>
          </cell>
          <cell r="J852">
            <v>126160</v>
          </cell>
          <cell r="K852">
            <v>1348511</v>
          </cell>
          <cell r="L852"/>
          <cell r="M852">
            <v>11362</v>
          </cell>
          <cell r="N852">
            <v>0</v>
          </cell>
          <cell r="O852">
            <v>0</v>
          </cell>
          <cell r="P852">
            <v>11362</v>
          </cell>
          <cell r="Q852"/>
          <cell r="R852">
            <v>609682</v>
          </cell>
          <cell r="S852">
            <v>51409</v>
          </cell>
          <cell r="T852">
            <v>661091</v>
          </cell>
        </row>
        <row r="853">
          <cell r="A853">
            <v>99206</v>
          </cell>
          <cell r="B853" t="str">
            <v xml:space="preserve"> MORRISVILLE</v>
          </cell>
          <cell r="C853">
            <v>1.7377E-3</v>
          </cell>
          <cell r="D853">
            <v>1.6957999999999999E-3</v>
          </cell>
          <cell r="E853">
            <v>4122419</v>
          </cell>
          <cell r="F853" t="str">
            <v xml:space="preserve"> </v>
          </cell>
          <cell r="G853">
            <v>635991</v>
          </cell>
          <cell r="H853">
            <v>565885</v>
          </cell>
          <cell r="I853">
            <v>1093931</v>
          </cell>
          <cell r="J853">
            <v>840347</v>
          </cell>
          <cell r="K853">
            <v>3136154</v>
          </cell>
          <cell r="L853"/>
          <cell r="M853">
            <v>21341</v>
          </cell>
          <cell r="N853">
            <v>0</v>
          </cell>
          <cell r="O853">
            <v>0</v>
          </cell>
          <cell r="P853">
            <v>21341</v>
          </cell>
          <cell r="Q853"/>
          <cell r="R853">
            <v>1145097</v>
          </cell>
          <cell r="S853">
            <v>312871</v>
          </cell>
          <cell r="T853">
            <v>1457968</v>
          </cell>
        </row>
        <row r="854">
          <cell r="A854">
            <v>99207</v>
          </cell>
          <cell r="B854" t="str">
            <v>WAKE COUNTY HOUSING AUTHORITY</v>
          </cell>
          <cell r="C854">
            <v>1.3990000000000001E-4</v>
          </cell>
          <cell r="D854">
            <v>1.3329999999999999E-4</v>
          </cell>
          <cell r="E854">
            <v>331891</v>
          </cell>
          <cell r="F854" t="str">
            <v xml:space="preserve"> </v>
          </cell>
          <cell r="G854">
            <v>51203</v>
          </cell>
          <cell r="H854">
            <v>45559</v>
          </cell>
          <cell r="I854">
            <v>88071</v>
          </cell>
          <cell r="J854">
            <v>190835</v>
          </cell>
          <cell r="K854">
            <v>375668</v>
          </cell>
          <cell r="L854"/>
          <cell r="M854">
            <v>1718</v>
          </cell>
          <cell r="N854">
            <v>0</v>
          </cell>
          <cell r="O854">
            <v>0</v>
          </cell>
          <cell r="P854">
            <v>1718</v>
          </cell>
          <cell r="Q854"/>
          <cell r="R854">
            <v>92190</v>
          </cell>
          <cell r="S854">
            <v>69872</v>
          </cell>
          <cell r="T854">
            <v>162062</v>
          </cell>
        </row>
        <row r="855">
          <cell r="A855">
            <v>99208</v>
          </cell>
          <cell r="B855" t="str">
            <v>BAYLEAF FIRE DEPARTMENT</v>
          </cell>
          <cell r="C855">
            <v>2.3560000000000001E-4</v>
          </cell>
          <cell r="D855">
            <v>1.4569999999999999E-4</v>
          </cell>
          <cell r="E855">
            <v>558924</v>
          </cell>
          <cell r="F855" t="str">
            <v xml:space="preserve"> </v>
          </cell>
          <cell r="G855">
            <v>86229</v>
          </cell>
          <cell r="H855">
            <v>76723</v>
          </cell>
          <cell r="I855">
            <v>148317</v>
          </cell>
          <cell r="J855">
            <v>50056</v>
          </cell>
          <cell r="K855">
            <v>361325</v>
          </cell>
          <cell r="L855"/>
          <cell r="M855">
            <v>2893</v>
          </cell>
          <cell r="N855">
            <v>0</v>
          </cell>
          <cell r="O855">
            <v>18070</v>
          </cell>
          <cell r="P855">
            <v>20963</v>
          </cell>
          <cell r="Q855"/>
          <cell r="R855">
            <v>155254</v>
          </cell>
          <cell r="S855">
            <v>-7938</v>
          </cell>
          <cell r="T855">
            <v>147316</v>
          </cell>
        </row>
        <row r="856">
          <cell r="A856">
            <v>99210</v>
          </cell>
          <cell r="B856" t="str">
            <v>ELECTRICITIES OF NC</v>
          </cell>
          <cell r="C856">
            <v>1.6613000000000001E-3</v>
          </cell>
          <cell r="D856">
            <v>1.5943999999999999E-3</v>
          </cell>
          <cell r="E856">
            <v>3941172</v>
          </cell>
          <cell r="F856" t="str">
            <v xml:space="preserve"> </v>
          </cell>
          <cell r="G856">
            <v>608029</v>
          </cell>
          <cell r="H856">
            <v>541006</v>
          </cell>
          <cell r="I856">
            <v>1045835</v>
          </cell>
          <cell r="J856">
            <v>151956</v>
          </cell>
          <cell r="K856">
            <v>2346826</v>
          </cell>
          <cell r="L856"/>
          <cell r="M856">
            <v>20402</v>
          </cell>
          <cell r="N856">
            <v>0</v>
          </cell>
          <cell r="O856">
            <v>0</v>
          </cell>
          <cell r="P856">
            <v>20402</v>
          </cell>
          <cell r="Q856"/>
          <cell r="R856">
            <v>1094752</v>
          </cell>
          <cell r="S856">
            <v>62014</v>
          </cell>
          <cell r="T856">
            <v>1156766</v>
          </cell>
        </row>
        <row r="857">
          <cell r="A857">
            <v>99211</v>
          </cell>
          <cell r="B857" t="str">
            <v>CITY OF RALEIGH</v>
          </cell>
          <cell r="C857">
            <v>3.8652899999999997E-2</v>
          </cell>
          <cell r="D857">
            <v>3.7100599999999997E-2</v>
          </cell>
          <cell r="E857">
            <v>91697898</v>
          </cell>
          <cell r="F857" t="str">
            <v xml:space="preserve"> </v>
          </cell>
          <cell r="G857">
            <v>14146807</v>
          </cell>
          <cell r="H857">
            <v>12587395</v>
          </cell>
          <cell r="I857">
            <v>24333083</v>
          </cell>
          <cell r="J857">
            <v>650029</v>
          </cell>
          <cell r="K857">
            <v>51717314</v>
          </cell>
          <cell r="L857"/>
          <cell r="M857">
            <v>474696</v>
          </cell>
          <cell r="N857">
            <v>0</v>
          </cell>
          <cell r="O857">
            <v>1116278</v>
          </cell>
          <cell r="P857">
            <v>1590974</v>
          </cell>
          <cell r="Q857"/>
          <cell r="R857">
            <v>25471217</v>
          </cell>
          <cell r="S857">
            <v>-560159</v>
          </cell>
          <cell r="T857">
            <v>24911058</v>
          </cell>
        </row>
        <row r="858">
          <cell r="A858">
            <v>99212</v>
          </cell>
          <cell r="B858" t="str">
            <v>DURHAM HWY FIRE PROTECTION ASSOC</v>
          </cell>
          <cell r="C858">
            <v>7.2200000000000007E-5</v>
          </cell>
          <cell r="D858">
            <v>8.14E-5</v>
          </cell>
          <cell r="E858">
            <v>171283</v>
          </cell>
          <cell r="F858" t="str">
            <v xml:space="preserve"> </v>
          </cell>
          <cell r="G858">
            <v>26425</v>
          </cell>
          <cell r="H858">
            <v>23512</v>
          </cell>
          <cell r="I858">
            <v>45452</v>
          </cell>
          <cell r="J858">
            <v>181</v>
          </cell>
          <cell r="K858">
            <v>95570</v>
          </cell>
          <cell r="L858"/>
          <cell r="M858">
            <v>887</v>
          </cell>
          <cell r="N858">
            <v>0</v>
          </cell>
          <cell r="O858">
            <v>27961</v>
          </cell>
          <cell r="P858">
            <v>28848</v>
          </cell>
          <cell r="Q858"/>
          <cell r="R858">
            <v>47578</v>
          </cell>
          <cell r="S858">
            <v>-17534</v>
          </cell>
          <cell r="T858">
            <v>30044</v>
          </cell>
        </row>
        <row r="859">
          <cell r="A859">
            <v>99213</v>
          </cell>
          <cell r="B859" t="str">
            <v>CITY OF RALEIGH HOUSING AUTHORITY</v>
          </cell>
          <cell r="C859">
            <v>7.6519999999999995E-4</v>
          </cell>
          <cell r="D859">
            <v>7.5159999999999995E-4</v>
          </cell>
          <cell r="E859">
            <v>1815316</v>
          </cell>
          <cell r="F859" t="str">
            <v xml:space="preserve"> </v>
          </cell>
          <cell r="G859">
            <v>280060</v>
          </cell>
          <cell r="H859">
            <v>249189</v>
          </cell>
          <cell r="I859">
            <v>481715</v>
          </cell>
          <cell r="J859">
            <v>17354</v>
          </cell>
          <cell r="K859">
            <v>1028318</v>
          </cell>
          <cell r="L859"/>
          <cell r="M859">
            <v>9397</v>
          </cell>
          <cell r="N859">
            <v>0</v>
          </cell>
          <cell r="O859">
            <v>31841</v>
          </cell>
          <cell r="P859">
            <v>41238</v>
          </cell>
          <cell r="Q859"/>
          <cell r="R859">
            <v>504246</v>
          </cell>
          <cell r="S859">
            <v>-6642</v>
          </cell>
          <cell r="T859">
            <v>497604</v>
          </cell>
        </row>
        <row r="860">
          <cell r="A860">
            <v>99218</v>
          </cell>
          <cell r="B860" t="str">
            <v>RALEIGH-DURHAM AIRPORT AUTHORITY</v>
          </cell>
          <cell r="C860">
            <v>3.3276999999999998E-3</v>
          </cell>
          <cell r="D860">
            <v>3.1162E-3</v>
          </cell>
          <cell r="E860">
            <v>7894442</v>
          </cell>
          <cell r="F860" t="str">
            <v xml:space="preserve"> </v>
          </cell>
          <cell r="G860">
            <v>1217925</v>
          </cell>
          <cell r="H860">
            <v>1083672</v>
          </cell>
          <cell r="I860">
            <v>2094880</v>
          </cell>
          <cell r="J860">
            <v>301160</v>
          </cell>
          <cell r="K860">
            <v>4697637</v>
          </cell>
          <cell r="L860"/>
          <cell r="M860">
            <v>40867</v>
          </cell>
          <cell r="N860">
            <v>0</v>
          </cell>
          <cell r="O860">
            <v>0</v>
          </cell>
          <cell r="P860">
            <v>40867</v>
          </cell>
          <cell r="Q860"/>
          <cell r="R860">
            <v>2192864</v>
          </cell>
          <cell r="S860">
            <v>113866</v>
          </cell>
          <cell r="T860">
            <v>2306730</v>
          </cell>
        </row>
        <row r="861">
          <cell r="A861">
            <v>99221</v>
          </cell>
          <cell r="B861" t="str">
            <v xml:space="preserve"> CARY</v>
          </cell>
          <cell r="C861">
            <v>1.26885E-2</v>
          </cell>
          <cell r="D861">
            <v>1.27709E-2</v>
          </cell>
          <cell r="E861">
            <v>30101461</v>
          </cell>
          <cell r="F861" t="str">
            <v xml:space="preserve"> </v>
          </cell>
          <cell r="G861">
            <v>4643940</v>
          </cell>
          <cell r="H861">
            <v>4132035</v>
          </cell>
          <cell r="I861">
            <v>7987766</v>
          </cell>
          <cell r="J861">
            <v>0</v>
          </cell>
          <cell r="K861">
            <v>16763741</v>
          </cell>
          <cell r="L861"/>
          <cell r="M861">
            <v>155827</v>
          </cell>
          <cell r="N861">
            <v>0</v>
          </cell>
          <cell r="O861">
            <v>578576</v>
          </cell>
          <cell r="P861">
            <v>734403</v>
          </cell>
          <cell r="Q861"/>
          <cell r="R861">
            <v>8361379</v>
          </cell>
          <cell r="S861">
            <v>-311894</v>
          </cell>
          <cell r="T861">
            <v>8049485</v>
          </cell>
        </row>
        <row r="862">
          <cell r="A862">
            <v>99222</v>
          </cell>
          <cell r="B862" t="str">
            <v>CENTENNIAL AUTHORITY</v>
          </cell>
          <cell r="C862">
            <v>3.7200000000000003E-5</v>
          </cell>
          <cell r="D862">
            <v>3.9100000000000002E-5</v>
          </cell>
          <cell r="E862">
            <v>88251</v>
          </cell>
          <cell r="F862" t="str">
            <v xml:space="preserve"> </v>
          </cell>
          <cell r="G862">
            <v>13615</v>
          </cell>
          <cell r="H862">
            <v>12114</v>
          </cell>
          <cell r="I862">
            <v>23418</v>
          </cell>
          <cell r="J862">
            <v>1038</v>
          </cell>
          <cell r="K862">
            <v>50185</v>
          </cell>
          <cell r="L862"/>
          <cell r="M862">
            <v>457</v>
          </cell>
          <cell r="N862">
            <v>0</v>
          </cell>
          <cell r="O862">
            <v>5264</v>
          </cell>
          <cell r="P862">
            <v>5721</v>
          </cell>
          <cell r="Q862"/>
          <cell r="R862">
            <v>24514</v>
          </cell>
          <cell r="S862">
            <v>-385</v>
          </cell>
          <cell r="T862">
            <v>24129</v>
          </cell>
        </row>
        <row r="863">
          <cell r="A863">
            <v>99231</v>
          </cell>
          <cell r="B863" t="str">
            <v xml:space="preserve"> WENDELL</v>
          </cell>
          <cell r="C863">
            <v>3.6329999999999999E-4</v>
          </cell>
          <cell r="D863">
            <v>3.7179999999999998E-4</v>
          </cell>
          <cell r="E863">
            <v>861872</v>
          </cell>
          <cell r="F863" t="str">
            <v xml:space="preserve"> </v>
          </cell>
          <cell r="G863">
            <v>132966</v>
          </cell>
          <cell r="H863">
            <v>118310</v>
          </cell>
          <cell r="I863">
            <v>228708</v>
          </cell>
          <cell r="J863">
            <v>0</v>
          </cell>
          <cell r="K863">
            <v>479984</v>
          </cell>
          <cell r="L863"/>
          <cell r="M863">
            <v>4462</v>
          </cell>
          <cell r="N863">
            <v>0</v>
          </cell>
          <cell r="O863">
            <v>28617</v>
          </cell>
          <cell r="P863">
            <v>33079</v>
          </cell>
          <cell r="Q863"/>
          <cell r="R863">
            <v>239405</v>
          </cell>
          <cell r="S863">
            <v>-17866</v>
          </cell>
          <cell r="T863">
            <v>221539</v>
          </cell>
        </row>
        <row r="864">
          <cell r="A864">
            <v>99241</v>
          </cell>
          <cell r="B864" t="str">
            <v xml:space="preserve"> ZEBULON</v>
          </cell>
          <cell r="C864">
            <v>5.488E-4</v>
          </cell>
          <cell r="D864">
            <v>5.5329999999999995E-4</v>
          </cell>
          <cell r="E864">
            <v>1301941</v>
          </cell>
          <cell r="F864" t="str">
            <v xml:space="preserve"> </v>
          </cell>
          <cell r="G864">
            <v>200859</v>
          </cell>
          <cell r="H864">
            <v>178718</v>
          </cell>
          <cell r="I864">
            <v>345485</v>
          </cell>
          <cell r="J864">
            <v>0</v>
          </cell>
          <cell r="K864">
            <v>725062</v>
          </cell>
          <cell r="L864"/>
          <cell r="M864">
            <v>6740</v>
          </cell>
          <cell r="N864">
            <v>0</v>
          </cell>
          <cell r="O864">
            <v>64351</v>
          </cell>
          <cell r="P864">
            <v>71091</v>
          </cell>
          <cell r="Q864"/>
          <cell r="R864">
            <v>361644</v>
          </cell>
          <cell r="S864">
            <v>-55208</v>
          </cell>
          <cell r="T864">
            <v>306436</v>
          </cell>
        </row>
        <row r="865">
          <cell r="A865">
            <v>99251</v>
          </cell>
          <cell r="B865" t="str">
            <v xml:space="preserve"> GARNER</v>
          </cell>
          <cell r="C865">
            <v>1.5935000000000001E-3</v>
          </cell>
          <cell r="D865">
            <v>1.6069000000000001E-3</v>
          </cell>
          <cell r="E865">
            <v>3780327</v>
          </cell>
          <cell r="F865" t="str">
            <v xml:space="preserve"> </v>
          </cell>
          <cell r="G865">
            <v>583215</v>
          </cell>
          <cell r="H865">
            <v>518926</v>
          </cell>
          <cell r="I865">
            <v>1003153</v>
          </cell>
          <cell r="J865">
            <v>1524</v>
          </cell>
          <cell r="K865">
            <v>2106818</v>
          </cell>
          <cell r="L865"/>
          <cell r="M865">
            <v>19570</v>
          </cell>
          <cell r="N865">
            <v>0</v>
          </cell>
          <cell r="O865">
            <v>33789</v>
          </cell>
          <cell r="P865">
            <v>53359</v>
          </cell>
          <cell r="Q865"/>
          <cell r="R865">
            <v>1050073</v>
          </cell>
          <cell r="S865">
            <v>-15782</v>
          </cell>
          <cell r="T865">
            <v>1034291</v>
          </cell>
        </row>
        <row r="866">
          <cell r="A866">
            <v>99252</v>
          </cell>
          <cell r="B866" t="str">
            <v>GARNER FIRE DEPT</v>
          </cell>
          <cell r="C866">
            <v>6.7239999999999997E-4</v>
          </cell>
          <cell r="D866">
            <v>6.1269999999999999E-4</v>
          </cell>
          <cell r="E866">
            <v>1595163</v>
          </cell>
          <cell r="F866" t="str">
            <v xml:space="preserve"> </v>
          </cell>
          <cell r="G866">
            <v>246096</v>
          </cell>
          <cell r="H866">
            <v>218968</v>
          </cell>
          <cell r="I866">
            <v>423295</v>
          </cell>
          <cell r="J866">
            <v>0</v>
          </cell>
          <cell r="K866">
            <v>888359</v>
          </cell>
          <cell r="L866"/>
          <cell r="M866">
            <v>8258</v>
          </cell>
          <cell r="N866">
            <v>0</v>
          </cell>
          <cell r="O866">
            <v>146683</v>
          </cell>
          <cell r="P866">
            <v>154941</v>
          </cell>
          <cell r="Q866"/>
          <cell r="R866">
            <v>443093</v>
          </cell>
          <cell r="S866">
            <v>-93460</v>
          </cell>
          <cell r="T866">
            <v>349633</v>
          </cell>
        </row>
        <row r="867">
          <cell r="A867">
            <v>99261</v>
          </cell>
          <cell r="B867" t="str">
            <v xml:space="preserve"> FUQUAY-VARINA</v>
          </cell>
          <cell r="C867">
            <v>2.0975999999999998E-3</v>
          </cell>
          <cell r="D867">
            <v>1.9938E-3</v>
          </cell>
          <cell r="E867">
            <v>4976225</v>
          </cell>
          <cell r="F867" t="str">
            <v xml:space="preserve"> </v>
          </cell>
          <cell r="G867">
            <v>767713</v>
          </cell>
          <cell r="H867">
            <v>683088</v>
          </cell>
          <cell r="I867">
            <v>1320498</v>
          </cell>
          <cell r="J867">
            <v>0</v>
          </cell>
          <cell r="K867">
            <v>2771299</v>
          </cell>
          <cell r="L867"/>
          <cell r="M867">
            <v>25761</v>
          </cell>
          <cell r="N867">
            <v>0</v>
          </cell>
          <cell r="O867">
            <v>102016</v>
          </cell>
          <cell r="P867">
            <v>127777</v>
          </cell>
          <cell r="Q867"/>
          <cell r="R867">
            <v>1382262</v>
          </cell>
          <cell r="S867">
            <v>-74815</v>
          </cell>
          <cell r="T867">
            <v>1307447</v>
          </cell>
        </row>
        <row r="868">
          <cell r="A868">
            <v>99271</v>
          </cell>
          <cell r="B868" t="str">
            <v xml:space="preserve"> APEX</v>
          </cell>
          <cell r="C868">
            <v>4.2411999999999997E-3</v>
          </cell>
          <cell r="D868">
            <v>4.0137000000000003E-3</v>
          </cell>
          <cell r="E868">
            <v>10061577</v>
          </cell>
          <cell r="F868" t="str">
            <v xml:space="preserve"> </v>
          </cell>
          <cell r="G868">
            <v>1552262</v>
          </cell>
          <cell r="H868">
            <v>1381155</v>
          </cell>
          <cell r="I868">
            <v>2669954</v>
          </cell>
          <cell r="J868">
            <v>74425</v>
          </cell>
          <cell r="K868">
            <v>5677796</v>
          </cell>
          <cell r="L868"/>
          <cell r="M868">
            <v>52086</v>
          </cell>
          <cell r="N868">
            <v>0</v>
          </cell>
          <cell r="O868">
            <v>77503</v>
          </cell>
          <cell r="P868">
            <v>129589</v>
          </cell>
          <cell r="Q868"/>
          <cell r="R868">
            <v>2794836</v>
          </cell>
          <cell r="S868">
            <v>-26683</v>
          </cell>
          <cell r="T868">
            <v>2768153</v>
          </cell>
        </row>
        <row r="869">
          <cell r="A869">
            <v>99281</v>
          </cell>
          <cell r="B869" t="str">
            <v xml:space="preserve"> WAKE FOREST</v>
          </cell>
          <cell r="C869">
            <v>2.3770000000000002E-3</v>
          </cell>
          <cell r="D869">
            <v>2.2918999999999999E-3</v>
          </cell>
          <cell r="E869">
            <v>5639057</v>
          </cell>
          <cell r="F869" t="str">
            <v xml:space="preserve"> </v>
          </cell>
          <cell r="G869">
            <v>869972</v>
          </cell>
          <cell r="H869">
            <v>774075</v>
          </cell>
          <cell r="I869">
            <v>1496388</v>
          </cell>
          <cell r="J869">
            <v>19048</v>
          </cell>
          <cell r="K869">
            <v>3159483</v>
          </cell>
          <cell r="L869"/>
          <cell r="M869">
            <v>29192</v>
          </cell>
          <cell r="N869">
            <v>0</v>
          </cell>
          <cell r="O869">
            <v>84495</v>
          </cell>
          <cell r="P869">
            <v>113687</v>
          </cell>
          <cell r="Q869"/>
          <cell r="R869">
            <v>1566379</v>
          </cell>
          <cell r="S869">
            <v>-32585</v>
          </cell>
          <cell r="T869">
            <v>1533794</v>
          </cell>
        </row>
        <row r="870">
          <cell r="A870">
            <v>99291</v>
          </cell>
          <cell r="B870" t="str">
            <v xml:space="preserve"> KNIGHTDALE</v>
          </cell>
          <cell r="C870">
            <v>8.2370000000000002E-4</v>
          </cell>
          <cell r="D870">
            <v>7.3499999999999998E-4</v>
          </cell>
          <cell r="E870">
            <v>1954098</v>
          </cell>
          <cell r="F870" t="str">
            <v xml:space="preserve"> </v>
          </cell>
          <cell r="G870">
            <v>301471</v>
          </cell>
          <cell r="H870">
            <v>268240</v>
          </cell>
          <cell r="I870">
            <v>518542</v>
          </cell>
          <cell r="J870">
            <v>12562</v>
          </cell>
          <cell r="K870">
            <v>1100815</v>
          </cell>
          <cell r="L870"/>
          <cell r="M870">
            <v>10116</v>
          </cell>
          <cell r="N870">
            <v>0</v>
          </cell>
          <cell r="O870">
            <v>82354</v>
          </cell>
          <cell r="P870">
            <v>92470</v>
          </cell>
          <cell r="Q870"/>
          <cell r="R870">
            <v>542796</v>
          </cell>
          <cell r="S870">
            <v>-52321</v>
          </cell>
          <cell r="T870">
            <v>490475</v>
          </cell>
        </row>
        <row r="871">
          <cell r="A871">
            <v>99301</v>
          </cell>
          <cell r="B871" t="str">
            <v>WARREN COUNTY</v>
          </cell>
          <cell r="C871">
            <v>1.7239E-3</v>
          </cell>
          <cell r="D871">
            <v>1.7879E-3</v>
          </cell>
          <cell r="E871">
            <v>4089680</v>
          </cell>
          <cell r="F871" t="str">
            <v xml:space="preserve"> </v>
          </cell>
          <cell r="G871">
            <v>630941</v>
          </cell>
          <cell r="H871">
            <v>561391</v>
          </cell>
          <cell r="I871">
            <v>1085243</v>
          </cell>
          <cell r="J871">
            <v>12780</v>
          </cell>
          <cell r="K871">
            <v>2290355</v>
          </cell>
          <cell r="L871"/>
          <cell r="M871">
            <v>21171</v>
          </cell>
          <cell r="N871">
            <v>0</v>
          </cell>
          <cell r="O871">
            <v>110271</v>
          </cell>
          <cell r="P871">
            <v>131442</v>
          </cell>
          <cell r="Q871"/>
          <cell r="R871">
            <v>1136004</v>
          </cell>
          <cell r="S871">
            <v>22906</v>
          </cell>
          <cell r="T871">
            <v>1158910</v>
          </cell>
        </row>
        <row r="872">
          <cell r="A872">
            <v>99304</v>
          </cell>
          <cell r="B872" t="str">
            <v>WARREN COUNTY ABC BOARD</v>
          </cell>
          <cell r="C872">
            <v>8.4999999999999999E-6</v>
          </cell>
          <cell r="D872">
            <v>9.2E-6</v>
          </cell>
          <cell r="E872">
            <v>20165</v>
          </cell>
          <cell r="F872" t="str">
            <v xml:space="preserve"> </v>
          </cell>
          <cell r="G872">
            <v>3111</v>
          </cell>
          <cell r="H872">
            <v>2768</v>
          </cell>
          <cell r="I872">
            <v>5351</v>
          </cell>
          <cell r="J872">
            <v>5796</v>
          </cell>
          <cell r="K872">
            <v>17026</v>
          </cell>
          <cell r="L872"/>
          <cell r="M872">
            <v>104</v>
          </cell>
          <cell r="N872">
            <v>0</v>
          </cell>
          <cell r="O872">
            <v>0</v>
          </cell>
          <cell r="P872">
            <v>104</v>
          </cell>
          <cell r="Q872"/>
          <cell r="R872">
            <v>5601</v>
          </cell>
          <cell r="S872">
            <v>2064</v>
          </cell>
          <cell r="T872">
            <v>7665</v>
          </cell>
        </row>
        <row r="873">
          <cell r="A873">
            <v>99311</v>
          </cell>
          <cell r="B873" t="str">
            <v xml:space="preserve"> NORLINA</v>
          </cell>
          <cell r="C873">
            <v>6.0699999999999998E-5</v>
          </cell>
          <cell r="D873">
            <v>5.4299999999999998E-5</v>
          </cell>
          <cell r="E873">
            <v>144001</v>
          </cell>
          <cell r="F873" t="str">
            <v xml:space="preserve"> </v>
          </cell>
          <cell r="G873">
            <v>22216</v>
          </cell>
          <cell r="H873">
            <v>19767</v>
          </cell>
          <cell r="I873">
            <v>38212</v>
          </cell>
          <cell r="J873">
            <v>4078</v>
          </cell>
          <cell r="K873">
            <v>84273</v>
          </cell>
          <cell r="L873"/>
          <cell r="M873">
            <v>745</v>
          </cell>
          <cell r="N873">
            <v>0</v>
          </cell>
          <cell r="O873">
            <v>3557</v>
          </cell>
          <cell r="P873">
            <v>4302</v>
          </cell>
          <cell r="Q873"/>
          <cell r="R873">
            <v>40000</v>
          </cell>
          <cell r="S873">
            <v>-2182</v>
          </cell>
          <cell r="T873">
            <v>37818</v>
          </cell>
        </row>
        <row r="874">
          <cell r="A874">
            <v>99321</v>
          </cell>
          <cell r="B874" t="str">
            <v xml:space="preserve"> WARRENTON</v>
          </cell>
          <cell r="C874">
            <v>8.7000000000000001E-5</v>
          </cell>
          <cell r="D874">
            <v>1.1E-4</v>
          </cell>
          <cell r="E874">
            <v>206394</v>
          </cell>
          <cell r="F874" t="str">
            <v xml:space="preserve"> </v>
          </cell>
          <cell r="G874">
            <v>31842</v>
          </cell>
          <cell r="H874">
            <v>28331</v>
          </cell>
          <cell r="I874">
            <v>54769</v>
          </cell>
          <cell r="J874">
            <v>80354</v>
          </cell>
          <cell r="K874">
            <v>195296</v>
          </cell>
          <cell r="L874"/>
          <cell r="M874">
            <v>1068</v>
          </cell>
          <cell r="N874">
            <v>0</v>
          </cell>
          <cell r="O874">
            <v>0</v>
          </cell>
          <cell r="P874">
            <v>1068</v>
          </cell>
          <cell r="Q874"/>
          <cell r="R874">
            <v>57331</v>
          </cell>
          <cell r="S874">
            <v>48383</v>
          </cell>
          <cell r="T874">
            <v>105714</v>
          </cell>
        </row>
        <row r="875">
          <cell r="A875">
            <v>99401</v>
          </cell>
          <cell r="B875" t="str">
            <v>WASHINGTON COUNTY</v>
          </cell>
          <cell r="C875">
            <v>8.3949999999999997E-4</v>
          </cell>
          <cell r="D875">
            <v>9.2389999999999996E-4</v>
          </cell>
          <cell r="E875">
            <v>1991581</v>
          </cell>
          <cell r="F875" t="str">
            <v xml:space="preserve"> </v>
          </cell>
          <cell r="G875">
            <v>307254</v>
          </cell>
          <cell r="H875">
            <v>273385</v>
          </cell>
          <cell r="I875">
            <v>528489</v>
          </cell>
          <cell r="J875">
            <v>7764</v>
          </cell>
          <cell r="K875">
            <v>1116892</v>
          </cell>
          <cell r="L875"/>
          <cell r="M875">
            <v>10310</v>
          </cell>
          <cell r="N875">
            <v>0</v>
          </cell>
          <cell r="O875">
            <v>71466</v>
          </cell>
          <cell r="P875">
            <v>81776</v>
          </cell>
          <cell r="Q875"/>
          <cell r="R875">
            <v>553208</v>
          </cell>
          <cell r="S875">
            <v>7509</v>
          </cell>
          <cell r="T875">
            <v>560717</v>
          </cell>
        </row>
        <row r="876">
          <cell r="A876">
            <v>99404</v>
          </cell>
          <cell r="B876" t="str">
            <v>WASHINGTON COUNTY ABC BOARD</v>
          </cell>
          <cell r="C876">
            <v>9.0999999999999993E-6</v>
          </cell>
          <cell r="D876">
            <v>9.3999999999999998E-6</v>
          </cell>
          <cell r="E876">
            <v>21588</v>
          </cell>
          <cell r="F876" t="str">
            <v xml:space="preserve"> </v>
          </cell>
          <cell r="G876">
            <v>3331</v>
          </cell>
          <cell r="H876">
            <v>2963</v>
          </cell>
          <cell r="I876">
            <v>5729</v>
          </cell>
          <cell r="J876">
            <v>1629</v>
          </cell>
          <cell r="K876">
            <v>13652</v>
          </cell>
          <cell r="L876"/>
          <cell r="M876">
            <v>112</v>
          </cell>
          <cell r="N876">
            <v>0</v>
          </cell>
          <cell r="O876">
            <v>0</v>
          </cell>
          <cell r="P876">
            <v>112</v>
          </cell>
          <cell r="Q876"/>
          <cell r="R876">
            <v>5997</v>
          </cell>
          <cell r="S876">
            <v>655</v>
          </cell>
          <cell r="T876">
            <v>6652</v>
          </cell>
        </row>
        <row r="877">
          <cell r="A877">
            <v>99405</v>
          </cell>
          <cell r="B877" t="str">
            <v>PETTIGREW REGIONAL LIBRARY</v>
          </cell>
          <cell r="C877">
            <v>5.2200000000000002E-5</v>
          </cell>
          <cell r="D877">
            <v>6.2700000000000006E-5</v>
          </cell>
          <cell r="E877">
            <v>123836</v>
          </cell>
          <cell r="F877" t="str">
            <v xml:space="preserve"> </v>
          </cell>
          <cell r="G877">
            <v>19105</v>
          </cell>
          <cell r="H877">
            <v>16999</v>
          </cell>
          <cell r="I877">
            <v>32861</v>
          </cell>
          <cell r="J877">
            <v>14217</v>
          </cell>
          <cell r="K877">
            <v>83182</v>
          </cell>
          <cell r="L877"/>
          <cell r="M877">
            <v>641</v>
          </cell>
          <cell r="N877">
            <v>0</v>
          </cell>
          <cell r="O877">
            <v>0</v>
          </cell>
          <cell r="P877">
            <v>641</v>
          </cell>
          <cell r="Q877"/>
          <cell r="R877">
            <v>34398</v>
          </cell>
          <cell r="S877">
            <v>6652</v>
          </cell>
          <cell r="T877">
            <v>41050</v>
          </cell>
        </row>
        <row r="878">
          <cell r="A878">
            <v>99411</v>
          </cell>
          <cell r="B878" t="str">
            <v xml:space="preserve"> PLYMOUTH</v>
          </cell>
          <cell r="C878">
            <v>1.7239999999999999E-4</v>
          </cell>
          <cell r="D878">
            <v>1.583E-4</v>
          </cell>
          <cell r="E878">
            <v>408992</v>
          </cell>
          <cell r="F878" t="str">
            <v xml:space="preserve"> </v>
          </cell>
          <cell r="G878">
            <v>63098</v>
          </cell>
          <cell r="H878">
            <v>56142</v>
          </cell>
          <cell r="I878">
            <v>108531</v>
          </cell>
          <cell r="J878">
            <v>41315</v>
          </cell>
          <cell r="K878">
            <v>269086</v>
          </cell>
          <cell r="L878"/>
          <cell r="M878">
            <v>2117</v>
          </cell>
          <cell r="N878">
            <v>0</v>
          </cell>
          <cell r="O878">
            <v>0</v>
          </cell>
          <cell r="P878">
            <v>2117</v>
          </cell>
          <cell r="Q878"/>
          <cell r="R878">
            <v>113607</v>
          </cell>
          <cell r="S878">
            <v>11785</v>
          </cell>
          <cell r="T878">
            <v>125392</v>
          </cell>
        </row>
        <row r="879">
          <cell r="A879">
            <v>99413</v>
          </cell>
          <cell r="B879" t="str">
            <v>PLYMOUTH HOUSING AUTHORITY</v>
          </cell>
          <cell r="C879">
            <v>1.98E-5</v>
          </cell>
          <cell r="D879">
            <v>3.1099999999999997E-5</v>
          </cell>
          <cell r="E879">
            <v>46972</v>
          </cell>
          <cell r="F879" t="str">
            <v xml:space="preserve"> </v>
          </cell>
          <cell r="G879">
            <v>7247</v>
          </cell>
          <cell r="H879">
            <v>6448</v>
          </cell>
          <cell r="I879">
            <v>12465</v>
          </cell>
          <cell r="J879">
            <v>4311</v>
          </cell>
          <cell r="K879">
            <v>30471</v>
          </cell>
          <cell r="L879"/>
          <cell r="M879">
            <v>243</v>
          </cell>
          <cell r="N879">
            <v>0</v>
          </cell>
          <cell r="O879">
            <v>5202</v>
          </cell>
          <cell r="P879">
            <v>5445</v>
          </cell>
          <cell r="Q879"/>
          <cell r="R879">
            <v>13048</v>
          </cell>
          <cell r="S879">
            <v>-653</v>
          </cell>
          <cell r="T879">
            <v>12395</v>
          </cell>
        </row>
        <row r="880">
          <cell r="A880">
            <v>99421</v>
          </cell>
          <cell r="B880" t="str">
            <v xml:space="preserve"> ROPER</v>
          </cell>
          <cell r="C880">
            <v>1.24E-5</v>
          </cell>
          <cell r="D880">
            <v>1.04E-5</v>
          </cell>
          <cell r="E880">
            <v>29417</v>
          </cell>
          <cell r="F880" t="str">
            <v xml:space="preserve"> </v>
          </cell>
          <cell r="G880">
            <v>4538</v>
          </cell>
          <cell r="H880">
            <v>4038</v>
          </cell>
          <cell r="I880">
            <v>7806</v>
          </cell>
          <cell r="J880">
            <v>917</v>
          </cell>
          <cell r="K880">
            <v>17299</v>
          </cell>
          <cell r="L880"/>
          <cell r="M880">
            <v>152</v>
          </cell>
          <cell r="N880">
            <v>0</v>
          </cell>
          <cell r="O880">
            <v>3553</v>
          </cell>
          <cell r="P880">
            <v>3705</v>
          </cell>
          <cell r="Q880"/>
          <cell r="R880">
            <v>8171</v>
          </cell>
          <cell r="S880">
            <v>-895</v>
          </cell>
          <cell r="T880">
            <v>7276</v>
          </cell>
        </row>
        <row r="881">
          <cell r="A881">
            <v>99431</v>
          </cell>
          <cell r="B881" t="str">
            <v xml:space="preserve"> CRESWELL</v>
          </cell>
          <cell r="C881">
            <v>2.1999999999999999E-5</v>
          </cell>
          <cell r="D881">
            <v>2.2200000000000001E-5</v>
          </cell>
          <cell r="E881">
            <v>52192</v>
          </cell>
          <cell r="F881" t="str">
            <v xml:space="preserve"> </v>
          </cell>
          <cell r="G881">
            <v>8052</v>
          </cell>
          <cell r="H881">
            <v>7164</v>
          </cell>
          <cell r="I881">
            <v>13850</v>
          </cell>
          <cell r="J881">
            <v>0</v>
          </cell>
          <cell r="K881">
            <v>29066</v>
          </cell>
          <cell r="L881"/>
          <cell r="M881">
            <v>270</v>
          </cell>
          <cell r="N881">
            <v>0</v>
          </cell>
          <cell r="O881">
            <v>4208</v>
          </cell>
          <cell r="P881">
            <v>4478</v>
          </cell>
          <cell r="Q881"/>
          <cell r="R881">
            <v>14497</v>
          </cell>
          <cell r="S881">
            <v>-434</v>
          </cell>
          <cell r="T881">
            <v>14063</v>
          </cell>
        </row>
        <row r="882">
          <cell r="A882">
            <v>99501</v>
          </cell>
          <cell r="B882" t="str">
            <v>WATAUGA COUNTY</v>
          </cell>
          <cell r="C882">
            <v>1.6559000000000001E-3</v>
          </cell>
          <cell r="D882">
            <v>1.6785000000000001E-3</v>
          </cell>
          <cell r="E882">
            <v>3928361</v>
          </cell>
          <cell r="F882" t="str">
            <v xml:space="preserve"> </v>
          </cell>
          <cell r="G882">
            <v>606053</v>
          </cell>
          <cell r="H882">
            <v>539247</v>
          </cell>
          <cell r="I882">
            <v>1042435</v>
          </cell>
          <cell r="J882">
            <v>26120</v>
          </cell>
          <cell r="K882">
            <v>2213855</v>
          </cell>
          <cell r="L882"/>
          <cell r="M882">
            <v>20336</v>
          </cell>
          <cell r="N882">
            <v>0</v>
          </cell>
          <cell r="O882">
            <v>16129</v>
          </cell>
          <cell r="P882">
            <v>36465</v>
          </cell>
          <cell r="Q882"/>
          <cell r="R882">
            <v>1091193</v>
          </cell>
          <cell r="S882">
            <v>2662</v>
          </cell>
          <cell r="T882">
            <v>1093855</v>
          </cell>
        </row>
        <row r="883">
          <cell r="A883">
            <v>99502</v>
          </cell>
          <cell r="B883" t="str">
            <v>REGION D COUNCIL OF GOVERNMENTS</v>
          </cell>
          <cell r="C883">
            <v>1.5699999999999999E-4</v>
          </cell>
          <cell r="D883">
            <v>1.373E-4</v>
          </cell>
          <cell r="E883">
            <v>372458</v>
          </cell>
          <cell r="F883" t="str">
            <v xml:space="preserve"> </v>
          </cell>
          <cell r="G883">
            <v>57461</v>
          </cell>
          <cell r="H883">
            <v>51127</v>
          </cell>
          <cell r="I883">
            <v>98836</v>
          </cell>
          <cell r="J883">
            <v>20987</v>
          </cell>
          <cell r="K883">
            <v>228411</v>
          </cell>
          <cell r="L883"/>
          <cell r="M883">
            <v>1928</v>
          </cell>
          <cell r="N883">
            <v>0</v>
          </cell>
          <cell r="O883">
            <v>0</v>
          </cell>
          <cell r="P883">
            <v>1928</v>
          </cell>
          <cell r="Q883"/>
          <cell r="R883">
            <v>103459</v>
          </cell>
          <cell r="S883">
            <v>11737</v>
          </cell>
          <cell r="T883">
            <v>115196</v>
          </cell>
        </row>
        <row r="884">
          <cell r="A884">
            <v>99508</v>
          </cell>
          <cell r="B884" t="str">
            <v>BLOWING ROCK TOURISM DEVELOPMENT AUTHORITY</v>
          </cell>
          <cell r="C884">
            <v>2.1699999999999999E-5</v>
          </cell>
          <cell r="D884">
            <v>2.2099999999999998E-5</v>
          </cell>
          <cell r="E884">
            <v>51480</v>
          </cell>
          <cell r="F884" t="str">
            <v xml:space="preserve"> </v>
          </cell>
          <cell r="G884">
            <v>7942</v>
          </cell>
          <cell r="H884">
            <v>7067</v>
          </cell>
          <cell r="I884">
            <v>13661</v>
          </cell>
          <cell r="J884">
            <v>28</v>
          </cell>
          <cell r="K884">
            <v>28698</v>
          </cell>
          <cell r="L884"/>
          <cell r="M884">
            <v>266</v>
          </cell>
          <cell r="N884">
            <v>0</v>
          </cell>
          <cell r="O884">
            <v>834</v>
          </cell>
          <cell r="P884">
            <v>1100</v>
          </cell>
          <cell r="Q884"/>
          <cell r="R884">
            <v>14300</v>
          </cell>
          <cell r="S884">
            <v>-1042</v>
          </cell>
          <cell r="T884">
            <v>13258</v>
          </cell>
        </row>
        <row r="885">
          <cell r="A885">
            <v>99509</v>
          </cell>
          <cell r="B885" t="str">
            <v>WATAUGA COUNTY DISTRICT U TDA</v>
          </cell>
          <cell r="C885">
            <v>2.62E-5</v>
          </cell>
          <cell r="D885">
            <v>2.76E-5</v>
          </cell>
          <cell r="E885">
            <v>62155</v>
          </cell>
          <cell r="F885" t="str">
            <v xml:space="preserve"> </v>
          </cell>
          <cell r="G885">
            <v>9589</v>
          </cell>
          <cell r="H885">
            <v>8532</v>
          </cell>
          <cell r="I885">
            <v>16494</v>
          </cell>
          <cell r="J885">
            <v>0</v>
          </cell>
          <cell r="K885">
            <v>34615</v>
          </cell>
          <cell r="L885"/>
          <cell r="M885">
            <v>322</v>
          </cell>
          <cell r="N885">
            <v>0</v>
          </cell>
          <cell r="O885">
            <v>3733</v>
          </cell>
          <cell r="P885">
            <v>4055</v>
          </cell>
          <cell r="Q885"/>
          <cell r="R885">
            <v>17265</v>
          </cell>
          <cell r="S885">
            <v>-4641</v>
          </cell>
          <cell r="T885">
            <v>12624</v>
          </cell>
        </row>
        <row r="886">
          <cell r="A886">
            <v>99511</v>
          </cell>
          <cell r="B886" t="str">
            <v xml:space="preserve"> BOONE</v>
          </cell>
          <cell r="C886">
            <v>1.3468E-3</v>
          </cell>
          <cell r="D886">
            <v>1.4048999999999999E-3</v>
          </cell>
          <cell r="E886">
            <v>3195070</v>
          </cell>
          <cell r="F886" t="str">
            <v xml:space="preserve"> </v>
          </cell>
          <cell r="G886">
            <v>492923</v>
          </cell>
          <cell r="H886">
            <v>438588</v>
          </cell>
          <cell r="I886">
            <v>847848</v>
          </cell>
          <cell r="J886">
            <v>2027</v>
          </cell>
          <cell r="K886">
            <v>1781386</v>
          </cell>
          <cell r="L886"/>
          <cell r="M886">
            <v>16540</v>
          </cell>
          <cell r="N886">
            <v>0</v>
          </cell>
          <cell r="O886">
            <v>134401</v>
          </cell>
          <cell r="P886">
            <v>150941</v>
          </cell>
          <cell r="Q886"/>
          <cell r="R886">
            <v>887505</v>
          </cell>
          <cell r="S886">
            <v>-51080</v>
          </cell>
          <cell r="T886">
            <v>836425</v>
          </cell>
        </row>
        <row r="887">
          <cell r="A887">
            <v>99521</v>
          </cell>
          <cell r="B887" t="str">
            <v xml:space="preserve"> BLOWING ROCK</v>
          </cell>
          <cell r="C887">
            <v>4.9669999999999998E-4</v>
          </cell>
          <cell r="D887">
            <v>4.2700000000000002E-4</v>
          </cell>
          <cell r="E887">
            <v>1178342</v>
          </cell>
          <cell r="F887" t="str">
            <v xml:space="preserve"> </v>
          </cell>
          <cell r="G887">
            <v>181790</v>
          </cell>
          <cell r="H887">
            <v>161751</v>
          </cell>
          <cell r="I887">
            <v>312687</v>
          </cell>
          <cell r="J887">
            <v>22179</v>
          </cell>
          <cell r="K887">
            <v>678407</v>
          </cell>
          <cell r="L887"/>
          <cell r="M887">
            <v>6100</v>
          </cell>
          <cell r="N887">
            <v>0</v>
          </cell>
          <cell r="O887">
            <v>9436</v>
          </cell>
          <cell r="P887">
            <v>15536</v>
          </cell>
          <cell r="Q887"/>
          <cell r="R887">
            <v>327312</v>
          </cell>
          <cell r="S887">
            <v>211</v>
          </cell>
          <cell r="T887">
            <v>327523</v>
          </cell>
        </row>
        <row r="888">
          <cell r="A888">
            <v>99527</v>
          </cell>
          <cell r="B888" t="str">
            <v>BLOWING ROCK ABC BD</v>
          </cell>
          <cell r="C888">
            <v>1.15E-5</v>
          </cell>
          <cell r="D888">
            <v>1.19E-5</v>
          </cell>
          <cell r="E888">
            <v>27282</v>
          </cell>
          <cell r="F888" t="str">
            <v xml:space="preserve"> </v>
          </cell>
          <cell r="G888">
            <v>4209</v>
          </cell>
          <cell r="H888">
            <v>3745</v>
          </cell>
          <cell r="I888">
            <v>7240</v>
          </cell>
          <cell r="J888">
            <v>1078</v>
          </cell>
          <cell r="K888">
            <v>16272</v>
          </cell>
          <cell r="L888"/>
          <cell r="M888">
            <v>141</v>
          </cell>
          <cell r="N888">
            <v>0</v>
          </cell>
          <cell r="O888">
            <v>0</v>
          </cell>
          <cell r="P888">
            <v>141</v>
          </cell>
          <cell r="Q888"/>
          <cell r="R888">
            <v>7578</v>
          </cell>
          <cell r="S888">
            <v>724</v>
          </cell>
          <cell r="T888">
            <v>8302</v>
          </cell>
        </row>
        <row r="889">
          <cell r="A889">
            <v>99531</v>
          </cell>
          <cell r="B889" t="str">
            <v xml:space="preserve"> SEVEN DEVILS</v>
          </cell>
          <cell r="C889">
            <v>8.8800000000000004E-5</v>
          </cell>
          <cell r="D889">
            <v>9.3499999999999996E-5</v>
          </cell>
          <cell r="E889">
            <v>210664</v>
          </cell>
          <cell r="F889" t="str">
            <v xml:space="preserve"> </v>
          </cell>
          <cell r="G889">
            <v>32500</v>
          </cell>
          <cell r="H889">
            <v>28917</v>
          </cell>
          <cell r="I889">
            <v>55902</v>
          </cell>
          <cell r="J889">
            <v>59872</v>
          </cell>
          <cell r="K889">
            <v>177191</v>
          </cell>
          <cell r="L889"/>
          <cell r="M889">
            <v>1091</v>
          </cell>
          <cell r="N889">
            <v>0</v>
          </cell>
          <cell r="O889">
            <v>0</v>
          </cell>
          <cell r="P889">
            <v>1091</v>
          </cell>
          <cell r="Q889"/>
          <cell r="R889">
            <v>58517</v>
          </cell>
          <cell r="S889">
            <v>24500</v>
          </cell>
          <cell r="T889">
            <v>83017</v>
          </cell>
        </row>
        <row r="890">
          <cell r="A890">
            <v>99601</v>
          </cell>
          <cell r="B890" t="str">
            <v>WAYNE COUNTY</v>
          </cell>
          <cell r="C890">
            <v>5.9616000000000001E-3</v>
          </cell>
          <cell r="D890">
            <v>5.7812000000000002E-3</v>
          </cell>
          <cell r="E890">
            <v>14142954</v>
          </cell>
          <cell r="F890" t="str">
            <v xml:space="preserve"> </v>
          </cell>
          <cell r="G890">
            <v>2181922</v>
          </cell>
          <cell r="H890">
            <v>1941407</v>
          </cell>
          <cell r="I890">
            <v>3752994</v>
          </cell>
          <cell r="J890">
            <v>210675</v>
          </cell>
          <cell r="K890">
            <v>8086998</v>
          </cell>
          <cell r="L890"/>
          <cell r="M890">
            <v>73214</v>
          </cell>
          <cell r="N890">
            <v>0</v>
          </cell>
          <cell r="O890">
            <v>44248</v>
          </cell>
          <cell r="P890">
            <v>117462</v>
          </cell>
          <cell r="Q890"/>
          <cell r="R890">
            <v>3928533</v>
          </cell>
          <cell r="S890">
            <v>56562</v>
          </cell>
          <cell r="T890">
            <v>3985095</v>
          </cell>
        </row>
        <row r="891">
          <cell r="A891">
            <v>99602</v>
          </cell>
          <cell r="B891" t="str">
            <v>FORK TOWNSHIP SANITARY DIST</v>
          </cell>
          <cell r="C891">
            <v>6.0800000000000001E-5</v>
          </cell>
          <cell r="D891">
            <v>6.19E-5</v>
          </cell>
          <cell r="E891">
            <v>144238</v>
          </cell>
          <cell r="F891" t="str">
            <v xml:space="preserve"> </v>
          </cell>
          <cell r="G891">
            <v>22253</v>
          </cell>
          <cell r="H891">
            <v>19799</v>
          </cell>
          <cell r="I891">
            <v>38275</v>
          </cell>
          <cell r="J891">
            <v>6923</v>
          </cell>
          <cell r="K891">
            <v>87250</v>
          </cell>
          <cell r="L891"/>
          <cell r="M891">
            <v>747</v>
          </cell>
          <cell r="N891">
            <v>0</v>
          </cell>
          <cell r="O891">
            <v>422</v>
          </cell>
          <cell r="P891">
            <v>1169</v>
          </cell>
          <cell r="Q891"/>
          <cell r="R891">
            <v>40066</v>
          </cell>
          <cell r="S891">
            <v>1213</v>
          </cell>
          <cell r="T891">
            <v>41279</v>
          </cell>
        </row>
        <row r="892">
          <cell r="A892">
            <v>99603</v>
          </cell>
          <cell r="B892" t="str">
            <v>EASTERN CAROLINA REG'L HOUSING AUTHORITY</v>
          </cell>
          <cell r="C892">
            <v>1.7550000000000001E-4</v>
          </cell>
          <cell r="D892">
            <v>1.615E-4</v>
          </cell>
          <cell r="E892">
            <v>416346</v>
          </cell>
          <cell r="F892" t="str">
            <v xml:space="preserve"> </v>
          </cell>
          <cell r="G892">
            <v>64232</v>
          </cell>
          <cell r="H892">
            <v>57152</v>
          </cell>
          <cell r="I892">
            <v>110482</v>
          </cell>
          <cell r="J892">
            <v>75872</v>
          </cell>
          <cell r="K892">
            <v>307738</v>
          </cell>
          <cell r="L892"/>
          <cell r="M892">
            <v>2155</v>
          </cell>
          <cell r="N892">
            <v>0</v>
          </cell>
          <cell r="O892">
            <v>0</v>
          </cell>
          <cell r="P892">
            <v>2155</v>
          </cell>
          <cell r="Q892"/>
          <cell r="R892">
            <v>115650</v>
          </cell>
          <cell r="S892">
            <v>41812</v>
          </cell>
          <cell r="T892">
            <v>157462</v>
          </cell>
        </row>
        <row r="893">
          <cell r="A893">
            <v>99604</v>
          </cell>
          <cell r="B893" t="str">
            <v>WAYNE COUNTY ABC BOARD</v>
          </cell>
          <cell r="C893">
            <v>1.02E-4</v>
          </cell>
          <cell r="D893">
            <v>1.009E-4</v>
          </cell>
          <cell r="E893">
            <v>241979</v>
          </cell>
          <cell r="F893"/>
          <cell r="G893">
            <v>37332</v>
          </cell>
          <cell r="H893">
            <v>33216</v>
          </cell>
          <cell r="I893">
            <v>64212</v>
          </cell>
          <cell r="J893">
            <v>20727</v>
          </cell>
          <cell r="K893">
            <v>155487</v>
          </cell>
          <cell r="L893"/>
          <cell r="M893">
            <v>1253</v>
          </cell>
          <cell r="N893">
            <v>0</v>
          </cell>
          <cell r="O893">
            <v>0</v>
          </cell>
          <cell r="P893">
            <v>1253</v>
          </cell>
          <cell r="Q893"/>
          <cell r="R893">
            <v>67215</v>
          </cell>
          <cell r="S893">
            <v>11859</v>
          </cell>
          <cell r="T893">
            <v>79074</v>
          </cell>
        </row>
        <row r="894">
          <cell r="A894">
            <v>99609</v>
          </cell>
          <cell r="B894" t="str">
            <v>SOUTHERN WAYNE SANITARY DISTRICT</v>
          </cell>
          <cell r="C894">
            <v>2.0100000000000001E-5</v>
          </cell>
          <cell r="D894">
            <v>1.52E-5</v>
          </cell>
          <cell r="E894">
            <v>47684</v>
          </cell>
          <cell r="F894"/>
          <cell r="G894">
            <v>7357</v>
          </cell>
          <cell r="H894">
            <v>6545</v>
          </cell>
          <cell r="I894">
            <v>12654</v>
          </cell>
          <cell r="J894">
            <v>5627</v>
          </cell>
          <cell r="K894">
            <v>32183</v>
          </cell>
          <cell r="L894"/>
          <cell r="M894">
            <v>247</v>
          </cell>
          <cell r="N894">
            <v>0</v>
          </cell>
          <cell r="O894">
            <v>1142</v>
          </cell>
          <cell r="P894">
            <v>1389</v>
          </cell>
          <cell r="Q894"/>
          <cell r="R894">
            <v>13245</v>
          </cell>
          <cell r="S894">
            <v>2717</v>
          </cell>
          <cell r="T894">
            <v>15962</v>
          </cell>
        </row>
        <row r="895">
          <cell r="A895">
            <v>99610</v>
          </cell>
          <cell r="B895" t="str">
            <v>EASTERN WAYNE SANITARY DIST</v>
          </cell>
          <cell r="C895">
            <v>1.872E-4</v>
          </cell>
          <cell r="D895">
            <v>1.9440000000000001E-4</v>
          </cell>
          <cell r="E895">
            <v>444102</v>
          </cell>
          <cell r="F895"/>
          <cell r="G895">
            <v>68514</v>
          </cell>
          <cell r="H895">
            <v>60962</v>
          </cell>
          <cell r="I895">
            <v>117848</v>
          </cell>
          <cell r="J895">
            <v>855</v>
          </cell>
          <cell r="K895">
            <v>248179</v>
          </cell>
          <cell r="L895"/>
          <cell r="M895">
            <v>2299</v>
          </cell>
          <cell r="N895">
            <v>0</v>
          </cell>
          <cell r="O895">
            <v>8068</v>
          </cell>
          <cell r="P895">
            <v>10367</v>
          </cell>
          <cell r="Q895"/>
          <cell r="R895">
            <v>123360</v>
          </cell>
          <cell r="S895">
            <v>-738</v>
          </cell>
          <cell r="T895">
            <v>122622</v>
          </cell>
        </row>
        <row r="896">
          <cell r="A896">
            <v>99611</v>
          </cell>
          <cell r="B896" t="str">
            <v>CITY OF GOLDSBORO</v>
          </cell>
          <cell r="C896">
            <v>3.2894E-3</v>
          </cell>
          <cell r="D896">
            <v>3.1959000000000002E-3</v>
          </cell>
          <cell r="E896">
            <v>7803582</v>
          </cell>
          <cell r="F896"/>
          <cell r="G896">
            <v>1203907</v>
          </cell>
          <cell r="H896">
            <v>1071199</v>
          </cell>
          <cell r="I896">
            <v>2070769</v>
          </cell>
          <cell r="J896">
            <v>61818</v>
          </cell>
          <cell r="K896">
            <v>4407693</v>
          </cell>
          <cell r="L896"/>
          <cell r="M896">
            <v>40397</v>
          </cell>
          <cell r="N896">
            <v>0</v>
          </cell>
          <cell r="O896">
            <v>100389</v>
          </cell>
          <cell r="P896">
            <v>140786</v>
          </cell>
          <cell r="Q896"/>
          <cell r="R896">
            <v>2167626</v>
          </cell>
          <cell r="S896">
            <v>-79577</v>
          </cell>
          <cell r="T896">
            <v>2088049</v>
          </cell>
        </row>
        <row r="897">
          <cell r="A897">
            <v>99613</v>
          </cell>
          <cell r="B897" t="str">
            <v>HOUSING AUTHORITY OF GOLDSBORO</v>
          </cell>
          <cell r="C897">
            <v>3.57E-4</v>
          </cell>
          <cell r="D897">
            <v>3.2909999999999998E-4</v>
          </cell>
          <cell r="E897">
            <v>846926</v>
          </cell>
          <cell r="F897"/>
          <cell r="G897">
            <v>130661</v>
          </cell>
          <cell r="H897">
            <v>116258</v>
          </cell>
          <cell r="I897">
            <v>224741</v>
          </cell>
          <cell r="J897">
            <v>342685</v>
          </cell>
          <cell r="K897">
            <v>814345</v>
          </cell>
          <cell r="L897"/>
          <cell r="M897">
            <v>4384</v>
          </cell>
          <cell r="N897">
            <v>0</v>
          </cell>
          <cell r="O897">
            <v>0</v>
          </cell>
          <cell r="P897">
            <v>4384</v>
          </cell>
          <cell r="Q897"/>
          <cell r="R897">
            <v>235253</v>
          </cell>
          <cell r="S897">
            <v>135388</v>
          </cell>
          <cell r="T897">
            <v>370641</v>
          </cell>
        </row>
        <row r="898">
          <cell r="A898">
            <v>99621</v>
          </cell>
          <cell r="B898" t="str">
            <v xml:space="preserve"> MOUNT OLIVE</v>
          </cell>
          <cell r="C898">
            <v>3.7399999999999998E-4</v>
          </cell>
          <cell r="D898">
            <v>3.7060000000000001E-4</v>
          </cell>
          <cell r="E898">
            <v>887256</v>
          </cell>
          <cell r="F898"/>
          <cell r="G898">
            <v>136883</v>
          </cell>
          <cell r="H898">
            <v>121794</v>
          </cell>
          <cell r="I898">
            <v>235443</v>
          </cell>
          <cell r="J898">
            <v>26836</v>
          </cell>
          <cell r="K898">
            <v>520956</v>
          </cell>
          <cell r="L898"/>
          <cell r="M898">
            <v>4593</v>
          </cell>
          <cell r="N898">
            <v>0</v>
          </cell>
          <cell r="O898">
            <v>3834</v>
          </cell>
          <cell r="P898">
            <v>8427</v>
          </cell>
          <cell r="Q898"/>
          <cell r="R898">
            <v>246456</v>
          </cell>
          <cell r="S898">
            <v>12349</v>
          </cell>
          <cell r="T898">
            <v>258805</v>
          </cell>
        </row>
        <row r="899">
          <cell r="A899">
            <v>99623</v>
          </cell>
          <cell r="B899" t="str">
            <v>MOUNT OLIVE HOUSING AUTHORITY</v>
          </cell>
          <cell r="C899">
            <v>3.4799999999999999E-5</v>
          </cell>
          <cell r="D899">
            <v>2.6400000000000001E-5</v>
          </cell>
          <cell r="E899">
            <v>82558</v>
          </cell>
          <cell r="F899"/>
          <cell r="G899">
            <v>12737</v>
          </cell>
          <cell r="H899">
            <v>11333</v>
          </cell>
          <cell r="I899">
            <v>21908</v>
          </cell>
          <cell r="J899">
            <v>1303</v>
          </cell>
          <cell r="K899">
            <v>47281</v>
          </cell>
          <cell r="L899"/>
          <cell r="M899">
            <v>427</v>
          </cell>
          <cell r="N899">
            <v>0</v>
          </cell>
          <cell r="O899">
            <v>2046</v>
          </cell>
          <cell r="P899">
            <v>2473</v>
          </cell>
          <cell r="Q899"/>
          <cell r="R899">
            <v>22932</v>
          </cell>
          <cell r="S899">
            <v>311</v>
          </cell>
          <cell r="T899">
            <v>23243</v>
          </cell>
        </row>
        <row r="900">
          <cell r="A900">
            <v>99631</v>
          </cell>
          <cell r="B900" t="str">
            <v xml:space="preserve"> FREMONT</v>
          </cell>
          <cell r="C900">
            <v>1.11E-4</v>
          </cell>
          <cell r="D900">
            <v>1.102E-4</v>
          </cell>
          <cell r="E900">
            <v>263330</v>
          </cell>
          <cell r="F900"/>
          <cell r="G900">
            <v>40626</v>
          </cell>
          <cell r="H900">
            <v>36148</v>
          </cell>
          <cell r="I900">
            <v>69878</v>
          </cell>
          <cell r="J900">
            <v>803</v>
          </cell>
          <cell r="K900">
            <v>147455</v>
          </cell>
          <cell r="L900"/>
          <cell r="M900">
            <v>1363</v>
          </cell>
          <cell r="N900">
            <v>0</v>
          </cell>
          <cell r="O900">
            <v>2497</v>
          </cell>
          <cell r="P900">
            <v>3860</v>
          </cell>
          <cell r="Q900"/>
          <cell r="R900">
            <v>73146</v>
          </cell>
          <cell r="S900">
            <v>-4302</v>
          </cell>
          <cell r="T900">
            <v>68844</v>
          </cell>
        </row>
        <row r="901">
          <cell r="A901">
            <v>99651</v>
          </cell>
          <cell r="B901" t="str">
            <v xml:space="preserve"> PIKEVILLE</v>
          </cell>
          <cell r="C901">
            <v>5.7000000000000003E-5</v>
          </cell>
          <cell r="D901">
            <v>6.7199999999999994E-5</v>
          </cell>
          <cell r="E901">
            <v>135223</v>
          </cell>
          <cell r="F901"/>
          <cell r="G901">
            <v>20862</v>
          </cell>
          <cell r="H901">
            <v>18562</v>
          </cell>
          <cell r="I901">
            <v>35883</v>
          </cell>
          <cell r="J901">
            <v>3097</v>
          </cell>
          <cell r="K901">
            <v>78404</v>
          </cell>
          <cell r="L901"/>
          <cell r="M901">
            <v>700</v>
          </cell>
          <cell r="N901">
            <v>0</v>
          </cell>
          <cell r="O901">
            <v>6539</v>
          </cell>
          <cell r="P901">
            <v>7239</v>
          </cell>
          <cell r="Q901"/>
          <cell r="R901">
            <v>37561</v>
          </cell>
          <cell r="S901">
            <v>-227</v>
          </cell>
          <cell r="T901">
            <v>37334</v>
          </cell>
        </row>
        <row r="902">
          <cell r="A902">
            <v>99661</v>
          </cell>
          <cell r="B902" t="str">
            <v xml:space="preserve"> WALNUT CREEK</v>
          </cell>
          <cell r="C902">
            <v>2.5999999999999998E-5</v>
          </cell>
          <cell r="D902">
            <v>3.26E-5</v>
          </cell>
          <cell r="E902">
            <v>61681</v>
          </cell>
          <cell r="F902"/>
          <cell r="G902">
            <v>9516</v>
          </cell>
          <cell r="H902">
            <v>8467</v>
          </cell>
          <cell r="I902">
            <v>16368</v>
          </cell>
          <cell r="J902">
            <v>41516</v>
          </cell>
          <cell r="K902">
            <v>75867</v>
          </cell>
          <cell r="L902"/>
          <cell r="M902">
            <v>319</v>
          </cell>
          <cell r="N902">
            <v>0</v>
          </cell>
          <cell r="O902">
            <v>0</v>
          </cell>
          <cell r="P902">
            <v>319</v>
          </cell>
          <cell r="Q902"/>
          <cell r="R902">
            <v>17133</v>
          </cell>
          <cell r="S902">
            <v>17737</v>
          </cell>
          <cell r="T902">
            <v>34870</v>
          </cell>
        </row>
        <row r="903">
          <cell r="A903">
            <v>99701</v>
          </cell>
          <cell r="B903" t="str">
            <v>WILKES COUNTY</v>
          </cell>
          <cell r="C903">
            <v>2.9659E-3</v>
          </cell>
          <cell r="D903">
            <v>2.9190000000000002E-3</v>
          </cell>
          <cell r="E903">
            <v>7036129</v>
          </cell>
          <cell r="F903"/>
          <cell r="G903">
            <v>1085508</v>
          </cell>
          <cell r="H903">
            <v>965851</v>
          </cell>
          <cell r="I903">
            <v>1867117</v>
          </cell>
          <cell r="J903">
            <v>11285</v>
          </cell>
          <cell r="K903">
            <v>3929761</v>
          </cell>
          <cell r="L903"/>
          <cell r="M903">
            <v>36424</v>
          </cell>
          <cell r="N903">
            <v>0</v>
          </cell>
          <cell r="O903">
            <v>20475</v>
          </cell>
          <cell r="P903">
            <v>56899</v>
          </cell>
          <cell r="Q903"/>
          <cell r="R903">
            <v>1954448</v>
          </cell>
          <cell r="S903">
            <v>-5521</v>
          </cell>
          <cell r="T903">
            <v>1948927</v>
          </cell>
        </row>
        <row r="904">
          <cell r="A904">
            <v>99705</v>
          </cell>
          <cell r="B904" t="str">
            <v>APPALACHIAN REGIONAL LIBRARY</v>
          </cell>
          <cell r="C904">
            <v>1.6349999999999999E-4</v>
          </cell>
          <cell r="D904">
            <v>1.7229999999999999E-4</v>
          </cell>
          <cell r="E904">
            <v>387878</v>
          </cell>
          <cell r="F904"/>
          <cell r="G904">
            <v>59840</v>
          </cell>
          <cell r="H904">
            <v>53244</v>
          </cell>
          <cell r="I904">
            <v>102928</v>
          </cell>
          <cell r="J904">
            <v>9123</v>
          </cell>
          <cell r="K904">
            <v>225135</v>
          </cell>
          <cell r="L904"/>
          <cell r="M904">
            <v>2008</v>
          </cell>
          <cell r="N904">
            <v>0</v>
          </cell>
          <cell r="O904">
            <v>244</v>
          </cell>
          <cell r="P904">
            <v>2252</v>
          </cell>
          <cell r="Q904"/>
          <cell r="R904">
            <v>107742</v>
          </cell>
          <cell r="S904">
            <v>6947</v>
          </cell>
          <cell r="T904">
            <v>114689</v>
          </cell>
        </row>
        <row r="905">
          <cell r="A905">
            <v>99711</v>
          </cell>
          <cell r="B905" t="str">
            <v xml:space="preserve"> N WILKESBORO</v>
          </cell>
          <cell r="C905">
            <v>4.462E-4</v>
          </cell>
          <cell r="D905">
            <v>4.5459999999999999E-4</v>
          </cell>
          <cell r="E905">
            <v>1058539</v>
          </cell>
          <cell r="F905"/>
          <cell r="G905">
            <v>163307</v>
          </cell>
          <cell r="H905">
            <v>145306</v>
          </cell>
          <cell r="I905">
            <v>280895</v>
          </cell>
          <cell r="J905">
            <v>10132</v>
          </cell>
          <cell r="K905">
            <v>599640</v>
          </cell>
          <cell r="L905"/>
          <cell r="M905">
            <v>5480</v>
          </cell>
          <cell r="N905">
            <v>0</v>
          </cell>
          <cell r="O905">
            <v>5402</v>
          </cell>
          <cell r="P905">
            <v>10882</v>
          </cell>
          <cell r="Q905"/>
          <cell r="R905">
            <v>294034</v>
          </cell>
          <cell r="S905">
            <v>-1088</v>
          </cell>
          <cell r="T905">
            <v>292946</v>
          </cell>
        </row>
        <row r="906">
          <cell r="A906">
            <v>99717</v>
          </cell>
          <cell r="B906" t="str">
            <v xml:space="preserve"> N WILKESBORO ABC BOARD</v>
          </cell>
          <cell r="C906">
            <v>2.1800000000000001E-5</v>
          </cell>
          <cell r="D906">
            <v>2.19E-5</v>
          </cell>
          <cell r="E906">
            <v>51717</v>
          </cell>
          <cell r="F906"/>
          <cell r="G906">
            <v>7979</v>
          </cell>
          <cell r="H906">
            <v>7099</v>
          </cell>
          <cell r="I906">
            <v>13724</v>
          </cell>
          <cell r="J906">
            <v>0</v>
          </cell>
          <cell r="K906">
            <v>28802</v>
          </cell>
          <cell r="L906"/>
          <cell r="M906">
            <v>268</v>
          </cell>
          <cell r="N906">
            <v>0</v>
          </cell>
          <cell r="O906">
            <v>4093</v>
          </cell>
          <cell r="P906">
            <v>4361</v>
          </cell>
          <cell r="Q906"/>
          <cell r="R906">
            <v>14366</v>
          </cell>
          <cell r="S906">
            <v>-1627</v>
          </cell>
          <cell r="T906">
            <v>12739</v>
          </cell>
        </row>
        <row r="907">
          <cell r="A907">
            <v>99721</v>
          </cell>
          <cell r="B907" t="str">
            <v xml:space="preserve"> WILKESBORO</v>
          </cell>
          <cell r="C907">
            <v>5.886E-4</v>
          </cell>
          <cell r="D907">
            <v>5.7779999999999995E-4</v>
          </cell>
          <cell r="E907">
            <v>1396361</v>
          </cell>
          <cell r="F907"/>
          <cell r="G907">
            <v>215425</v>
          </cell>
          <cell r="H907">
            <v>191679</v>
          </cell>
          <cell r="I907">
            <v>370540</v>
          </cell>
          <cell r="J907">
            <v>0</v>
          </cell>
          <cell r="K907">
            <v>777644</v>
          </cell>
          <cell r="L907"/>
          <cell r="M907">
            <v>7229</v>
          </cell>
          <cell r="N907">
            <v>0</v>
          </cell>
          <cell r="O907">
            <v>40498</v>
          </cell>
          <cell r="P907">
            <v>47727</v>
          </cell>
          <cell r="Q907"/>
          <cell r="R907">
            <v>387872</v>
          </cell>
          <cell r="S907">
            <v>-15685</v>
          </cell>
          <cell r="T907">
            <v>372187</v>
          </cell>
        </row>
        <row r="908">
          <cell r="A908">
            <v>99727</v>
          </cell>
          <cell r="B908" t="str">
            <v>WILKESBORO ABC BOARD</v>
          </cell>
          <cell r="C908">
            <v>2.2099999999999998E-5</v>
          </cell>
          <cell r="D908">
            <v>2.3900000000000002E-5</v>
          </cell>
          <cell r="E908">
            <v>52429</v>
          </cell>
          <cell r="F908"/>
          <cell r="G908">
            <v>8089</v>
          </cell>
          <cell r="H908">
            <v>7197</v>
          </cell>
          <cell r="I908">
            <v>13913</v>
          </cell>
          <cell r="J908">
            <v>68017</v>
          </cell>
          <cell r="K908">
            <v>97216</v>
          </cell>
          <cell r="L908"/>
          <cell r="M908">
            <v>271</v>
          </cell>
          <cell r="N908">
            <v>0</v>
          </cell>
          <cell r="O908">
            <v>0</v>
          </cell>
          <cell r="P908">
            <v>271</v>
          </cell>
          <cell r="Q908"/>
          <cell r="R908">
            <v>14563</v>
          </cell>
          <cell r="S908">
            <v>28353</v>
          </cell>
          <cell r="T908">
            <v>42916</v>
          </cell>
        </row>
        <row r="909">
          <cell r="A909">
            <v>99801</v>
          </cell>
          <cell r="B909" t="str">
            <v>WILSON COUNTY</v>
          </cell>
          <cell r="C909">
            <v>4.9709000000000003E-3</v>
          </cell>
          <cell r="D909">
            <v>5.1866000000000004E-3</v>
          </cell>
          <cell r="E909">
            <v>11792675</v>
          </cell>
          <cell r="F909"/>
          <cell r="G909">
            <v>1819330</v>
          </cell>
          <cell r="H909">
            <v>1618783</v>
          </cell>
          <cell r="I909">
            <v>3129321</v>
          </cell>
          <cell r="J909">
            <v>0</v>
          </cell>
          <cell r="K909">
            <v>6567434</v>
          </cell>
          <cell r="L909"/>
          <cell r="M909">
            <v>61048</v>
          </cell>
          <cell r="N909">
            <v>0</v>
          </cell>
          <cell r="O909">
            <v>343453</v>
          </cell>
          <cell r="P909">
            <v>404501</v>
          </cell>
          <cell r="Q909"/>
          <cell r="R909">
            <v>3275689</v>
          </cell>
          <cell r="S909">
            <v>-89773</v>
          </cell>
          <cell r="T909">
            <v>3185916</v>
          </cell>
        </row>
        <row r="910">
          <cell r="A910">
            <v>99802</v>
          </cell>
          <cell r="B910" t="str">
            <v>WILSON COUNTY TOURISM DEVELOPMENT AUTHORITY</v>
          </cell>
          <cell r="C910">
            <v>1.19E-5</v>
          </cell>
          <cell r="D910">
            <v>6.0000000000000002E-6</v>
          </cell>
          <cell r="E910">
            <v>28231</v>
          </cell>
          <cell r="F910"/>
          <cell r="G910">
            <v>4355</v>
          </cell>
          <cell r="H910">
            <v>3875</v>
          </cell>
          <cell r="I910">
            <v>7491</v>
          </cell>
          <cell r="J910">
            <v>5957</v>
          </cell>
          <cell r="K910">
            <v>21678</v>
          </cell>
          <cell r="L910"/>
          <cell r="M910">
            <v>146</v>
          </cell>
          <cell r="N910">
            <v>0</v>
          </cell>
          <cell r="O910">
            <v>0</v>
          </cell>
          <cell r="P910">
            <v>146</v>
          </cell>
          <cell r="Q910"/>
          <cell r="R910">
            <v>7842</v>
          </cell>
          <cell r="S910">
            <v>1575</v>
          </cell>
          <cell r="T910">
            <v>9417</v>
          </cell>
        </row>
        <row r="911">
          <cell r="A911">
            <v>99804</v>
          </cell>
          <cell r="B911" t="str">
            <v>WILSON COUNTY ABC BOARD</v>
          </cell>
          <cell r="C911">
            <v>8.1000000000000004E-5</v>
          </cell>
          <cell r="D911">
            <v>9.0500000000000004E-5</v>
          </cell>
          <cell r="E911">
            <v>192160</v>
          </cell>
          <cell r="F911"/>
          <cell r="G911">
            <v>29646</v>
          </cell>
          <cell r="H911">
            <v>26377</v>
          </cell>
          <cell r="I911">
            <v>50992</v>
          </cell>
          <cell r="J911">
            <v>8772</v>
          </cell>
          <cell r="K911">
            <v>115787</v>
          </cell>
          <cell r="L911"/>
          <cell r="M911">
            <v>995</v>
          </cell>
          <cell r="N911">
            <v>0</v>
          </cell>
          <cell r="O911">
            <v>129</v>
          </cell>
          <cell r="P911">
            <v>1124</v>
          </cell>
          <cell r="Q911"/>
          <cell r="R911">
            <v>53377</v>
          </cell>
          <cell r="S911">
            <v>4885</v>
          </cell>
          <cell r="T911">
            <v>58262</v>
          </cell>
        </row>
        <row r="912">
          <cell r="A912">
            <v>99811</v>
          </cell>
          <cell r="B912" t="str">
            <v>WILSON</v>
          </cell>
          <cell r="C912">
            <v>6.4733000000000004E-3</v>
          </cell>
          <cell r="D912">
            <v>6.7026999999999998E-3</v>
          </cell>
          <cell r="E912">
            <v>15356881</v>
          </cell>
          <cell r="F912"/>
          <cell r="G912">
            <v>2369202</v>
          </cell>
          <cell r="H912">
            <v>2108043</v>
          </cell>
          <cell r="I912">
            <v>4075124</v>
          </cell>
          <cell r="J912">
            <v>0</v>
          </cell>
          <cell r="K912">
            <v>8552369</v>
          </cell>
          <cell r="L912"/>
          <cell r="M912">
            <v>79499</v>
          </cell>
          <cell r="N912">
            <v>0</v>
          </cell>
          <cell r="O912">
            <v>605474</v>
          </cell>
          <cell r="P912">
            <v>684973</v>
          </cell>
          <cell r="Q912"/>
          <cell r="R912">
            <v>4265730</v>
          </cell>
          <cell r="S912">
            <v>-297315</v>
          </cell>
          <cell r="T912">
            <v>3968415</v>
          </cell>
        </row>
        <row r="913">
          <cell r="A913">
            <v>99812</v>
          </cell>
          <cell r="B913" t="str">
            <v>WILSON ECONOMIC DEV COUNCIL</v>
          </cell>
          <cell r="C913">
            <v>1.9700000000000001E-5</v>
          </cell>
          <cell r="D913">
            <v>2.2099999999999998E-5</v>
          </cell>
          <cell r="E913">
            <v>46735</v>
          </cell>
          <cell r="F913"/>
          <cell r="G913">
            <v>7210</v>
          </cell>
          <cell r="H913">
            <v>6415</v>
          </cell>
          <cell r="I913">
            <v>12402</v>
          </cell>
          <cell r="J913">
            <v>15128</v>
          </cell>
          <cell r="K913">
            <v>41155</v>
          </cell>
          <cell r="L913"/>
          <cell r="M913">
            <v>242</v>
          </cell>
          <cell r="N913">
            <v>0</v>
          </cell>
          <cell r="O913">
            <v>0</v>
          </cell>
          <cell r="P913">
            <v>242</v>
          </cell>
          <cell r="Q913"/>
          <cell r="R913">
            <v>12982</v>
          </cell>
          <cell r="S913">
            <v>6159</v>
          </cell>
          <cell r="T913">
            <v>19141</v>
          </cell>
        </row>
        <row r="914">
          <cell r="A914">
            <v>99818</v>
          </cell>
          <cell r="B914" t="str">
            <v>WILSON CEMETERY COMMISSION</v>
          </cell>
          <cell r="C914">
            <v>3.3399999999999999E-5</v>
          </cell>
          <cell r="D914">
            <v>3.1600000000000002E-5</v>
          </cell>
          <cell r="E914">
            <v>79236</v>
          </cell>
          <cell r="F914"/>
          <cell r="G914">
            <v>12224</v>
          </cell>
          <cell r="H914">
            <v>10877</v>
          </cell>
          <cell r="I914">
            <v>21026</v>
          </cell>
          <cell r="J914">
            <v>554</v>
          </cell>
          <cell r="K914">
            <v>44681</v>
          </cell>
          <cell r="L914"/>
          <cell r="M914">
            <v>410</v>
          </cell>
          <cell r="N914">
            <v>0</v>
          </cell>
          <cell r="O914">
            <v>5622</v>
          </cell>
          <cell r="P914">
            <v>6032</v>
          </cell>
          <cell r="Q914"/>
          <cell r="R914">
            <v>22010</v>
          </cell>
          <cell r="S914">
            <v>419</v>
          </cell>
          <cell r="T914">
            <v>22429</v>
          </cell>
        </row>
        <row r="915">
          <cell r="A915">
            <v>99821</v>
          </cell>
          <cell r="B915" t="str">
            <v xml:space="preserve"> STANTONSBURG</v>
          </cell>
          <cell r="C915">
            <v>9.2899999999999995E-5</v>
          </cell>
          <cell r="D915">
            <v>9.1100000000000005E-5</v>
          </cell>
          <cell r="E915">
            <v>220391</v>
          </cell>
          <cell r="F915"/>
          <cell r="G915">
            <v>34001</v>
          </cell>
          <cell r="H915">
            <v>30253</v>
          </cell>
          <cell r="I915">
            <v>58483</v>
          </cell>
          <cell r="J915">
            <v>16591</v>
          </cell>
          <cell r="K915">
            <v>139328</v>
          </cell>
          <cell r="L915"/>
          <cell r="M915">
            <v>1141</v>
          </cell>
          <cell r="N915">
            <v>0</v>
          </cell>
          <cell r="O915">
            <v>250</v>
          </cell>
          <cell r="P915">
            <v>1391</v>
          </cell>
          <cell r="Q915"/>
          <cell r="R915">
            <v>61219</v>
          </cell>
          <cell r="S915">
            <v>11230</v>
          </cell>
          <cell r="T915">
            <v>72449</v>
          </cell>
        </row>
        <row r="916">
          <cell r="A916">
            <v>99831</v>
          </cell>
          <cell r="B916" t="str">
            <v xml:space="preserve"> BLACK CREEK</v>
          </cell>
          <cell r="C916">
            <v>4.9700000000000002E-5</v>
          </cell>
          <cell r="D916">
            <v>6.3299999999999994E-5</v>
          </cell>
          <cell r="E916">
            <v>117905</v>
          </cell>
          <cell r="F916"/>
          <cell r="G916">
            <v>18190</v>
          </cell>
          <cell r="H916">
            <v>16185</v>
          </cell>
          <cell r="I916">
            <v>31288</v>
          </cell>
          <cell r="J916">
            <v>4819</v>
          </cell>
          <cell r="K916">
            <v>70482</v>
          </cell>
          <cell r="L916"/>
          <cell r="M916">
            <v>610</v>
          </cell>
          <cell r="N916">
            <v>0</v>
          </cell>
          <cell r="O916">
            <v>7455</v>
          </cell>
          <cell r="P916">
            <v>8065</v>
          </cell>
          <cell r="Q916"/>
          <cell r="R916">
            <v>32751</v>
          </cell>
          <cell r="S916">
            <v>103</v>
          </cell>
          <cell r="T916">
            <v>32854</v>
          </cell>
        </row>
        <row r="917">
          <cell r="A917">
            <v>99841</v>
          </cell>
          <cell r="B917" t="str">
            <v xml:space="preserve"> LUCAMA</v>
          </cell>
          <cell r="C917">
            <v>3.2199999999999997E-5</v>
          </cell>
          <cell r="D917">
            <v>4.3399999999999998E-5</v>
          </cell>
          <cell r="E917">
            <v>76389</v>
          </cell>
          <cell r="F917"/>
          <cell r="G917">
            <v>11785</v>
          </cell>
          <cell r="H917">
            <v>10486</v>
          </cell>
          <cell r="I917">
            <v>20271</v>
          </cell>
          <cell r="J917">
            <v>574</v>
          </cell>
          <cell r="K917">
            <v>43116</v>
          </cell>
          <cell r="L917"/>
          <cell r="M917">
            <v>395</v>
          </cell>
          <cell r="N917">
            <v>0</v>
          </cell>
          <cell r="O917">
            <v>8879</v>
          </cell>
          <cell r="P917">
            <v>9274</v>
          </cell>
          <cell r="Q917"/>
          <cell r="R917">
            <v>21219</v>
          </cell>
          <cell r="S917">
            <v>-2883</v>
          </cell>
          <cell r="T917">
            <v>18336</v>
          </cell>
        </row>
        <row r="918">
          <cell r="A918">
            <v>99851</v>
          </cell>
          <cell r="B918" t="str">
            <v xml:space="preserve"> ELM CITY</v>
          </cell>
          <cell r="C918">
            <v>2.34E-5</v>
          </cell>
          <cell r="D918">
            <v>2.23E-5</v>
          </cell>
          <cell r="E918">
            <v>55513</v>
          </cell>
          <cell r="F918"/>
          <cell r="G918">
            <v>8564</v>
          </cell>
          <cell r="H918">
            <v>7620</v>
          </cell>
          <cell r="I918">
            <v>14731</v>
          </cell>
          <cell r="J918">
            <v>65</v>
          </cell>
          <cell r="K918">
            <v>30980</v>
          </cell>
          <cell r="L918"/>
          <cell r="M918">
            <v>287</v>
          </cell>
          <cell r="N918">
            <v>0</v>
          </cell>
          <cell r="O918">
            <v>4221</v>
          </cell>
          <cell r="P918">
            <v>4508</v>
          </cell>
          <cell r="Q918"/>
          <cell r="R918">
            <v>15420</v>
          </cell>
          <cell r="S918">
            <v>-1336</v>
          </cell>
          <cell r="T918">
            <v>14084</v>
          </cell>
        </row>
        <row r="919">
          <cell r="A919">
            <v>99901</v>
          </cell>
          <cell r="B919" t="str">
            <v>YADKIN COUNTY</v>
          </cell>
          <cell r="C919">
            <v>1.5693E-3</v>
          </cell>
          <cell r="D919">
            <v>1.6707E-3</v>
          </cell>
          <cell r="E919">
            <v>3722916</v>
          </cell>
          <cell r="F919"/>
          <cell r="G919">
            <v>574358</v>
          </cell>
          <cell r="H919">
            <v>511045</v>
          </cell>
          <cell r="I919">
            <v>987918</v>
          </cell>
          <cell r="J919">
            <v>38150</v>
          </cell>
          <cell r="K919">
            <v>2111471</v>
          </cell>
          <cell r="L919"/>
          <cell r="M919">
            <v>19273</v>
          </cell>
          <cell r="N919">
            <v>0</v>
          </cell>
          <cell r="O919">
            <v>80037</v>
          </cell>
          <cell r="P919">
            <v>99310</v>
          </cell>
          <cell r="Q919"/>
          <cell r="R919">
            <v>1034126</v>
          </cell>
          <cell r="S919">
            <v>-6774</v>
          </cell>
          <cell r="T919">
            <v>1027352</v>
          </cell>
        </row>
        <row r="920">
          <cell r="A920">
            <v>99911</v>
          </cell>
          <cell r="B920" t="str">
            <v xml:space="preserve"> YADKINVILLE</v>
          </cell>
          <cell r="C920">
            <v>2.3900000000000001E-4</v>
          </cell>
          <cell r="D920">
            <v>2.5980000000000003E-4</v>
          </cell>
          <cell r="E920">
            <v>566990</v>
          </cell>
          <cell r="F920"/>
          <cell r="G920">
            <v>87473</v>
          </cell>
          <cell r="H920">
            <v>77831</v>
          </cell>
          <cell r="I920">
            <v>150457</v>
          </cell>
          <cell r="J920">
            <v>4825</v>
          </cell>
          <cell r="K920">
            <v>320586</v>
          </cell>
          <cell r="L920"/>
          <cell r="M920">
            <v>2935</v>
          </cell>
          <cell r="N920">
            <v>0</v>
          </cell>
          <cell r="O920">
            <v>11799</v>
          </cell>
          <cell r="P920">
            <v>14734</v>
          </cell>
          <cell r="Q920"/>
          <cell r="R920">
            <v>157495</v>
          </cell>
          <cell r="S920">
            <v>-7207</v>
          </cell>
          <cell r="T920">
            <v>150288</v>
          </cell>
        </row>
        <row r="921">
          <cell r="A921">
            <v>99921</v>
          </cell>
          <cell r="B921" t="str">
            <v xml:space="preserve"> JONESVILLE</v>
          </cell>
          <cell r="C921">
            <v>1.3119999999999999E-4</v>
          </cell>
          <cell r="D921">
            <v>1.506E-4</v>
          </cell>
          <cell r="E921">
            <v>311251</v>
          </cell>
          <cell r="F921"/>
          <cell r="G921">
            <v>48019</v>
          </cell>
          <cell r="H921">
            <v>42726</v>
          </cell>
          <cell r="I921">
            <v>82594</v>
          </cell>
          <cell r="J921">
            <v>1708</v>
          </cell>
          <cell r="K921">
            <v>175047</v>
          </cell>
          <cell r="L921"/>
          <cell r="M921">
            <v>1611</v>
          </cell>
          <cell r="N921">
            <v>0</v>
          </cell>
          <cell r="O921">
            <v>19558</v>
          </cell>
          <cell r="P921">
            <v>21169</v>
          </cell>
          <cell r="Q921"/>
          <cell r="R921">
            <v>86457</v>
          </cell>
          <cell r="S921">
            <v>-7225</v>
          </cell>
          <cell r="T921">
            <v>79232</v>
          </cell>
        </row>
        <row r="922">
          <cell r="A922">
            <v>99931</v>
          </cell>
          <cell r="B922" t="str">
            <v xml:space="preserve"> EAST BEND</v>
          </cell>
          <cell r="C922">
            <v>1.52E-5</v>
          </cell>
          <cell r="D922">
            <v>1.5800000000000001E-5</v>
          </cell>
          <cell r="E922">
            <v>36060</v>
          </cell>
          <cell r="F922"/>
          <cell r="G922">
            <v>5563</v>
          </cell>
          <cell r="H922">
            <v>4950</v>
          </cell>
          <cell r="I922">
            <v>9569</v>
          </cell>
          <cell r="J922">
            <v>1614</v>
          </cell>
          <cell r="K922">
            <v>21696</v>
          </cell>
          <cell r="L922"/>
          <cell r="M922">
            <v>187</v>
          </cell>
          <cell r="N922">
            <v>0</v>
          </cell>
          <cell r="O922">
            <v>5213</v>
          </cell>
          <cell r="P922">
            <v>5400</v>
          </cell>
          <cell r="Q922"/>
          <cell r="R922">
            <v>10016</v>
          </cell>
          <cell r="S922">
            <v>-2861</v>
          </cell>
          <cell r="T922">
            <v>7155</v>
          </cell>
        </row>
        <row r="923">
          <cell r="A923">
            <v>99941</v>
          </cell>
          <cell r="B923" t="str">
            <v xml:space="preserve"> BOONVILLE</v>
          </cell>
          <cell r="C923">
            <v>7.4200000000000001E-5</v>
          </cell>
          <cell r="D923">
            <v>7.5400000000000003E-5</v>
          </cell>
          <cell r="E923">
            <v>176028</v>
          </cell>
          <cell r="F923"/>
          <cell r="G923">
            <v>27157</v>
          </cell>
          <cell r="H923">
            <v>24164</v>
          </cell>
          <cell r="I923">
            <v>46711</v>
          </cell>
          <cell r="J923">
            <v>0</v>
          </cell>
          <cell r="K923">
            <v>98032</v>
          </cell>
          <cell r="L923"/>
          <cell r="M923">
            <v>911</v>
          </cell>
          <cell r="N923">
            <v>0</v>
          </cell>
          <cell r="O923">
            <v>9131</v>
          </cell>
          <cell r="P923">
            <v>10042</v>
          </cell>
          <cell r="Q923"/>
          <cell r="R923">
            <v>48896</v>
          </cell>
          <cell r="S923">
            <v>-5026</v>
          </cell>
          <cell r="T923">
            <v>43870</v>
          </cell>
        </row>
        <row r="924">
          <cell r="A924">
            <v>99991</v>
          </cell>
          <cell r="B924" t="str">
            <v>N C ASSOC OF CO COMMISSIONERS</v>
          </cell>
          <cell r="C924">
            <v>5.2700000000000002E-4</v>
          </cell>
          <cell r="D924">
            <v>5.3450000000000004E-4</v>
          </cell>
          <cell r="E924">
            <v>1250224</v>
          </cell>
          <cell r="F924"/>
          <cell r="G924">
            <v>192880</v>
          </cell>
          <cell r="H924">
            <v>171619</v>
          </cell>
          <cell r="I924">
            <v>331761</v>
          </cell>
          <cell r="J924">
            <v>9601</v>
          </cell>
          <cell r="K924">
            <v>705861</v>
          </cell>
          <cell r="L924"/>
          <cell r="M924">
            <v>6472</v>
          </cell>
          <cell r="N924">
            <v>0</v>
          </cell>
          <cell r="O924">
            <v>27621</v>
          </cell>
          <cell r="P924">
            <v>34093</v>
          </cell>
          <cell r="Q924"/>
          <cell r="R924">
            <v>347279</v>
          </cell>
          <cell r="S924">
            <v>10622</v>
          </cell>
          <cell r="T924">
            <v>357901</v>
          </cell>
        </row>
        <row r="925">
          <cell r="A925">
            <v>99999</v>
          </cell>
          <cell r="B925" t="str">
            <v>N C LEAGUE OF MUNICIPALITIES</v>
          </cell>
          <cell r="C925">
            <v>9.2020000000000003E-4</v>
          </cell>
          <cell r="D925">
            <v>8.7509999999999997E-4</v>
          </cell>
          <cell r="E925">
            <v>2183029</v>
          </cell>
          <cell r="F925"/>
          <cell r="G925">
            <v>336790</v>
          </cell>
          <cell r="H925">
            <v>299665</v>
          </cell>
          <cell r="I925">
            <v>579292</v>
          </cell>
          <cell r="J925">
            <v>139284</v>
          </cell>
          <cell r="K925">
            <v>1355031</v>
          </cell>
          <cell r="L925"/>
          <cell r="M925">
            <v>11301</v>
          </cell>
          <cell r="N925">
            <v>0</v>
          </cell>
          <cell r="O925">
            <v>3425</v>
          </cell>
          <cell r="P925">
            <v>14726</v>
          </cell>
          <cell r="Q925"/>
          <cell r="R925">
            <v>606387</v>
          </cell>
          <cell r="S925">
            <v>34690</v>
          </cell>
          <cell r="T925">
            <v>641077</v>
          </cell>
        </row>
        <row r="926">
          <cell r="A926" t="str">
            <v>9XXXY</v>
          </cell>
          <cell r="B926" t="str">
            <v>CAROLINA COUNTY</v>
          </cell>
          <cell r="C926">
            <v>2.6327999999999998E-3</v>
          </cell>
          <cell r="D926">
            <v>2.6581E-3</v>
          </cell>
          <cell r="E926">
            <v>6245902</v>
          </cell>
          <cell r="F926" t="str">
            <v xml:space="preserve">   </v>
          </cell>
          <cell r="G926">
            <v>963594</v>
          </cell>
          <cell r="H926">
            <v>857376</v>
          </cell>
          <cell r="I926">
            <v>1657421</v>
          </cell>
          <cell r="J926">
            <v>84751</v>
          </cell>
          <cell r="K926">
            <v>3563142</v>
          </cell>
          <cell r="L926"/>
          <cell r="M926">
            <v>32333</v>
          </cell>
          <cell r="N926">
            <v>0</v>
          </cell>
          <cell r="O926">
            <v>109908</v>
          </cell>
          <cell r="P926">
            <v>142241</v>
          </cell>
          <cell r="Q926"/>
          <cell r="R926">
            <v>1734944</v>
          </cell>
          <cell r="S926">
            <v>11083</v>
          </cell>
          <cell r="T926">
            <v>1746027</v>
          </cell>
        </row>
        <row r="927">
          <cell r="A927"/>
          <cell r="B927"/>
          <cell r="C927"/>
          <cell r="D927"/>
        </row>
        <row r="928">
          <cell r="A928"/>
          <cell r="B928" t="str">
            <v>Total</v>
          </cell>
          <cell r="C928">
            <v>1</v>
          </cell>
          <cell r="D928">
            <v>1</v>
          </cell>
          <cell r="E928">
            <v>2372341991</v>
          </cell>
          <cell r="F928"/>
          <cell r="G928">
            <v>365996013</v>
          </cell>
          <cell r="H928">
            <v>325651977</v>
          </cell>
          <cell r="I928">
            <v>629527990</v>
          </cell>
          <cell r="J928">
            <v>39321171</v>
          </cell>
          <cell r="K928">
            <v>1360497151</v>
          </cell>
          <cell r="L928"/>
          <cell r="M928">
            <v>12280987</v>
          </cell>
          <cell r="N928">
            <v>0</v>
          </cell>
          <cell r="O928">
            <v>39321083</v>
          </cell>
          <cell r="P928">
            <v>51602070</v>
          </cell>
          <cell r="Q928"/>
          <cell r="R928">
            <v>658973009</v>
          </cell>
          <cell r="S928">
            <v>6</v>
          </cell>
          <cell r="T928">
            <v>658973015</v>
          </cell>
        </row>
        <row r="929">
          <cell r="A929"/>
          <cell r="B929" t="str">
            <v>Check total</v>
          </cell>
          <cell r="C929">
            <v>1</v>
          </cell>
          <cell r="D929">
            <v>1</v>
          </cell>
          <cell r="E929">
            <v>2372341991</v>
          </cell>
          <cell r="F929"/>
          <cell r="G929">
            <v>365996013</v>
          </cell>
          <cell r="H929">
            <v>325651977</v>
          </cell>
          <cell r="I929">
            <v>629527990</v>
          </cell>
          <cell r="J929">
            <v>39321171</v>
          </cell>
          <cell r="K929">
            <v>1360497151</v>
          </cell>
          <cell r="L929"/>
          <cell r="M929">
            <v>12280987</v>
          </cell>
          <cell r="N929">
            <v>0</v>
          </cell>
          <cell r="O929">
            <v>39321083</v>
          </cell>
          <cell r="P929">
            <v>51602070</v>
          </cell>
          <cell r="Q929"/>
          <cell r="R929">
            <v>658973009</v>
          </cell>
          <cell r="S929">
            <v>6</v>
          </cell>
          <cell r="T929">
            <v>658973015</v>
          </cell>
        </row>
        <row r="930">
          <cell r="A930"/>
          <cell r="B930"/>
          <cell r="C930"/>
          <cell r="D930"/>
          <cell r="E930"/>
          <cell r="F930"/>
          <cell r="G930"/>
          <cell r="H930"/>
          <cell r="I930"/>
          <cell r="J930"/>
          <cell r="K930"/>
          <cell r="L930"/>
          <cell r="M930"/>
          <cell r="N930"/>
          <cell r="O930"/>
          <cell r="P930"/>
          <cell r="Q930"/>
          <cell r="R930"/>
          <cell r="S930"/>
          <cell r="T930"/>
        </row>
        <row r="931">
          <cell r="B931" t="str">
            <v>No additional agency chosen</v>
          </cell>
          <cell r="C931" t="str">
            <v>N/A</v>
          </cell>
        </row>
        <row r="932">
          <cell r="A932"/>
          <cell r="B932" t="str">
            <v>ABERDEEN</v>
          </cell>
          <cell r="C932">
            <v>96331</v>
          </cell>
          <cell r="H932"/>
          <cell r="K932"/>
          <cell r="P932"/>
        </row>
        <row r="933">
          <cell r="A933"/>
          <cell r="B933" t="str">
            <v>AHOSKIE</v>
          </cell>
          <cell r="C933">
            <v>94611</v>
          </cell>
          <cell r="H933"/>
          <cell r="K933"/>
          <cell r="P933"/>
        </row>
        <row r="934">
          <cell r="A934"/>
          <cell r="B934" t="str">
            <v>AIRPORT COMMISSION OF FORSYTH COUNTY</v>
          </cell>
          <cell r="C934">
            <v>93402</v>
          </cell>
          <cell r="H934"/>
          <cell r="K934"/>
          <cell r="P934"/>
        </row>
        <row r="935">
          <cell r="A935"/>
          <cell r="B935" t="str">
            <v>ALAMANCE</v>
          </cell>
          <cell r="C935">
            <v>90151</v>
          </cell>
          <cell r="H935"/>
          <cell r="K935"/>
          <cell r="P935"/>
        </row>
        <row r="936">
          <cell r="A936"/>
          <cell r="B936" t="str">
            <v>ALAMANCE COMM FIRE DIST</v>
          </cell>
          <cell r="C936">
            <v>94109</v>
          </cell>
          <cell r="H936"/>
          <cell r="K936"/>
          <cell r="P936"/>
        </row>
        <row r="937">
          <cell r="A937"/>
          <cell r="B937" t="str">
            <v>ALAMANCE COUNTY</v>
          </cell>
          <cell r="C937">
            <v>90101</v>
          </cell>
          <cell r="H937"/>
          <cell r="K937"/>
          <cell r="P937"/>
        </row>
        <row r="938">
          <cell r="A938"/>
          <cell r="B938" t="str">
            <v>ALAMANCE MUNICIPAL ABC BOARD</v>
          </cell>
          <cell r="C938">
            <v>90117</v>
          </cell>
          <cell r="H938"/>
          <cell r="K938"/>
          <cell r="P938"/>
        </row>
        <row r="939">
          <cell r="A939"/>
          <cell r="B939" t="str">
            <v>ALBEMARLE</v>
          </cell>
          <cell r="C939">
            <v>98411</v>
          </cell>
          <cell r="H939"/>
          <cell r="K939"/>
          <cell r="P939"/>
        </row>
        <row r="940">
          <cell r="A940"/>
          <cell r="B940" t="str">
            <v>ALBEMARLE ABC BOARD</v>
          </cell>
          <cell r="C940">
            <v>98417</v>
          </cell>
          <cell r="H940"/>
          <cell r="K940"/>
          <cell r="P940"/>
        </row>
        <row r="941">
          <cell r="A941"/>
          <cell r="B941" t="str">
            <v>ALBEMARLE DISTRICT JAIL COMMISSION</v>
          </cell>
          <cell r="C941">
            <v>97008</v>
          </cell>
          <cell r="H941"/>
          <cell r="K941"/>
          <cell r="P941"/>
        </row>
        <row r="942">
          <cell r="A942"/>
          <cell r="B942" t="str">
            <v>ALBEMARLE HOSPITAL AUTHORITY</v>
          </cell>
          <cell r="C942">
            <v>97010</v>
          </cell>
          <cell r="H942"/>
          <cell r="K942"/>
          <cell r="P942"/>
        </row>
        <row r="943">
          <cell r="A943"/>
          <cell r="B943" t="str">
            <v>ALBEMARLE REGIONAL HEALTH SERVICES</v>
          </cell>
          <cell r="C943">
            <v>90096</v>
          </cell>
          <cell r="H943"/>
          <cell r="K943"/>
          <cell r="P943"/>
        </row>
        <row r="944">
          <cell r="A944"/>
          <cell r="B944" t="str">
            <v>ALBEMARLE REGIONAL LIBRARY</v>
          </cell>
          <cell r="C944">
            <v>90805</v>
          </cell>
          <cell r="H944"/>
          <cell r="K944"/>
          <cell r="P944"/>
        </row>
        <row r="945">
          <cell r="A945"/>
          <cell r="B945" t="str">
            <v>ALBEMARLE REGNL PLANNING &amp; DEVELOPMENT COMM</v>
          </cell>
          <cell r="C945">
            <v>92109</v>
          </cell>
          <cell r="H945"/>
          <cell r="K945"/>
          <cell r="P945"/>
        </row>
        <row r="946">
          <cell r="A946"/>
          <cell r="B946" t="str">
            <v>ALEXANDER COUNTY</v>
          </cell>
          <cell r="C946">
            <v>90201</v>
          </cell>
          <cell r="H946"/>
          <cell r="K946"/>
          <cell r="P946"/>
        </row>
        <row r="947">
          <cell r="A947"/>
          <cell r="B947" t="str">
            <v>ALEXANDER COUNTY DEPT OF S S</v>
          </cell>
          <cell r="C947">
            <v>90206</v>
          </cell>
          <cell r="H947"/>
          <cell r="K947"/>
          <cell r="P947"/>
        </row>
        <row r="948">
          <cell r="A948"/>
          <cell r="B948" t="str">
            <v>ALEXANDER COUNTY HEALTH DEPT</v>
          </cell>
          <cell r="C948">
            <v>90203</v>
          </cell>
          <cell r="H948"/>
          <cell r="K948"/>
          <cell r="P948"/>
        </row>
        <row r="949">
          <cell r="A949"/>
          <cell r="B949" t="str">
            <v>ALEXANDER COUNTY PUBLIC LIBRARY</v>
          </cell>
          <cell r="C949">
            <v>90205</v>
          </cell>
          <cell r="H949"/>
          <cell r="K949"/>
          <cell r="P949"/>
        </row>
        <row r="950">
          <cell r="A950"/>
          <cell r="B950" t="str">
            <v>ALLEGHANY COUNTY</v>
          </cell>
          <cell r="C950">
            <v>90301</v>
          </cell>
          <cell r="H950"/>
          <cell r="K950"/>
          <cell r="P950"/>
        </row>
        <row r="951">
          <cell r="A951"/>
          <cell r="B951" t="str">
            <v>ALLIANCE BEHAVIORAL HEALTHCRE</v>
          </cell>
          <cell r="C951">
            <v>93209</v>
          </cell>
          <cell r="H951"/>
          <cell r="K951"/>
          <cell r="P951"/>
        </row>
        <row r="952">
          <cell r="A952"/>
          <cell r="B952" t="str">
            <v>ANDREWS</v>
          </cell>
          <cell r="C952">
            <v>92021</v>
          </cell>
          <cell r="H952"/>
          <cell r="K952"/>
          <cell r="P952"/>
        </row>
        <row r="953">
          <cell r="A953"/>
          <cell r="B953" t="str">
            <v>ANGIER</v>
          </cell>
          <cell r="C953">
            <v>94351</v>
          </cell>
          <cell r="H953"/>
          <cell r="K953"/>
          <cell r="P953"/>
        </row>
        <row r="954">
          <cell r="A954"/>
          <cell r="B954" t="str">
            <v>ANGIER ABC BOARD</v>
          </cell>
          <cell r="C954">
            <v>94347</v>
          </cell>
          <cell r="H954"/>
          <cell r="K954"/>
          <cell r="P954"/>
        </row>
        <row r="955">
          <cell r="A955"/>
          <cell r="B955" t="str">
            <v>ANSON COUNTY</v>
          </cell>
          <cell r="C955">
            <v>90401</v>
          </cell>
          <cell r="H955"/>
          <cell r="K955"/>
          <cell r="P955"/>
        </row>
        <row r="956">
          <cell r="A956"/>
          <cell r="B956" t="str">
            <v>ANSONVILLE</v>
          </cell>
          <cell r="C956">
            <v>90451</v>
          </cell>
          <cell r="H956"/>
          <cell r="K956"/>
          <cell r="P956"/>
        </row>
        <row r="957">
          <cell r="A957"/>
          <cell r="B957" t="str">
            <v>APEX</v>
          </cell>
          <cell r="C957">
            <v>99271</v>
          </cell>
          <cell r="H957"/>
          <cell r="K957"/>
          <cell r="P957"/>
        </row>
        <row r="958">
          <cell r="A958"/>
          <cell r="B958" t="str">
            <v>APPALACHIAN DISTRICT HEALTH DEPT</v>
          </cell>
          <cell r="C958">
            <v>90099</v>
          </cell>
          <cell r="H958"/>
          <cell r="K958"/>
          <cell r="P958"/>
        </row>
        <row r="959">
          <cell r="A959"/>
          <cell r="B959" t="str">
            <v>APPALACHIAN REGIONAL LIBRARY</v>
          </cell>
          <cell r="C959">
            <v>99705</v>
          </cell>
          <cell r="H959"/>
          <cell r="K959"/>
          <cell r="P959"/>
        </row>
        <row r="960">
          <cell r="A960"/>
          <cell r="B960" t="str">
            <v>ARCHDALE</v>
          </cell>
          <cell r="C960">
            <v>97651</v>
          </cell>
          <cell r="H960"/>
          <cell r="K960"/>
          <cell r="P960"/>
        </row>
        <row r="961">
          <cell r="A961"/>
          <cell r="B961" t="str">
            <v>ARCHER LODGE</v>
          </cell>
          <cell r="C961">
            <v>95106</v>
          </cell>
          <cell r="H961"/>
          <cell r="K961"/>
          <cell r="P961"/>
        </row>
        <row r="962">
          <cell r="A962"/>
          <cell r="B962" t="str">
            <v>ASHE COUNTY</v>
          </cell>
          <cell r="C962">
            <v>90501</v>
          </cell>
          <cell r="H962"/>
          <cell r="K962"/>
          <cell r="P962"/>
        </row>
        <row r="963">
          <cell r="A963"/>
          <cell r="B963" t="str">
            <v>ASHEBORO</v>
          </cell>
          <cell r="C963">
            <v>97611</v>
          </cell>
          <cell r="H963"/>
          <cell r="K963"/>
          <cell r="P963"/>
        </row>
        <row r="964">
          <cell r="A964"/>
          <cell r="B964" t="str">
            <v>ASHEBORO ABC BOARD</v>
          </cell>
          <cell r="C964">
            <v>97607</v>
          </cell>
          <cell r="H964"/>
          <cell r="K964"/>
          <cell r="P964"/>
        </row>
        <row r="965">
          <cell r="A965"/>
          <cell r="B965" t="str">
            <v>ASHEBORO HOUSING AUTHORITY</v>
          </cell>
          <cell r="C965">
            <v>97613</v>
          </cell>
          <cell r="H965"/>
          <cell r="K965"/>
          <cell r="P965"/>
        </row>
        <row r="966">
          <cell r="A966"/>
          <cell r="B966" t="str">
            <v>ASHEVILLE</v>
          </cell>
          <cell r="C966">
            <v>91121</v>
          </cell>
          <cell r="H966"/>
          <cell r="K966"/>
          <cell r="P966"/>
        </row>
        <row r="967">
          <cell r="A967"/>
          <cell r="B967" t="str">
            <v>ASHEVILLE ABC BOARD</v>
          </cell>
          <cell r="C967">
            <v>91127</v>
          </cell>
          <cell r="H967"/>
          <cell r="K967"/>
          <cell r="P967"/>
        </row>
        <row r="968">
          <cell r="A968"/>
          <cell r="B968" t="str">
            <v>ASHEVILLE REGIONAL AIRPORT AUTHORITY</v>
          </cell>
          <cell r="C968">
            <v>91128</v>
          </cell>
          <cell r="H968"/>
          <cell r="K968"/>
          <cell r="P968"/>
        </row>
        <row r="969">
          <cell r="A969"/>
          <cell r="B969" t="str">
            <v>ATLANTIC BEACH</v>
          </cell>
          <cell r="C969">
            <v>91681</v>
          </cell>
          <cell r="H969"/>
          <cell r="K969"/>
          <cell r="P969"/>
        </row>
        <row r="970">
          <cell r="A970"/>
          <cell r="B970" t="str">
            <v>AULANDER</v>
          </cell>
          <cell r="C970">
            <v>90811</v>
          </cell>
          <cell r="H970"/>
          <cell r="K970"/>
          <cell r="P970"/>
        </row>
        <row r="971">
          <cell r="A971"/>
          <cell r="B971" t="str">
            <v>AURORA</v>
          </cell>
          <cell r="C971">
            <v>90721</v>
          </cell>
          <cell r="H971"/>
          <cell r="K971"/>
          <cell r="P971"/>
        </row>
        <row r="972">
          <cell r="A972"/>
          <cell r="B972" t="str">
            <v>AUTRYVILLE</v>
          </cell>
          <cell r="C972">
            <v>98271</v>
          </cell>
          <cell r="H972"/>
          <cell r="K972"/>
          <cell r="P972"/>
        </row>
        <row r="973">
          <cell r="A973"/>
          <cell r="B973" t="str">
            <v>AVERY COUNTY</v>
          </cell>
          <cell r="C973">
            <v>90601</v>
          </cell>
          <cell r="H973"/>
          <cell r="K973"/>
          <cell r="P973"/>
        </row>
        <row r="974">
          <cell r="A974"/>
          <cell r="B974" t="str">
            <v>AVERY COUNTY FIRE COMMISSION</v>
          </cell>
          <cell r="C974">
            <v>90602</v>
          </cell>
          <cell r="H974"/>
          <cell r="K974"/>
          <cell r="P974"/>
        </row>
        <row r="975">
          <cell r="A975"/>
          <cell r="B975" t="str">
            <v>AVERY-MITCHELL-YANCEY REG LIBRARY</v>
          </cell>
          <cell r="C975">
            <v>90605</v>
          </cell>
          <cell r="H975"/>
          <cell r="K975"/>
          <cell r="P975"/>
        </row>
        <row r="976">
          <cell r="A976"/>
          <cell r="B976" t="str">
            <v>AYDEN</v>
          </cell>
          <cell r="C976">
            <v>97461</v>
          </cell>
          <cell r="H976"/>
          <cell r="K976"/>
          <cell r="P976"/>
        </row>
        <row r="977">
          <cell r="A977"/>
          <cell r="B977" t="str">
            <v>AYDEN HOUSING AUTHORITY</v>
          </cell>
          <cell r="C977">
            <v>97463</v>
          </cell>
          <cell r="H977"/>
          <cell r="K977"/>
          <cell r="P977"/>
        </row>
        <row r="978">
          <cell r="A978"/>
          <cell r="B978" t="str">
            <v>B H M REGIONAL LIBRARY</v>
          </cell>
          <cell r="C978">
            <v>90705</v>
          </cell>
          <cell r="H978"/>
          <cell r="K978"/>
          <cell r="P978"/>
        </row>
        <row r="979">
          <cell r="A979"/>
          <cell r="B979" t="str">
            <v>BADIN</v>
          </cell>
          <cell r="C979">
            <v>98451</v>
          </cell>
          <cell r="H979"/>
          <cell r="K979"/>
          <cell r="P979"/>
        </row>
        <row r="980">
          <cell r="A980"/>
          <cell r="B980" t="str">
            <v>BAILEY</v>
          </cell>
          <cell r="C980">
            <v>96451</v>
          </cell>
          <cell r="H980"/>
          <cell r="K980"/>
          <cell r="P980"/>
        </row>
        <row r="981">
          <cell r="A981"/>
          <cell r="B981" t="str">
            <v>BAKERSVILLE</v>
          </cell>
          <cell r="C981">
            <v>96121</v>
          </cell>
          <cell r="H981"/>
          <cell r="K981"/>
          <cell r="P981"/>
        </row>
        <row r="982">
          <cell r="A982"/>
          <cell r="B982" t="str">
            <v>BALD HEAD ISLAND</v>
          </cell>
          <cell r="C982">
            <v>91091</v>
          </cell>
          <cell r="H982"/>
          <cell r="K982"/>
          <cell r="P982"/>
        </row>
        <row r="983">
          <cell r="A983"/>
          <cell r="B983" t="str">
            <v>BANNER ELK</v>
          </cell>
          <cell r="C983">
            <v>90611</v>
          </cell>
          <cell r="H983"/>
          <cell r="K983"/>
          <cell r="P983"/>
        </row>
        <row r="984">
          <cell r="A984"/>
          <cell r="B984" t="str">
            <v>BAY RIVER METRO SEWERAGE DISTRICT</v>
          </cell>
          <cell r="C984">
            <v>96918</v>
          </cell>
          <cell r="H984"/>
          <cell r="K984"/>
          <cell r="P984"/>
        </row>
        <row r="985">
          <cell r="A985"/>
          <cell r="B985" t="str">
            <v>BAYBORO</v>
          </cell>
          <cell r="C985">
            <v>96911</v>
          </cell>
          <cell r="H985"/>
          <cell r="K985"/>
          <cell r="P985"/>
        </row>
        <row r="986">
          <cell r="A986"/>
          <cell r="B986" t="str">
            <v>BAYLEAF FIRE DEPARTMENT</v>
          </cell>
          <cell r="C986">
            <v>99208</v>
          </cell>
          <cell r="H986"/>
          <cell r="K986"/>
          <cell r="P986"/>
        </row>
        <row r="987">
          <cell r="A987"/>
          <cell r="B987" t="str">
            <v>BEAUFORT</v>
          </cell>
          <cell r="C987">
            <v>91631</v>
          </cell>
          <cell r="H987"/>
          <cell r="K987"/>
          <cell r="P987"/>
        </row>
        <row r="988">
          <cell r="A988"/>
          <cell r="B988" t="str">
            <v>BEAUFORT COUNTY</v>
          </cell>
          <cell r="C988">
            <v>90701</v>
          </cell>
          <cell r="H988"/>
          <cell r="K988"/>
          <cell r="P988"/>
        </row>
        <row r="989">
          <cell r="A989"/>
          <cell r="B989" t="str">
            <v>BEAUFORT COUNTY ABC BOARD</v>
          </cell>
          <cell r="C989">
            <v>90704</v>
          </cell>
          <cell r="H989"/>
          <cell r="K989"/>
          <cell r="P989"/>
        </row>
        <row r="990">
          <cell r="A990"/>
          <cell r="B990" t="str">
            <v>BEAUFORT HOUSING AUTHORITY</v>
          </cell>
          <cell r="C990">
            <v>91633</v>
          </cell>
          <cell r="H990"/>
          <cell r="K990"/>
          <cell r="P990"/>
        </row>
        <row r="991">
          <cell r="A991"/>
          <cell r="B991" t="str">
            <v>BEECH MOUNTAIN</v>
          </cell>
          <cell r="C991">
            <v>90631</v>
          </cell>
          <cell r="H991"/>
          <cell r="K991"/>
          <cell r="P991"/>
        </row>
        <row r="992">
          <cell r="A992"/>
          <cell r="B992" t="str">
            <v>BELHAVEN</v>
          </cell>
          <cell r="C992">
            <v>90731</v>
          </cell>
          <cell r="H992"/>
          <cell r="K992"/>
          <cell r="P992"/>
        </row>
        <row r="993">
          <cell r="A993"/>
          <cell r="B993" t="str">
            <v>BELMONT</v>
          </cell>
          <cell r="C993">
            <v>93621</v>
          </cell>
          <cell r="H993"/>
          <cell r="K993"/>
          <cell r="P993"/>
        </row>
        <row r="994">
          <cell r="A994"/>
          <cell r="B994" t="str">
            <v>BELMONT HOUSING AUTHORITY</v>
          </cell>
          <cell r="C994">
            <v>93623</v>
          </cell>
          <cell r="H994"/>
          <cell r="K994"/>
          <cell r="P994"/>
        </row>
        <row r="995">
          <cell r="A995"/>
          <cell r="B995" t="str">
            <v>BELVILLE</v>
          </cell>
          <cell r="C995">
            <v>91020</v>
          </cell>
          <cell r="H995"/>
          <cell r="K995"/>
          <cell r="P995"/>
        </row>
        <row r="996">
          <cell r="A996"/>
          <cell r="B996" t="str">
            <v>BENSON</v>
          </cell>
          <cell r="C996">
            <v>95141</v>
          </cell>
          <cell r="H996"/>
          <cell r="K996"/>
          <cell r="P996"/>
        </row>
        <row r="997">
          <cell r="A997"/>
          <cell r="B997" t="str">
            <v>BENSON HOUSING AUTHORITY</v>
          </cell>
          <cell r="C997">
            <v>95103</v>
          </cell>
          <cell r="H997"/>
          <cell r="K997"/>
          <cell r="P997"/>
        </row>
        <row r="998">
          <cell r="A998"/>
          <cell r="B998" t="str">
            <v>BERMUDA RUN</v>
          </cell>
          <cell r="C998">
            <v>93021</v>
          </cell>
          <cell r="H998"/>
          <cell r="K998"/>
          <cell r="P998"/>
        </row>
        <row r="999">
          <cell r="A999"/>
          <cell r="B999" t="str">
            <v>BERTIE COUNTY</v>
          </cell>
          <cell r="C999">
            <v>90801</v>
          </cell>
          <cell r="H999"/>
          <cell r="K999"/>
          <cell r="P999"/>
        </row>
        <row r="1000">
          <cell r="A1000"/>
          <cell r="B1000" t="str">
            <v>BERTIE COUNTY ABC BOARD</v>
          </cell>
          <cell r="C1000">
            <v>90804</v>
          </cell>
          <cell r="H1000"/>
          <cell r="K1000"/>
          <cell r="P1000"/>
        </row>
        <row r="1001">
          <cell r="A1001"/>
          <cell r="B1001" t="str">
            <v>BERTIE-MARTIN REGIONAL JAIL COMM</v>
          </cell>
          <cell r="C1001">
            <v>90808</v>
          </cell>
          <cell r="H1001"/>
          <cell r="K1001"/>
          <cell r="P1001"/>
        </row>
        <row r="1002">
          <cell r="A1002"/>
          <cell r="B1002" t="str">
            <v>BESSEMER CITY</v>
          </cell>
          <cell r="C1002">
            <v>93671</v>
          </cell>
          <cell r="H1002"/>
          <cell r="K1002"/>
          <cell r="P1002"/>
        </row>
        <row r="1003">
          <cell r="A1003"/>
          <cell r="B1003" t="str">
            <v>BESSEMER CITY ABC BOARD</v>
          </cell>
          <cell r="C1003">
            <v>93677</v>
          </cell>
          <cell r="H1003"/>
          <cell r="K1003"/>
          <cell r="P1003"/>
        </row>
        <row r="1004">
          <cell r="A1004"/>
          <cell r="B1004" t="str">
            <v>BETHEL</v>
          </cell>
          <cell r="C1004">
            <v>97441</v>
          </cell>
          <cell r="H1004"/>
          <cell r="K1004"/>
          <cell r="P1004"/>
        </row>
        <row r="1005">
          <cell r="A1005"/>
          <cell r="B1005" t="str">
            <v>BEULAVILLE</v>
          </cell>
          <cell r="C1005">
            <v>93111</v>
          </cell>
          <cell r="H1005"/>
          <cell r="K1005"/>
          <cell r="P1005"/>
        </row>
        <row r="1006">
          <cell r="A1006"/>
          <cell r="B1006" t="str">
            <v>BILTMORE FOREST</v>
          </cell>
          <cell r="C1006">
            <v>91111</v>
          </cell>
          <cell r="H1006"/>
          <cell r="K1006"/>
          <cell r="P1006"/>
        </row>
        <row r="1007">
          <cell r="A1007"/>
          <cell r="B1007" t="str">
            <v>BISCOE</v>
          </cell>
          <cell r="C1007">
            <v>96231</v>
          </cell>
          <cell r="H1007"/>
          <cell r="K1007"/>
          <cell r="P1007"/>
        </row>
        <row r="1008">
          <cell r="A1008"/>
          <cell r="B1008" t="str">
            <v>BLACK CREEK</v>
          </cell>
          <cell r="C1008">
            <v>99831</v>
          </cell>
          <cell r="H1008"/>
          <cell r="K1008"/>
          <cell r="P1008"/>
        </row>
        <row r="1009">
          <cell r="A1009"/>
          <cell r="B1009" t="str">
            <v>BLACK MOUNTAIN</v>
          </cell>
          <cell r="C1009">
            <v>91151</v>
          </cell>
          <cell r="H1009"/>
          <cell r="K1009"/>
          <cell r="P1009"/>
        </row>
        <row r="1010">
          <cell r="A1010"/>
          <cell r="B1010" t="str">
            <v>BLACK MTN ABC BOARD</v>
          </cell>
          <cell r="C1010">
            <v>91154</v>
          </cell>
          <cell r="H1010"/>
          <cell r="K1010"/>
          <cell r="P1010"/>
        </row>
        <row r="1011">
          <cell r="A1011"/>
          <cell r="B1011" t="str">
            <v>BLADEN COUNTY</v>
          </cell>
          <cell r="C1011">
            <v>90901</v>
          </cell>
          <cell r="H1011"/>
          <cell r="K1011"/>
          <cell r="P1011"/>
        </row>
        <row r="1012">
          <cell r="A1012"/>
          <cell r="B1012" t="str">
            <v>BLADENBORO</v>
          </cell>
          <cell r="C1012">
            <v>90941</v>
          </cell>
          <cell r="H1012"/>
          <cell r="K1012"/>
          <cell r="P1012"/>
        </row>
        <row r="1013">
          <cell r="A1013"/>
          <cell r="B1013" t="str">
            <v>BLOWING ROCK</v>
          </cell>
          <cell r="C1013">
            <v>99521</v>
          </cell>
          <cell r="H1013"/>
          <cell r="K1013"/>
          <cell r="P1013"/>
        </row>
        <row r="1014">
          <cell r="A1014"/>
          <cell r="B1014" t="str">
            <v>BLOWING ROCK ABC BD</v>
          </cell>
          <cell r="C1014">
            <v>99527</v>
          </cell>
          <cell r="H1014"/>
          <cell r="K1014"/>
          <cell r="P1014"/>
        </row>
        <row r="1015">
          <cell r="A1015"/>
          <cell r="B1015" t="str">
            <v>BLOWING ROCK TOURISM DEVELOPMENT AUTHORITY</v>
          </cell>
          <cell r="C1015">
            <v>99508</v>
          </cell>
          <cell r="H1015"/>
          <cell r="K1015"/>
          <cell r="P1015"/>
        </row>
        <row r="1016">
          <cell r="A1016"/>
          <cell r="B1016" t="str">
            <v>BLUE RIDGE FIRE DEPARTMENT</v>
          </cell>
          <cell r="C1016">
            <v>94532</v>
          </cell>
          <cell r="H1016"/>
          <cell r="K1016"/>
          <cell r="P1016"/>
        </row>
        <row r="1017">
          <cell r="A1017"/>
          <cell r="B1017" t="str">
            <v>BOILING SPRING LAKES</v>
          </cell>
          <cell r="C1017">
            <v>91071</v>
          </cell>
          <cell r="H1017"/>
          <cell r="K1017"/>
          <cell r="P1017"/>
        </row>
        <row r="1018">
          <cell r="A1018"/>
          <cell r="B1018" t="str">
            <v>BOILING SPRING LAKES ABC BOARD</v>
          </cell>
          <cell r="C1018">
            <v>91077</v>
          </cell>
          <cell r="H1018"/>
          <cell r="K1018"/>
          <cell r="P1018"/>
        </row>
        <row r="1019">
          <cell r="A1019"/>
          <cell r="B1019" t="str">
            <v>BOILING SPRINGS</v>
          </cell>
          <cell r="C1019">
            <v>92331</v>
          </cell>
          <cell r="H1019"/>
          <cell r="K1019"/>
          <cell r="P1019"/>
        </row>
        <row r="1020">
          <cell r="A1020"/>
          <cell r="B1020" t="str">
            <v>BOLTON</v>
          </cell>
          <cell r="C1020">
            <v>92414</v>
          </cell>
          <cell r="H1020"/>
          <cell r="K1020"/>
          <cell r="P1020"/>
        </row>
        <row r="1021">
          <cell r="A1021"/>
          <cell r="B1021" t="str">
            <v>BOONE</v>
          </cell>
          <cell r="C1021">
            <v>99511</v>
          </cell>
          <cell r="H1021"/>
          <cell r="K1021"/>
          <cell r="P1021"/>
        </row>
        <row r="1022">
          <cell r="A1022"/>
          <cell r="B1022" t="str">
            <v>BOONVILLE</v>
          </cell>
          <cell r="C1022">
            <v>99941</v>
          </cell>
          <cell r="H1022"/>
          <cell r="K1022"/>
          <cell r="P1022"/>
        </row>
        <row r="1023">
          <cell r="A1023"/>
          <cell r="B1023" t="str">
            <v>BRASWELL MEMORIAL LIBRARY</v>
          </cell>
          <cell r="C1023">
            <v>96405</v>
          </cell>
          <cell r="H1023"/>
          <cell r="K1023"/>
          <cell r="P1023"/>
        </row>
        <row r="1024">
          <cell r="A1024"/>
          <cell r="B1024" t="str">
            <v>BREVARD</v>
          </cell>
          <cell r="C1024">
            <v>98811</v>
          </cell>
          <cell r="H1024"/>
          <cell r="K1024"/>
          <cell r="P1024"/>
        </row>
        <row r="1025">
          <cell r="A1025"/>
          <cell r="B1025" t="str">
            <v>BREVARD ABC BOARD</v>
          </cell>
          <cell r="C1025">
            <v>98817</v>
          </cell>
          <cell r="H1025"/>
          <cell r="K1025"/>
          <cell r="P1025"/>
        </row>
        <row r="1026">
          <cell r="A1026"/>
          <cell r="B1026" t="str">
            <v>BRIDGETON</v>
          </cell>
          <cell r="C1026">
            <v>92561</v>
          </cell>
          <cell r="H1026"/>
          <cell r="K1026"/>
          <cell r="P1026"/>
        </row>
        <row r="1027">
          <cell r="A1027"/>
          <cell r="B1027" t="str">
            <v>BROAD RIVER WATER AUTHORITY</v>
          </cell>
          <cell r="C1027">
            <v>98102</v>
          </cell>
          <cell r="H1027"/>
          <cell r="K1027"/>
          <cell r="P1027"/>
        </row>
        <row r="1028">
          <cell r="A1028"/>
          <cell r="B1028" t="str">
            <v>BROADWAY</v>
          </cell>
          <cell r="C1028">
            <v>95321</v>
          </cell>
          <cell r="H1028"/>
          <cell r="K1028"/>
          <cell r="P1028"/>
        </row>
        <row r="1029">
          <cell r="A1029"/>
          <cell r="B1029" t="str">
            <v>BROOKFORD</v>
          </cell>
          <cell r="C1029">
            <v>91861</v>
          </cell>
          <cell r="H1029"/>
          <cell r="K1029"/>
          <cell r="P1029"/>
        </row>
        <row r="1030">
          <cell r="A1030"/>
          <cell r="B1030" t="str">
            <v>BRUNSWICK</v>
          </cell>
          <cell r="C1030">
            <v>92421</v>
          </cell>
          <cell r="H1030"/>
          <cell r="K1030"/>
          <cell r="P1030"/>
        </row>
        <row r="1031">
          <cell r="A1031"/>
          <cell r="B1031" t="str">
            <v>BRUNSWICK COUNTY</v>
          </cell>
          <cell r="C1031">
            <v>91001</v>
          </cell>
          <cell r="H1031"/>
          <cell r="K1031"/>
          <cell r="P1031"/>
        </row>
        <row r="1032">
          <cell r="A1032"/>
          <cell r="B1032" t="str">
            <v>BRUNSWICK COUNTY ABC BOARD</v>
          </cell>
          <cell r="C1032">
            <v>91004</v>
          </cell>
          <cell r="H1032"/>
          <cell r="K1032"/>
          <cell r="P1032"/>
        </row>
        <row r="1033">
          <cell r="A1033"/>
          <cell r="B1033" t="str">
            <v>BRUNSWICK COUNTY DEPT OF SOCIAL SERVICES</v>
          </cell>
          <cell r="C1033">
            <v>91006</v>
          </cell>
          <cell r="H1033"/>
          <cell r="K1033"/>
          <cell r="P1033"/>
        </row>
        <row r="1034">
          <cell r="A1034"/>
          <cell r="B1034" t="str">
            <v>BRUNSWICK COUNTY HEALTH DEPT</v>
          </cell>
          <cell r="C1034">
            <v>91003</v>
          </cell>
          <cell r="H1034"/>
          <cell r="K1034"/>
          <cell r="P1034"/>
        </row>
        <row r="1035">
          <cell r="A1035"/>
          <cell r="B1035" t="str">
            <v>BRUNSWICK COUNTY TOURISM AUTHORITY</v>
          </cell>
          <cell r="C1035">
            <v>91009</v>
          </cell>
          <cell r="H1035"/>
          <cell r="K1035"/>
          <cell r="P1035"/>
        </row>
        <row r="1036">
          <cell r="A1036"/>
          <cell r="B1036" t="str">
            <v>BRUNSWICK REGIONAL WATER AND SEWER H2GO</v>
          </cell>
          <cell r="C1036">
            <v>91042</v>
          </cell>
          <cell r="H1036"/>
          <cell r="K1036"/>
          <cell r="P1036"/>
        </row>
        <row r="1037">
          <cell r="A1037"/>
          <cell r="B1037" t="str">
            <v>BRYSON CITY</v>
          </cell>
          <cell r="C1037">
            <v>98711</v>
          </cell>
          <cell r="H1037"/>
          <cell r="K1037"/>
          <cell r="P1037"/>
        </row>
        <row r="1038">
          <cell r="A1038"/>
          <cell r="B1038" t="str">
            <v>BRYSON CITY ABC BOARD</v>
          </cell>
          <cell r="C1038">
            <v>98717</v>
          </cell>
          <cell r="H1038"/>
          <cell r="K1038"/>
          <cell r="P1038"/>
        </row>
        <row r="1039">
          <cell r="A1039"/>
          <cell r="B1039" t="str">
            <v>BUNCOMBE COUNTY</v>
          </cell>
          <cell r="C1039">
            <v>91101</v>
          </cell>
          <cell r="H1039"/>
          <cell r="K1039"/>
          <cell r="P1039"/>
        </row>
        <row r="1040">
          <cell r="A1040"/>
          <cell r="B1040" t="str">
            <v>BUNN</v>
          </cell>
          <cell r="C1040">
            <v>93531</v>
          </cell>
          <cell r="H1040"/>
          <cell r="K1040"/>
          <cell r="P1040"/>
        </row>
        <row r="1041">
          <cell r="A1041"/>
          <cell r="B1041" t="str">
            <v>BUNN ABC BOARD</v>
          </cell>
          <cell r="C1041">
            <v>93537</v>
          </cell>
          <cell r="H1041"/>
          <cell r="K1041"/>
          <cell r="P1041"/>
        </row>
        <row r="1042">
          <cell r="A1042"/>
          <cell r="B1042" t="str">
            <v>BURGAW</v>
          </cell>
          <cell r="C1042">
            <v>97111</v>
          </cell>
          <cell r="H1042"/>
          <cell r="K1042"/>
          <cell r="P1042"/>
        </row>
        <row r="1043">
          <cell r="A1043"/>
          <cell r="B1043" t="str">
            <v>BURKE COUNTY</v>
          </cell>
          <cell r="C1043">
            <v>91201</v>
          </cell>
          <cell r="H1043"/>
          <cell r="K1043"/>
          <cell r="P1043"/>
        </row>
        <row r="1044">
          <cell r="A1044"/>
          <cell r="B1044" t="str">
            <v>BURKE COUNTY DEPT OF SOCIAL SERVICES</v>
          </cell>
          <cell r="C1044">
            <v>91206</v>
          </cell>
          <cell r="H1044"/>
          <cell r="K1044"/>
          <cell r="P1044"/>
        </row>
        <row r="1045">
          <cell r="A1045"/>
          <cell r="B1045" t="str">
            <v>BURKE COUNTY HEALTH DEPT</v>
          </cell>
          <cell r="C1045">
            <v>91203</v>
          </cell>
          <cell r="H1045"/>
          <cell r="K1045"/>
          <cell r="P1045"/>
        </row>
        <row r="1046">
          <cell r="A1046"/>
          <cell r="B1046" t="str">
            <v>BURKE COUNTY TOURISM DEV. AUTHORITY</v>
          </cell>
          <cell r="C1046">
            <v>91208</v>
          </cell>
          <cell r="H1046"/>
          <cell r="K1046"/>
          <cell r="P1046"/>
        </row>
        <row r="1047">
          <cell r="A1047"/>
          <cell r="B1047" t="str">
            <v>BURKE-CATAWBA DIST CONFINEMENT</v>
          </cell>
          <cell r="C1047">
            <v>91202</v>
          </cell>
          <cell r="H1047"/>
          <cell r="K1047"/>
          <cell r="P1047"/>
        </row>
        <row r="1048">
          <cell r="A1048"/>
          <cell r="B1048" t="str">
            <v>BURLINGTON</v>
          </cell>
          <cell r="C1048">
            <v>90111</v>
          </cell>
          <cell r="H1048"/>
          <cell r="K1048"/>
          <cell r="P1048"/>
        </row>
        <row r="1049">
          <cell r="A1049"/>
          <cell r="B1049" t="str">
            <v>BURNSVILLE</v>
          </cell>
          <cell r="C1049">
            <v>90011</v>
          </cell>
          <cell r="H1049"/>
          <cell r="K1049"/>
          <cell r="P1049"/>
        </row>
        <row r="1050">
          <cell r="A1050"/>
          <cell r="B1050" t="str">
            <v>BUTNER</v>
          </cell>
          <cell r="C1050">
            <v>93931</v>
          </cell>
          <cell r="H1050"/>
          <cell r="K1050"/>
          <cell r="P1050"/>
        </row>
        <row r="1051">
          <cell r="A1051"/>
          <cell r="B1051" t="str">
            <v>CABARRUS COUNTY</v>
          </cell>
          <cell r="C1051">
            <v>91301</v>
          </cell>
          <cell r="H1051"/>
          <cell r="K1051"/>
          <cell r="P1051"/>
        </row>
        <row r="1052">
          <cell r="A1052"/>
          <cell r="B1052" t="str">
            <v>CABARRUS COUNTY PUBLIC HEALTH AUTHORITY</v>
          </cell>
          <cell r="C1052">
            <v>91306</v>
          </cell>
          <cell r="H1052"/>
          <cell r="K1052"/>
          <cell r="P1052"/>
        </row>
        <row r="1053">
          <cell r="A1053"/>
          <cell r="B1053" t="str">
            <v>CABARRUS COUNTY TOURISM AUTHORITY</v>
          </cell>
          <cell r="C1053">
            <v>91308</v>
          </cell>
          <cell r="H1053"/>
          <cell r="K1053"/>
          <cell r="P1053"/>
        </row>
        <row r="1054">
          <cell r="A1054"/>
          <cell r="B1054" t="str">
            <v>CAJAH'S MOUNTAIN</v>
          </cell>
          <cell r="C1054">
            <v>91461</v>
          </cell>
          <cell r="H1054"/>
          <cell r="K1054"/>
          <cell r="P1054"/>
        </row>
        <row r="1055">
          <cell r="A1055"/>
          <cell r="B1055" t="str">
            <v>CALABASH</v>
          </cell>
          <cell r="C1055">
            <v>91010</v>
          </cell>
          <cell r="H1055"/>
          <cell r="K1055"/>
          <cell r="P1055"/>
        </row>
        <row r="1056">
          <cell r="A1056"/>
          <cell r="B1056" t="str">
            <v>CALABASH ABC BOARD</v>
          </cell>
          <cell r="C1056">
            <v>91007</v>
          </cell>
          <cell r="H1056"/>
          <cell r="K1056"/>
          <cell r="P1056"/>
        </row>
        <row r="1057">
          <cell r="A1057"/>
          <cell r="B1057" t="str">
            <v>CALDWELL COUNTY</v>
          </cell>
          <cell r="C1057">
            <v>91401</v>
          </cell>
          <cell r="H1057"/>
          <cell r="K1057"/>
          <cell r="P1057"/>
        </row>
        <row r="1058">
          <cell r="A1058"/>
          <cell r="B1058" t="str">
            <v>CALYPSO</v>
          </cell>
          <cell r="C1058">
            <v>93171</v>
          </cell>
          <cell r="H1058"/>
          <cell r="K1058"/>
          <cell r="P1058"/>
        </row>
        <row r="1059">
          <cell r="A1059"/>
          <cell r="B1059" t="str">
            <v>CAMDEN COUNTY</v>
          </cell>
          <cell r="C1059">
            <v>91501</v>
          </cell>
          <cell r="H1059"/>
          <cell r="K1059"/>
          <cell r="P1059"/>
        </row>
        <row r="1060">
          <cell r="A1060"/>
          <cell r="B1060" t="str">
            <v>CAMDEN COUNTY ABC BOARD</v>
          </cell>
          <cell r="C1060">
            <v>91504</v>
          </cell>
          <cell r="H1060"/>
          <cell r="K1060"/>
          <cell r="P1060"/>
        </row>
        <row r="1061">
          <cell r="A1061"/>
          <cell r="B1061" t="str">
            <v>CAMERON</v>
          </cell>
          <cell r="C1061">
            <v>96312</v>
          </cell>
          <cell r="H1061"/>
          <cell r="K1061"/>
          <cell r="P1061"/>
        </row>
        <row r="1062">
          <cell r="A1062"/>
          <cell r="B1062" t="str">
            <v>CANDOR</v>
          </cell>
          <cell r="C1062">
            <v>96241</v>
          </cell>
          <cell r="H1062"/>
          <cell r="K1062"/>
          <cell r="P1062"/>
        </row>
        <row r="1063">
          <cell r="A1063"/>
          <cell r="B1063" t="str">
            <v>CANTON</v>
          </cell>
          <cell r="C1063">
            <v>94431</v>
          </cell>
          <cell r="H1063"/>
          <cell r="K1063"/>
          <cell r="P1063"/>
        </row>
        <row r="1064">
          <cell r="A1064"/>
          <cell r="B1064" t="str">
            <v>CANTON ABC BOARD</v>
          </cell>
          <cell r="C1064">
            <v>94437</v>
          </cell>
          <cell r="H1064"/>
          <cell r="K1064"/>
          <cell r="P1064"/>
        </row>
        <row r="1065">
          <cell r="A1065"/>
          <cell r="B1065" t="str">
            <v>CAPE CARTERET</v>
          </cell>
          <cell r="C1065">
            <v>91671</v>
          </cell>
          <cell r="H1065"/>
          <cell r="K1065"/>
          <cell r="P1065"/>
        </row>
        <row r="1066">
          <cell r="A1066"/>
          <cell r="B1066" t="str">
            <v>CAPE FEAR COUNCIL OF GOVERNMENTS</v>
          </cell>
          <cell r="C1066">
            <v>91008</v>
          </cell>
          <cell r="H1066"/>
          <cell r="K1066"/>
          <cell r="P1066"/>
        </row>
        <row r="1067">
          <cell r="A1067"/>
          <cell r="B1067" t="str">
            <v>CAPE FEAR PUBLIC TRANSPORTATION AUTHORITY</v>
          </cell>
          <cell r="C1067">
            <v>96512</v>
          </cell>
          <cell r="H1067"/>
          <cell r="K1067"/>
          <cell r="P1067"/>
        </row>
        <row r="1068">
          <cell r="A1068"/>
          <cell r="B1068" t="str">
            <v>CAPE FEAR PUBLIC UTILITY AUTHORITY</v>
          </cell>
          <cell r="C1068">
            <v>96507</v>
          </cell>
          <cell r="H1068"/>
          <cell r="K1068"/>
          <cell r="P1068"/>
        </row>
        <row r="1069">
          <cell r="A1069"/>
          <cell r="B1069" t="str">
            <v>CAPE FEAR REGIONAL JETPORT</v>
          </cell>
          <cell r="C1069">
            <v>91015</v>
          </cell>
          <cell r="H1069"/>
          <cell r="K1069"/>
          <cell r="P1069"/>
        </row>
        <row r="1070">
          <cell r="A1070"/>
          <cell r="B1070" t="str">
            <v>CAROLINA BEACH</v>
          </cell>
          <cell r="C1070">
            <v>96521</v>
          </cell>
          <cell r="H1070"/>
          <cell r="K1070"/>
          <cell r="P1070"/>
        </row>
        <row r="1071">
          <cell r="A1071"/>
          <cell r="B1071" t="str">
            <v>CAROLINA COUNTY</v>
          </cell>
          <cell r="C1071" t="str">
            <v>9XXXY</v>
          </cell>
          <cell r="H1071"/>
          <cell r="K1071"/>
          <cell r="P1071"/>
        </row>
        <row r="1072">
          <cell r="A1072"/>
          <cell r="B1072" t="str">
            <v>CAROLINA SHORES</v>
          </cell>
          <cell r="C1072">
            <v>91024</v>
          </cell>
          <cell r="H1072"/>
          <cell r="K1072"/>
          <cell r="P1072"/>
        </row>
        <row r="1073">
          <cell r="A1073"/>
          <cell r="B1073" t="str">
            <v>CARRBORO</v>
          </cell>
          <cell r="C1073">
            <v>96821</v>
          </cell>
          <cell r="H1073"/>
          <cell r="K1073"/>
          <cell r="P1073"/>
        </row>
        <row r="1074">
          <cell r="A1074"/>
          <cell r="B1074" t="str">
            <v>CARTERET COUNTY</v>
          </cell>
          <cell r="C1074">
            <v>91601</v>
          </cell>
          <cell r="H1074"/>
          <cell r="K1074"/>
          <cell r="P1074"/>
        </row>
        <row r="1075">
          <cell r="A1075"/>
          <cell r="B1075" t="str">
            <v>CARTERET COUNTY ABC BOARD</v>
          </cell>
          <cell r="C1075">
            <v>91604</v>
          </cell>
          <cell r="H1075"/>
          <cell r="K1075"/>
          <cell r="P1075"/>
        </row>
        <row r="1076">
          <cell r="A1076"/>
          <cell r="B1076" t="str">
            <v>CARTHAGE</v>
          </cell>
          <cell r="C1076">
            <v>96391</v>
          </cell>
          <cell r="H1076"/>
          <cell r="K1076"/>
          <cell r="P1076"/>
        </row>
        <row r="1077">
          <cell r="A1077"/>
          <cell r="B1077" t="str">
            <v>CARY</v>
          </cell>
          <cell r="C1077">
            <v>99221</v>
          </cell>
          <cell r="H1077"/>
          <cell r="K1077"/>
          <cell r="P1077"/>
        </row>
        <row r="1078">
          <cell r="A1078"/>
          <cell r="B1078" t="str">
            <v>CASWELL BEACH</v>
          </cell>
          <cell r="C1078">
            <v>91051</v>
          </cell>
          <cell r="H1078"/>
          <cell r="K1078"/>
          <cell r="P1078"/>
        </row>
        <row r="1079">
          <cell r="A1079"/>
          <cell r="B1079" t="str">
            <v>CASWELL COUNTY</v>
          </cell>
          <cell r="C1079">
            <v>91701</v>
          </cell>
          <cell r="H1079"/>
          <cell r="K1079"/>
          <cell r="P1079"/>
        </row>
        <row r="1080">
          <cell r="A1080"/>
          <cell r="B1080" t="str">
            <v>CASWELL COUNTY ABC BOARD</v>
          </cell>
          <cell r="C1080">
            <v>91704</v>
          </cell>
          <cell r="H1080"/>
          <cell r="K1080"/>
          <cell r="P1080"/>
        </row>
        <row r="1081">
          <cell r="A1081"/>
          <cell r="B1081" t="str">
            <v>CASWELL COUNTY DEPT OF SOCIAL SERVICES</v>
          </cell>
          <cell r="C1081">
            <v>91706</v>
          </cell>
          <cell r="H1081"/>
          <cell r="K1081"/>
          <cell r="P1081"/>
        </row>
        <row r="1082">
          <cell r="A1082"/>
          <cell r="B1082" t="str">
            <v>CATAWBA</v>
          </cell>
          <cell r="C1082">
            <v>91881</v>
          </cell>
          <cell r="H1082"/>
          <cell r="K1082"/>
          <cell r="P1082"/>
        </row>
        <row r="1083">
          <cell r="A1083"/>
          <cell r="B1083" t="str">
            <v>CATAWBA COUNTY</v>
          </cell>
          <cell r="C1083">
            <v>91801</v>
          </cell>
          <cell r="H1083"/>
          <cell r="K1083"/>
          <cell r="P1083"/>
        </row>
        <row r="1084">
          <cell r="A1084"/>
          <cell r="B1084" t="str">
            <v>CATAWBA COUNTY ABC BOARD</v>
          </cell>
          <cell r="C1084">
            <v>91804</v>
          </cell>
          <cell r="H1084"/>
          <cell r="K1084"/>
          <cell r="P1084"/>
        </row>
        <row r="1085">
          <cell r="A1085"/>
          <cell r="B1085" t="str">
            <v>CEDAR POINT</v>
          </cell>
          <cell r="C1085">
            <v>91691</v>
          </cell>
          <cell r="H1085"/>
          <cell r="K1085"/>
          <cell r="P1085"/>
        </row>
        <row r="1086">
          <cell r="A1086"/>
          <cell r="B1086" t="str">
            <v>CENTENNIAL AUTHORITY</v>
          </cell>
          <cell r="C1086">
            <v>99222</v>
          </cell>
          <cell r="H1086"/>
          <cell r="K1086"/>
          <cell r="P1086"/>
        </row>
        <row r="1087">
          <cell r="A1087"/>
          <cell r="B1087" t="str">
            <v>CENTERPOINT HUMAN SERVICES</v>
          </cell>
          <cell r="C1087">
            <v>93408</v>
          </cell>
          <cell r="H1087"/>
          <cell r="K1087"/>
          <cell r="P1087"/>
        </row>
        <row r="1088">
          <cell r="A1088"/>
          <cell r="B1088" t="str">
            <v>CENTRALINA COUNCIL OF GOVERNMENTS</v>
          </cell>
          <cell r="C1088">
            <v>96009</v>
          </cell>
          <cell r="H1088"/>
          <cell r="K1088"/>
          <cell r="P1088"/>
        </row>
        <row r="1089">
          <cell r="A1089"/>
          <cell r="B1089" t="str">
            <v>CHADBOURN</v>
          </cell>
          <cell r="C1089">
            <v>92441</v>
          </cell>
          <cell r="H1089"/>
          <cell r="K1089"/>
          <cell r="P1089"/>
        </row>
        <row r="1090">
          <cell r="A1090"/>
          <cell r="B1090" t="str">
            <v>CHAPEL HILL</v>
          </cell>
          <cell r="C1090">
            <v>96811</v>
          </cell>
          <cell r="H1090"/>
          <cell r="K1090"/>
          <cell r="P1090"/>
        </row>
        <row r="1091">
          <cell r="A1091"/>
          <cell r="B1091" t="str">
            <v>CHARLOTTE</v>
          </cell>
          <cell r="C1091">
            <v>96011</v>
          </cell>
          <cell r="H1091"/>
          <cell r="K1091"/>
          <cell r="P1091"/>
        </row>
        <row r="1092">
          <cell r="A1092"/>
          <cell r="B1092" t="str">
            <v>CHARLOTTE FIREMEN'S RET SYS</v>
          </cell>
          <cell r="C1092">
            <v>96018</v>
          </cell>
          <cell r="H1092"/>
          <cell r="K1092"/>
          <cell r="P1092"/>
        </row>
        <row r="1093">
          <cell r="A1093"/>
          <cell r="B1093" t="str">
            <v>CHARLOTTE HOUSING AUTHORITY</v>
          </cell>
          <cell r="C1093">
            <v>96003</v>
          </cell>
          <cell r="H1093"/>
          <cell r="K1093"/>
          <cell r="P1093"/>
        </row>
        <row r="1094">
          <cell r="A1094"/>
          <cell r="B1094" t="str">
            <v>CHARLOTTE MECKLENBURG PUBLIC LIBRARY</v>
          </cell>
          <cell r="C1094">
            <v>96005</v>
          </cell>
          <cell r="H1094"/>
          <cell r="K1094"/>
          <cell r="P1094"/>
        </row>
        <row r="1095">
          <cell r="A1095"/>
          <cell r="B1095" t="str">
            <v>CHARLOTTE REGIONAL VISITORS AUTHORITY</v>
          </cell>
          <cell r="C1095">
            <v>96012</v>
          </cell>
          <cell r="H1095"/>
          <cell r="K1095"/>
          <cell r="P1095"/>
        </row>
        <row r="1096">
          <cell r="A1096"/>
          <cell r="B1096" t="str">
            <v>CHATHAM COUNTY</v>
          </cell>
          <cell r="C1096">
            <v>91901</v>
          </cell>
          <cell r="H1096"/>
          <cell r="K1096"/>
          <cell r="P1096"/>
        </row>
        <row r="1097">
          <cell r="A1097"/>
          <cell r="B1097" t="str">
            <v>CHATHAM COUNTY ABC BOARD</v>
          </cell>
          <cell r="C1097">
            <v>91904</v>
          </cell>
          <cell r="H1097"/>
          <cell r="K1097"/>
          <cell r="P1097"/>
        </row>
        <row r="1098">
          <cell r="A1098"/>
          <cell r="B1098" t="str">
            <v>CHATHAM COUNTY HOUSING AUTHORITY</v>
          </cell>
          <cell r="C1098">
            <v>91903</v>
          </cell>
          <cell r="H1098"/>
          <cell r="K1098"/>
          <cell r="P1098"/>
        </row>
        <row r="1099">
          <cell r="A1099"/>
          <cell r="B1099" t="str">
            <v>CHEROKEE COUNTY</v>
          </cell>
          <cell r="C1099">
            <v>92001</v>
          </cell>
          <cell r="H1099"/>
          <cell r="K1099"/>
          <cell r="P1099"/>
        </row>
        <row r="1100">
          <cell r="A1100"/>
          <cell r="B1100" t="str">
            <v>CHERRYVILLE</v>
          </cell>
          <cell r="C1100">
            <v>93641</v>
          </cell>
          <cell r="H1100"/>
          <cell r="K1100"/>
          <cell r="P1100"/>
        </row>
        <row r="1101">
          <cell r="A1101"/>
          <cell r="B1101" t="str">
            <v>CHERRYVILLE ABC BOARD</v>
          </cell>
          <cell r="C1101">
            <v>93647</v>
          </cell>
          <cell r="H1101"/>
          <cell r="K1101"/>
          <cell r="P1101"/>
        </row>
        <row r="1102">
          <cell r="A1102"/>
          <cell r="B1102" t="str">
            <v>CHINA GROVE</v>
          </cell>
          <cell r="C1102">
            <v>98041</v>
          </cell>
          <cell r="H1102"/>
          <cell r="K1102"/>
          <cell r="P1102"/>
        </row>
        <row r="1103">
          <cell r="A1103"/>
          <cell r="B1103" t="str">
            <v>CHOANOKE PUBLIC TRANSPORTATION AUTHORITY</v>
          </cell>
          <cell r="C1103">
            <v>96612</v>
          </cell>
          <cell r="H1103"/>
          <cell r="K1103"/>
          <cell r="P1103"/>
        </row>
        <row r="1104">
          <cell r="A1104"/>
          <cell r="B1104" t="str">
            <v>CHOCOWINITY</v>
          </cell>
          <cell r="C1104">
            <v>90751</v>
          </cell>
          <cell r="H1104"/>
          <cell r="K1104"/>
          <cell r="P1104"/>
        </row>
        <row r="1105">
          <cell r="A1105"/>
          <cell r="B1105" t="str">
            <v>CHOWAN COUNTY</v>
          </cell>
          <cell r="C1105">
            <v>92101</v>
          </cell>
          <cell r="H1105"/>
          <cell r="K1105"/>
          <cell r="P1105"/>
        </row>
        <row r="1106">
          <cell r="A1106"/>
          <cell r="B1106" t="str">
            <v>CHOWAN COUNTY ABC BOARD</v>
          </cell>
          <cell r="C1106">
            <v>92104</v>
          </cell>
          <cell r="H1106"/>
          <cell r="K1106"/>
          <cell r="P1106"/>
        </row>
        <row r="1107">
          <cell r="A1107"/>
          <cell r="B1107" t="str">
            <v>CLAREMONT</v>
          </cell>
          <cell r="C1107">
            <v>91821</v>
          </cell>
          <cell r="H1107"/>
          <cell r="K1107"/>
          <cell r="P1107"/>
        </row>
        <row r="1108">
          <cell r="A1108"/>
          <cell r="B1108" t="str">
            <v>CLARKTON</v>
          </cell>
          <cell r="C1108">
            <v>90931</v>
          </cell>
          <cell r="H1108"/>
          <cell r="K1108"/>
          <cell r="P1108"/>
        </row>
        <row r="1109">
          <cell r="A1109"/>
          <cell r="B1109" t="str">
            <v>CLAY COUNTY</v>
          </cell>
          <cell r="C1109">
            <v>92201</v>
          </cell>
          <cell r="H1109"/>
          <cell r="K1109"/>
          <cell r="P1109"/>
        </row>
        <row r="1110">
          <cell r="A1110"/>
          <cell r="B1110" t="str">
            <v>CLAY COUNTY ABC BOARD</v>
          </cell>
          <cell r="C1110">
            <v>92214</v>
          </cell>
          <cell r="H1110"/>
          <cell r="K1110"/>
          <cell r="P1110"/>
        </row>
        <row r="1111">
          <cell r="A1111"/>
          <cell r="B1111" t="str">
            <v>CLAYTON</v>
          </cell>
          <cell r="C1111">
            <v>95131</v>
          </cell>
          <cell r="H1111"/>
          <cell r="K1111"/>
          <cell r="P1111"/>
        </row>
        <row r="1112">
          <cell r="A1112"/>
          <cell r="B1112" t="str">
            <v>CLEMMONS</v>
          </cell>
          <cell r="C1112">
            <v>93441</v>
          </cell>
          <cell r="H1112"/>
          <cell r="K1112"/>
          <cell r="P1112"/>
        </row>
        <row r="1113">
          <cell r="A1113"/>
          <cell r="B1113" t="str">
            <v>CLEMMONS FIRE DEPARTMENT</v>
          </cell>
          <cell r="C1113">
            <v>93442</v>
          </cell>
          <cell r="H1113"/>
          <cell r="K1113"/>
          <cell r="P1113"/>
        </row>
        <row r="1114">
          <cell r="A1114"/>
          <cell r="B1114" t="str">
            <v>CLEVELAND</v>
          </cell>
          <cell r="C1114">
            <v>98091</v>
          </cell>
          <cell r="H1114"/>
          <cell r="K1114"/>
          <cell r="P1114"/>
        </row>
        <row r="1115">
          <cell r="A1115"/>
          <cell r="B1115" t="str">
            <v>CLEVELAND COUNTY</v>
          </cell>
          <cell r="C1115">
            <v>92301</v>
          </cell>
          <cell r="H1115"/>
          <cell r="K1115"/>
          <cell r="P1115"/>
        </row>
        <row r="1116">
          <cell r="A1116"/>
          <cell r="B1116" t="str">
            <v>CLEVELAND COUNTY WATER</v>
          </cell>
          <cell r="C1116">
            <v>92302</v>
          </cell>
          <cell r="H1116"/>
          <cell r="K1116"/>
          <cell r="P1116"/>
        </row>
        <row r="1117">
          <cell r="A1117"/>
          <cell r="B1117" t="str">
            <v>CLINTON</v>
          </cell>
          <cell r="C1117">
            <v>98211</v>
          </cell>
          <cell r="H1117"/>
          <cell r="K1117"/>
          <cell r="P1117"/>
        </row>
        <row r="1118">
          <cell r="A1118"/>
          <cell r="B1118" t="str">
            <v>CLINTON ABC BOARD</v>
          </cell>
          <cell r="C1118">
            <v>98218</v>
          </cell>
          <cell r="H1118"/>
          <cell r="K1118"/>
          <cell r="P1118"/>
        </row>
        <row r="1119">
          <cell r="A1119"/>
          <cell r="B1119" t="str">
            <v>COASTAL CAROLINA REGIONAL AIRPORT</v>
          </cell>
          <cell r="C1119">
            <v>92506</v>
          </cell>
          <cell r="H1119"/>
          <cell r="K1119"/>
          <cell r="P1119"/>
        </row>
        <row r="1120">
          <cell r="A1120"/>
          <cell r="B1120" t="str">
            <v>COASTAL REGIONAL SOLID WASTE MNGT AUTHORITY</v>
          </cell>
          <cell r="C1120">
            <v>92508</v>
          </cell>
          <cell r="H1120"/>
          <cell r="K1120"/>
          <cell r="P1120"/>
        </row>
        <row r="1121">
          <cell r="A1121"/>
          <cell r="B1121" t="str">
            <v>COASTALCARE</v>
          </cell>
          <cell r="C1121">
            <v>96519</v>
          </cell>
          <cell r="H1121"/>
          <cell r="K1121"/>
          <cell r="P1121"/>
        </row>
        <row r="1122">
          <cell r="A1122"/>
          <cell r="B1122" t="str">
            <v>COATS</v>
          </cell>
          <cell r="C1122">
            <v>94341</v>
          </cell>
          <cell r="H1122"/>
          <cell r="K1122"/>
          <cell r="P1122"/>
        </row>
        <row r="1123">
          <cell r="A1123"/>
          <cell r="B1123" t="str">
            <v>COFIELD</v>
          </cell>
          <cell r="C1123">
            <v>94641</v>
          </cell>
          <cell r="H1123"/>
          <cell r="K1123"/>
          <cell r="P1123"/>
        </row>
        <row r="1124">
          <cell r="A1124"/>
          <cell r="B1124" t="str">
            <v>COLERAIN</v>
          </cell>
          <cell r="C1124">
            <v>90813</v>
          </cell>
          <cell r="H1124"/>
          <cell r="K1124"/>
          <cell r="P1124"/>
        </row>
        <row r="1125">
          <cell r="A1125"/>
          <cell r="B1125" t="str">
            <v>COLFAX VOLUNTEER FIRE DEPARTMENT</v>
          </cell>
          <cell r="C1125">
            <v>94168</v>
          </cell>
          <cell r="H1125"/>
          <cell r="K1125"/>
          <cell r="P1125"/>
        </row>
        <row r="1126">
          <cell r="A1126"/>
          <cell r="B1126" t="str">
            <v>COLUMBIA</v>
          </cell>
          <cell r="C1126">
            <v>98911</v>
          </cell>
          <cell r="H1126"/>
          <cell r="K1126"/>
          <cell r="P1126"/>
        </row>
        <row r="1127">
          <cell r="A1127"/>
          <cell r="B1127" t="str">
            <v>COLUMBUS</v>
          </cell>
          <cell r="C1127">
            <v>97521</v>
          </cell>
          <cell r="H1127"/>
          <cell r="K1127"/>
          <cell r="P1127"/>
        </row>
        <row r="1128">
          <cell r="A1128"/>
          <cell r="B1128" t="str">
            <v>COLUMBUS ABC BOARD</v>
          </cell>
          <cell r="C1128">
            <v>97527</v>
          </cell>
          <cell r="H1128"/>
          <cell r="K1128"/>
          <cell r="P1128"/>
        </row>
        <row r="1129">
          <cell r="A1129"/>
          <cell r="B1129" t="str">
            <v>COLUMBUS COUNTY</v>
          </cell>
          <cell r="C1129">
            <v>92401</v>
          </cell>
          <cell r="H1129"/>
          <cell r="K1129"/>
          <cell r="P1129"/>
        </row>
        <row r="1130">
          <cell r="A1130"/>
          <cell r="B1130" t="str">
            <v>CONCORD</v>
          </cell>
          <cell r="C1130">
            <v>91311</v>
          </cell>
          <cell r="H1130"/>
          <cell r="K1130"/>
          <cell r="P1130"/>
        </row>
        <row r="1131">
          <cell r="A1131"/>
          <cell r="B1131" t="str">
            <v>CONCORD ABC BOARD</v>
          </cell>
          <cell r="C1131">
            <v>91317</v>
          </cell>
          <cell r="H1131"/>
          <cell r="K1131"/>
          <cell r="P1131"/>
        </row>
        <row r="1132">
          <cell r="A1132"/>
          <cell r="B1132" t="str">
            <v>CONNELLY SPRINGS</v>
          </cell>
          <cell r="C1132">
            <v>91261</v>
          </cell>
          <cell r="H1132"/>
          <cell r="K1132"/>
          <cell r="P1132"/>
        </row>
        <row r="1133">
          <cell r="A1133"/>
          <cell r="B1133" t="str">
            <v>CONOVER</v>
          </cell>
          <cell r="C1133">
            <v>91851</v>
          </cell>
          <cell r="H1133"/>
          <cell r="K1133"/>
          <cell r="P1133"/>
        </row>
        <row r="1134">
          <cell r="A1134"/>
          <cell r="B1134" t="str">
            <v>CONTENNEA METROPOLITAN SEWERAGE DIST</v>
          </cell>
          <cell r="C1134">
            <v>97408</v>
          </cell>
          <cell r="H1134"/>
          <cell r="K1134"/>
          <cell r="P1134"/>
        </row>
        <row r="1135">
          <cell r="A1135"/>
          <cell r="B1135" t="str">
            <v>CONWAY</v>
          </cell>
          <cell r="C1135">
            <v>96641</v>
          </cell>
          <cell r="H1135"/>
          <cell r="K1135"/>
          <cell r="P1135"/>
        </row>
        <row r="1136">
          <cell r="A1136"/>
          <cell r="B1136" t="str">
            <v>COOLEEMEE</v>
          </cell>
          <cell r="C1136">
            <v>93031</v>
          </cell>
          <cell r="H1136"/>
          <cell r="K1136"/>
          <cell r="P1136"/>
        </row>
        <row r="1137">
          <cell r="A1137"/>
          <cell r="B1137" t="str">
            <v>COOLEEMEE ABC BOARD</v>
          </cell>
          <cell r="C1137">
            <v>93027</v>
          </cell>
          <cell r="H1137"/>
          <cell r="K1137"/>
          <cell r="P1137"/>
        </row>
        <row r="1138">
          <cell r="A1138"/>
          <cell r="B1138" t="str">
            <v>CORNELIUS</v>
          </cell>
          <cell r="C1138">
            <v>96051</v>
          </cell>
          <cell r="H1138"/>
          <cell r="K1138"/>
          <cell r="P1138"/>
        </row>
        <row r="1139">
          <cell r="A1139"/>
          <cell r="B1139" t="str">
            <v>COVE CITY</v>
          </cell>
          <cell r="C1139">
            <v>92571</v>
          </cell>
          <cell r="H1139"/>
          <cell r="K1139"/>
          <cell r="P1139"/>
        </row>
        <row r="1140">
          <cell r="A1140"/>
          <cell r="B1140" t="str">
            <v>CRAMERTON</v>
          </cell>
          <cell r="C1140">
            <v>93631</v>
          </cell>
          <cell r="H1140"/>
          <cell r="K1140"/>
          <cell r="P1140"/>
        </row>
        <row r="1141">
          <cell r="A1141"/>
          <cell r="B1141" t="str">
            <v>CRAMERTON ABC BOARD</v>
          </cell>
          <cell r="C1141">
            <v>93604</v>
          </cell>
          <cell r="H1141"/>
          <cell r="K1141"/>
          <cell r="P1141"/>
        </row>
        <row r="1142">
          <cell r="A1142"/>
          <cell r="B1142" t="str">
            <v>CRAVEN CO ABC BD</v>
          </cell>
          <cell r="C1142">
            <v>92504</v>
          </cell>
          <cell r="H1142"/>
          <cell r="K1142"/>
          <cell r="P1142"/>
        </row>
        <row r="1143">
          <cell r="A1143"/>
          <cell r="B1143" t="str">
            <v>CRAVEN COUNTY</v>
          </cell>
          <cell r="C1143">
            <v>92501</v>
          </cell>
          <cell r="H1143"/>
          <cell r="K1143"/>
          <cell r="P1143"/>
        </row>
        <row r="1144">
          <cell r="A1144"/>
          <cell r="B1144" t="str">
            <v>CRAVEN-PAMLICO-CARTERET REGIONAL LIBRARY</v>
          </cell>
          <cell r="C1144">
            <v>92505</v>
          </cell>
          <cell r="H1144"/>
          <cell r="K1144"/>
          <cell r="P1144"/>
        </row>
        <row r="1145">
          <cell r="A1145"/>
          <cell r="B1145" t="str">
            <v>CREEDMOOR</v>
          </cell>
          <cell r="C1145">
            <v>93921</v>
          </cell>
          <cell r="H1145"/>
          <cell r="K1145"/>
          <cell r="P1145"/>
        </row>
        <row r="1146">
          <cell r="A1146"/>
          <cell r="B1146" t="str">
            <v>CRESWELL</v>
          </cell>
          <cell r="C1146">
            <v>99431</v>
          </cell>
          <cell r="H1146"/>
          <cell r="K1146"/>
          <cell r="P1146"/>
        </row>
        <row r="1147">
          <cell r="A1147"/>
          <cell r="B1147" t="str">
            <v>CUMBERLAND CO ABC BOARD</v>
          </cell>
          <cell r="C1147">
            <v>92604</v>
          </cell>
          <cell r="H1147"/>
          <cell r="K1147"/>
          <cell r="P1147"/>
        </row>
        <row r="1148">
          <cell r="A1148"/>
          <cell r="B1148" t="str">
            <v>CUMBERLAND COUNTY</v>
          </cell>
          <cell r="C1148">
            <v>92601</v>
          </cell>
          <cell r="H1148"/>
          <cell r="K1148"/>
          <cell r="P1148"/>
        </row>
        <row r="1149">
          <cell r="A1149"/>
          <cell r="B1149" t="str">
            <v>CUMBERLAND MEMORIAL AUDITORIUM COM</v>
          </cell>
          <cell r="C1149">
            <v>92608</v>
          </cell>
          <cell r="H1149"/>
          <cell r="K1149"/>
          <cell r="P1149"/>
        </row>
        <row r="1150">
          <cell r="A1150"/>
          <cell r="B1150" t="str">
            <v>CURRITUCK CO ABC BOARD</v>
          </cell>
          <cell r="C1150">
            <v>92704</v>
          </cell>
          <cell r="H1150"/>
          <cell r="K1150"/>
          <cell r="P1150"/>
        </row>
        <row r="1151">
          <cell r="A1151"/>
          <cell r="B1151" t="str">
            <v>CURRITUCK COUNTY</v>
          </cell>
          <cell r="C1151">
            <v>92701</v>
          </cell>
          <cell r="H1151"/>
          <cell r="K1151"/>
          <cell r="P1151"/>
        </row>
        <row r="1152">
          <cell r="A1152"/>
          <cell r="B1152" t="str">
            <v>DALLAS</v>
          </cell>
          <cell r="C1152">
            <v>93651</v>
          </cell>
          <cell r="H1152"/>
          <cell r="K1152"/>
          <cell r="P1152"/>
        </row>
        <row r="1153">
          <cell r="A1153"/>
          <cell r="B1153" t="str">
            <v>DARE COUNTY</v>
          </cell>
          <cell r="C1153">
            <v>92801</v>
          </cell>
          <cell r="H1153"/>
          <cell r="K1153"/>
          <cell r="P1153"/>
        </row>
        <row r="1154">
          <cell r="A1154"/>
          <cell r="B1154" t="str">
            <v>DARE COUNTY ABC BOARD</v>
          </cell>
          <cell r="C1154">
            <v>92804</v>
          </cell>
          <cell r="H1154"/>
          <cell r="K1154"/>
          <cell r="P1154"/>
        </row>
        <row r="1155">
          <cell r="A1155"/>
          <cell r="B1155" t="str">
            <v>DARE COUNTY TOURISM BOARD</v>
          </cell>
          <cell r="C1155">
            <v>92802</v>
          </cell>
          <cell r="H1155"/>
          <cell r="K1155"/>
          <cell r="P1155"/>
        </row>
        <row r="1156">
          <cell r="A1156"/>
          <cell r="B1156" t="str">
            <v>DAVIDSON</v>
          </cell>
          <cell r="C1156">
            <v>96081</v>
          </cell>
          <cell r="H1156"/>
          <cell r="K1156"/>
          <cell r="P1156"/>
        </row>
        <row r="1157">
          <cell r="A1157"/>
          <cell r="B1157" t="str">
            <v>DAVIDSON COUNTY</v>
          </cell>
          <cell r="C1157">
            <v>92901</v>
          </cell>
          <cell r="H1157"/>
          <cell r="K1157"/>
          <cell r="P1157"/>
        </row>
        <row r="1158">
          <cell r="A1158"/>
          <cell r="B1158" t="str">
            <v>DAVIE COUNTY</v>
          </cell>
          <cell r="C1158">
            <v>93001</v>
          </cell>
          <cell r="H1158"/>
          <cell r="K1158"/>
          <cell r="P1158"/>
        </row>
        <row r="1159">
          <cell r="A1159"/>
          <cell r="B1159" t="str">
            <v>DAVIE SOIL AND WATER CONSERVATION DIST</v>
          </cell>
          <cell r="C1159">
            <v>93009</v>
          </cell>
          <cell r="H1159"/>
          <cell r="K1159"/>
          <cell r="P1159"/>
        </row>
        <row r="1160">
          <cell r="A1160"/>
          <cell r="B1160" t="str">
            <v>DENTON</v>
          </cell>
          <cell r="C1160">
            <v>92921</v>
          </cell>
          <cell r="H1160"/>
          <cell r="K1160"/>
          <cell r="P1160"/>
        </row>
        <row r="1161">
          <cell r="A1161"/>
          <cell r="B1161" t="str">
            <v>DOBSON</v>
          </cell>
          <cell r="C1161">
            <v>98621</v>
          </cell>
          <cell r="H1161"/>
          <cell r="K1161"/>
          <cell r="P1161"/>
        </row>
        <row r="1162">
          <cell r="A1162"/>
          <cell r="B1162" t="str">
            <v>DOBSON ABC BD</v>
          </cell>
          <cell r="C1162">
            <v>98627</v>
          </cell>
          <cell r="H1162"/>
          <cell r="K1162"/>
          <cell r="P1162"/>
        </row>
        <row r="1163">
          <cell r="A1163"/>
          <cell r="B1163" t="str">
            <v>DREXEL</v>
          </cell>
          <cell r="C1163">
            <v>91221</v>
          </cell>
          <cell r="H1163"/>
          <cell r="K1163"/>
          <cell r="P1163"/>
        </row>
        <row r="1164">
          <cell r="A1164"/>
          <cell r="B1164" t="str">
            <v>DUCK</v>
          </cell>
          <cell r="C1164">
            <v>92861</v>
          </cell>
          <cell r="H1164"/>
          <cell r="K1164"/>
          <cell r="P1164"/>
        </row>
        <row r="1165">
          <cell r="A1165"/>
          <cell r="B1165" t="str">
            <v>DUNN</v>
          </cell>
          <cell r="C1165">
            <v>94311</v>
          </cell>
          <cell r="H1165"/>
          <cell r="K1165"/>
          <cell r="P1165"/>
        </row>
        <row r="1166">
          <cell r="A1166"/>
          <cell r="B1166" t="str">
            <v>DUNN ABC BOARD</v>
          </cell>
          <cell r="C1166">
            <v>94317</v>
          </cell>
          <cell r="H1166"/>
          <cell r="K1166"/>
          <cell r="P1166"/>
        </row>
        <row r="1167">
          <cell r="A1167"/>
          <cell r="B1167" t="str">
            <v>DUNN HOUSING AUTHORITY</v>
          </cell>
          <cell r="C1167">
            <v>94313</v>
          </cell>
          <cell r="H1167"/>
          <cell r="K1167"/>
          <cell r="P1167"/>
        </row>
        <row r="1168">
          <cell r="A1168"/>
          <cell r="B1168" t="str">
            <v>DUPLIN COUNTY</v>
          </cell>
          <cell r="C1168">
            <v>93101</v>
          </cell>
          <cell r="H1168"/>
          <cell r="K1168"/>
          <cell r="P1168"/>
        </row>
        <row r="1169">
          <cell r="A1169"/>
          <cell r="B1169" t="str">
            <v>DUPLIN COUNTY TOURISM DEVELOPMENT AUTHORITY</v>
          </cell>
          <cell r="C1169">
            <v>93103</v>
          </cell>
          <cell r="H1169"/>
          <cell r="K1169"/>
          <cell r="P1169"/>
        </row>
        <row r="1170">
          <cell r="A1170"/>
          <cell r="B1170" t="str">
            <v>DURHAM</v>
          </cell>
          <cell r="C1170">
            <v>93211</v>
          </cell>
          <cell r="H1170"/>
          <cell r="K1170"/>
          <cell r="P1170"/>
        </row>
        <row r="1171">
          <cell r="A1171"/>
          <cell r="B1171" t="str">
            <v>DURHAM CONVENTION &amp; VISITORS BUREAU</v>
          </cell>
          <cell r="C1171">
            <v>93212</v>
          </cell>
          <cell r="H1171"/>
          <cell r="K1171"/>
          <cell r="P1171"/>
        </row>
        <row r="1172">
          <cell r="A1172"/>
          <cell r="B1172" t="str">
            <v>DURHAM COUNTY</v>
          </cell>
          <cell r="C1172">
            <v>93201</v>
          </cell>
          <cell r="H1172"/>
          <cell r="K1172"/>
          <cell r="P1172"/>
        </row>
        <row r="1173">
          <cell r="A1173"/>
          <cell r="B1173" t="str">
            <v>DURHAM COUNTY ABC BOARD</v>
          </cell>
          <cell r="C1173">
            <v>93204</v>
          </cell>
          <cell r="H1173"/>
          <cell r="K1173"/>
          <cell r="P1173"/>
        </row>
        <row r="1174">
          <cell r="A1174"/>
          <cell r="B1174" t="str">
            <v>DURHAM HWY FIRE PROTECTION ASSOC</v>
          </cell>
          <cell r="C1174">
            <v>99212</v>
          </cell>
          <cell r="H1174"/>
          <cell r="K1174"/>
          <cell r="P1174"/>
        </row>
        <row r="1175">
          <cell r="A1175"/>
          <cell r="B1175" t="str">
            <v>EAST ALBEMARLE REGIONAL LIBRARY</v>
          </cell>
          <cell r="C1175">
            <v>97005</v>
          </cell>
          <cell r="H1175"/>
          <cell r="K1175"/>
          <cell r="P1175"/>
        </row>
        <row r="1176">
          <cell r="A1176"/>
          <cell r="B1176" t="str">
            <v>EAST BEND</v>
          </cell>
          <cell r="C1176">
            <v>99931</v>
          </cell>
          <cell r="H1176"/>
          <cell r="K1176"/>
          <cell r="P1176"/>
        </row>
        <row r="1177">
          <cell r="A1177"/>
          <cell r="B1177" t="str">
            <v>EAST CAROLINA BEHAVORIAL HEALTHCARE</v>
          </cell>
          <cell r="C1177">
            <v>92509</v>
          </cell>
          <cell r="H1177"/>
          <cell r="K1177"/>
          <cell r="P1177"/>
        </row>
        <row r="1178">
          <cell r="A1178"/>
          <cell r="B1178" t="str">
            <v>EAST SPENCER</v>
          </cell>
          <cell r="C1178">
            <v>98021</v>
          </cell>
          <cell r="H1178"/>
          <cell r="K1178"/>
          <cell r="P1178"/>
        </row>
        <row r="1179">
          <cell r="A1179"/>
          <cell r="B1179" t="str">
            <v>EAST SPENCER HOUSING AUTHORITY</v>
          </cell>
          <cell r="C1179">
            <v>98023</v>
          </cell>
          <cell r="H1179"/>
          <cell r="K1179"/>
          <cell r="P1179"/>
        </row>
        <row r="1180">
          <cell r="A1180"/>
          <cell r="B1180" t="str">
            <v>EASTERN BAND OF CHEROKEE INDIANS</v>
          </cell>
          <cell r="C1180">
            <v>70505</v>
          </cell>
          <cell r="H1180"/>
          <cell r="K1180"/>
          <cell r="P1180"/>
        </row>
        <row r="1181">
          <cell r="A1181"/>
          <cell r="B1181" t="str">
            <v>EASTERN CAROLINA REG'L HOUSING AUTHORITY</v>
          </cell>
          <cell r="C1181">
            <v>99603</v>
          </cell>
          <cell r="H1181"/>
          <cell r="K1181"/>
          <cell r="P1181"/>
        </row>
        <row r="1182">
          <cell r="A1182"/>
          <cell r="B1182" t="str">
            <v>EASTERN WAYNE SANITARY DIST</v>
          </cell>
          <cell r="C1182">
            <v>99610</v>
          </cell>
          <cell r="H1182"/>
          <cell r="K1182"/>
          <cell r="P1182"/>
        </row>
        <row r="1183">
          <cell r="A1183"/>
          <cell r="B1183" t="str">
            <v>EASTOVER</v>
          </cell>
          <cell r="C1183">
            <v>92681</v>
          </cell>
          <cell r="H1183"/>
          <cell r="K1183"/>
          <cell r="P1183"/>
        </row>
        <row r="1184">
          <cell r="A1184"/>
          <cell r="B1184" t="str">
            <v>EASTPOINTE HUMAN SERVICES</v>
          </cell>
          <cell r="C1184">
            <v>93108</v>
          </cell>
          <cell r="H1184"/>
          <cell r="K1184"/>
          <cell r="P1184"/>
        </row>
        <row r="1185">
          <cell r="A1185"/>
          <cell r="B1185" t="str">
            <v>EDEN</v>
          </cell>
          <cell r="C1185">
            <v>97951</v>
          </cell>
          <cell r="H1185"/>
          <cell r="K1185"/>
          <cell r="P1185"/>
        </row>
        <row r="1186">
          <cell r="A1186"/>
          <cell r="B1186" t="str">
            <v>EDEN ABC BOARD</v>
          </cell>
          <cell r="C1186">
            <v>97957</v>
          </cell>
          <cell r="H1186"/>
          <cell r="K1186"/>
          <cell r="P1186"/>
        </row>
        <row r="1187">
          <cell r="A1187"/>
          <cell r="B1187" t="str">
            <v>EDENTON</v>
          </cell>
          <cell r="C1187">
            <v>92111</v>
          </cell>
          <cell r="H1187"/>
          <cell r="K1187"/>
          <cell r="P1187"/>
        </row>
        <row r="1188">
          <cell r="A1188"/>
          <cell r="B1188" t="str">
            <v>EDGECOMBE COUNTY</v>
          </cell>
          <cell r="C1188">
            <v>93301</v>
          </cell>
          <cell r="H1188"/>
          <cell r="K1188"/>
          <cell r="P1188"/>
        </row>
        <row r="1189">
          <cell r="A1189"/>
          <cell r="B1189" t="str">
            <v>EDGECOMBE COUNTY ABC BOARD</v>
          </cell>
          <cell r="C1189">
            <v>93304</v>
          </cell>
          <cell r="H1189"/>
          <cell r="K1189"/>
          <cell r="P1189"/>
        </row>
        <row r="1190">
          <cell r="A1190"/>
          <cell r="B1190" t="str">
            <v>EDGECOMBE COUNTY MEMORIAL LIBRARY</v>
          </cell>
          <cell r="C1190">
            <v>93305</v>
          </cell>
          <cell r="H1190"/>
          <cell r="K1190"/>
          <cell r="P1190"/>
        </row>
        <row r="1191">
          <cell r="A1191"/>
          <cell r="B1191" t="str">
            <v>ELECTRICITIES OF NC</v>
          </cell>
          <cell r="C1191">
            <v>99210</v>
          </cell>
          <cell r="H1191"/>
          <cell r="K1191"/>
          <cell r="P1191"/>
        </row>
        <row r="1192">
          <cell r="A1192"/>
          <cell r="B1192" t="str">
            <v>ELIZABETH CITY</v>
          </cell>
          <cell r="C1192">
            <v>97011</v>
          </cell>
          <cell r="H1192"/>
          <cell r="K1192"/>
          <cell r="P1192"/>
        </row>
        <row r="1193">
          <cell r="A1193"/>
          <cell r="B1193" t="str">
            <v>ELIZABETH CITY PASQUOTANK COUNTY TDA</v>
          </cell>
          <cell r="C1193">
            <v>97013</v>
          </cell>
          <cell r="H1193"/>
          <cell r="K1193"/>
          <cell r="P1193"/>
        </row>
        <row r="1194">
          <cell r="A1194"/>
          <cell r="B1194" t="str">
            <v>ELIZABETH CITY-PASQUOTANK CO AIRPORT AUTHORITY</v>
          </cell>
          <cell r="C1194">
            <v>97012</v>
          </cell>
          <cell r="H1194"/>
          <cell r="K1194"/>
          <cell r="P1194"/>
        </row>
        <row r="1195">
          <cell r="A1195"/>
          <cell r="B1195" t="str">
            <v>ELIZABETH CTY-PASQUOTANK CO INDUSTRL DEVELOPMENT C</v>
          </cell>
          <cell r="C1195">
            <v>97018</v>
          </cell>
          <cell r="H1195"/>
          <cell r="K1195"/>
          <cell r="P1195"/>
        </row>
        <row r="1196">
          <cell r="A1196"/>
          <cell r="B1196" t="str">
            <v>ELIZABETHTOWN</v>
          </cell>
          <cell r="C1196">
            <v>90911</v>
          </cell>
          <cell r="H1196"/>
          <cell r="K1196"/>
          <cell r="P1196"/>
        </row>
        <row r="1197">
          <cell r="A1197"/>
          <cell r="B1197" t="str">
            <v>ELIZABETHTOWN ABC BOARD</v>
          </cell>
          <cell r="C1197">
            <v>90917</v>
          </cell>
          <cell r="H1197"/>
          <cell r="K1197"/>
          <cell r="P1197"/>
        </row>
        <row r="1198">
          <cell r="A1198"/>
          <cell r="B1198" t="str">
            <v>ELK PARK</v>
          </cell>
          <cell r="C1198">
            <v>90641</v>
          </cell>
          <cell r="H1198"/>
          <cell r="K1198"/>
          <cell r="P1198"/>
        </row>
        <row r="1199">
          <cell r="A1199"/>
          <cell r="B1199" t="str">
            <v>ELKIN</v>
          </cell>
          <cell r="C1199">
            <v>98641</v>
          </cell>
          <cell r="H1199"/>
          <cell r="K1199"/>
          <cell r="P1199"/>
        </row>
        <row r="1200">
          <cell r="A1200"/>
          <cell r="B1200" t="str">
            <v>ELKIN ABC BOARD (merged with Yadkin Valley ABC Board)</v>
          </cell>
          <cell r="C1200" t="str">
            <v>98647M</v>
          </cell>
          <cell r="H1200"/>
          <cell r="K1200"/>
          <cell r="P1200"/>
        </row>
        <row r="1201">
          <cell r="A1201"/>
          <cell r="B1201" t="str">
            <v>ELLENBORO</v>
          </cell>
          <cell r="C1201">
            <v>98161</v>
          </cell>
          <cell r="H1201"/>
          <cell r="K1201"/>
          <cell r="P1201"/>
        </row>
        <row r="1202">
          <cell r="A1202"/>
          <cell r="B1202" t="str">
            <v>ELLERBE</v>
          </cell>
          <cell r="C1202">
            <v>97731</v>
          </cell>
          <cell r="H1202"/>
          <cell r="K1202"/>
          <cell r="P1202"/>
        </row>
        <row r="1203">
          <cell r="A1203"/>
          <cell r="B1203" t="str">
            <v>ELM CITY</v>
          </cell>
          <cell r="C1203">
            <v>99851</v>
          </cell>
          <cell r="H1203"/>
          <cell r="K1203"/>
          <cell r="P1203"/>
        </row>
        <row r="1204">
          <cell r="A1204"/>
          <cell r="B1204" t="str">
            <v>ELON</v>
          </cell>
          <cell r="C1204">
            <v>90131</v>
          </cell>
          <cell r="H1204"/>
          <cell r="K1204"/>
          <cell r="P1204"/>
        </row>
        <row r="1205">
          <cell r="A1205"/>
          <cell r="B1205" t="str">
            <v>EMERALD ISLE</v>
          </cell>
          <cell r="C1205">
            <v>91651</v>
          </cell>
          <cell r="H1205"/>
          <cell r="K1205"/>
          <cell r="P1205"/>
        </row>
        <row r="1206">
          <cell r="A1206"/>
          <cell r="B1206" t="str">
            <v>ENFIELD</v>
          </cell>
          <cell r="C1206">
            <v>94211</v>
          </cell>
          <cell r="H1206"/>
          <cell r="K1206"/>
          <cell r="P1206"/>
        </row>
        <row r="1207">
          <cell r="A1207"/>
          <cell r="B1207" t="str">
            <v>ERWIN</v>
          </cell>
          <cell r="C1207">
            <v>94331</v>
          </cell>
          <cell r="H1207"/>
          <cell r="K1207"/>
          <cell r="P1207"/>
        </row>
        <row r="1208">
          <cell r="A1208"/>
          <cell r="B1208" t="str">
            <v>FAIR BLUFF</v>
          </cell>
          <cell r="C1208">
            <v>92431</v>
          </cell>
          <cell r="H1208"/>
          <cell r="K1208"/>
          <cell r="P1208"/>
        </row>
        <row r="1209">
          <cell r="A1209"/>
          <cell r="B1209" t="str">
            <v>FAIRMONT</v>
          </cell>
          <cell r="C1209">
            <v>97821</v>
          </cell>
          <cell r="H1209"/>
          <cell r="K1209"/>
          <cell r="P1209"/>
        </row>
        <row r="1210">
          <cell r="A1210"/>
          <cell r="B1210" t="str">
            <v>FAIRMONT HOUSING AUTHORITY</v>
          </cell>
          <cell r="C1210">
            <v>97823</v>
          </cell>
          <cell r="H1210"/>
          <cell r="K1210"/>
          <cell r="P1210"/>
        </row>
        <row r="1211">
          <cell r="A1211"/>
          <cell r="B1211" t="str">
            <v>FAISON</v>
          </cell>
          <cell r="C1211">
            <v>93141</v>
          </cell>
          <cell r="H1211"/>
          <cell r="K1211"/>
          <cell r="P1211"/>
        </row>
        <row r="1212">
          <cell r="A1212"/>
          <cell r="B1212" t="str">
            <v>FAITH</v>
          </cell>
          <cell r="C1212">
            <v>98081</v>
          </cell>
          <cell r="H1212"/>
          <cell r="K1212"/>
          <cell r="P1212"/>
        </row>
        <row r="1213">
          <cell r="A1213"/>
          <cell r="B1213" t="str">
            <v>FALCON</v>
          </cell>
          <cell r="C1213">
            <v>92671</v>
          </cell>
          <cell r="H1213"/>
          <cell r="K1213"/>
          <cell r="P1213"/>
        </row>
        <row r="1214">
          <cell r="A1214"/>
          <cell r="B1214" t="str">
            <v>FARMVILLE</v>
          </cell>
          <cell r="C1214">
            <v>97421</v>
          </cell>
          <cell r="H1214"/>
          <cell r="K1214"/>
          <cell r="P1214"/>
        </row>
        <row r="1215">
          <cell r="A1215"/>
          <cell r="B1215" t="str">
            <v>FARMVILLE HOUSING AUTHORITY</v>
          </cell>
          <cell r="C1215">
            <v>97423</v>
          </cell>
          <cell r="H1215"/>
          <cell r="K1215"/>
          <cell r="P1215"/>
        </row>
        <row r="1216">
          <cell r="A1216"/>
          <cell r="B1216" t="str">
            <v>FAYETTEVILLE</v>
          </cell>
          <cell r="C1216">
            <v>92611</v>
          </cell>
          <cell r="H1216"/>
          <cell r="K1216"/>
          <cell r="P1216"/>
        </row>
        <row r="1217">
          <cell r="A1217"/>
          <cell r="B1217" t="str">
            <v>FAYETTEVILLE METROPOLITAN HOUSING AUTHORITY</v>
          </cell>
          <cell r="C1217">
            <v>92613</v>
          </cell>
          <cell r="H1217"/>
          <cell r="K1217"/>
          <cell r="P1217"/>
        </row>
        <row r="1218">
          <cell r="A1218"/>
          <cell r="B1218" t="str">
            <v>FAYETTEVILLE PUBLIC WORKS COMMISSION</v>
          </cell>
          <cell r="C1218">
            <v>92614</v>
          </cell>
          <cell r="H1218"/>
          <cell r="K1218"/>
          <cell r="P1218"/>
        </row>
        <row r="1219">
          <cell r="A1219"/>
          <cell r="B1219" t="str">
            <v>FIRST CRAVEN SANITARY DIST</v>
          </cell>
          <cell r="C1219">
            <v>92502</v>
          </cell>
          <cell r="H1219"/>
          <cell r="K1219"/>
          <cell r="P1219"/>
        </row>
        <row r="1220">
          <cell r="A1220"/>
          <cell r="B1220" t="str">
            <v>FLAT ROCK</v>
          </cell>
          <cell r="C1220">
            <v>94531</v>
          </cell>
          <cell r="H1220"/>
          <cell r="K1220"/>
          <cell r="P1220"/>
        </row>
        <row r="1221">
          <cell r="A1221"/>
          <cell r="B1221" t="str">
            <v>FLETCHER</v>
          </cell>
          <cell r="C1221">
            <v>94541</v>
          </cell>
          <cell r="H1221"/>
          <cell r="K1221"/>
          <cell r="P1221"/>
        </row>
        <row r="1222">
          <cell r="A1222"/>
          <cell r="B1222" t="str">
            <v>FLETCHER ABC BOARD</v>
          </cell>
          <cell r="C1222">
            <v>94547</v>
          </cell>
          <cell r="H1222"/>
          <cell r="K1222"/>
          <cell r="P1222"/>
        </row>
        <row r="1223">
          <cell r="A1223"/>
          <cell r="B1223" t="str">
            <v>FONTANA REGIONAL LIBRARY</v>
          </cell>
          <cell r="C1223">
            <v>95005</v>
          </cell>
          <cell r="H1223"/>
          <cell r="K1223"/>
          <cell r="P1223"/>
        </row>
        <row r="1224">
          <cell r="A1224"/>
          <cell r="B1224" t="str">
            <v>FOREST CITY</v>
          </cell>
          <cell r="C1224">
            <v>98111</v>
          </cell>
          <cell r="H1224"/>
          <cell r="K1224"/>
          <cell r="P1224"/>
        </row>
        <row r="1225">
          <cell r="A1225"/>
          <cell r="B1225" t="str">
            <v>FOREST CITY ABC BOARD 168</v>
          </cell>
          <cell r="C1225">
            <v>98107</v>
          </cell>
          <cell r="H1225"/>
          <cell r="K1225"/>
          <cell r="P1225"/>
        </row>
        <row r="1226">
          <cell r="A1226"/>
          <cell r="B1226" t="str">
            <v>FOREST CITY HOUSING AUTHORITY</v>
          </cell>
          <cell r="C1226">
            <v>98113</v>
          </cell>
          <cell r="H1226"/>
          <cell r="K1226"/>
          <cell r="P1226"/>
        </row>
        <row r="1227">
          <cell r="A1227"/>
          <cell r="B1227" t="str">
            <v>FORK TOWNSHIP SANITARY DIST</v>
          </cell>
          <cell r="C1227">
            <v>99602</v>
          </cell>
          <cell r="H1227"/>
          <cell r="K1227"/>
          <cell r="P1227"/>
        </row>
        <row r="1228">
          <cell r="A1228"/>
          <cell r="B1228" t="str">
            <v>FORSYTH COUNTY</v>
          </cell>
          <cell r="C1228">
            <v>93401</v>
          </cell>
          <cell r="H1228"/>
          <cell r="K1228"/>
          <cell r="P1228"/>
        </row>
        <row r="1229">
          <cell r="A1229"/>
          <cell r="B1229" t="str">
            <v>FOUNTAIN</v>
          </cell>
          <cell r="C1229">
            <v>97491</v>
          </cell>
          <cell r="H1229"/>
          <cell r="K1229"/>
          <cell r="P1229"/>
        </row>
        <row r="1230">
          <cell r="A1230"/>
          <cell r="B1230" t="str">
            <v>FOUR OAKS</v>
          </cell>
          <cell r="C1230">
            <v>95151</v>
          </cell>
          <cell r="H1230"/>
          <cell r="K1230"/>
          <cell r="P1230"/>
        </row>
        <row r="1231">
          <cell r="A1231"/>
          <cell r="B1231" t="str">
            <v>FOXFIRE VILLAGE</v>
          </cell>
          <cell r="C1231">
            <v>96381</v>
          </cell>
          <cell r="H1231"/>
          <cell r="K1231"/>
          <cell r="P1231"/>
        </row>
        <row r="1232">
          <cell r="A1232"/>
          <cell r="B1232" t="str">
            <v>FRANKLIN</v>
          </cell>
          <cell r="C1232">
            <v>95611</v>
          </cell>
          <cell r="H1232"/>
          <cell r="K1232"/>
          <cell r="P1232"/>
        </row>
        <row r="1233">
          <cell r="A1233"/>
          <cell r="B1233" t="str">
            <v>FRANKLIN COUNTY</v>
          </cell>
          <cell r="C1233">
            <v>93501</v>
          </cell>
          <cell r="H1233"/>
          <cell r="K1233"/>
          <cell r="P1233"/>
        </row>
        <row r="1234">
          <cell r="A1234"/>
          <cell r="B1234" t="str">
            <v>FRANKLINTON</v>
          </cell>
          <cell r="C1234">
            <v>93511</v>
          </cell>
          <cell r="H1234"/>
          <cell r="K1234"/>
          <cell r="P1234"/>
        </row>
        <row r="1235">
          <cell r="A1235"/>
          <cell r="B1235" t="str">
            <v>FRANKLINTON ABC BOARD</v>
          </cell>
          <cell r="C1235">
            <v>93517</v>
          </cell>
          <cell r="H1235"/>
          <cell r="K1235"/>
          <cell r="P1235"/>
        </row>
        <row r="1236">
          <cell r="A1236"/>
          <cell r="B1236" t="str">
            <v>FREMONT</v>
          </cell>
          <cell r="C1236">
            <v>99631</v>
          </cell>
          <cell r="H1236"/>
          <cell r="K1236"/>
          <cell r="P1236"/>
        </row>
        <row r="1237">
          <cell r="A1237"/>
          <cell r="B1237" t="str">
            <v>FUQUAY-VARINA</v>
          </cell>
          <cell r="C1237">
            <v>99261</v>
          </cell>
          <cell r="H1237"/>
          <cell r="K1237"/>
          <cell r="P1237"/>
        </row>
        <row r="1238">
          <cell r="A1238"/>
          <cell r="B1238" t="str">
            <v>GARLAND</v>
          </cell>
          <cell r="C1238">
            <v>98241</v>
          </cell>
          <cell r="H1238"/>
          <cell r="K1238"/>
          <cell r="P1238"/>
        </row>
        <row r="1239">
          <cell r="A1239"/>
          <cell r="B1239" t="str">
            <v>GARNER</v>
          </cell>
          <cell r="C1239">
            <v>99251</v>
          </cell>
          <cell r="H1239"/>
          <cell r="K1239"/>
          <cell r="P1239"/>
        </row>
        <row r="1240">
          <cell r="A1240"/>
          <cell r="B1240" t="str">
            <v>GARNER FIRE DEPT</v>
          </cell>
          <cell r="C1240">
            <v>99252</v>
          </cell>
          <cell r="H1240"/>
          <cell r="K1240"/>
          <cell r="P1240"/>
        </row>
        <row r="1241">
          <cell r="A1241"/>
          <cell r="B1241" t="str">
            <v>GARYSBURG</v>
          </cell>
          <cell r="C1241">
            <v>96631</v>
          </cell>
          <cell r="H1241"/>
          <cell r="K1241"/>
          <cell r="P1241"/>
        </row>
        <row r="1242">
          <cell r="A1242"/>
          <cell r="B1242" t="str">
            <v>GASTON</v>
          </cell>
          <cell r="C1242">
            <v>96651</v>
          </cell>
          <cell r="H1242"/>
          <cell r="K1242"/>
          <cell r="P1242"/>
        </row>
        <row r="1243">
          <cell r="A1243"/>
          <cell r="B1243" t="str">
            <v>GASTON COUNTY</v>
          </cell>
          <cell r="C1243">
            <v>93601</v>
          </cell>
          <cell r="H1243"/>
          <cell r="K1243"/>
          <cell r="P1243"/>
        </row>
        <row r="1244">
          <cell r="A1244"/>
          <cell r="B1244" t="str">
            <v>GASTON COUNTY ECONOMIC DEV. COMMISSION</v>
          </cell>
          <cell r="C1244">
            <v>93618</v>
          </cell>
          <cell r="H1244"/>
          <cell r="K1244"/>
          <cell r="P1244"/>
        </row>
        <row r="1245">
          <cell r="A1245"/>
          <cell r="B1245" t="str">
            <v>GASTONIA</v>
          </cell>
          <cell r="C1245">
            <v>93611</v>
          </cell>
          <cell r="H1245"/>
          <cell r="K1245"/>
          <cell r="P1245"/>
        </row>
        <row r="1246">
          <cell r="A1246"/>
          <cell r="B1246" t="str">
            <v>GASTONIA ABC BOARD</v>
          </cell>
          <cell r="C1246">
            <v>93617</v>
          </cell>
          <cell r="H1246"/>
          <cell r="K1246"/>
          <cell r="P1246"/>
        </row>
        <row r="1247">
          <cell r="A1247"/>
          <cell r="B1247" t="str">
            <v>GATES COUNTY</v>
          </cell>
          <cell r="C1247">
            <v>93701</v>
          </cell>
          <cell r="H1247"/>
          <cell r="K1247"/>
          <cell r="P1247"/>
        </row>
        <row r="1248">
          <cell r="A1248"/>
          <cell r="B1248" t="str">
            <v>GATES COUNTY ABC BOARD</v>
          </cell>
          <cell r="C1248">
            <v>93704</v>
          </cell>
          <cell r="H1248"/>
          <cell r="K1248"/>
          <cell r="P1248"/>
        </row>
        <row r="1249">
          <cell r="A1249"/>
          <cell r="B1249" t="str">
            <v>GIBSON</v>
          </cell>
          <cell r="C1249">
            <v>98331</v>
          </cell>
          <cell r="H1249"/>
          <cell r="K1249"/>
          <cell r="P1249"/>
        </row>
        <row r="1250">
          <cell r="A1250"/>
          <cell r="B1250" t="str">
            <v>GIBSONVILLE</v>
          </cell>
          <cell r="C1250">
            <v>94151</v>
          </cell>
          <cell r="H1250"/>
          <cell r="K1250"/>
          <cell r="P1250"/>
        </row>
        <row r="1251">
          <cell r="A1251"/>
          <cell r="B1251" t="str">
            <v>GIBSONVILLE ABC BOARD</v>
          </cell>
          <cell r="C1251">
            <v>94157</v>
          </cell>
          <cell r="H1251"/>
          <cell r="K1251"/>
          <cell r="P1251"/>
        </row>
        <row r="1252">
          <cell r="A1252"/>
          <cell r="B1252" t="str">
            <v>GLEN ALPINE</v>
          </cell>
          <cell r="C1252">
            <v>91241</v>
          </cell>
          <cell r="H1252"/>
          <cell r="K1252"/>
          <cell r="P1252"/>
        </row>
        <row r="1253">
          <cell r="A1253"/>
          <cell r="B1253" t="str">
            <v>GLOBAL TRANSPARK DEVELOPMENT COMM</v>
          </cell>
          <cell r="C1253">
            <v>95412</v>
          </cell>
          <cell r="H1253"/>
          <cell r="K1253"/>
          <cell r="P1253"/>
        </row>
        <row r="1254">
          <cell r="A1254"/>
          <cell r="B1254" t="str">
            <v>GOLDSBORO</v>
          </cell>
          <cell r="C1254">
            <v>99611</v>
          </cell>
          <cell r="H1254"/>
          <cell r="K1254"/>
          <cell r="P1254"/>
        </row>
        <row r="1255">
          <cell r="A1255"/>
          <cell r="B1255" t="str">
            <v xml:space="preserve">GOLDSBORO HOUSING AUTHORITY </v>
          </cell>
          <cell r="C1255">
            <v>99613</v>
          </cell>
          <cell r="H1255"/>
          <cell r="K1255"/>
          <cell r="P1255"/>
        </row>
        <row r="1256">
          <cell r="A1256"/>
          <cell r="B1256" t="str">
            <v>GOLDSTON-GULF SANITARY DISTRICT</v>
          </cell>
          <cell r="C1256">
            <v>91908</v>
          </cell>
          <cell r="H1256"/>
          <cell r="K1256"/>
          <cell r="P1256"/>
        </row>
        <row r="1257">
          <cell r="A1257"/>
          <cell r="B1257" t="str">
            <v>GRAHAM</v>
          </cell>
          <cell r="C1257">
            <v>90121</v>
          </cell>
          <cell r="H1257"/>
          <cell r="K1257"/>
          <cell r="P1257"/>
        </row>
        <row r="1258">
          <cell r="A1258"/>
          <cell r="B1258" t="str">
            <v>GRAHAM CO HEALTH DEPT</v>
          </cell>
          <cell r="C1258">
            <v>93803</v>
          </cell>
          <cell r="H1258"/>
          <cell r="K1258"/>
          <cell r="P1258"/>
        </row>
        <row r="1259">
          <cell r="A1259"/>
          <cell r="B1259" t="str">
            <v>GRAHAM COUNTY</v>
          </cell>
          <cell r="C1259">
            <v>93801</v>
          </cell>
          <cell r="H1259"/>
          <cell r="K1259"/>
          <cell r="P1259"/>
        </row>
        <row r="1260">
          <cell r="A1260"/>
          <cell r="B1260" t="str">
            <v>GRAHAM COUNTY DEPT OF S S</v>
          </cell>
          <cell r="C1260">
            <v>93806</v>
          </cell>
          <cell r="H1260"/>
          <cell r="K1260"/>
          <cell r="P1260"/>
        </row>
        <row r="1261">
          <cell r="A1261"/>
          <cell r="B1261" t="str">
            <v>GRANITE FALLS</v>
          </cell>
          <cell r="C1261">
            <v>91411</v>
          </cell>
          <cell r="H1261"/>
          <cell r="K1261"/>
          <cell r="P1261"/>
        </row>
        <row r="1262">
          <cell r="A1262"/>
          <cell r="B1262" t="str">
            <v>GRANITE FALLS ABC BOARD</v>
          </cell>
          <cell r="C1262">
            <v>91417</v>
          </cell>
          <cell r="H1262"/>
          <cell r="K1262"/>
          <cell r="P1262"/>
        </row>
        <row r="1263">
          <cell r="A1263"/>
          <cell r="B1263" t="str">
            <v>GRANITE QUARRY</v>
          </cell>
          <cell r="C1263">
            <v>98061</v>
          </cell>
          <cell r="H1263"/>
          <cell r="K1263"/>
          <cell r="P1263"/>
        </row>
        <row r="1264">
          <cell r="A1264"/>
          <cell r="B1264" t="str">
            <v>GRANVILLE CO ABC BOARD</v>
          </cell>
          <cell r="C1264">
            <v>93904</v>
          </cell>
          <cell r="H1264"/>
          <cell r="K1264"/>
          <cell r="P1264"/>
        </row>
        <row r="1265">
          <cell r="A1265"/>
          <cell r="B1265" t="str">
            <v>GRANVILLE COUNTY</v>
          </cell>
          <cell r="C1265">
            <v>93901</v>
          </cell>
          <cell r="H1265"/>
          <cell r="K1265"/>
          <cell r="P1265"/>
        </row>
        <row r="1266">
          <cell r="A1266"/>
          <cell r="B1266" t="str">
            <v>GRANVILLE COUNTY HOSPITAL</v>
          </cell>
          <cell r="C1266">
            <v>93906</v>
          </cell>
          <cell r="H1266"/>
          <cell r="K1266"/>
          <cell r="P1266"/>
        </row>
        <row r="1267">
          <cell r="A1267"/>
          <cell r="B1267" t="str">
            <v>GRANVILLE-VANCE PUBLIC HEALTH</v>
          </cell>
          <cell r="C1267">
            <v>93908</v>
          </cell>
          <cell r="H1267"/>
          <cell r="K1267"/>
          <cell r="P1267"/>
        </row>
        <row r="1268">
          <cell r="A1268"/>
          <cell r="B1268" t="str">
            <v>GREATER STATESVILLE DEVELOPMENT CORP</v>
          </cell>
          <cell r="C1268">
            <v>94908</v>
          </cell>
          <cell r="H1268"/>
          <cell r="K1268"/>
          <cell r="P1268"/>
        </row>
        <row r="1269">
          <cell r="A1269"/>
          <cell r="B1269" t="str">
            <v>GREEN LEVEL</v>
          </cell>
          <cell r="C1269">
            <v>90161</v>
          </cell>
          <cell r="H1269"/>
          <cell r="K1269"/>
          <cell r="P1269"/>
        </row>
        <row r="1270">
          <cell r="A1270"/>
          <cell r="B1270" t="str">
            <v>GREENE COUNTY</v>
          </cell>
          <cell r="C1270">
            <v>94001</v>
          </cell>
          <cell r="H1270"/>
          <cell r="K1270"/>
          <cell r="P1270"/>
        </row>
        <row r="1271">
          <cell r="A1271"/>
          <cell r="B1271" t="str">
            <v>GREENE COUNTY ABC BOARD</v>
          </cell>
          <cell r="C1271">
            <v>94004</v>
          </cell>
          <cell r="H1271"/>
          <cell r="K1271"/>
          <cell r="P1271"/>
        </row>
        <row r="1272">
          <cell r="A1272"/>
          <cell r="B1272" t="str">
            <v>GREENSBORO</v>
          </cell>
          <cell r="C1272">
            <v>94111</v>
          </cell>
          <cell r="H1272"/>
          <cell r="K1272"/>
          <cell r="P1272"/>
        </row>
        <row r="1273">
          <cell r="A1273"/>
          <cell r="B1273" t="str">
            <v>GREENSBORO ABC BOARD</v>
          </cell>
          <cell r="C1273">
            <v>94117</v>
          </cell>
          <cell r="H1273"/>
          <cell r="K1273"/>
          <cell r="P1273"/>
        </row>
        <row r="1274">
          <cell r="A1274"/>
          <cell r="B1274" t="str">
            <v>GREENVILLE</v>
          </cell>
          <cell r="C1274">
            <v>97411</v>
          </cell>
          <cell r="H1274"/>
          <cell r="K1274"/>
          <cell r="P1274"/>
        </row>
        <row r="1275">
          <cell r="A1275"/>
          <cell r="B1275" t="str">
            <v>GREENVILLE HOUSING AUTHORITY</v>
          </cell>
          <cell r="C1275">
            <v>97413</v>
          </cell>
          <cell r="H1275"/>
          <cell r="K1275"/>
          <cell r="P1275"/>
        </row>
        <row r="1276">
          <cell r="A1276"/>
          <cell r="B1276" t="str">
            <v>GREENVILLE UTILITIES COMMISSION</v>
          </cell>
          <cell r="C1276">
            <v>97412</v>
          </cell>
          <cell r="H1276"/>
          <cell r="K1276"/>
          <cell r="P1276"/>
        </row>
        <row r="1277">
          <cell r="A1277"/>
          <cell r="B1277" t="str">
            <v>GRIFTON</v>
          </cell>
          <cell r="C1277">
            <v>97431</v>
          </cell>
          <cell r="H1277"/>
          <cell r="K1277"/>
          <cell r="P1277"/>
        </row>
        <row r="1278">
          <cell r="A1278"/>
          <cell r="B1278" t="str">
            <v>GRIMESLAND</v>
          </cell>
          <cell r="C1278">
            <v>97471</v>
          </cell>
          <cell r="H1278"/>
          <cell r="K1278"/>
          <cell r="P1278"/>
        </row>
        <row r="1279">
          <cell r="A1279"/>
          <cell r="B1279" t="str">
            <v>GROVER</v>
          </cell>
          <cell r="C1279">
            <v>92351</v>
          </cell>
          <cell r="H1279"/>
          <cell r="K1279"/>
          <cell r="P1279"/>
        </row>
        <row r="1280">
          <cell r="A1280"/>
          <cell r="B1280" t="str">
            <v>GUILFORD COUNTY</v>
          </cell>
          <cell r="C1280">
            <v>94101</v>
          </cell>
          <cell r="H1280"/>
          <cell r="K1280"/>
          <cell r="P1280"/>
        </row>
        <row r="1281">
          <cell r="A1281"/>
          <cell r="B1281" t="str">
            <v>GUILFORD FIRE DISTRICT # 13 INC</v>
          </cell>
          <cell r="C1281">
            <v>94118</v>
          </cell>
          <cell r="H1281"/>
          <cell r="K1281"/>
          <cell r="P1281"/>
        </row>
        <row r="1282">
          <cell r="A1282"/>
          <cell r="B1282" t="str">
            <v>GUIL-RAND FIRE DEPARTMENT</v>
          </cell>
          <cell r="C1282">
            <v>94102</v>
          </cell>
          <cell r="H1282"/>
          <cell r="K1282"/>
          <cell r="P1282"/>
        </row>
        <row r="1283">
          <cell r="A1283"/>
          <cell r="B1283" t="str">
            <v>HALIFAX COUNTY</v>
          </cell>
          <cell r="C1283">
            <v>94201</v>
          </cell>
          <cell r="H1283"/>
          <cell r="K1283"/>
          <cell r="P1283"/>
        </row>
        <row r="1284">
          <cell r="A1284"/>
          <cell r="B1284" t="str">
            <v>HALIFAX COUNTY ABC BOARD</v>
          </cell>
          <cell r="C1284">
            <v>94204</v>
          </cell>
          <cell r="H1284"/>
          <cell r="K1284"/>
          <cell r="P1284"/>
        </row>
        <row r="1285">
          <cell r="A1285"/>
          <cell r="B1285" t="str">
            <v>HALIFAX COUNTY TOURISM DEVELOPMENT AUTHORITY</v>
          </cell>
          <cell r="C1285">
            <v>94205</v>
          </cell>
          <cell r="H1285"/>
          <cell r="K1285"/>
          <cell r="P1285"/>
        </row>
        <row r="1286">
          <cell r="A1286"/>
          <cell r="B1286" t="str">
            <v>HAMILTON</v>
          </cell>
          <cell r="C1286">
            <v>95831</v>
          </cell>
          <cell r="H1286"/>
          <cell r="K1286"/>
          <cell r="P1286"/>
        </row>
        <row r="1287">
          <cell r="A1287"/>
          <cell r="B1287" t="str">
            <v>HAMLET</v>
          </cell>
          <cell r="C1287">
            <v>97721</v>
          </cell>
          <cell r="H1287"/>
          <cell r="K1287"/>
          <cell r="P1287"/>
        </row>
        <row r="1288">
          <cell r="A1288"/>
          <cell r="B1288" t="str">
            <v>HAMLET ABC BOARD</v>
          </cell>
          <cell r="C1288">
            <v>97717</v>
          </cell>
          <cell r="H1288"/>
          <cell r="K1288"/>
          <cell r="P1288"/>
        </row>
        <row r="1289">
          <cell r="A1289"/>
          <cell r="B1289" t="str">
            <v>HARNETT COUNTY</v>
          </cell>
          <cell r="C1289">
            <v>94301</v>
          </cell>
          <cell r="H1289"/>
          <cell r="K1289"/>
          <cell r="P1289"/>
        </row>
        <row r="1290">
          <cell r="A1290"/>
          <cell r="B1290" t="str">
            <v>HARRISBURG</v>
          </cell>
          <cell r="C1290">
            <v>91441</v>
          </cell>
          <cell r="H1290"/>
          <cell r="K1290"/>
          <cell r="P1290"/>
        </row>
        <row r="1291">
          <cell r="A1291"/>
          <cell r="B1291" t="str">
            <v>HAVELOCK</v>
          </cell>
          <cell r="C1291">
            <v>92531</v>
          </cell>
          <cell r="H1291"/>
          <cell r="K1291"/>
          <cell r="P1291"/>
        </row>
        <row r="1292">
          <cell r="A1292"/>
          <cell r="B1292" t="str">
            <v>HAW RIVER</v>
          </cell>
          <cell r="C1292">
            <v>90141</v>
          </cell>
          <cell r="H1292"/>
          <cell r="K1292"/>
          <cell r="P1292"/>
        </row>
        <row r="1293">
          <cell r="A1293"/>
          <cell r="B1293" t="str">
            <v>HAYWOOD COUNTY</v>
          </cell>
          <cell r="C1293">
            <v>94401</v>
          </cell>
          <cell r="H1293"/>
          <cell r="K1293"/>
          <cell r="P1293"/>
        </row>
        <row r="1294">
          <cell r="A1294"/>
          <cell r="B1294" t="str">
            <v>HAYWOOD COUNTY TOURISM DEVELOPMENT AUTHORITY</v>
          </cell>
          <cell r="C1294">
            <v>94403</v>
          </cell>
          <cell r="H1294"/>
          <cell r="K1294"/>
          <cell r="P1294"/>
        </row>
        <row r="1295">
          <cell r="A1295"/>
          <cell r="B1295" t="str">
            <v>HAYWOOD MEDICAL CENTER</v>
          </cell>
          <cell r="C1295">
            <v>94402</v>
          </cell>
          <cell r="H1295"/>
          <cell r="K1295"/>
          <cell r="P1295"/>
        </row>
        <row r="1296">
          <cell r="A1296"/>
          <cell r="B1296" t="str">
            <v>HENDERSON</v>
          </cell>
          <cell r="C1296">
            <v>99111</v>
          </cell>
          <cell r="H1296"/>
          <cell r="K1296"/>
          <cell r="P1296"/>
        </row>
        <row r="1297">
          <cell r="A1297"/>
          <cell r="B1297" t="str">
            <v>HENDERSON COUNTY</v>
          </cell>
          <cell r="C1297">
            <v>94501</v>
          </cell>
          <cell r="H1297"/>
          <cell r="K1297"/>
          <cell r="P1297"/>
        </row>
        <row r="1298">
          <cell r="A1298"/>
          <cell r="B1298" t="str">
            <v>HENDERSONVILLE</v>
          </cell>
          <cell r="C1298">
            <v>94511</v>
          </cell>
          <cell r="H1298"/>
          <cell r="K1298"/>
          <cell r="P1298"/>
        </row>
        <row r="1299">
          <cell r="A1299"/>
          <cell r="B1299" t="str">
            <v>HENDERSONVILLE ABC BOARD</v>
          </cell>
          <cell r="C1299">
            <v>94517</v>
          </cell>
          <cell r="H1299"/>
          <cell r="K1299"/>
          <cell r="P1299"/>
        </row>
        <row r="1300">
          <cell r="A1300"/>
          <cell r="B1300" t="str">
            <v>HENDERSONVILLE WATER COMMISSION</v>
          </cell>
          <cell r="C1300">
            <v>94512</v>
          </cell>
          <cell r="H1300"/>
          <cell r="K1300"/>
          <cell r="P1300"/>
        </row>
        <row r="1301">
          <cell r="A1301"/>
          <cell r="B1301" t="str">
            <v>HERTFORD</v>
          </cell>
          <cell r="C1301">
            <v>97211</v>
          </cell>
          <cell r="H1301"/>
          <cell r="K1301"/>
          <cell r="P1301"/>
        </row>
        <row r="1302">
          <cell r="A1302"/>
          <cell r="B1302" t="str">
            <v>HERTFORD ABC BOARD</v>
          </cell>
          <cell r="C1302">
            <v>97217</v>
          </cell>
          <cell r="H1302"/>
          <cell r="K1302"/>
          <cell r="P1302"/>
        </row>
        <row r="1303">
          <cell r="A1303"/>
          <cell r="B1303" t="str">
            <v>HERTFORD COUNTY</v>
          </cell>
          <cell r="C1303">
            <v>94601</v>
          </cell>
          <cell r="H1303"/>
          <cell r="K1303"/>
          <cell r="P1303"/>
        </row>
        <row r="1304">
          <cell r="A1304"/>
          <cell r="B1304" t="str">
            <v>HERTFORD COUNTY ABC BOARD</v>
          </cell>
          <cell r="C1304">
            <v>94604</v>
          </cell>
          <cell r="H1304"/>
          <cell r="K1304"/>
          <cell r="P1304"/>
        </row>
        <row r="1305">
          <cell r="A1305"/>
          <cell r="B1305" t="str">
            <v>HERTFORD COUNTY PUBLIC HEALTH AUTHORITY</v>
          </cell>
          <cell r="C1305">
            <v>94606</v>
          </cell>
          <cell r="H1305"/>
          <cell r="K1305"/>
          <cell r="P1305"/>
        </row>
        <row r="1306">
          <cell r="A1306"/>
          <cell r="B1306" t="str">
            <v>HERTFORD HOUSING AUTHORITY</v>
          </cell>
          <cell r="C1306">
            <v>97213</v>
          </cell>
          <cell r="H1306"/>
          <cell r="K1306"/>
          <cell r="P1306"/>
        </row>
        <row r="1307">
          <cell r="A1307"/>
          <cell r="B1307" t="str">
            <v>HICKORY</v>
          </cell>
          <cell r="C1307">
            <v>91811</v>
          </cell>
          <cell r="H1307"/>
          <cell r="K1307"/>
          <cell r="P1307"/>
        </row>
        <row r="1308">
          <cell r="A1308"/>
          <cell r="B1308" t="str">
            <v>HICKORY CONOVER TOURISM DEV AUTHORITY</v>
          </cell>
          <cell r="C1308">
            <v>91812</v>
          </cell>
          <cell r="H1308"/>
          <cell r="K1308"/>
          <cell r="P1308"/>
        </row>
        <row r="1309">
          <cell r="A1309"/>
          <cell r="B1309" t="str">
            <v>HICKORY PUBLIC HOUSING AUTHORITY</v>
          </cell>
          <cell r="C1309">
            <v>91813</v>
          </cell>
          <cell r="H1309"/>
          <cell r="K1309"/>
          <cell r="P1309"/>
        </row>
        <row r="1310">
          <cell r="A1310"/>
          <cell r="B1310" t="str">
            <v>HIGH COUNTRY ABC BOARD</v>
          </cell>
          <cell r="C1310">
            <v>90617</v>
          </cell>
          <cell r="H1310"/>
          <cell r="K1310"/>
          <cell r="P1310"/>
        </row>
        <row r="1311">
          <cell r="A1311"/>
          <cell r="B1311" t="str">
            <v>HIGH POINT</v>
          </cell>
          <cell r="C1311">
            <v>94121</v>
          </cell>
          <cell r="H1311"/>
          <cell r="K1311"/>
          <cell r="P1311"/>
        </row>
        <row r="1312">
          <cell r="A1312"/>
          <cell r="B1312" t="str">
            <v>HIGH POINT ABC BOARD</v>
          </cell>
          <cell r="C1312">
            <v>94127</v>
          </cell>
          <cell r="H1312"/>
          <cell r="K1312"/>
          <cell r="P1312"/>
        </row>
        <row r="1313">
          <cell r="A1313"/>
          <cell r="B1313" t="str">
            <v>HIGHLANDS</v>
          </cell>
          <cell r="C1313">
            <v>95621</v>
          </cell>
          <cell r="H1313"/>
          <cell r="K1313"/>
          <cell r="P1313"/>
        </row>
        <row r="1314">
          <cell r="A1314"/>
          <cell r="B1314" t="str">
            <v>HIGHLANDS ABC BOARD</v>
          </cell>
          <cell r="C1314">
            <v>95617</v>
          </cell>
          <cell r="H1314"/>
          <cell r="K1314"/>
          <cell r="P1314"/>
        </row>
        <row r="1315">
          <cell r="A1315"/>
          <cell r="B1315" t="str">
            <v>HILDEBRAN</v>
          </cell>
          <cell r="C1315">
            <v>91251</v>
          </cell>
          <cell r="H1315"/>
          <cell r="K1315"/>
          <cell r="P1315"/>
        </row>
        <row r="1316">
          <cell r="A1316"/>
          <cell r="B1316" t="str">
            <v>HILLSBOROUGH</v>
          </cell>
          <cell r="C1316">
            <v>96831</v>
          </cell>
          <cell r="H1316"/>
          <cell r="K1316"/>
          <cell r="P1316"/>
        </row>
        <row r="1317">
          <cell r="A1317"/>
          <cell r="B1317" t="str">
            <v>HOBGOOD</v>
          </cell>
          <cell r="C1317">
            <v>94251</v>
          </cell>
          <cell r="H1317"/>
          <cell r="K1317"/>
          <cell r="P1317"/>
        </row>
        <row r="1318">
          <cell r="A1318"/>
          <cell r="B1318" t="str">
            <v>HOKE COUNTY</v>
          </cell>
          <cell r="C1318">
            <v>94701</v>
          </cell>
          <cell r="H1318"/>
          <cell r="K1318"/>
          <cell r="P1318"/>
        </row>
        <row r="1319">
          <cell r="A1319"/>
          <cell r="B1319" t="str">
            <v>HOKE COUNTY ABC BOARD</v>
          </cell>
          <cell r="C1319">
            <v>94704</v>
          </cell>
          <cell r="H1319"/>
          <cell r="K1319"/>
          <cell r="P1319"/>
        </row>
        <row r="1320">
          <cell r="A1320"/>
          <cell r="B1320" t="str">
            <v>HOLDEN BEACH</v>
          </cell>
          <cell r="C1320">
            <v>91014</v>
          </cell>
          <cell r="H1320"/>
          <cell r="K1320"/>
          <cell r="P1320"/>
        </row>
        <row r="1321">
          <cell r="A1321"/>
          <cell r="B1321" t="str">
            <v>HOLLY RIDGE</v>
          </cell>
          <cell r="C1321">
            <v>96731</v>
          </cell>
          <cell r="H1321"/>
          <cell r="K1321"/>
          <cell r="P1321"/>
        </row>
        <row r="1322">
          <cell r="A1322"/>
          <cell r="B1322" t="str">
            <v>HOLLY RIDGE HOUSING AUTHORITY</v>
          </cell>
          <cell r="C1322">
            <v>96733</v>
          </cell>
          <cell r="H1322"/>
          <cell r="K1322"/>
          <cell r="P1322"/>
        </row>
        <row r="1323">
          <cell r="A1323"/>
          <cell r="B1323" t="str">
            <v>HOLLY SPRINGS</v>
          </cell>
          <cell r="C1323">
            <v>99202</v>
          </cell>
          <cell r="H1323"/>
          <cell r="K1323"/>
          <cell r="P1323"/>
        </row>
        <row r="1324">
          <cell r="A1324"/>
          <cell r="B1324" t="str">
            <v>HOOKERTON</v>
          </cell>
          <cell r="C1324">
            <v>94011</v>
          </cell>
          <cell r="H1324"/>
          <cell r="K1324"/>
          <cell r="P1324"/>
        </row>
        <row r="1325">
          <cell r="A1325"/>
          <cell r="B1325" t="str">
            <v>HOPE MILLS</v>
          </cell>
          <cell r="C1325">
            <v>92631</v>
          </cell>
          <cell r="H1325"/>
          <cell r="K1325"/>
          <cell r="P1325"/>
        </row>
        <row r="1326">
          <cell r="A1326"/>
          <cell r="B1326" t="str">
            <v>HOT SPRINGS HOUSING AUTHORITY</v>
          </cell>
          <cell r="C1326">
            <v>95733</v>
          </cell>
          <cell r="H1326"/>
          <cell r="K1326"/>
          <cell r="P1326"/>
        </row>
        <row r="1327">
          <cell r="A1327"/>
          <cell r="B1327" t="str">
            <v>HUDSON</v>
          </cell>
          <cell r="C1327">
            <v>91431</v>
          </cell>
          <cell r="H1327"/>
          <cell r="K1327"/>
          <cell r="P1327"/>
        </row>
        <row r="1328">
          <cell r="A1328"/>
          <cell r="B1328" t="str">
            <v>HUNTERSVILLE</v>
          </cell>
          <cell r="C1328">
            <v>96041</v>
          </cell>
          <cell r="H1328"/>
          <cell r="K1328"/>
          <cell r="P1328"/>
        </row>
        <row r="1329">
          <cell r="A1329"/>
          <cell r="B1329" t="str">
            <v>HYDE COUNTY</v>
          </cell>
          <cell r="C1329">
            <v>94801</v>
          </cell>
          <cell r="H1329"/>
          <cell r="K1329"/>
          <cell r="P1329"/>
        </row>
        <row r="1330">
          <cell r="A1330"/>
          <cell r="B1330" t="str">
            <v>HYDE COUNTY ABC BOARD</v>
          </cell>
          <cell r="C1330">
            <v>94804</v>
          </cell>
          <cell r="H1330"/>
          <cell r="K1330"/>
          <cell r="P1330"/>
        </row>
        <row r="1331">
          <cell r="A1331"/>
          <cell r="B1331" t="str">
            <v>INDIAN BEACH</v>
          </cell>
          <cell r="C1331">
            <v>91661</v>
          </cell>
          <cell r="H1331"/>
          <cell r="K1331"/>
          <cell r="P1331"/>
        </row>
        <row r="1332">
          <cell r="A1332"/>
          <cell r="B1332" t="str">
            <v>INDIAN TRAIL</v>
          </cell>
          <cell r="C1332">
            <v>99051</v>
          </cell>
          <cell r="H1332"/>
          <cell r="K1332"/>
          <cell r="P1332"/>
        </row>
        <row r="1333">
          <cell r="A1333"/>
          <cell r="B1333" t="str">
            <v>INDIAN TRAIL ABC BOARD</v>
          </cell>
          <cell r="C1333">
            <v>99014</v>
          </cell>
          <cell r="H1333"/>
          <cell r="K1333"/>
          <cell r="P1333"/>
        </row>
        <row r="1334">
          <cell r="A1334"/>
          <cell r="B1334" t="str">
            <v>IREDELL COUNTY</v>
          </cell>
          <cell r="C1334">
            <v>94901</v>
          </cell>
          <cell r="H1334"/>
          <cell r="K1334"/>
          <cell r="P1334"/>
        </row>
        <row r="1335">
          <cell r="A1335"/>
          <cell r="B1335" t="str">
            <v>ISOTHERMAL PLANNING AND DEV COMM</v>
          </cell>
          <cell r="C1335">
            <v>98109</v>
          </cell>
          <cell r="H1335"/>
          <cell r="K1335"/>
          <cell r="P1335"/>
        </row>
        <row r="1336">
          <cell r="A1336"/>
          <cell r="B1336" t="str">
            <v>J C HOLIDAY MEMORIAL LIBRARY</v>
          </cell>
          <cell r="C1336">
            <v>98205</v>
          </cell>
          <cell r="H1336"/>
          <cell r="K1336"/>
          <cell r="P1336"/>
        </row>
        <row r="1337">
          <cell r="A1337"/>
          <cell r="B1337" t="str">
            <v>JACKSON</v>
          </cell>
          <cell r="C1337">
            <v>96661</v>
          </cell>
          <cell r="H1337"/>
          <cell r="K1337"/>
          <cell r="P1337"/>
        </row>
        <row r="1338">
          <cell r="A1338"/>
          <cell r="B1338" t="str">
            <v>JACKSON COUNTY</v>
          </cell>
          <cell r="C1338">
            <v>95001</v>
          </cell>
          <cell r="H1338"/>
          <cell r="K1338"/>
          <cell r="P1338"/>
        </row>
        <row r="1339">
          <cell r="A1339"/>
          <cell r="B1339" t="str">
            <v>JACKSON COUNTY ABC BOARD</v>
          </cell>
          <cell r="C1339">
            <v>95017</v>
          </cell>
          <cell r="H1339"/>
          <cell r="K1339"/>
          <cell r="P1339"/>
        </row>
        <row r="1340">
          <cell r="A1340"/>
          <cell r="B1340" t="str">
            <v>JACKSONVILLE</v>
          </cell>
          <cell r="C1340">
            <v>96711</v>
          </cell>
          <cell r="H1340"/>
          <cell r="K1340"/>
          <cell r="P1340"/>
        </row>
        <row r="1341">
          <cell r="A1341"/>
          <cell r="B1341" t="str">
            <v>JAMESTOWN</v>
          </cell>
          <cell r="C1341">
            <v>94131</v>
          </cell>
          <cell r="H1341"/>
          <cell r="K1341"/>
          <cell r="P1341"/>
        </row>
        <row r="1342">
          <cell r="A1342"/>
          <cell r="B1342" t="str">
            <v>JAMESVILLE</v>
          </cell>
          <cell r="C1342">
            <v>95841</v>
          </cell>
          <cell r="H1342"/>
          <cell r="K1342"/>
          <cell r="P1342"/>
        </row>
        <row r="1343">
          <cell r="A1343"/>
          <cell r="B1343" t="str">
            <v>JEFFERSON</v>
          </cell>
          <cell r="C1343">
            <v>90511</v>
          </cell>
          <cell r="H1343"/>
          <cell r="K1343"/>
          <cell r="P1343"/>
        </row>
        <row r="1344">
          <cell r="A1344"/>
          <cell r="B1344" t="str">
            <v>JOHNSTON COUNTY</v>
          </cell>
          <cell r="C1344">
            <v>95101</v>
          </cell>
          <cell r="H1344"/>
          <cell r="K1344"/>
          <cell r="P1344"/>
        </row>
        <row r="1345">
          <cell r="A1345"/>
          <cell r="B1345" t="str">
            <v>JOHNSTON COUNTY ABC BOARD</v>
          </cell>
          <cell r="C1345">
            <v>95104</v>
          </cell>
          <cell r="H1345"/>
          <cell r="K1345"/>
          <cell r="P1345"/>
        </row>
        <row r="1346">
          <cell r="A1346"/>
          <cell r="B1346" t="str">
            <v>JOHNSTON HEALTH CENTER</v>
          </cell>
          <cell r="C1346">
            <v>95110</v>
          </cell>
          <cell r="H1346"/>
          <cell r="K1346"/>
          <cell r="P1346"/>
        </row>
        <row r="1347">
          <cell r="A1347"/>
          <cell r="B1347" t="str">
            <v>JONES COUNTY</v>
          </cell>
          <cell r="C1347">
            <v>95201</v>
          </cell>
          <cell r="H1347"/>
          <cell r="K1347"/>
          <cell r="P1347"/>
        </row>
        <row r="1348">
          <cell r="A1348"/>
          <cell r="B1348" t="str">
            <v>JONES COUNTY ABC BOARD</v>
          </cell>
          <cell r="C1348">
            <v>95204</v>
          </cell>
          <cell r="H1348"/>
          <cell r="K1348"/>
          <cell r="P1348"/>
        </row>
        <row r="1349">
          <cell r="A1349"/>
          <cell r="B1349" t="str">
            <v>JONESVILLE</v>
          </cell>
          <cell r="C1349">
            <v>99921</v>
          </cell>
          <cell r="H1349"/>
          <cell r="K1349"/>
          <cell r="P1349"/>
        </row>
        <row r="1350">
          <cell r="A1350"/>
          <cell r="B1350" t="str">
            <v>JUNALUSKA SANITARY DISTRICT</v>
          </cell>
          <cell r="C1350">
            <v>94408</v>
          </cell>
          <cell r="H1350"/>
          <cell r="K1350"/>
          <cell r="P1350"/>
        </row>
        <row r="1351">
          <cell r="A1351"/>
          <cell r="B1351" t="str">
            <v>KANNAPOLIS</v>
          </cell>
          <cell r="C1351">
            <v>91331</v>
          </cell>
          <cell r="H1351"/>
          <cell r="K1351"/>
          <cell r="P1351"/>
        </row>
        <row r="1352">
          <cell r="A1352"/>
          <cell r="B1352" t="str">
            <v>KENANSVILLE</v>
          </cell>
          <cell r="C1352">
            <v>93121</v>
          </cell>
          <cell r="H1352"/>
          <cell r="K1352"/>
          <cell r="P1352"/>
        </row>
        <row r="1353">
          <cell r="A1353"/>
          <cell r="B1353" t="str">
            <v>KENANSVILLE ABC BOARD</v>
          </cell>
          <cell r="C1353">
            <v>93127</v>
          </cell>
          <cell r="H1353"/>
          <cell r="K1353"/>
          <cell r="P1353"/>
        </row>
        <row r="1354">
          <cell r="A1354"/>
          <cell r="B1354" t="str">
            <v>KENLY</v>
          </cell>
          <cell r="C1354">
            <v>95171</v>
          </cell>
          <cell r="H1354"/>
          <cell r="K1354"/>
          <cell r="P1354"/>
        </row>
        <row r="1355">
          <cell r="A1355"/>
          <cell r="B1355" t="str">
            <v>KERNERSVILLE</v>
          </cell>
          <cell r="C1355">
            <v>93421</v>
          </cell>
          <cell r="H1355"/>
          <cell r="K1355"/>
          <cell r="P1355"/>
        </row>
        <row r="1356">
          <cell r="A1356"/>
          <cell r="B1356" t="str">
            <v>KERR AREA TRANSPORTATION AUTHORITY</v>
          </cell>
          <cell r="C1356">
            <v>99110</v>
          </cell>
          <cell r="H1356"/>
          <cell r="K1356"/>
          <cell r="P1356"/>
        </row>
        <row r="1357">
          <cell r="A1357"/>
          <cell r="B1357" t="str">
            <v>KERR-TAR REGIONAL COUNCIL OF GOVERNMENTS</v>
          </cell>
          <cell r="C1357">
            <v>99109</v>
          </cell>
          <cell r="H1357"/>
          <cell r="K1357"/>
          <cell r="P1357"/>
        </row>
        <row r="1358">
          <cell r="A1358"/>
          <cell r="B1358" t="str">
            <v>KILL DEVIL HILLS</v>
          </cell>
          <cell r="C1358">
            <v>92821</v>
          </cell>
          <cell r="H1358"/>
          <cell r="K1358"/>
          <cell r="P1358"/>
        </row>
        <row r="1359">
          <cell r="A1359"/>
          <cell r="B1359" t="str">
            <v>KING</v>
          </cell>
          <cell r="C1359">
            <v>98521</v>
          </cell>
          <cell r="H1359"/>
          <cell r="K1359"/>
          <cell r="P1359"/>
        </row>
        <row r="1360">
          <cell r="A1360"/>
          <cell r="B1360" t="str">
            <v>KINGS MOUNTAIN</v>
          </cell>
          <cell r="C1360">
            <v>92321</v>
          </cell>
          <cell r="H1360"/>
          <cell r="K1360"/>
          <cell r="P1360"/>
        </row>
        <row r="1361">
          <cell r="A1361"/>
          <cell r="B1361" t="str">
            <v>KINGS MOUNTAIN ABC BOARD</v>
          </cell>
          <cell r="C1361">
            <v>92327</v>
          </cell>
          <cell r="H1361"/>
          <cell r="K1361"/>
          <cell r="P1361"/>
        </row>
        <row r="1362">
          <cell r="A1362"/>
          <cell r="B1362" t="str">
            <v>KINSTON</v>
          </cell>
          <cell r="C1362">
            <v>95411</v>
          </cell>
          <cell r="H1362"/>
          <cell r="K1362"/>
          <cell r="P1362"/>
        </row>
        <row r="1363">
          <cell r="A1363"/>
          <cell r="B1363" t="str">
            <v xml:space="preserve">KINSTON HOUSING AUTHORITY </v>
          </cell>
          <cell r="C1363">
            <v>95413</v>
          </cell>
          <cell r="H1363"/>
          <cell r="K1363"/>
          <cell r="P1363"/>
        </row>
        <row r="1364">
          <cell r="A1364"/>
          <cell r="B1364" t="str">
            <v>KINSTON-LENOIR CO PUBLIC LIBRARY</v>
          </cell>
          <cell r="C1364">
            <v>95415</v>
          </cell>
          <cell r="H1364"/>
          <cell r="K1364"/>
          <cell r="P1364"/>
        </row>
        <row r="1365">
          <cell r="A1365"/>
          <cell r="B1365" t="str">
            <v>KITTY HAWK</v>
          </cell>
          <cell r="C1365">
            <v>92851</v>
          </cell>
          <cell r="H1365"/>
          <cell r="K1365"/>
          <cell r="P1365"/>
        </row>
        <row r="1366">
          <cell r="A1366"/>
          <cell r="B1366" t="str">
            <v>KNIGHTDALE</v>
          </cell>
          <cell r="C1366">
            <v>99291</v>
          </cell>
          <cell r="H1366"/>
          <cell r="K1366"/>
          <cell r="P1366"/>
        </row>
        <row r="1367">
          <cell r="A1367"/>
          <cell r="B1367" t="str">
            <v>KURE BEACH</v>
          </cell>
          <cell r="C1367">
            <v>96541</v>
          </cell>
          <cell r="H1367"/>
          <cell r="K1367"/>
          <cell r="P1367"/>
        </row>
        <row r="1368">
          <cell r="A1368"/>
          <cell r="B1368" t="str">
            <v>LAGRANGE</v>
          </cell>
          <cell r="C1368">
            <v>95431</v>
          </cell>
          <cell r="H1368"/>
          <cell r="K1368"/>
          <cell r="P1368"/>
        </row>
        <row r="1369">
          <cell r="A1369"/>
          <cell r="B1369" t="str">
            <v>LAKE LURE</v>
          </cell>
          <cell r="C1369">
            <v>98131</v>
          </cell>
          <cell r="H1369"/>
          <cell r="K1369"/>
          <cell r="P1369"/>
        </row>
        <row r="1370">
          <cell r="A1370"/>
          <cell r="B1370" t="str">
            <v>LAKE WACCAMAW</v>
          </cell>
          <cell r="C1370">
            <v>92461</v>
          </cell>
          <cell r="H1370"/>
          <cell r="K1370"/>
          <cell r="P1370"/>
        </row>
        <row r="1371">
          <cell r="A1371"/>
          <cell r="B1371" t="str">
            <v>LAKE WACCAMAW ABC BOARD</v>
          </cell>
          <cell r="C1371">
            <v>92427</v>
          </cell>
          <cell r="H1371"/>
          <cell r="K1371"/>
          <cell r="P1371"/>
        </row>
        <row r="1372">
          <cell r="A1372"/>
          <cell r="B1372" t="str">
            <v>LANDIS</v>
          </cell>
          <cell r="C1372">
            <v>98051</v>
          </cell>
          <cell r="H1372"/>
          <cell r="K1372"/>
          <cell r="P1372"/>
        </row>
        <row r="1373">
          <cell r="A1373"/>
          <cell r="B1373" t="str">
            <v>LAND-OF-SKY REGIONAL COUNCIL</v>
          </cell>
          <cell r="C1373">
            <v>91102</v>
          </cell>
          <cell r="H1373"/>
          <cell r="K1373"/>
          <cell r="P1373"/>
        </row>
        <row r="1374">
          <cell r="A1374"/>
          <cell r="B1374" t="str">
            <v>LAUREL PARK</v>
          </cell>
          <cell r="C1374">
            <v>94521</v>
          </cell>
          <cell r="H1374"/>
          <cell r="K1374"/>
          <cell r="P1374"/>
        </row>
        <row r="1375">
          <cell r="A1375"/>
          <cell r="B1375" t="str">
            <v>LAUREL PARK ABC BOARD</v>
          </cell>
          <cell r="C1375">
            <v>94527</v>
          </cell>
          <cell r="H1375"/>
          <cell r="K1375"/>
          <cell r="P1375"/>
        </row>
        <row r="1376">
          <cell r="A1376"/>
          <cell r="B1376" t="str">
            <v>LAURINBURG</v>
          </cell>
          <cell r="C1376">
            <v>98311</v>
          </cell>
          <cell r="H1376"/>
          <cell r="K1376"/>
          <cell r="P1376"/>
        </row>
        <row r="1377">
          <cell r="A1377"/>
          <cell r="B1377" t="str">
            <v>LAURINBURG HOUSING AUTHORITY</v>
          </cell>
          <cell r="C1377">
            <v>98313</v>
          </cell>
          <cell r="H1377"/>
          <cell r="K1377"/>
          <cell r="P1377"/>
        </row>
        <row r="1378">
          <cell r="A1378"/>
          <cell r="B1378" t="str">
            <v>LAURINBURG-MAXTON AIRPORT COMMISSION</v>
          </cell>
          <cell r="C1378">
            <v>98308</v>
          </cell>
          <cell r="H1378"/>
          <cell r="K1378"/>
          <cell r="P1378"/>
        </row>
        <row r="1379">
          <cell r="A1379"/>
          <cell r="B1379" t="str">
            <v>LAWNDALE</v>
          </cell>
          <cell r="C1379">
            <v>92341</v>
          </cell>
          <cell r="H1379"/>
          <cell r="K1379"/>
          <cell r="P1379"/>
        </row>
        <row r="1380">
          <cell r="A1380"/>
          <cell r="B1380" t="str">
            <v>LEE COUNTY</v>
          </cell>
          <cell r="C1380">
            <v>95301</v>
          </cell>
          <cell r="H1380"/>
          <cell r="K1380"/>
          <cell r="P1380"/>
        </row>
        <row r="1381">
          <cell r="A1381"/>
          <cell r="B1381" t="str">
            <v>LELAND</v>
          </cell>
          <cell r="C1381">
            <v>91002</v>
          </cell>
          <cell r="H1381"/>
          <cell r="K1381"/>
          <cell r="P1381"/>
        </row>
        <row r="1382">
          <cell r="A1382"/>
          <cell r="B1382" t="str">
            <v>LENOIR</v>
          </cell>
          <cell r="C1382">
            <v>91451</v>
          </cell>
          <cell r="H1382"/>
          <cell r="K1382"/>
          <cell r="P1382"/>
        </row>
        <row r="1383">
          <cell r="A1383"/>
          <cell r="B1383" t="str">
            <v>LENOIR ABC BOARD</v>
          </cell>
          <cell r="C1383">
            <v>91457</v>
          </cell>
          <cell r="H1383"/>
          <cell r="K1383"/>
          <cell r="P1383"/>
        </row>
        <row r="1384">
          <cell r="A1384"/>
          <cell r="B1384" t="str">
            <v>LENOIR COUNTY</v>
          </cell>
          <cell r="C1384">
            <v>95401</v>
          </cell>
          <cell r="H1384"/>
          <cell r="K1384"/>
          <cell r="P1384"/>
        </row>
        <row r="1385">
          <cell r="A1385"/>
          <cell r="B1385" t="str">
            <v>LENOIR COUNTY ABC BOARD</v>
          </cell>
          <cell r="C1385">
            <v>95404</v>
          </cell>
          <cell r="H1385"/>
          <cell r="K1385"/>
          <cell r="P1385"/>
        </row>
        <row r="1386">
          <cell r="A1386"/>
          <cell r="B1386" t="str">
            <v>LENOIR HOUSING AUTHORITY</v>
          </cell>
          <cell r="C1386">
            <v>91423</v>
          </cell>
          <cell r="H1386"/>
          <cell r="K1386"/>
          <cell r="P1386"/>
        </row>
        <row r="1387">
          <cell r="A1387"/>
          <cell r="B1387" t="str">
            <v>LEWISTON WOODVILLE</v>
          </cell>
          <cell r="C1387">
            <v>90861</v>
          </cell>
          <cell r="H1387"/>
          <cell r="K1387"/>
          <cell r="P1387"/>
        </row>
        <row r="1388">
          <cell r="A1388"/>
          <cell r="B1388" t="str">
            <v>LEWISVILLE</v>
          </cell>
          <cell r="C1388">
            <v>93451</v>
          </cell>
          <cell r="H1388"/>
          <cell r="K1388"/>
          <cell r="P1388"/>
        </row>
        <row r="1389">
          <cell r="A1389"/>
          <cell r="B1389" t="str">
            <v>LEXINGTON</v>
          </cell>
          <cell r="C1389">
            <v>92931</v>
          </cell>
          <cell r="H1389"/>
          <cell r="K1389"/>
          <cell r="P1389"/>
        </row>
        <row r="1390">
          <cell r="A1390"/>
          <cell r="B1390" t="str">
            <v>LEXINGTON ABC BOARD</v>
          </cell>
          <cell r="C1390">
            <v>92917</v>
          </cell>
          <cell r="H1390"/>
          <cell r="K1390"/>
          <cell r="P1390"/>
        </row>
        <row r="1391">
          <cell r="A1391"/>
          <cell r="B1391" t="str">
            <v>LIBERTY</v>
          </cell>
          <cell r="C1391">
            <v>97631</v>
          </cell>
          <cell r="H1391"/>
          <cell r="K1391"/>
          <cell r="P1391"/>
        </row>
        <row r="1392">
          <cell r="A1392"/>
          <cell r="B1392" t="str">
            <v>LIBERTY ABC BOARD</v>
          </cell>
          <cell r="C1392">
            <v>97637</v>
          </cell>
          <cell r="H1392"/>
          <cell r="K1392"/>
          <cell r="P1392"/>
        </row>
        <row r="1393">
          <cell r="A1393"/>
          <cell r="B1393" t="str">
            <v>LILESVILLE</v>
          </cell>
          <cell r="C1393">
            <v>90421</v>
          </cell>
          <cell r="H1393"/>
          <cell r="K1393"/>
          <cell r="P1393"/>
        </row>
        <row r="1394">
          <cell r="A1394"/>
          <cell r="B1394" t="str">
            <v>LILLINGTON</v>
          </cell>
          <cell r="C1394">
            <v>94321</v>
          </cell>
          <cell r="H1394"/>
          <cell r="K1394"/>
          <cell r="P1394"/>
        </row>
        <row r="1395">
          <cell r="A1395"/>
          <cell r="B1395" t="str">
            <v>LINCOLN COUNTY</v>
          </cell>
          <cell r="C1395">
            <v>95501</v>
          </cell>
          <cell r="H1395"/>
          <cell r="K1395"/>
          <cell r="P1395"/>
        </row>
        <row r="1396">
          <cell r="A1396"/>
          <cell r="B1396" t="str">
            <v>LINCOLN COUNTY ABC BOARD</v>
          </cell>
          <cell r="C1396">
            <v>95504</v>
          </cell>
          <cell r="H1396"/>
          <cell r="K1396"/>
          <cell r="P1396"/>
        </row>
        <row r="1397">
          <cell r="A1397"/>
          <cell r="B1397" t="str">
            <v>LINCOLNTON</v>
          </cell>
          <cell r="C1397">
            <v>95511</v>
          </cell>
          <cell r="H1397"/>
          <cell r="K1397"/>
          <cell r="P1397"/>
        </row>
        <row r="1398">
          <cell r="A1398"/>
          <cell r="B1398" t="str">
            <v>LINCOLNTON ABC BOARD</v>
          </cell>
          <cell r="C1398">
            <v>95517</v>
          </cell>
          <cell r="H1398"/>
          <cell r="K1398"/>
          <cell r="P1398"/>
        </row>
        <row r="1399">
          <cell r="A1399"/>
          <cell r="B1399" t="str">
            <v>LINCOLNTON HOUSING AUTHORITY</v>
          </cell>
          <cell r="C1399">
            <v>95513</v>
          </cell>
          <cell r="H1399"/>
          <cell r="K1399"/>
          <cell r="P1399"/>
        </row>
        <row r="1400">
          <cell r="A1400"/>
          <cell r="B1400" t="str">
            <v>LINDEN</v>
          </cell>
          <cell r="C1400">
            <v>92651</v>
          </cell>
          <cell r="H1400"/>
          <cell r="K1400"/>
          <cell r="P1400"/>
        </row>
        <row r="1401">
          <cell r="A1401"/>
          <cell r="B1401" t="str">
            <v>LITTLETON</v>
          </cell>
          <cell r="C1401">
            <v>94261</v>
          </cell>
          <cell r="H1401"/>
          <cell r="K1401"/>
          <cell r="P1401"/>
        </row>
        <row r="1402">
          <cell r="A1402"/>
          <cell r="B1402" t="str">
            <v>LOCUST</v>
          </cell>
          <cell r="C1402">
            <v>98431</v>
          </cell>
          <cell r="H1402"/>
          <cell r="K1402"/>
          <cell r="P1402"/>
        </row>
        <row r="1403">
          <cell r="A1403"/>
          <cell r="B1403" t="str">
            <v>LOCUST ABC BOARD</v>
          </cell>
          <cell r="C1403">
            <v>98404</v>
          </cell>
          <cell r="H1403"/>
          <cell r="K1403"/>
          <cell r="P1403"/>
        </row>
        <row r="1404">
          <cell r="A1404"/>
          <cell r="B1404" t="str">
            <v>LONGVIEW</v>
          </cell>
          <cell r="C1404">
            <v>91841</v>
          </cell>
          <cell r="H1404"/>
          <cell r="K1404"/>
          <cell r="P1404"/>
        </row>
        <row r="1405">
          <cell r="A1405"/>
          <cell r="B1405" t="str">
            <v>LOUISBURG</v>
          </cell>
          <cell r="C1405">
            <v>93521</v>
          </cell>
          <cell r="H1405"/>
          <cell r="K1405"/>
          <cell r="P1405"/>
        </row>
        <row r="1406">
          <cell r="A1406"/>
          <cell r="B1406" t="str">
            <v>LOUISBURG ABC BOARD</v>
          </cell>
          <cell r="C1406">
            <v>93527</v>
          </cell>
          <cell r="H1406"/>
          <cell r="K1406"/>
          <cell r="P1406"/>
        </row>
        <row r="1407">
          <cell r="A1407"/>
          <cell r="B1407" t="str">
            <v>LOWELL</v>
          </cell>
          <cell r="C1407">
            <v>93661</v>
          </cell>
          <cell r="H1407"/>
          <cell r="K1407"/>
          <cell r="P1407"/>
        </row>
        <row r="1408">
          <cell r="A1408"/>
          <cell r="B1408" t="str">
            <v>LOWER CAPE FEAR WATER &amp; SEWER AUTHORITY</v>
          </cell>
          <cell r="C1408">
            <v>96508</v>
          </cell>
          <cell r="H1408"/>
          <cell r="K1408"/>
          <cell r="P1408"/>
        </row>
        <row r="1409">
          <cell r="A1409"/>
          <cell r="B1409" t="str">
            <v>LUCAMA</v>
          </cell>
          <cell r="C1409">
            <v>99841</v>
          </cell>
          <cell r="H1409"/>
          <cell r="K1409"/>
          <cell r="P1409"/>
        </row>
        <row r="1410">
          <cell r="A1410"/>
          <cell r="B1410" t="str">
            <v>LUMBER RIVER COUNCIL OF GOVERNMENTS</v>
          </cell>
          <cell r="C1410">
            <v>97802</v>
          </cell>
          <cell r="H1410"/>
          <cell r="K1410"/>
          <cell r="P1410"/>
        </row>
        <row r="1411">
          <cell r="A1411"/>
          <cell r="B1411" t="str">
            <v>LUMBERTON</v>
          </cell>
          <cell r="C1411">
            <v>97811</v>
          </cell>
          <cell r="H1411"/>
          <cell r="K1411"/>
          <cell r="P1411"/>
        </row>
        <row r="1412">
          <cell r="A1412"/>
          <cell r="B1412" t="str">
            <v>LUMBERTON ABC BOARD</v>
          </cell>
          <cell r="C1412">
            <v>97817</v>
          </cell>
          <cell r="H1412"/>
          <cell r="K1412"/>
          <cell r="P1412"/>
        </row>
        <row r="1413">
          <cell r="A1413"/>
          <cell r="B1413" t="str">
            <v>LUMBERTON AIRPORT COMMISSION</v>
          </cell>
          <cell r="C1413">
            <v>97818</v>
          </cell>
          <cell r="H1413"/>
          <cell r="K1413"/>
          <cell r="P1413"/>
        </row>
        <row r="1414">
          <cell r="A1414"/>
          <cell r="B1414" t="str">
            <v>MACCLESFIELD</v>
          </cell>
          <cell r="C1414">
            <v>93341</v>
          </cell>
          <cell r="H1414"/>
          <cell r="K1414"/>
          <cell r="P1414"/>
        </row>
        <row r="1415">
          <cell r="A1415"/>
          <cell r="B1415" t="str">
            <v>MACON COUNTY</v>
          </cell>
          <cell r="C1415">
            <v>95601</v>
          </cell>
          <cell r="H1415"/>
          <cell r="K1415"/>
          <cell r="P1415"/>
        </row>
        <row r="1416">
          <cell r="A1416"/>
          <cell r="B1416" t="str">
            <v>MADISON</v>
          </cell>
          <cell r="C1416">
            <v>97941</v>
          </cell>
          <cell r="H1416"/>
          <cell r="K1416"/>
          <cell r="P1416"/>
        </row>
        <row r="1417">
          <cell r="A1417"/>
          <cell r="B1417" t="str">
            <v>MADISON ABC BOARD</v>
          </cell>
          <cell r="C1417">
            <v>97947</v>
          </cell>
          <cell r="H1417"/>
          <cell r="K1417"/>
          <cell r="P1417"/>
        </row>
        <row r="1418">
          <cell r="A1418"/>
          <cell r="B1418" t="str">
            <v>MADISON COUNTY</v>
          </cell>
          <cell r="C1418">
            <v>95701</v>
          </cell>
          <cell r="H1418"/>
          <cell r="K1418"/>
          <cell r="P1418"/>
        </row>
        <row r="1419">
          <cell r="A1419"/>
          <cell r="B1419" t="str">
            <v>MADISON-MAYODAN RECREATION COMM</v>
          </cell>
          <cell r="C1419">
            <v>97948</v>
          </cell>
          <cell r="H1419"/>
          <cell r="K1419"/>
          <cell r="P1419"/>
        </row>
        <row r="1420">
          <cell r="A1420"/>
          <cell r="B1420" t="str">
            <v>MAGGIE VALLEY</v>
          </cell>
          <cell r="C1420">
            <v>94421</v>
          </cell>
          <cell r="H1420"/>
          <cell r="K1420"/>
          <cell r="P1420"/>
        </row>
        <row r="1421">
          <cell r="A1421"/>
          <cell r="B1421" t="str">
            <v>MAGGIE VALLEY ABC BOARD</v>
          </cell>
          <cell r="C1421">
            <v>94427</v>
          </cell>
          <cell r="H1421"/>
          <cell r="K1421"/>
          <cell r="P1421"/>
        </row>
        <row r="1422">
          <cell r="A1422"/>
          <cell r="B1422" t="str">
            <v>MAGGIE VALLEY SANITARY DISTRICT</v>
          </cell>
          <cell r="C1422">
            <v>94428</v>
          </cell>
          <cell r="H1422"/>
          <cell r="K1422"/>
          <cell r="P1422"/>
        </row>
        <row r="1423">
          <cell r="A1423"/>
          <cell r="B1423" t="str">
            <v>MAGNOLIA</v>
          </cell>
          <cell r="C1423">
            <v>93191</v>
          </cell>
          <cell r="H1423"/>
          <cell r="K1423"/>
          <cell r="P1423"/>
        </row>
        <row r="1424">
          <cell r="A1424"/>
          <cell r="B1424" t="str">
            <v>MAIDEN</v>
          </cell>
          <cell r="C1424">
            <v>91831</v>
          </cell>
          <cell r="H1424"/>
          <cell r="K1424"/>
          <cell r="P1424"/>
        </row>
        <row r="1425">
          <cell r="A1425"/>
          <cell r="B1425" t="str">
            <v>MANTEO</v>
          </cell>
          <cell r="C1425">
            <v>92831</v>
          </cell>
          <cell r="H1425"/>
          <cell r="K1425"/>
          <cell r="P1425"/>
        </row>
        <row r="1426">
          <cell r="A1426"/>
          <cell r="B1426" t="str">
            <v>MARION</v>
          </cell>
          <cell r="C1426">
            <v>95911</v>
          </cell>
          <cell r="H1426"/>
          <cell r="K1426"/>
          <cell r="P1426"/>
        </row>
        <row r="1427">
          <cell r="A1427"/>
          <cell r="B1427" t="str">
            <v>MARION ABC BOARD</v>
          </cell>
          <cell r="C1427">
            <v>95917</v>
          </cell>
          <cell r="H1427"/>
          <cell r="K1427"/>
          <cell r="P1427"/>
        </row>
        <row r="1428">
          <cell r="A1428"/>
          <cell r="B1428" t="str">
            <v>MARS HILL</v>
          </cell>
          <cell r="C1428">
            <v>95711</v>
          </cell>
          <cell r="H1428"/>
          <cell r="K1428"/>
          <cell r="P1428"/>
        </row>
        <row r="1429">
          <cell r="A1429"/>
          <cell r="B1429" t="str">
            <v>MARSHALL</v>
          </cell>
          <cell r="C1429">
            <v>95721</v>
          </cell>
          <cell r="H1429"/>
          <cell r="K1429"/>
          <cell r="P1429"/>
        </row>
        <row r="1430">
          <cell r="A1430"/>
          <cell r="B1430" t="str">
            <v>MARSHVILLE</v>
          </cell>
          <cell r="C1430">
            <v>99021</v>
          </cell>
          <cell r="H1430"/>
          <cell r="K1430"/>
          <cell r="P1430"/>
        </row>
        <row r="1431">
          <cell r="A1431"/>
          <cell r="B1431" t="str">
            <v>MARTIN CO TRAVEL &amp; TOURISM AUTHORITY</v>
          </cell>
          <cell r="C1431">
            <v>95802</v>
          </cell>
          <cell r="H1431"/>
          <cell r="K1431"/>
          <cell r="P1431"/>
        </row>
        <row r="1432">
          <cell r="A1432"/>
          <cell r="B1432" t="str">
            <v>MARTIN COUNTY</v>
          </cell>
          <cell r="C1432">
            <v>95801</v>
          </cell>
          <cell r="H1432"/>
          <cell r="K1432"/>
          <cell r="P1432"/>
        </row>
        <row r="1433">
          <cell r="A1433"/>
          <cell r="B1433" t="str">
            <v>MARTIN COUNTY ABC BOARD</v>
          </cell>
          <cell r="C1433">
            <v>95804</v>
          </cell>
          <cell r="H1433"/>
          <cell r="K1433"/>
          <cell r="P1433"/>
        </row>
        <row r="1434">
          <cell r="A1434"/>
          <cell r="B1434" t="str">
            <v>MARTIN-TYRRELL-WASHINGTON DISTRICT HEALTH DEPT</v>
          </cell>
          <cell r="C1434">
            <v>90092</v>
          </cell>
          <cell r="H1434"/>
          <cell r="K1434"/>
          <cell r="P1434"/>
        </row>
        <row r="1435">
          <cell r="A1435"/>
          <cell r="B1435" t="str">
            <v>MARVIN</v>
          </cell>
          <cell r="C1435">
            <v>99081</v>
          </cell>
          <cell r="H1435"/>
          <cell r="K1435"/>
          <cell r="P1435"/>
        </row>
        <row r="1436">
          <cell r="A1436"/>
          <cell r="B1436" t="str">
            <v>MATTHEWS</v>
          </cell>
          <cell r="C1436">
            <v>96071</v>
          </cell>
          <cell r="H1436"/>
          <cell r="K1436"/>
          <cell r="P1436"/>
        </row>
        <row r="1437">
          <cell r="A1437"/>
          <cell r="B1437" t="str">
            <v>MAURY SANITARY LAND DISTRICT</v>
          </cell>
          <cell r="C1437">
            <v>94002</v>
          </cell>
          <cell r="H1437"/>
          <cell r="K1437"/>
          <cell r="P1437"/>
        </row>
        <row r="1438">
          <cell r="A1438"/>
          <cell r="B1438" t="str">
            <v>MAXTON</v>
          </cell>
          <cell r="C1438">
            <v>97840</v>
          </cell>
          <cell r="H1438"/>
          <cell r="K1438"/>
          <cell r="P1438"/>
        </row>
        <row r="1439">
          <cell r="A1439"/>
          <cell r="B1439" t="str">
            <v>MAXTON ABC BOARD</v>
          </cell>
          <cell r="C1439">
            <v>97847</v>
          </cell>
          <cell r="H1439"/>
          <cell r="K1439"/>
          <cell r="P1439"/>
        </row>
        <row r="1440">
          <cell r="A1440"/>
          <cell r="B1440" t="str">
            <v>MAYODAN</v>
          </cell>
          <cell r="C1440">
            <v>97921</v>
          </cell>
          <cell r="H1440"/>
          <cell r="K1440"/>
          <cell r="P1440"/>
        </row>
        <row r="1441">
          <cell r="A1441"/>
          <cell r="B1441" t="str">
            <v>MAYSVILLE</v>
          </cell>
          <cell r="C1441">
            <v>95221</v>
          </cell>
          <cell r="H1441"/>
          <cell r="K1441"/>
          <cell r="P1441"/>
        </row>
        <row r="1442">
          <cell r="A1442"/>
          <cell r="B1442" t="str">
            <v>MCADENVILLE</v>
          </cell>
          <cell r="C1442">
            <v>93610</v>
          </cell>
          <cell r="H1442"/>
          <cell r="K1442"/>
          <cell r="P1442"/>
        </row>
        <row r="1443">
          <cell r="A1443"/>
          <cell r="B1443" t="str">
            <v>MCDOWELL COUNTY</v>
          </cell>
          <cell r="C1443">
            <v>95901</v>
          </cell>
          <cell r="H1443"/>
          <cell r="K1443"/>
          <cell r="P1443"/>
        </row>
        <row r="1444">
          <cell r="A1444"/>
          <cell r="B1444" t="str">
            <v>MEBANE</v>
          </cell>
          <cell r="C1444">
            <v>90114</v>
          </cell>
          <cell r="H1444"/>
          <cell r="K1444"/>
          <cell r="P1444"/>
        </row>
        <row r="1445">
          <cell r="A1445"/>
          <cell r="B1445" t="str">
            <v>MECKLENBURG COUNTY</v>
          </cell>
          <cell r="C1445">
            <v>96001</v>
          </cell>
          <cell r="H1445"/>
          <cell r="K1445"/>
          <cell r="P1445"/>
        </row>
        <row r="1446">
          <cell r="A1446"/>
          <cell r="B1446" t="str">
            <v>MECKLENBURG COUNTY ABC BOARD</v>
          </cell>
          <cell r="C1446">
            <v>96004</v>
          </cell>
          <cell r="H1446"/>
          <cell r="K1446"/>
          <cell r="P1446"/>
        </row>
        <row r="1447">
          <cell r="A1447"/>
          <cell r="B1447" t="str">
            <v>MECKLENBURG EMERGENCY MEDICAL SVCS AGCY</v>
          </cell>
          <cell r="C1447">
            <v>96008</v>
          </cell>
          <cell r="H1447"/>
          <cell r="K1447"/>
          <cell r="P1447"/>
        </row>
        <row r="1448">
          <cell r="A1448"/>
          <cell r="B1448" t="str">
            <v>METRO SEWERAGE DIST OF BUNCOMBE COUNTY</v>
          </cell>
          <cell r="C1448">
            <v>91108</v>
          </cell>
          <cell r="H1448"/>
          <cell r="K1448"/>
          <cell r="P1448"/>
        </row>
        <row r="1449">
          <cell r="A1449"/>
          <cell r="B1449" t="str">
            <v>MI CONNECTION COMMUNICATIONS SYSTEM</v>
          </cell>
          <cell r="C1449">
            <v>94941</v>
          </cell>
          <cell r="H1449"/>
          <cell r="K1449"/>
          <cell r="P1449"/>
        </row>
        <row r="1450">
          <cell r="A1450"/>
          <cell r="B1450" t="str">
            <v>MICRO</v>
          </cell>
          <cell r="C1450">
            <v>95122</v>
          </cell>
          <cell r="H1450"/>
          <cell r="K1450"/>
          <cell r="P1450"/>
        </row>
        <row r="1451">
          <cell r="A1451"/>
          <cell r="B1451" t="str">
            <v>MID-CAROLINA COUNCIL OF GOVERNMENTS</v>
          </cell>
          <cell r="C1451">
            <v>92607</v>
          </cell>
          <cell r="H1451"/>
          <cell r="K1451"/>
          <cell r="P1451"/>
        </row>
        <row r="1452">
          <cell r="A1452"/>
          <cell r="B1452" t="str">
            <v>MIDDLESEX</v>
          </cell>
          <cell r="C1452">
            <v>96431</v>
          </cell>
          <cell r="H1452"/>
          <cell r="K1452"/>
          <cell r="P1452"/>
        </row>
        <row r="1453">
          <cell r="A1453"/>
          <cell r="B1453" t="str">
            <v>MIDEAST COMMISSION</v>
          </cell>
          <cell r="C1453">
            <v>90709</v>
          </cell>
          <cell r="H1453"/>
          <cell r="K1453"/>
          <cell r="P1453"/>
        </row>
        <row r="1454">
          <cell r="A1454"/>
          <cell r="B1454" t="str">
            <v>MIDLAND</v>
          </cell>
          <cell r="C1454">
            <v>91341</v>
          </cell>
          <cell r="H1454"/>
          <cell r="K1454"/>
          <cell r="P1454"/>
        </row>
        <row r="1455">
          <cell r="A1455"/>
          <cell r="B1455" t="str">
            <v>MIDWAY</v>
          </cell>
          <cell r="C1455">
            <v>92941</v>
          </cell>
          <cell r="H1455"/>
          <cell r="K1455"/>
          <cell r="P1455"/>
        </row>
        <row r="1456">
          <cell r="A1456"/>
          <cell r="B1456" t="str">
            <v>MILLS RIVER</v>
          </cell>
          <cell r="C1456">
            <v>94551</v>
          </cell>
          <cell r="H1456"/>
          <cell r="K1456"/>
          <cell r="P1456"/>
        </row>
        <row r="1457">
          <cell r="A1457"/>
          <cell r="B1457" t="str">
            <v>MINERAL SPRINGS</v>
          </cell>
          <cell r="C1457">
            <v>99022</v>
          </cell>
          <cell r="H1457"/>
          <cell r="K1457"/>
          <cell r="P1457"/>
        </row>
        <row r="1458">
          <cell r="A1458"/>
          <cell r="B1458" t="str">
            <v>MINT HILL</v>
          </cell>
          <cell r="C1458">
            <v>96031</v>
          </cell>
          <cell r="H1458"/>
          <cell r="K1458"/>
          <cell r="P1458"/>
        </row>
        <row r="1459">
          <cell r="A1459"/>
          <cell r="B1459" t="str">
            <v>MISENHEIMER</v>
          </cell>
          <cell r="C1459">
            <v>98414</v>
          </cell>
          <cell r="H1459"/>
          <cell r="K1459"/>
          <cell r="P1459"/>
        </row>
        <row r="1460">
          <cell r="A1460"/>
          <cell r="B1460" t="str">
            <v>MITCHELL COUNTY</v>
          </cell>
          <cell r="C1460">
            <v>96101</v>
          </cell>
          <cell r="H1460"/>
          <cell r="K1460"/>
          <cell r="P1460"/>
        </row>
        <row r="1461">
          <cell r="A1461"/>
          <cell r="B1461" t="str">
            <v>MITCHELL SOIL &amp; WATER CONSERVATION DISTRICT</v>
          </cell>
          <cell r="C1461">
            <v>96102</v>
          </cell>
          <cell r="H1461"/>
          <cell r="K1461"/>
          <cell r="P1461"/>
        </row>
        <row r="1462">
          <cell r="A1462"/>
          <cell r="B1462" t="str">
            <v>MOCKSVILLE</v>
          </cell>
          <cell r="C1462">
            <v>93011</v>
          </cell>
          <cell r="H1462"/>
          <cell r="K1462"/>
          <cell r="P1462"/>
        </row>
        <row r="1463">
          <cell r="A1463"/>
          <cell r="B1463" t="str">
            <v>MONROE</v>
          </cell>
          <cell r="C1463">
            <v>99011</v>
          </cell>
          <cell r="H1463"/>
          <cell r="K1463"/>
          <cell r="P1463"/>
        </row>
        <row r="1464">
          <cell r="A1464"/>
          <cell r="B1464" t="str">
            <v>MONROE ABC BOARD</v>
          </cell>
          <cell r="C1464">
            <v>99017</v>
          </cell>
          <cell r="H1464"/>
          <cell r="K1464"/>
          <cell r="P1464"/>
        </row>
        <row r="1465">
          <cell r="A1465"/>
          <cell r="B1465" t="str">
            <v>MONROE HOUSING AUTHORITY</v>
          </cell>
          <cell r="C1465">
            <v>99013</v>
          </cell>
          <cell r="H1465"/>
          <cell r="K1465"/>
          <cell r="P1465"/>
        </row>
        <row r="1466">
          <cell r="A1466"/>
          <cell r="B1466" t="str">
            <v>MONTGOMERY COUNTY</v>
          </cell>
          <cell r="C1466">
            <v>96201</v>
          </cell>
          <cell r="H1466"/>
          <cell r="K1466"/>
          <cell r="P1466"/>
        </row>
        <row r="1467">
          <cell r="A1467"/>
          <cell r="B1467" t="str">
            <v>MONTGOMERY-MUNICIPAL ABC BOARD</v>
          </cell>
          <cell r="C1467">
            <v>96204</v>
          </cell>
          <cell r="H1467"/>
          <cell r="K1467"/>
          <cell r="P1467"/>
        </row>
        <row r="1468">
          <cell r="A1468"/>
          <cell r="B1468" t="str">
            <v>MONTREAT</v>
          </cell>
          <cell r="C1468">
            <v>91161</v>
          </cell>
          <cell r="H1468"/>
          <cell r="K1468"/>
          <cell r="P1468"/>
        </row>
        <row r="1469">
          <cell r="A1469"/>
          <cell r="B1469" t="str">
            <v>MOORE COUNTY</v>
          </cell>
          <cell r="C1469">
            <v>96301</v>
          </cell>
          <cell r="H1469"/>
          <cell r="K1469"/>
          <cell r="P1469"/>
        </row>
        <row r="1470">
          <cell r="A1470"/>
          <cell r="B1470" t="str">
            <v>MOORE COUNTY ABC BOARD</v>
          </cell>
          <cell r="C1470">
            <v>96304</v>
          </cell>
          <cell r="H1470"/>
          <cell r="K1470"/>
          <cell r="P1470"/>
        </row>
        <row r="1471">
          <cell r="A1471"/>
          <cell r="B1471" t="str">
            <v>MOORE COUNTY AIRPORT AUTHORITY</v>
          </cell>
          <cell r="C1471">
            <v>96310</v>
          </cell>
          <cell r="H1471"/>
          <cell r="K1471"/>
          <cell r="P1471"/>
        </row>
        <row r="1472">
          <cell r="A1472"/>
          <cell r="B1472" t="str">
            <v>MOORE COUNTY TOURISM DEVELOPMENT AUTHORITY</v>
          </cell>
          <cell r="C1472">
            <v>96305</v>
          </cell>
          <cell r="H1472"/>
          <cell r="K1472"/>
          <cell r="P1472"/>
        </row>
        <row r="1473">
          <cell r="A1473"/>
          <cell r="B1473" t="str">
            <v>MOORESVILLE</v>
          </cell>
          <cell r="C1473">
            <v>94921</v>
          </cell>
          <cell r="H1473"/>
          <cell r="K1473"/>
          <cell r="P1473"/>
        </row>
        <row r="1474">
          <cell r="A1474"/>
          <cell r="B1474" t="str">
            <v>MOORESVILLE ABC BOARD</v>
          </cell>
          <cell r="C1474">
            <v>94927</v>
          </cell>
          <cell r="H1474"/>
          <cell r="K1474"/>
          <cell r="P1474"/>
        </row>
        <row r="1475">
          <cell r="A1475"/>
          <cell r="B1475" t="str">
            <v>MOORESVILLE HOUSING AUTHORITY</v>
          </cell>
          <cell r="C1475">
            <v>94923</v>
          </cell>
          <cell r="H1475"/>
          <cell r="K1475"/>
          <cell r="P1475"/>
        </row>
        <row r="1476">
          <cell r="A1476"/>
          <cell r="B1476" t="str">
            <v>MOREHEAD CITY</v>
          </cell>
          <cell r="C1476">
            <v>91611</v>
          </cell>
          <cell r="H1476"/>
          <cell r="K1476"/>
          <cell r="P1476"/>
        </row>
        <row r="1477">
          <cell r="A1477"/>
          <cell r="B1477" t="str">
            <v>MORGANTON</v>
          </cell>
          <cell r="C1477">
            <v>91231</v>
          </cell>
          <cell r="H1477"/>
          <cell r="K1477"/>
          <cell r="P1477"/>
        </row>
        <row r="1478">
          <cell r="A1478"/>
          <cell r="B1478" t="str">
            <v>MORGANTON ABC BOARD</v>
          </cell>
          <cell r="C1478">
            <v>91217</v>
          </cell>
          <cell r="H1478"/>
          <cell r="K1478"/>
          <cell r="P1478"/>
        </row>
        <row r="1479">
          <cell r="A1479"/>
          <cell r="B1479" t="str">
            <v>MORGANTON HOUSING AUTHORITY</v>
          </cell>
          <cell r="C1479">
            <v>91233</v>
          </cell>
          <cell r="H1479"/>
          <cell r="K1479"/>
          <cell r="P1479"/>
        </row>
        <row r="1480">
          <cell r="A1480"/>
          <cell r="B1480" t="str">
            <v>MORRISVILLE</v>
          </cell>
          <cell r="C1480">
            <v>99206</v>
          </cell>
          <cell r="H1480"/>
          <cell r="K1480"/>
          <cell r="P1480"/>
        </row>
        <row r="1481">
          <cell r="A1481"/>
          <cell r="B1481" t="str">
            <v>MORVEN</v>
          </cell>
          <cell r="C1481">
            <v>90461</v>
          </cell>
          <cell r="H1481"/>
          <cell r="K1481"/>
          <cell r="P1481"/>
        </row>
        <row r="1482">
          <cell r="A1482"/>
          <cell r="B1482" t="str">
            <v>MOUNT AIRY</v>
          </cell>
          <cell r="C1482">
            <v>98631</v>
          </cell>
          <cell r="H1482"/>
          <cell r="K1482"/>
          <cell r="P1482"/>
        </row>
        <row r="1483">
          <cell r="A1483"/>
          <cell r="B1483" t="str">
            <v>MOUNT AIRY ALCOHOLIC BOARD OF CONTROL</v>
          </cell>
          <cell r="C1483">
            <v>98637</v>
          </cell>
          <cell r="H1483"/>
          <cell r="K1483"/>
          <cell r="P1483"/>
        </row>
        <row r="1484">
          <cell r="A1484"/>
          <cell r="B1484" t="str">
            <v>MOUNT GILEAD</v>
          </cell>
          <cell r="C1484">
            <v>96251</v>
          </cell>
          <cell r="H1484"/>
          <cell r="K1484"/>
          <cell r="P1484"/>
        </row>
        <row r="1485">
          <cell r="A1485"/>
          <cell r="B1485" t="str">
            <v>MOUNT HOLLY</v>
          </cell>
          <cell r="C1485">
            <v>93691</v>
          </cell>
          <cell r="H1485"/>
          <cell r="K1485"/>
          <cell r="P1485"/>
        </row>
        <row r="1486">
          <cell r="A1486"/>
          <cell r="B1486" t="str">
            <v>MOUNT OLIVE</v>
          </cell>
          <cell r="C1486">
            <v>99621</v>
          </cell>
          <cell r="H1486"/>
          <cell r="K1486"/>
          <cell r="P1486"/>
        </row>
        <row r="1487">
          <cell r="A1487"/>
          <cell r="B1487" t="str">
            <v>MOUNT OLIVE HOUSING AUTHORITY</v>
          </cell>
          <cell r="C1487">
            <v>99623</v>
          </cell>
          <cell r="H1487"/>
          <cell r="K1487"/>
          <cell r="P1487"/>
        </row>
        <row r="1488">
          <cell r="A1488"/>
          <cell r="B1488" t="str">
            <v>MOUNT PLEASANT</v>
          </cell>
          <cell r="C1488">
            <v>91321</v>
          </cell>
          <cell r="H1488"/>
          <cell r="K1488"/>
          <cell r="P1488"/>
        </row>
        <row r="1489">
          <cell r="A1489"/>
          <cell r="B1489" t="str">
            <v>MOUNT PLEASANT ABC BOARD</v>
          </cell>
          <cell r="C1489">
            <v>91327</v>
          </cell>
          <cell r="H1489"/>
          <cell r="K1489"/>
          <cell r="P1489"/>
        </row>
        <row r="1490">
          <cell r="A1490"/>
          <cell r="B1490" t="str">
            <v>MURFREESBORO</v>
          </cell>
          <cell r="C1490">
            <v>94621</v>
          </cell>
          <cell r="H1490"/>
          <cell r="K1490"/>
          <cell r="P1490"/>
        </row>
        <row r="1491">
          <cell r="A1491"/>
          <cell r="B1491" t="str">
            <v>MURPHY</v>
          </cell>
          <cell r="C1491">
            <v>92011</v>
          </cell>
          <cell r="H1491"/>
          <cell r="K1491"/>
          <cell r="P1491"/>
        </row>
        <row r="1492">
          <cell r="A1492"/>
          <cell r="B1492" t="str">
            <v>MURPHY ABC BOARD</v>
          </cell>
          <cell r="C1492">
            <v>92017</v>
          </cell>
          <cell r="H1492"/>
          <cell r="K1492"/>
          <cell r="P1492"/>
        </row>
        <row r="1493">
          <cell r="A1493"/>
          <cell r="B1493" t="str">
            <v>N C ASSOC OF CO COMMISSIONERS</v>
          </cell>
          <cell r="C1493">
            <v>99991</v>
          </cell>
          <cell r="H1493"/>
          <cell r="K1493"/>
          <cell r="P1493"/>
        </row>
        <row r="1494">
          <cell r="A1494"/>
          <cell r="B1494" t="str">
            <v>N C LEAGUE OF MUNICIPALITIES</v>
          </cell>
          <cell r="C1494">
            <v>99999</v>
          </cell>
          <cell r="H1494"/>
          <cell r="K1494"/>
          <cell r="P1494"/>
        </row>
        <row r="1495">
          <cell r="A1495"/>
          <cell r="B1495" t="str">
            <v>NAGS HEAD</v>
          </cell>
          <cell r="C1495">
            <v>92811</v>
          </cell>
          <cell r="H1495"/>
          <cell r="K1495"/>
          <cell r="P1495"/>
        </row>
        <row r="1496">
          <cell r="A1496"/>
          <cell r="B1496" t="str">
            <v>NANTAHALA REGIONAL LIBRARY</v>
          </cell>
          <cell r="C1496">
            <v>92005</v>
          </cell>
          <cell r="H1496"/>
          <cell r="K1496"/>
          <cell r="P1496"/>
        </row>
        <row r="1497">
          <cell r="A1497"/>
          <cell r="B1497" t="str">
            <v>NASH COUNTY</v>
          </cell>
          <cell r="C1497">
            <v>96401</v>
          </cell>
          <cell r="H1497"/>
          <cell r="K1497"/>
          <cell r="P1497"/>
        </row>
        <row r="1498">
          <cell r="A1498"/>
          <cell r="B1498" t="str">
            <v>NASH COUNTY ABC BOARD</v>
          </cell>
          <cell r="C1498">
            <v>96404</v>
          </cell>
          <cell r="H1498"/>
          <cell r="K1498"/>
          <cell r="P1498"/>
        </row>
        <row r="1499">
          <cell r="A1499"/>
          <cell r="B1499" t="str">
            <v>NASHVILLE</v>
          </cell>
          <cell r="C1499">
            <v>96421</v>
          </cell>
          <cell r="H1499"/>
          <cell r="K1499"/>
          <cell r="P1499"/>
        </row>
        <row r="1500">
          <cell r="A1500"/>
          <cell r="B1500" t="str">
            <v>NAVASSA</v>
          </cell>
          <cell r="C1500">
            <v>91026</v>
          </cell>
          <cell r="H1500"/>
          <cell r="K1500"/>
          <cell r="P1500"/>
        </row>
        <row r="1501">
          <cell r="A1501"/>
          <cell r="B1501" t="str">
            <v>NEUSE REGIONAL LIBRARY</v>
          </cell>
          <cell r="C1501">
            <v>95405</v>
          </cell>
          <cell r="H1501"/>
          <cell r="K1501"/>
          <cell r="P1501"/>
        </row>
        <row r="1502">
          <cell r="A1502"/>
          <cell r="B1502" t="str">
            <v>NEUSE REGIONAL LIBRARY-GREENE COUNTY</v>
          </cell>
          <cell r="C1502">
            <v>94005</v>
          </cell>
          <cell r="H1502"/>
          <cell r="K1502"/>
          <cell r="P1502"/>
        </row>
        <row r="1503">
          <cell r="A1503"/>
          <cell r="B1503" t="str">
            <v>NEUSE REGIONAL LIBRARY-JONES COUNTY</v>
          </cell>
          <cell r="C1503">
            <v>95205</v>
          </cell>
          <cell r="H1503"/>
          <cell r="K1503"/>
          <cell r="P1503"/>
        </row>
        <row r="1504">
          <cell r="A1504"/>
          <cell r="B1504" t="str">
            <v>NEUSE RIVER COUNCIL OF GOVERNMENTS</v>
          </cell>
          <cell r="C1504">
            <v>92507</v>
          </cell>
          <cell r="H1504"/>
          <cell r="K1504"/>
          <cell r="P1504"/>
        </row>
        <row r="1505">
          <cell r="A1505"/>
          <cell r="B1505" t="str">
            <v>NEW BERN</v>
          </cell>
          <cell r="C1505">
            <v>92511</v>
          </cell>
          <cell r="H1505"/>
          <cell r="K1505"/>
          <cell r="P1505"/>
        </row>
        <row r="1506">
          <cell r="A1506"/>
          <cell r="B1506" t="str">
            <v>NEW EDENTON HOUSING AUTHORITY</v>
          </cell>
          <cell r="C1506">
            <v>92113</v>
          </cell>
          <cell r="H1506"/>
          <cell r="K1506"/>
          <cell r="P1506"/>
        </row>
        <row r="1507">
          <cell r="A1507"/>
          <cell r="B1507" t="str">
            <v>NEW HANOVER AIRPORT AUTHORITY</v>
          </cell>
          <cell r="C1507">
            <v>96502</v>
          </cell>
          <cell r="H1507"/>
          <cell r="K1507"/>
          <cell r="P1507"/>
        </row>
        <row r="1508">
          <cell r="A1508"/>
          <cell r="B1508" t="str">
            <v>NEW HANOVER COUNTY</v>
          </cell>
          <cell r="C1508">
            <v>96501</v>
          </cell>
          <cell r="H1508"/>
          <cell r="K1508"/>
          <cell r="P1508"/>
        </row>
        <row r="1509">
          <cell r="A1509"/>
          <cell r="B1509" t="str">
            <v>NEW HANOVER COUNTY ABC BOARD</v>
          </cell>
          <cell r="C1509">
            <v>96504</v>
          </cell>
          <cell r="H1509"/>
          <cell r="K1509"/>
          <cell r="P1509"/>
        </row>
        <row r="1510">
          <cell r="A1510"/>
          <cell r="B1510" t="str">
            <v>NEW LONDON</v>
          </cell>
          <cell r="C1510">
            <v>98471</v>
          </cell>
          <cell r="H1510"/>
          <cell r="K1510"/>
          <cell r="P1510"/>
        </row>
        <row r="1511">
          <cell r="A1511"/>
          <cell r="B1511" t="str">
            <v>NEW REIDSVILLE HOUSING AUTHORITY</v>
          </cell>
          <cell r="C1511">
            <v>97913</v>
          </cell>
          <cell r="H1511"/>
          <cell r="K1511"/>
          <cell r="P1511"/>
        </row>
        <row r="1512">
          <cell r="A1512"/>
          <cell r="B1512" t="str">
            <v>NEWLAND</v>
          </cell>
          <cell r="C1512">
            <v>90621</v>
          </cell>
          <cell r="H1512"/>
          <cell r="K1512"/>
          <cell r="P1512"/>
        </row>
        <row r="1513">
          <cell r="A1513"/>
          <cell r="B1513" t="str">
            <v>NEWPORT</v>
          </cell>
          <cell r="C1513">
            <v>91621</v>
          </cell>
          <cell r="H1513"/>
          <cell r="K1513"/>
          <cell r="P1513"/>
        </row>
        <row r="1514">
          <cell r="A1514"/>
          <cell r="B1514" t="str">
            <v>NEWTON</v>
          </cell>
          <cell r="C1514">
            <v>91871</v>
          </cell>
          <cell r="H1514"/>
          <cell r="K1514"/>
          <cell r="P1514"/>
        </row>
        <row r="1515">
          <cell r="A1515"/>
          <cell r="B1515" t="str">
            <v>NEWTON GROVE</v>
          </cell>
          <cell r="C1515">
            <v>98231</v>
          </cell>
          <cell r="H1515"/>
          <cell r="K1515"/>
          <cell r="P1515"/>
        </row>
        <row r="1516">
          <cell r="A1516"/>
          <cell r="B1516" t="str">
            <v>NORLINA</v>
          </cell>
          <cell r="C1516">
            <v>99311</v>
          </cell>
          <cell r="H1516"/>
          <cell r="K1516"/>
          <cell r="P1516"/>
        </row>
        <row r="1517">
          <cell r="A1517"/>
          <cell r="B1517" t="str">
            <v>NORTH TOPSAIL BEACH</v>
          </cell>
          <cell r="C1517">
            <v>96751</v>
          </cell>
          <cell r="H1517"/>
          <cell r="K1517"/>
          <cell r="P1517"/>
        </row>
        <row r="1518">
          <cell r="A1518"/>
          <cell r="B1518" t="str">
            <v>NORTH WILKESBORO</v>
          </cell>
          <cell r="C1518">
            <v>99711</v>
          </cell>
          <cell r="H1518"/>
          <cell r="K1518"/>
          <cell r="P1518"/>
        </row>
        <row r="1519">
          <cell r="A1519"/>
          <cell r="B1519" t="str">
            <v>NORTH WILKESBORO ABC BOARD</v>
          </cell>
          <cell r="C1519">
            <v>99717</v>
          </cell>
          <cell r="H1519"/>
          <cell r="K1519"/>
          <cell r="P1519"/>
        </row>
        <row r="1520">
          <cell r="A1520"/>
          <cell r="B1520" t="str">
            <v>NORTHAMPTON COUNTY</v>
          </cell>
          <cell r="C1520">
            <v>96601</v>
          </cell>
          <cell r="H1520"/>
          <cell r="K1520"/>
          <cell r="P1520"/>
        </row>
        <row r="1521">
          <cell r="A1521"/>
          <cell r="B1521" t="str">
            <v>NORTHAMPTON COUNTY ABC BOARD</v>
          </cell>
          <cell r="C1521">
            <v>96604</v>
          </cell>
          <cell r="H1521"/>
          <cell r="K1521"/>
          <cell r="P1521"/>
        </row>
        <row r="1522">
          <cell r="A1522"/>
          <cell r="B1522" t="str">
            <v>NORTHWEST</v>
          </cell>
          <cell r="C1522">
            <v>91012</v>
          </cell>
          <cell r="H1522"/>
          <cell r="K1522"/>
          <cell r="P1522"/>
        </row>
        <row r="1523">
          <cell r="A1523"/>
          <cell r="B1523" t="str">
            <v>NORTHWESTERN REGIONAL LIBRARY</v>
          </cell>
          <cell r="C1523">
            <v>90305</v>
          </cell>
          <cell r="H1523"/>
          <cell r="K1523"/>
          <cell r="P1523"/>
        </row>
        <row r="1524">
          <cell r="A1524"/>
          <cell r="B1524" t="str">
            <v>NORWOOD</v>
          </cell>
          <cell r="C1524">
            <v>98421</v>
          </cell>
          <cell r="H1524"/>
          <cell r="K1524"/>
          <cell r="P1524"/>
        </row>
        <row r="1525">
          <cell r="A1525"/>
          <cell r="B1525" t="str">
            <v>NORWOOD ABC BOARD</v>
          </cell>
          <cell r="C1525">
            <v>98427</v>
          </cell>
          <cell r="H1525"/>
          <cell r="K1525"/>
          <cell r="P1525"/>
        </row>
        <row r="1526">
          <cell r="A1526"/>
          <cell r="B1526" t="str">
            <v>OAK CITY</v>
          </cell>
          <cell r="C1526">
            <v>95821</v>
          </cell>
          <cell r="H1526"/>
          <cell r="K1526"/>
          <cell r="P1526"/>
        </row>
        <row r="1527">
          <cell r="A1527"/>
          <cell r="B1527" t="str">
            <v>OAK ISLAND</v>
          </cell>
          <cell r="C1527">
            <v>91021</v>
          </cell>
          <cell r="H1527"/>
          <cell r="K1527"/>
          <cell r="P1527"/>
        </row>
        <row r="1528">
          <cell r="A1528"/>
          <cell r="B1528" t="str">
            <v>OAK ISLAND ABC BOARD</v>
          </cell>
          <cell r="C1528">
            <v>91027</v>
          </cell>
          <cell r="H1528"/>
          <cell r="K1528"/>
          <cell r="P1528"/>
        </row>
        <row r="1529">
          <cell r="A1529"/>
          <cell r="B1529" t="str">
            <v>OAK RIDGE</v>
          </cell>
          <cell r="C1529">
            <v>94161</v>
          </cell>
          <cell r="H1529"/>
          <cell r="K1529"/>
          <cell r="P1529"/>
        </row>
        <row r="1530">
          <cell r="A1530"/>
          <cell r="B1530" t="str">
            <v>OAKBORO</v>
          </cell>
          <cell r="C1530">
            <v>98441</v>
          </cell>
          <cell r="H1530"/>
          <cell r="K1530"/>
          <cell r="P1530"/>
        </row>
        <row r="1531">
          <cell r="A1531"/>
          <cell r="B1531" t="str">
            <v>OCEAN ISLE BEACH</v>
          </cell>
          <cell r="C1531">
            <v>91061</v>
          </cell>
          <cell r="H1531"/>
          <cell r="K1531"/>
          <cell r="P1531"/>
        </row>
        <row r="1532">
          <cell r="A1532"/>
          <cell r="B1532" t="str">
            <v>OCEAN ISLE BEACH ABC BOARD</v>
          </cell>
          <cell r="C1532">
            <v>91067</v>
          </cell>
          <cell r="H1532"/>
          <cell r="K1532"/>
          <cell r="P1532"/>
        </row>
        <row r="1533">
          <cell r="A1533"/>
          <cell r="B1533" t="str">
            <v>OCRACOKE SANITARY DISTRICT</v>
          </cell>
          <cell r="C1533">
            <v>94812</v>
          </cell>
          <cell r="H1533"/>
          <cell r="K1533"/>
          <cell r="P1533"/>
        </row>
        <row r="1534">
          <cell r="A1534"/>
          <cell r="B1534" t="str">
            <v>OLD FORT</v>
          </cell>
          <cell r="C1534">
            <v>95921</v>
          </cell>
          <cell r="H1534"/>
          <cell r="K1534"/>
          <cell r="P1534"/>
        </row>
        <row r="1535">
          <cell r="A1535"/>
          <cell r="B1535" t="str">
            <v>ONSLOW COUNTY</v>
          </cell>
          <cell r="C1535">
            <v>96701</v>
          </cell>
          <cell r="H1535"/>
          <cell r="K1535"/>
          <cell r="P1535"/>
        </row>
        <row r="1536">
          <cell r="A1536"/>
          <cell r="B1536" t="str">
            <v>ONSLOW COUNTY ABC BOARD</v>
          </cell>
          <cell r="C1536">
            <v>96704</v>
          </cell>
          <cell r="H1536"/>
          <cell r="K1536"/>
          <cell r="P1536"/>
        </row>
        <row r="1537">
          <cell r="A1537"/>
          <cell r="B1537" t="str">
            <v>ONSLOW WATER &amp; SEWER AUTHORITY</v>
          </cell>
          <cell r="C1537">
            <v>96708</v>
          </cell>
          <cell r="H1537"/>
          <cell r="K1537"/>
          <cell r="P1537"/>
        </row>
        <row r="1538">
          <cell r="A1538"/>
          <cell r="B1538" t="str">
            <v>ORANGE COUNTY</v>
          </cell>
          <cell r="C1538">
            <v>96801</v>
          </cell>
          <cell r="H1538"/>
          <cell r="K1538"/>
          <cell r="P1538"/>
        </row>
        <row r="1539">
          <cell r="A1539"/>
          <cell r="B1539" t="str">
            <v>ORANGE COUNTY ABC BOARD</v>
          </cell>
          <cell r="C1539">
            <v>96804</v>
          </cell>
          <cell r="H1539"/>
          <cell r="K1539"/>
          <cell r="P1539"/>
        </row>
        <row r="1540">
          <cell r="A1540"/>
          <cell r="B1540" t="str">
            <v>ORANGE WATER AND SEWER AUTHORITY</v>
          </cell>
          <cell r="C1540">
            <v>96808</v>
          </cell>
          <cell r="H1540"/>
          <cell r="K1540"/>
          <cell r="P1540"/>
        </row>
        <row r="1541">
          <cell r="A1541"/>
          <cell r="B1541" t="str">
            <v>ORIENTAL</v>
          </cell>
          <cell r="C1541">
            <v>96912</v>
          </cell>
          <cell r="H1541"/>
          <cell r="K1541"/>
          <cell r="P1541"/>
        </row>
        <row r="1542">
          <cell r="A1542"/>
          <cell r="B1542" t="str">
            <v>OXFORD</v>
          </cell>
          <cell r="C1542">
            <v>93911</v>
          </cell>
          <cell r="H1542"/>
          <cell r="K1542"/>
          <cell r="P1542"/>
        </row>
        <row r="1543">
          <cell r="A1543"/>
          <cell r="B1543" t="str">
            <v>OXFORD HOUSING AUTHORITY</v>
          </cell>
          <cell r="C1543">
            <v>93913</v>
          </cell>
          <cell r="H1543"/>
          <cell r="K1543"/>
          <cell r="P1543"/>
        </row>
        <row r="1544">
          <cell r="A1544"/>
          <cell r="B1544" t="str">
            <v>PAMLICO COUNTY</v>
          </cell>
          <cell r="C1544">
            <v>96901</v>
          </cell>
          <cell r="H1544"/>
          <cell r="K1544"/>
          <cell r="P1544"/>
        </row>
        <row r="1545">
          <cell r="A1545"/>
          <cell r="B1545" t="str">
            <v>PARKTON</v>
          </cell>
          <cell r="C1545">
            <v>97841</v>
          </cell>
          <cell r="H1545"/>
          <cell r="K1545"/>
          <cell r="P1545"/>
        </row>
        <row r="1546">
          <cell r="A1546"/>
          <cell r="B1546" t="str">
            <v>PARKWOOD FIRE DEPARTMENT</v>
          </cell>
          <cell r="C1546">
            <v>93202</v>
          </cell>
          <cell r="H1546"/>
          <cell r="K1546"/>
          <cell r="P1546"/>
        </row>
        <row r="1547">
          <cell r="A1547"/>
          <cell r="B1547" t="str">
            <v>PARTNERS BEHAVIORAL HEALTH MANAGEMENT</v>
          </cell>
          <cell r="C1547">
            <v>93609</v>
          </cell>
          <cell r="H1547"/>
          <cell r="K1547"/>
          <cell r="P1547"/>
        </row>
        <row r="1548">
          <cell r="A1548"/>
          <cell r="B1548" t="str">
            <v>PASQUOTANK CO ABC BOARD</v>
          </cell>
          <cell r="C1548">
            <v>97004</v>
          </cell>
          <cell r="H1548"/>
          <cell r="K1548"/>
          <cell r="P1548"/>
        </row>
        <row r="1549">
          <cell r="A1549"/>
          <cell r="B1549" t="str">
            <v>PASQUOTANK COUNTY</v>
          </cell>
          <cell r="C1549">
            <v>97001</v>
          </cell>
          <cell r="H1549"/>
          <cell r="K1549"/>
          <cell r="P1549"/>
        </row>
        <row r="1550">
          <cell r="A1550"/>
          <cell r="B1550" t="str">
            <v>PASQUOTANK-CAMDEN AMBULANCE SERVICE</v>
          </cell>
          <cell r="C1550">
            <v>97002</v>
          </cell>
          <cell r="H1550"/>
          <cell r="K1550"/>
          <cell r="P1550"/>
        </row>
        <row r="1551">
          <cell r="A1551"/>
          <cell r="B1551" t="str">
            <v>PASQUOTANK-CAMDEN LIBRARY</v>
          </cell>
          <cell r="C1551">
            <v>97015</v>
          </cell>
          <cell r="H1551"/>
          <cell r="K1551"/>
          <cell r="P1551"/>
        </row>
        <row r="1552">
          <cell r="A1552"/>
          <cell r="B1552" t="str">
            <v>PEACHLAND</v>
          </cell>
          <cell r="C1552">
            <v>90441</v>
          </cell>
          <cell r="H1552"/>
          <cell r="K1552"/>
          <cell r="P1552"/>
        </row>
        <row r="1553">
          <cell r="A1553"/>
          <cell r="B1553" t="str">
            <v>PEMBROKE</v>
          </cell>
          <cell r="C1553">
            <v>97851</v>
          </cell>
          <cell r="H1553"/>
          <cell r="K1553"/>
          <cell r="P1553"/>
        </row>
        <row r="1554">
          <cell r="A1554"/>
          <cell r="B1554" t="str">
            <v>PEMBROKE HOUSING AUTHORITY</v>
          </cell>
          <cell r="C1554">
            <v>97853</v>
          </cell>
          <cell r="H1554"/>
          <cell r="K1554"/>
          <cell r="P1554"/>
        </row>
        <row r="1555">
          <cell r="A1555"/>
          <cell r="B1555" t="str">
            <v>PENDER COUNTY</v>
          </cell>
          <cell r="C1555">
            <v>97101</v>
          </cell>
          <cell r="H1555"/>
          <cell r="K1555"/>
          <cell r="P1555"/>
        </row>
        <row r="1556">
          <cell r="A1556"/>
          <cell r="B1556" t="str">
            <v>PENDER COUNTY ABC BOARD</v>
          </cell>
          <cell r="C1556">
            <v>97104</v>
          </cell>
          <cell r="H1556"/>
          <cell r="K1556"/>
          <cell r="P1556"/>
        </row>
        <row r="1557">
          <cell r="A1557"/>
          <cell r="B1557" t="str">
            <v>PERQUIMANS COUNTY</v>
          </cell>
          <cell r="C1557">
            <v>97201</v>
          </cell>
          <cell r="H1557"/>
          <cell r="K1557"/>
          <cell r="P1557"/>
        </row>
        <row r="1558">
          <cell r="A1558"/>
          <cell r="B1558" t="str">
            <v>PERSON CO ABC BOARD</v>
          </cell>
          <cell r="C1558">
            <v>97304</v>
          </cell>
          <cell r="H1558"/>
          <cell r="K1558"/>
          <cell r="P1558"/>
        </row>
        <row r="1559">
          <cell r="A1559"/>
          <cell r="B1559" t="str">
            <v>PERSON COUNTY</v>
          </cell>
          <cell r="C1559">
            <v>97301</v>
          </cell>
          <cell r="H1559"/>
          <cell r="K1559"/>
          <cell r="P1559"/>
        </row>
        <row r="1560">
          <cell r="A1560"/>
          <cell r="B1560" t="str">
            <v>PETTIGREW REGIONAL LIBRARY</v>
          </cell>
          <cell r="C1560">
            <v>99405</v>
          </cell>
          <cell r="H1560"/>
          <cell r="K1560"/>
          <cell r="P1560"/>
        </row>
        <row r="1561">
          <cell r="A1561"/>
          <cell r="B1561" t="str">
            <v>PIEDMONT TRIAD AIRPORT AUTHORITY</v>
          </cell>
          <cell r="C1561">
            <v>72265</v>
          </cell>
          <cell r="H1561"/>
          <cell r="K1561"/>
          <cell r="P1561"/>
        </row>
        <row r="1562">
          <cell r="A1562"/>
          <cell r="B1562" t="str">
            <v>PIEDMONT TRIAD REG WATER AUTHORITY</v>
          </cell>
          <cell r="C1562">
            <v>94112</v>
          </cell>
          <cell r="H1562"/>
          <cell r="K1562"/>
          <cell r="P1562"/>
        </row>
        <row r="1563">
          <cell r="A1563"/>
          <cell r="B1563" t="str">
            <v>PIEDMONT TRIAD REGIONAL COUNCIL</v>
          </cell>
          <cell r="C1563">
            <v>93406</v>
          </cell>
          <cell r="H1563"/>
          <cell r="K1563"/>
          <cell r="P1563"/>
        </row>
        <row r="1564">
          <cell r="A1564"/>
          <cell r="B1564" t="str">
            <v>PIKEVILLE</v>
          </cell>
          <cell r="C1564">
            <v>99651</v>
          </cell>
          <cell r="H1564"/>
          <cell r="K1564"/>
          <cell r="P1564"/>
        </row>
        <row r="1565">
          <cell r="A1565"/>
          <cell r="B1565" t="str">
            <v>PILOT MOUNTAIN</v>
          </cell>
          <cell r="C1565">
            <v>98611</v>
          </cell>
          <cell r="H1565"/>
          <cell r="K1565"/>
          <cell r="P1565"/>
        </row>
        <row r="1566">
          <cell r="A1566"/>
          <cell r="B1566" t="str">
            <v>PILOT MOUNTAIN ABC BOARD</v>
          </cell>
          <cell r="C1566">
            <v>98607</v>
          </cell>
          <cell r="H1566"/>
          <cell r="K1566"/>
          <cell r="P1566"/>
        </row>
        <row r="1567">
          <cell r="A1567"/>
          <cell r="B1567" t="str">
            <v>PINE KNOLL SHORES</v>
          </cell>
          <cell r="C1567">
            <v>91641</v>
          </cell>
          <cell r="H1567"/>
          <cell r="K1567"/>
          <cell r="P1567"/>
        </row>
        <row r="1568">
          <cell r="A1568"/>
          <cell r="B1568" t="str">
            <v>PINE LEVEL</v>
          </cell>
          <cell r="C1568">
            <v>95161</v>
          </cell>
          <cell r="H1568"/>
          <cell r="K1568"/>
          <cell r="P1568"/>
        </row>
        <row r="1569">
          <cell r="A1569"/>
          <cell r="B1569" t="str">
            <v>PINEBLUFF</v>
          </cell>
          <cell r="C1569">
            <v>96361</v>
          </cell>
          <cell r="H1569"/>
          <cell r="K1569"/>
          <cell r="P1569"/>
        </row>
        <row r="1570">
          <cell r="A1570"/>
          <cell r="B1570" t="str">
            <v>PINECROFT-SEDGEFIELD FIRE DIST INC</v>
          </cell>
          <cell r="C1570">
            <v>94108</v>
          </cell>
          <cell r="H1570"/>
          <cell r="K1570"/>
          <cell r="P1570"/>
        </row>
        <row r="1571">
          <cell r="A1571"/>
          <cell r="B1571" t="str">
            <v>PINEHURST</v>
          </cell>
          <cell r="C1571">
            <v>96351</v>
          </cell>
          <cell r="H1571"/>
          <cell r="K1571"/>
          <cell r="P1571"/>
        </row>
        <row r="1572">
          <cell r="A1572"/>
          <cell r="B1572" t="str">
            <v>PINETOPS</v>
          </cell>
          <cell r="C1572">
            <v>93331</v>
          </cell>
          <cell r="H1572"/>
          <cell r="K1572"/>
          <cell r="P1572"/>
        </row>
        <row r="1573">
          <cell r="A1573"/>
          <cell r="B1573" t="str">
            <v>PINEVILLE</v>
          </cell>
          <cell r="C1573">
            <v>96021</v>
          </cell>
          <cell r="H1573"/>
          <cell r="K1573"/>
          <cell r="P1573"/>
        </row>
        <row r="1574">
          <cell r="A1574"/>
          <cell r="B1574" t="str">
            <v>PINK HILL</v>
          </cell>
          <cell r="C1574">
            <v>95421</v>
          </cell>
          <cell r="H1574"/>
          <cell r="K1574"/>
          <cell r="P1574"/>
        </row>
        <row r="1575">
          <cell r="A1575"/>
          <cell r="B1575" t="str">
            <v>PITT COUNTY</v>
          </cell>
          <cell r="C1575">
            <v>97401</v>
          </cell>
          <cell r="H1575"/>
          <cell r="K1575"/>
          <cell r="P1575"/>
        </row>
        <row r="1576">
          <cell r="A1576"/>
          <cell r="B1576" t="str">
            <v>PITT COUNTY ABC BOARD</v>
          </cell>
          <cell r="C1576">
            <v>97404</v>
          </cell>
          <cell r="H1576"/>
          <cell r="K1576"/>
          <cell r="P1576"/>
        </row>
        <row r="1577">
          <cell r="A1577"/>
          <cell r="B1577" t="str">
            <v>PITT-GREENVILLE CONVENTION &amp; VISTORS BUREAU</v>
          </cell>
          <cell r="C1577">
            <v>97402</v>
          </cell>
          <cell r="H1577"/>
          <cell r="K1577"/>
          <cell r="P1577"/>
        </row>
        <row r="1578">
          <cell r="A1578"/>
          <cell r="B1578" t="str">
            <v>PITTSBORO</v>
          </cell>
          <cell r="C1578">
            <v>91921</v>
          </cell>
          <cell r="H1578"/>
          <cell r="K1578"/>
          <cell r="P1578"/>
        </row>
        <row r="1579">
          <cell r="A1579"/>
          <cell r="B1579" t="str">
            <v>PLEASANT GARDEN FIRE DEPT</v>
          </cell>
          <cell r="C1579">
            <v>95908</v>
          </cell>
          <cell r="H1579"/>
          <cell r="K1579"/>
          <cell r="P1579"/>
        </row>
        <row r="1580">
          <cell r="A1580"/>
          <cell r="B1580" t="str">
            <v>PLYMOUTH</v>
          </cell>
          <cell r="C1580">
            <v>99411</v>
          </cell>
          <cell r="H1580"/>
          <cell r="K1580"/>
          <cell r="P1580"/>
        </row>
        <row r="1581">
          <cell r="A1581"/>
          <cell r="B1581" t="str">
            <v>PLYMOUTH HOUSING AUTHORITY</v>
          </cell>
          <cell r="C1581">
            <v>99413</v>
          </cell>
          <cell r="H1581"/>
          <cell r="K1581"/>
          <cell r="P1581"/>
        </row>
        <row r="1582">
          <cell r="A1582"/>
          <cell r="B1582" t="str">
            <v>POLK COUNTY</v>
          </cell>
          <cell r="C1582">
            <v>97501</v>
          </cell>
          <cell r="H1582"/>
          <cell r="K1582"/>
          <cell r="P1582"/>
        </row>
        <row r="1583">
          <cell r="A1583"/>
          <cell r="B1583" t="str">
            <v>POLKTON</v>
          </cell>
          <cell r="C1583">
            <v>90431</v>
          </cell>
          <cell r="H1583"/>
          <cell r="K1583"/>
          <cell r="P1583"/>
        </row>
        <row r="1584">
          <cell r="A1584"/>
          <cell r="B1584" t="str">
            <v>POLLOCKSVILLE</v>
          </cell>
          <cell r="C1584">
            <v>95211</v>
          </cell>
          <cell r="H1584"/>
          <cell r="K1584"/>
          <cell r="P1584"/>
        </row>
        <row r="1585">
          <cell r="A1585"/>
          <cell r="B1585" t="str">
            <v>PRINCETON</v>
          </cell>
          <cell r="C1585">
            <v>95181</v>
          </cell>
          <cell r="H1585"/>
          <cell r="K1585"/>
          <cell r="P1585"/>
        </row>
        <row r="1586">
          <cell r="A1586"/>
          <cell r="B1586" t="str">
            <v>PRINCEVILLE</v>
          </cell>
          <cell r="C1586">
            <v>93351</v>
          </cell>
          <cell r="H1586"/>
          <cell r="K1586"/>
          <cell r="P1586"/>
        </row>
        <row r="1587">
          <cell r="A1587"/>
          <cell r="B1587" t="str">
            <v>PUBLIC LIBRARY OF JOHNSTON CO AND SMITHFIELD</v>
          </cell>
          <cell r="C1587">
            <v>95105</v>
          </cell>
          <cell r="H1587"/>
          <cell r="K1587"/>
          <cell r="P1587"/>
        </row>
        <row r="1588">
          <cell r="A1588"/>
          <cell r="B1588" t="str">
            <v>RAEFORD</v>
          </cell>
          <cell r="C1588">
            <v>94711</v>
          </cell>
          <cell r="H1588"/>
          <cell r="K1588"/>
          <cell r="P1588"/>
        </row>
        <row r="1589">
          <cell r="A1589"/>
          <cell r="B1589" t="str">
            <v>RALEIGH</v>
          </cell>
          <cell r="C1589">
            <v>99211</v>
          </cell>
          <cell r="H1589"/>
          <cell r="K1589"/>
          <cell r="P1589"/>
        </row>
        <row r="1590">
          <cell r="A1590"/>
          <cell r="B1590" t="str">
            <v>RALEIGH HOUSING AUTHORITY</v>
          </cell>
          <cell r="C1590">
            <v>99213</v>
          </cell>
          <cell r="H1590"/>
          <cell r="K1590"/>
          <cell r="P1590"/>
        </row>
        <row r="1591">
          <cell r="A1591"/>
          <cell r="B1591" t="str">
            <v>RALEIGH-DURHAM AIRPORT AUTHORITY</v>
          </cell>
          <cell r="C1591">
            <v>99218</v>
          </cell>
          <cell r="H1591"/>
          <cell r="K1591"/>
          <cell r="P1591"/>
        </row>
        <row r="1592">
          <cell r="A1592"/>
          <cell r="B1592" t="str">
            <v>RAMSEUR</v>
          </cell>
          <cell r="C1592">
            <v>97641</v>
          </cell>
          <cell r="H1592"/>
          <cell r="K1592"/>
          <cell r="P1592"/>
        </row>
        <row r="1593">
          <cell r="A1593"/>
          <cell r="B1593" t="str">
            <v>RANDLEMAN</v>
          </cell>
          <cell r="C1593">
            <v>97621</v>
          </cell>
          <cell r="H1593"/>
          <cell r="K1593"/>
          <cell r="P1593"/>
        </row>
        <row r="1594">
          <cell r="A1594"/>
          <cell r="B1594" t="str">
            <v>RANDLEMAN ABC BOARD</v>
          </cell>
          <cell r="C1594">
            <v>97627</v>
          </cell>
          <cell r="H1594"/>
          <cell r="K1594"/>
          <cell r="P1594"/>
        </row>
        <row r="1595">
          <cell r="A1595"/>
          <cell r="B1595" t="str">
            <v>RANDLEMAN HOUSING AUTHORITY</v>
          </cell>
          <cell r="C1595">
            <v>97623</v>
          </cell>
          <cell r="H1595"/>
          <cell r="K1595"/>
          <cell r="P1595"/>
        </row>
        <row r="1596">
          <cell r="A1596"/>
          <cell r="B1596" t="str">
            <v>RANDOLPH COUNTY</v>
          </cell>
          <cell r="C1596">
            <v>97601</v>
          </cell>
          <cell r="H1596"/>
          <cell r="K1596"/>
          <cell r="P1596"/>
        </row>
        <row r="1597">
          <cell r="A1597"/>
          <cell r="B1597" t="str">
            <v>RANLO</v>
          </cell>
          <cell r="C1597">
            <v>93681</v>
          </cell>
          <cell r="H1597"/>
          <cell r="K1597"/>
          <cell r="P1597"/>
        </row>
        <row r="1598">
          <cell r="A1598"/>
          <cell r="B1598" t="str">
            <v>RED SPRINGS</v>
          </cell>
          <cell r="C1598">
            <v>97871</v>
          </cell>
          <cell r="H1598"/>
          <cell r="K1598"/>
          <cell r="P1598"/>
        </row>
        <row r="1599">
          <cell r="A1599"/>
          <cell r="B1599" t="str">
            <v>RED SPRINGS ABC BOARD</v>
          </cell>
          <cell r="C1599">
            <v>97877</v>
          </cell>
          <cell r="H1599"/>
          <cell r="K1599"/>
          <cell r="P1599"/>
        </row>
        <row r="1600">
          <cell r="A1600"/>
          <cell r="B1600" t="str">
            <v>REGION D COUNCIL OF GOVERNMENTS</v>
          </cell>
          <cell r="C1600">
            <v>99502</v>
          </cell>
          <cell r="H1600"/>
          <cell r="K1600"/>
          <cell r="P1600"/>
        </row>
        <row r="1601">
          <cell r="A1601"/>
          <cell r="B1601" t="str">
            <v>REIDSVILLE</v>
          </cell>
          <cell r="C1601">
            <v>97911</v>
          </cell>
          <cell r="H1601"/>
          <cell r="K1601"/>
          <cell r="P1601"/>
        </row>
        <row r="1602">
          <cell r="A1602"/>
          <cell r="B1602" t="str">
            <v>REIDSVILLE ABC BOARD</v>
          </cell>
          <cell r="C1602">
            <v>97917</v>
          </cell>
          <cell r="H1602"/>
          <cell r="K1602"/>
          <cell r="P1602"/>
        </row>
        <row r="1603">
          <cell r="A1603"/>
          <cell r="B1603" t="str">
            <v>RICH SQUARE</v>
          </cell>
          <cell r="C1603">
            <v>96611</v>
          </cell>
          <cell r="H1603"/>
          <cell r="K1603"/>
          <cell r="P1603"/>
        </row>
        <row r="1604">
          <cell r="A1604"/>
          <cell r="B1604" t="str">
            <v>RICHLANDS</v>
          </cell>
          <cell r="C1604">
            <v>96741</v>
          </cell>
          <cell r="H1604"/>
          <cell r="K1604"/>
          <cell r="P1604"/>
        </row>
        <row r="1605">
          <cell r="A1605"/>
          <cell r="B1605" t="str">
            <v>RICHMOND COUNTY</v>
          </cell>
          <cell r="C1605">
            <v>97701</v>
          </cell>
          <cell r="H1605"/>
          <cell r="K1605"/>
          <cell r="P1605"/>
        </row>
        <row r="1606">
          <cell r="A1606"/>
          <cell r="B1606" t="str">
            <v>RIVER BEND</v>
          </cell>
          <cell r="C1606">
            <v>92541</v>
          </cell>
          <cell r="H1606"/>
          <cell r="K1606"/>
          <cell r="P1606"/>
        </row>
        <row r="1607">
          <cell r="A1607"/>
          <cell r="B1607" t="str">
            <v>ROANOKE RAPIDS</v>
          </cell>
          <cell r="C1607">
            <v>94221</v>
          </cell>
          <cell r="H1607"/>
          <cell r="K1607"/>
          <cell r="P1607"/>
        </row>
        <row r="1608">
          <cell r="A1608"/>
          <cell r="B1608" t="str">
            <v>ROANOKE RAPIDS SANITARY DISTRICT</v>
          </cell>
          <cell r="C1608">
            <v>94209</v>
          </cell>
          <cell r="H1608"/>
          <cell r="K1608"/>
          <cell r="P1608"/>
        </row>
        <row r="1609">
          <cell r="A1609"/>
          <cell r="B1609" t="str">
            <v>ROBBINS</v>
          </cell>
          <cell r="C1609">
            <v>96341</v>
          </cell>
          <cell r="H1609"/>
          <cell r="K1609"/>
          <cell r="P1609"/>
        </row>
        <row r="1610">
          <cell r="A1610"/>
          <cell r="B1610" t="str">
            <v>ROBBINSVILLE</v>
          </cell>
          <cell r="C1610">
            <v>93821</v>
          </cell>
          <cell r="H1610"/>
          <cell r="K1610"/>
          <cell r="P1610"/>
        </row>
        <row r="1611">
          <cell r="A1611"/>
          <cell r="B1611" t="str">
            <v>ROBERSONVILLE</v>
          </cell>
          <cell r="C1611">
            <v>95851</v>
          </cell>
          <cell r="H1611"/>
          <cell r="K1611"/>
          <cell r="P1611"/>
        </row>
        <row r="1612">
          <cell r="A1612"/>
          <cell r="B1612" t="str">
            <v>ROBERSONVILLE HOUSING AUTHORITY</v>
          </cell>
          <cell r="C1612">
            <v>95853</v>
          </cell>
          <cell r="H1612"/>
          <cell r="K1612"/>
          <cell r="P1612"/>
        </row>
        <row r="1613">
          <cell r="A1613"/>
          <cell r="B1613" t="str">
            <v>ROBESON COUNTY</v>
          </cell>
          <cell r="C1613">
            <v>97801</v>
          </cell>
          <cell r="H1613"/>
          <cell r="K1613"/>
          <cell r="P1613"/>
        </row>
        <row r="1614">
          <cell r="A1614"/>
          <cell r="B1614" t="str">
            <v>ROBESON COUNTY HOUSING AUTHORITY</v>
          </cell>
          <cell r="C1614">
            <v>97803</v>
          </cell>
          <cell r="H1614"/>
          <cell r="K1614"/>
          <cell r="P1614"/>
        </row>
        <row r="1615">
          <cell r="A1615"/>
          <cell r="B1615" t="str">
            <v>ROBESON COUNTY PUBLIC LIBRARY</v>
          </cell>
          <cell r="C1615">
            <v>97805</v>
          </cell>
          <cell r="H1615"/>
          <cell r="K1615"/>
          <cell r="P1615"/>
        </row>
        <row r="1616">
          <cell r="A1616"/>
          <cell r="B1616" t="str">
            <v>ROCKINGHAM</v>
          </cell>
          <cell r="C1616">
            <v>97711</v>
          </cell>
          <cell r="H1616"/>
          <cell r="K1616"/>
          <cell r="P1616"/>
        </row>
        <row r="1617">
          <cell r="A1617"/>
          <cell r="B1617" t="str">
            <v>ROCKINGHAM ABC BOARD</v>
          </cell>
          <cell r="C1617">
            <v>97727</v>
          </cell>
          <cell r="H1617"/>
          <cell r="K1617"/>
          <cell r="P1617"/>
        </row>
        <row r="1618">
          <cell r="A1618"/>
          <cell r="B1618" t="str">
            <v>ROCKINGHAM COUNTY</v>
          </cell>
          <cell r="C1618">
            <v>97901</v>
          </cell>
          <cell r="H1618"/>
          <cell r="K1618"/>
          <cell r="P1618"/>
        </row>
        <row r="1619">
          <cell r="A1619"/>
          <cell r="B1619" t="str">
            <v>ROCKINGHAM HOUSING AUTHORITY</v>
          </cell>
          <cell r="C1619">
            <v>97713</v>
          </cell>
          <cell r="H1619"/>
          <cell r="K1619"/>
          <cell r="P1619"/>
        </row>
        <row r="1620">
          <cell r="A1620"/>
          <cell r="B1620" t="str">
            <v>ROCKWELL</v>
          </cell>
          <cell r="C1620">
            <v>98071</v>
          </cell>
          <cell r="H1620"/>
          <cell r="K1620"/>
          <cell r="P1620"/>
        </row>
        <row r="1621">
          <cell r="A1621"/>
          <cell r="B1621" t="str">
            <v>ROCKY MOUNT</v>
          </cell>
          <cell r="C1621">
            <v>93321</v>
          </cell>
          <cell r="H1621"/>
          <cell r="K1621"/>
          <cell r="P1621"/>
        </row>
        <row r="1622">
          <cell r="A1622"/>
          <cell r="B1622" t="str">
            <v>ROCKY MOUNT-WILSON AIRPORT AUTHORITY</v>
          </cell>
          <cell r="C1622">
            <v>93323</v>
          </cell>
          <cell r="H1622"/>
          <cell r="K1622"/>
          <cell r="P1622"/>
        </row>
        <row r="1623">
          <cell r="A1623"/>
          <cell r="B1623" t="str">
            <v>ROCKY MT HOUSING AUTHORITY</v>
          </cell>
          <cell r="C1623">
            <v>93333</v>
          </cell>
          <cell r="H1623"/>
          <cell r="K1623"/>
          <cell r="P1623"/>
        </row>
        <row r="1624">
          <cell r="A1624"/>
          <cell r="B1624" t="str">
            <v>ROLESVILLE</v>
          </cell>
          <cell r="C1624">
            <v>99203</v>
          </cell>
          <cell r="H1624"/>
          <cell r="K1624"/>
          <cell r="P1624"/>
        </row>
        <row r="1625">
          <cell r="A1625"/>
          <cell r="B1625" t="str">
            <v>ROPER</v>
          </cell>
          <cell r="C1625">
            <v>99421</v>
          </cell>
          <cell r="H1625"/>
          <cell r="K1625"/>
          <cell r="P1625"/>
        </row>
        <row r="1626">
          <cell r="A1626"/>
          <cell r="B1626" t="str">
            <v>ROSE HILL</v>
          </cell>
          <cell r="C1626">
            <v>93161</v>
          </cell>
          <cell r="H1626"/>
          <cell r="K1626"/>
          <cell r="P1626"/>
        </row>
        <row r="1627">
          <cell r="A1627"/>
          <cell r="B1627" t="str">
            <v>ROSEBORO</v>
          </cell>
          <cell r="C1627">
            <v>98261</v>
          </cell>
          <cell r="H1627"/>
          <cell r="K1627"/>
          <cell r="P1627"/>
        </row>
        <row r="1628">
          <cell r="A1628"/>
          <cell r="B1628" t="str">
            <v>ROSEBORO ABC BOARD</v>
          </cell>
          <cell r="C1628">
            <v>98237</v>
          </cell>
          <cell r="H1628"/>
          <cell r="K1628"/>
          <cell r="P1628"/>
        </row>
        <row r="1629">
          <cell r="A1629"/>
          <cell r="B1629" t="str">
            <v>ROWAN CO HOUSING AUTHORITY</v>
          </cell>
          <cell r="C1629">
            <v>98003</v>
          </cell>
          <cell r="H1629"/>
          <cell r="K1629"/>
          <cell r="P1629"/>
        </row>
        <row r="1630">
          <cell r="A1630"/>
          <cell r="B1630" t="str">
            <v>ROWAN CO SOIL &amp; WATER CONV DISTRICT</v>
          </cell>
          <cell r="C1630">
            <v>98008</v>
          </cell>
          <cell r="H1630"/>
          <cell r="K1630"/>
          <cell r="P1630"/>
        </row>
        <row r="1631">
          <cell r="A1631"/>
          <cell r="B1631" t="str">
            <v>ROWAN CONVENTION &amp; VISTORS BUREAU</v>
          </cell>
          <cell r="C1631">
            <v>98002</v>
          </cell>
          <cell r="H1631"/>
          <cell r="K1631"/>
          <cell r="P1631"/>
        </row>
        <row r="1632">
          <cell r="A1632"/>
          <cell r="B1632" t="str">
            <v>ROWAN COUNTY</v>
          </cell>
          <cell r="C1632">
            <v>98001</v>
          </cell>
          <cell r="H1632"/>
          <cell r="K1632"/>
          <cell r="P1632"/>
        </row>
        <row r="1633">
          <cell r="A1633"/>
          <cell r="B1633" t="str">
            <v>ROWAN COUNTY ABC BOARD</v>
          </cell>
          <cell r="C1633">
            <v>98004</v>
          </cell>
          <cell r="H1633"/>
          <cell r="K1633"/>
          <cell r="P1633"/>
        </row>
        <row r="1634">
          <cell r="A1634"/>
          <cell r="B1634" t="str">
            <v>ROWLAND</v>
          </cell>
          <cell r="C1634">
            <v>97861</v>
          </cell>
          <cell r="H1634"/>
          <cell r="K1634"/>
          <cell r="P1634"/>
        </row>
        <row r="1635">
          <cell r="A1635"/>
          <cell r="B1635" t="str">
            <v>ROXBORO</v>
          </cell>
          <cell r="C1635">
            <v>97311</v>
          </cell>
          <cell r="H1635"/>
          <cell r="K1635"/>
          <cell r="P1635"/>
        </row>
        <row r="1636">
          <cell r="A1636"/>
          <cell r="B1636" t="str">
            <v>RURAL HALL</v>
          </cell>
          <cell r="C1636">
            <v>93431</v>
          </cell>
          <cell r="H1636"/>
          <cell r="K1636"/>
          <cell r="P1636"/>
        </row>
        <row r="1637">
          <cell r="A1637"/>
          <cell r="B1637" t="str">
            <v>RUTHERFORD COLLEGE</v>
          </cell>
          <cell r="C1637">
            <v>91214</v>
          </cell>
          <cell r="H1637"/>
          <cell r="K1637"/>
          <cell r="P1637"/>
        </row>
        <row r="1638">
          <cell r="A1638"/>
          <cell r="B1638" t="str">
            <v>RUTHERFORD COUNTY</v>
          </cell>
          <cell r="C1638">
            <v>98101</v>
          </cell>
          <cell r="H1638"/>
          <cell r="K1638"/>
          <cell r="P1638"/>
        </row>
        <row r="1639">
          <cell r="A1639"/>
          <cell r="B1639" t="str">
            <v>RUTHERFORD POLK MCDOWELL DIST BOARD OF HEALTH</v>
          </cell>
          <cell r="C1639">
            <v>98103</v>
          </cell>
          <cell r="H1639"/>
          <cell r="K1639"/>
          <cell r="P1639"/>
        </row>
        <row r="1640">
          <cell r="A1640"/>
          <cell r="B1640" t="str">
            <v>RUTHERFORDTON</v>
          </cell>
          <cell r="C1640">
            <v>98141</v>
          </cell>
          <cell r="H1640"/>
          <cell r="K1640"/>
          <cell r="P1640"/>
        </row>
        <row r="1641">
          <cell r="A1641"/>
          <cell r="B1641" t="str">
            <v>RUTHERFORDTON ABC BOARD</v>
          </cell>
          <cell r="C1641">
            <v>98147</v>
          </cell>
          <cell r="H1641"/>
          <cell r="K1641"/>
          <cell r="P1641"/>
        </row>
        <row r="1642">
          <cell r="A1642"/>
          <cell r="B1642" t="str">
            <v>SAINT JAMES</v>
          </cell>
          <cell r="C1642">
            <v>91032</v>
          </cell>
          <cell r="H1642"/>
          <cell r="K1642"/>
          <cell r="P1642"/>
        </row>
        <row r="1643">
          <cell r="A1643"/>
          <cell r="B1643" t="str">
            <v>SAINT PAULS</v>
          </cell>
          <cell r="C1643">
            <v>97831</v>
          </cell>
          <cell r="H1643"/>
          <cell r="K1643"/>
          <cell r="P1643"/>
        </row>
        <row r="1644">
          <cell r="A1644"/>
          <cell r="B1644" t="str">
            <v>SAINT PAUL'S BOARD OF ALCOHOLIC CONTROL</v>
          </cell>
          <cell r="C1644">
            <v>97837</v>
          </cell>
          <cell r="H1644"/>
          <cell r="K1644"/>
          <cell r="P1644"/>
        </row>
        <row r="1645">
          <cell r="A1645"/>
          <cell r="B1645" t="str">
            <v>SALEMBURG</v>
          </cell>
          <cell r="C1645">
            <v>98221</v>
          </cell>
          <cell r="H1645"/>
          <cell r="K1645"/>
          <cell r="P1645"/>
        </row>
        <row r="1646">
          <cell r="A1646"/>
          <cell r="B1646" t="str">
            <v>SALISBURY</v>
          </cell>
          <cell r="C1646">
            <v>98011</v>
          </cell>
          <cell r="H1646"/>
          <cell r="K1646"/>
          <cell r="P1646"/>
        </row>
        <row r="1647">
          <cell r="A1647"/>
          <cell r="B1647" t="str">
            <v xml:space="preserve">SALISBURY HOUSING AUTHORITY </v>
          </cell>
          <cell r="C1647">
            <v>98013</v>
          </cell>
          <cell r="H1647"/>
          <cell r="K1647"/>
          <cell r="P1647"/>
        </row>
        <row r="1648">
          <cell r="A1648"/>
          <cell r="B1648" t="str">
            <v>SALUDA</v>
          </cell>
          <cell r="C1648">
            <v>97531</v>
          </cell>
          <cell r="H1648"/>
          <cell r="K1648"/>
          <cell r="P1648"/>
        </row>
        <row r="1649">
          <cell r="A1649"/>
          <cell r="B1649" t="str">
            <v>SAMPSON COUNTY</v>
          </cell>
          <cell r="C1649">
            <v>98201</v>
          </cell>
          <cell r="H1649"/>
          <cell r="K1649"/>
          <cell r="P1649"/>
        </row>
        <row r="1650">
          <cell r="A1650"/>
          <cell r="B1650" t="str">
            <v>SANDHILL REGIONAL LIBRARY</v>
          </cell>
          <cell r="C1650">
            <v>97705</v>
          </cell>
          <cell r="H1650"/>
          <cell r="K1650"/>
          <cell r="P1650"/>
        </row>
        <row r="1651">
          <cell r="A1651"/>
          <cell r="B1651" t="str">
            <v>SANDHILLS CENTER</v>
          </cell>
          <cell r="C1651">
            <v>96318</v>
          </cell>
          <cell r="H1651"/>
          <cell r="K1651"/>
          <cell r="P1651"/>
        </row>
        <row r="1652">
          <cell r="A1652"/>
          <cell r="B1652" t="str">
            <v>SANFORD</v>
          </cell>
          <cell r="C1652">
            <v>95311</v>
          </cell>
          <cell r="H1652"/>
          <cell r="K1652"/>
          <cell r="P1652"/>
        </row>
        <row r="1653">
          <cell r="A1653"/>
          <cell r="B1653" t="str">
            <v>SANFORD ABC BOARD</v>
          </cell>
          <cell r="C1653">
            <v>95317</v>
          </cell>
          <cell r="H1653"/>
          <cell r="K1653"/>
          <cell r="P1653"/>
        </row>
        <row r="1654">
          <cell r="A1654"/>
          <cell r="B1654" t="str">
            <v>SAWMILLS</v>
          </cell>
          <cell r="C1654">
            <v>91421</v>
          </cell>
          <cell r="H1654"/>
          <cell r="K1654"/>
          <cell r="P1654"/>
        </row>
        <row r="1655">
          <cell r="A1655"/>
          <cell r="B1655" t="str">
            <v>SCOTLAND COUNTY</v>
          </cell>
          <cell r="C1655">
            <v>98301</v>
          </cell>
          <cell r="H1655"/>
          <cell r="K1655"/>
          <cell r="P1655"/>
        </row>
        <row r="1656">
          <cell r="A1656"/>
          <cell r="B1656" t="str">
            <v>SCOTLAND COUNTY ABC BOARD</v>
          </cell>
          <cell r="C1656">
            <v>98304</v>
          </cell>
          <cell r="H1656"/>
          <cell r="K1656"/>
          <cell r="P1656"/>
        </row>
        <row r="1657">
          <cell r="A1657"/>
          <cell r="B1657" t="str">
            <v>SCOTLAND NECK</v>
          </cell>
          <cell r="C1657">
            <v>94241</v>
          </cell>
          <cell r="H1657"/>
          <cell r="K1657"/>
          <cell r="P1657"/>
        </row>
        <row r="1658">
          <cell r="A1658"/>
          <cell r="B1658" t="str">
            <v>SEABOARD</v>
          </cell>
          <cell r="C1658">
            <v>96681</v>
          </cell>
          <cell r="H1658"/>
          <cell r="K1658"/>
          <cell r="P1658"/>
        </row>
        <row r="1659">
          <cell r="A1659"/>
          <cell r="B1659" t="str">
            <v>SEAGROVE</v>
          </cell>
          <cell r="C1659">
            <v>72593</v>
          </cell>
          <cell r="H1659"/>
          <cell r="K1659"/>
          <cell r="P1659"/>
        </row>
        <row r="1660">
          <cell r="A1660"/>
          <cell r="B1660" t="str">
            <v>SELMA</v>
          </cell>
          <cell r="C1660">
            <v>95121</v>
          </cell>
          <cell r="H1660"/>
          <cell r="K1660"/>
          <cell r="P1660"/>
        </row>
        <row r="1661">
          <cell r="A1661"/>
          <cell r="B1661" t="str">
            <v>SELMA HOUSING AUTHORITY</v>
          </cell>
          <cell r="C1661">
            <v>95123</v>
          </cell>
          <cell r="H1661"/>
          <cell r="K1661"/>
          <cell r="P1661"/>
        </row>
        <row r="1662">
          <cell r="A1662"/>
          <cell r="B1662" t="str">
            <v>SEVEN DEVILS</v>
          </cell>
          <cell r="C1662">
            <v>99531</v>
          </cell>
          <cell r="H1662"/>
          <cell r="K1662"/>
          <cell r="P1662"/>
        </row>
        <row r="1663">
          <cell r="A1663"/>
          <cell r="B1663" t="str">
            <v>SEVERN</v>
          </cell>
          <cell r="C1663">
            <v>96671</v>
          </cell>
          <cell r="H1663"/>
          <cell r="K1663"/>
          <cell r="P1663"/>
        </row>
        <row r="1664">
          <cell r="A1664"/>
          <cell r="B1664" t="str">
            <v>SHALLOTTE</v>
          </cell>
          <cell r="C1664">
            <v>91081</v>
          </cell>
          <cell r="H1664"/>
          <cell r="K1664"/>
          <cell r="P1664"/>
        </row>
        <row r="1665">
          <cell r="A1665"/>
          <cell r="B1665" t="str">
            <v>SHALLOTTE ABC BOARD</v>
          </cell>
          <cell r="C1665">
            <v>91057</v>
          </cell>
          <cell r="H1665"/>
          <cell r="K1665"/>
          <cell r="P1665"/>
        </row>
        <row r="1666">
          <cell r="A1666"/>
          <cell r="B1666" t="str">
            <v>SHARPSBURG</v>
          </cell>
          <cell r="C1666">
            <v>96461</v>
          </cell>
          <cell r="H1666"/>
          <cell r="K1666"/>
          <cell r="P1666"/>
        </row>
        <row r="1667">
          <cell r="A1667"/>
          <cell r="B1667" t="str">
            <v>SHELBY</v>
          </cell>
          <cell r="C1667">
            <v>92311</v>
          </cell>
          <cell r="H1667"/>
          <cell r="K1667"/>
          <cell r="P1667"/>
        </row>
        <row r="1668">
          <cell r="A1668"/>
          <cell r="B1668" t="str">
            <v>SHELBY ABC BOARD</v>
          </cell>
          <cell r="C1668">
            <v>92317</v>
          </cell>
          <cell r="H1668"/>
          <cell r="K1668"/>
          <cell r="P1668"/>
        </row>
        <row r="1669">
          <cell r="A1669"/>
          <cell r="B1669" t="str">
            <v>SHEPPARD MEMORIAL LIBRARY</v>
          </cell>
          <cell r="C1669">
            <v>97405</v>
          </cell>
          <cell r="H1669"/>
          <cell r="K1669"/>
          <cell r="P1669"/>
        </row>
        <row r="1670">
          <cell r="A1670"/>
          <cell r="B1670" t="str">
            <v>SILER CITY</v>
          </cell>
          <cell r="C1670">
            <v>91911</v>
          </cell>
          <cell r="H1670"/>
          <cell r="K1670"/>
          <cell r="P1670"/>
        </row>
        <row r="1671">
          <cell r="A1671"/>
          <cell r="B1671" t="str">
            <v>SILER CITY ABC BOARD</v>
          </cell>
          <cell r="C1671">
            <v>91917</v>
          </cell>
          <cell r="H1671"/>
          <cell r="K1671"/>
          <cell r="P1671"/>
        </row>
        <row r="1672">
          <cell r="A1672"/>
          <cell r="B1672" t="str">
            <v>SIMPSON</v>
          </cell>
          <cell r="C1672">
            <v>97481</v>
          </cell>
          <cell r="H1672"/>
          <cell r="K1672"/>
          <cell r="P1672"/>
        </row>
        <row r="1673">
          <cell r="A1673"/>
          <cell r="B1673" t="str">
            <v>SKYLAND VOL FIRE DEPT</v>
          </cell>
          <cell r="C1673">
            <v>91138</v>
          </cell>
          <cell r="H1673"/>
          <cell r="K1673"/>
          <cell r="P1673"/>
        </row>
        <row r="1674">
          <cell r="A1674"/>
          <cell r="B1674" t="str">
            <v>SMITHFIELD</v>
          </cell>
          <cell r="C1674">
            <v>95111</v>
          </cell>
          <cell r="H1674"/>
          <cell r="K1674"/>
          <cell r="P1674"/>
        </row>
        <row r="1675">
          <cell r="A1675"/>
          <cell r="B1675" t="str">
            <v>SMITHFIELD HOUSING AUTHORITY</v>
          </cell>
          <cell r="C1675">
            <v>95113</v>
          </cell>
          <cell r="H1675"/>
          <cell r="K1675"/>
          <cell r="P1675"/>
        </row>
        <row r="1676">
          <cell r="A1676"/>
          <cell r="B1676" t="str">
            <v>SNOW HILL</v>
          </cell>
          <cell r="C1676">
            <v>94021</v>
          </cell>
          <cell r="H1676"/>
          <cell r="K1676"/>
          <cell r="P1676"/>
        </row>
        <row r="1677">
          <cell r="A1677"/>
          <cell r="B1677" t="str">
            <v>SOUTH EASTERN ECONOMIC DEVELOPMENT COMM</v>
          </cell>
          <cell r="C1677">
            <v>90918</v>
          </cell>
          <cell r="H1677"/>
          <cell r="K1677"/>
          <cell r="P1677"/>
        </row>
        <row r="1678">
          <cell r="A1678"/>
          <cell r="B1678" t="str">
            <v>SOUTH GRANVILLE WATER AND SEWER AUTHORITY</v>
          </cell>
          <cell r="C1678">
            <v>93910</v>
          </cell>
          <cell r="H1678"/>
          <cell r="K1678"/>
          <cell r="P1678"/>
        </row>
        <row r="1679">
          <cell r="A1679"/>
          <cell r="B1679" t="str">
            <v>SOUTHEAST BRUNSWICK SANITARY DISTRICT</v>
          </cell>
          <cell r="C1679">
            <v>91013</v>
          </cell>
          <cell r="H1679"/>
          <cell r="K1679"/>
          <cell r="P1679"/>
        </row>
        <row r="1680">
          <cell r="A1680"/>
          <cell r="B1680" t="str">
            <v>SOUTHERN PINES</v>
          </cell>
          <cell r="C1680">
            <v>96311</v>
          </cell>
          <cell r="H1680"/>
          <cell r="K1680"/>
          <cell r="P1680"/>
        </row>
        <row r="1681">
          <cell r="A1681"/>
          <cell r="B1681" t="str">
            <v>SOUTHERN SHORES</v>
          </cell>
          <cell r="C1681">
            <v>92841</v>
          </cell>
          <cell r="H1681"/>
          <cell r="K1681"/>
          <cell r="P1681"/>
        </row>
        <row r="1682">
          <cell r="A1682"/>
          <cell r="B1682" t="str">
            <v>SOUTHERN WAYNE SANITARY DISTRICT</v>
          </cell>
          <cell r="C1682">
            <v>99609</v>
          </cell>
          <cell r="H1682"/>
          <cell r="K1682"/>
          <cell r="P1682"/>
        </row>
        <row r="1683">
          <cell r="A1683"/>
          <cell r="B1683" t="str">
            <v>SOUTHPORT</v>
          </cell>
          <cell r="C1683">
            <v>91011</v>
          </cell>
          <cell r="H1683"/>
          <cell r="K1683"/>
          <cell r="P1683"/>
        </row>
        <row r="1684">
          <cell r="A1684"/>
          <cell r="B1684" t="str">
            <v>SOUTHPORT ABC BOARD</v>
          </cell>
          <cell r="C1684">
            <v>91017</v>
          </cell>
          <cell r="H1684"/>
          <cell r="K1684"/>
          <cell r="P1684"/>
        </row>
        <row r="1685">
          <cell r="A1685"/>
          <cell r="B1685" t="str">
            <v>SOUTHWESTERN NC PLANNING &amp; ECON.DEV.COMMIS.</v>
          </cell>
          <cell r="C1685">
            <v>95008</v>
          </cell>
          <cell r="H1685"/>
          <cell r="K1685"/>
          <cell r="P1685"/>
        </row>
        <row r="1686">
          <cell r="A1686"/>
          <cell r="B1686" t="str">
            <v>SPARTA</v>
          </cell>
          <cell r="C1686">
            <v>72657</v>
          </cell>
          <cell r="H1686"/>
          <cell r="K1686"/>
          <cell r="P1686"/>
        </row>
        <row r="1687">
          <cell r="A1687"/>
          <cell r="B1687" t="str">
            <v>SPARTA ABC BOARD</v>
          </cell>
          <cell r="C1687">
            <v>90307</v>
          </cell>
          <cell r="H1687"/>
          <cell r="K1687"/>
          <cell r="P1687"/>
        </row>
        <row r="1688">
          <cell r="A1688"/>
          <cell r="B1688" t="str">
            <v>SPENCER</v>
          </cell>
          <cell r="C1688">
            <v>98031</v>
          </cell>
          <cell r="H1688"/>
          <cell r="K1688"/>
          <cell r="P1688"/>
        </row>
        <row r="1689">
          <cell r="A1689"/>
          <cell r="B1689" t="str">
            <v>SPINDALE</v>
          </cell>
          <cell r="C1689">
            <v>98121</v>
          </cell>
          <cell r="H1689"/>
          <cell r="K1689"/>
          <cell r="P1689"/>
        </row>
        <row r="1690">
          <cell r="A1690"/>
          <cell r="B1690" t="str">
            <v>SPRING HOPE</v>
          </cell>
          <cell r="C1690">
            <v>96411</v>
          </cell>
          <cell r="H1690"/>
          <cell r="K1690"/>
          <cell r="P1690"/>
        </row>
        <row r="1691">
          <cell r="A1691"/>
          <cell r="B1691" t="str">
            <v>SPRING LAKE</v>
          </cell>
          <cell r="C1691">
            <v>92661</v>
          </cell>
          <cell r="H1691"/>
          <cell r="K1691"/>
          <cell r="P1691"/>
        </row>
        <row r="1692">
          <cell r="A1692"/>
          <cell r="B1692" t="str">
            <v>SPRUCE PINE</v>
          </cell>
          <cell r="C1692">
            <v>96111</v>
          </cell>
          <cell r="H1692"/>
          <cell r="K1692"/>
          <cell r="P1692"/>
        </row>
        <row r="1693">
          <cell r="A1693"/>
          <cell r="B1693" t="str">
            <v>STALLINGS</v>
          </cell>
          <cell r="C1693">
            <v>96061</v>
          </cell>
          <cell r="H1693"/>
          <cell r="K1693"/>
          <cell r="P1693"/>
        </row>
        <row r="1694">
          <cell r="A1694"/>
          <cell r="B1694" t="str">
            <v>STANFIELD</v>
          </cell>
          <cell r="C1694">
            <v>98481</v>
          </cell>
          <cell r="H1694"/>
          <cell r="K1694"/>
          <cell r="P1694"/>
        </row>
        <row r="1695">
          <cell r="A1695"/>
          <cell r="B1695" t="str">
            <v>STANLEY</v>
          </cell>
          <cell r="C1695">
            <v>93602</v>
          </cell>
          <cell r="H1695"/>
          <cell r="K1695"/>
          <cell r="P1695"/>
        </row>
        <row r="1696">
          <cell r="A1696"/>
          <cell r="B1696" t="str">
            <v>STANLY COUNTY</v>
          </cell>
          <cell r="C1696">
            <v>98401</v>
          </cell>
          <cell r="H1696"/>
          <cell r="K1696"/>
          <cell r="P1696"/>
        </row>
        <row r="1697">
          <cell r="A1697"/>
          <cell r="B1697" t="str">
            <v>STANTONSBURG</v>
          </cell>
          <cell r="C1697">
            <v>99821</v>
          </cell>
          <cell r="H1697"/>
          <cell r="K1697"/>
          <cell r="P1697"/>
        </row>
        <row r="1698">
          <cell r="A1698"/>
          <cell r="B1698" t="str">
            <v>STAR</v>
          </cell>
          <cell r="C1698">
            <v>96211</v>
          </cell>
          <cell r="H1698"/>
          <cell r="K1698"/>
          <cell r="P1698"/>
        </row>
        <row r="1699">
          <cell r="A1699"/>
          <cell r="B1699" t="str">
            <v>STATESVILLE</v>
          </cell>
          <cell r="C1699">
            <v>94911</v>
          </cell>
          <cell r="H1699"/>
          <cell r="K1699"/>
          <cell r="P1699"/>
        </row>
        <row r="1700">
          <cell r="A1700"/>
          <cell r="B1700" t="str">
            <v>STATESVILLE ABC BOARD</v>
          </cell>
          <cell r="C1700">
            <v>94917</v>
          </cell>
          <cell r="H1700"/>
          <cell r="K1700"/>
          <cell r="P1700"/>
        </row>
        <row r="1701">
          <cell r="A1701"/>
          <cell r="B1701" t="str">
            <v>STEDMAN</v>
          </cell>
          <cell r="C1701">
            <v>92621</v>
          </cell>
          <cell r="H1701"/>
          <cell r="K1701"/>
          <cell r="P1701"/>
        </row>
        <row r="1702">
          <cell r="A1702"/>
          <cell r="B1702" t="str">
            <v>STOKES COUNTY</v>
          </cell>
          <cell r="C1702">
            <v>98501</v>
          </cell>
          <cell r="H1702"/>
          <cell r="K1702"/>
          <cell r="P1702"/>
        </row>
        <row r="1703">
          <cell r="A1703"/>
          <cell r="B1703" t="str">
            <v>STONEVILLE</v>
          </cell>
          <cell r="C1703">
            <v>97931</v>
          </cell>
          <cell r="H1703"/>
          <cell r="K1703"/>
          <cell r="P1703"/>
        </row>
        <row r="1704">
          <cell r="A1704"/>
          <cell r="B1704" t="str">
            <v>STOVALL</v>
          </cell>
          <cell r="C1704">
            <v>93914</v>
          </cell>
          <cell r="H1704"/>
          <cell r="K1704"/>
          <cell r="P1704"/>
        </row>
        <row r="1705">
          <cell r="A1705"/>
          <cell r="B1705" t="str">
            <v>SUGAR MOUNTAIN</v>
          </cell>
          <cell r="C1705">
            <v>90651</v>
          </cell>
          <cell r="H1705"/>
          <cell r="K1705"/>
          <cell r="P1705"/>
        </row>
        <row r="1706">
          <cell r="A1706"/>
          <cell r="B1706" t="str">
            <v>SUMMERFIELD</v>
          </cell>
          <cell r="C1706">
            <v>94171</v>
          </cell>
          <cell r="H1706"/>
          <cell r="K1706"/>
          <cell r="P1706"/>
        </row>
        <row r="1707">
          <cell r="A1707"/>
          <cell r="B1707" t="str">
            <v>SUMMERFIELD FIRE DISTRICT</v>
          </cell>
          <cell r="C1707">
            <v>94172</v>
          </cell>
          <cell r="H1707"/>
          <cell r="K1707"/>
          <cell r="P1707"/>
        </row>
        <row r="1708">
          <cell r="A1708"/>
          <cell r="B1708" t="str">
            <v>SUNSET BEACH</v>
          </cell>
          <cell r="C1708">
            <v>91041</v>
          </cell>
          <cell r="H1708"/>
          <cell r="K1708"/>
          <cell r="P1708"/>
        </row>
        <row r="1709">
          <cell r="A1709"/>
          <cell r="B1709" t="str">
            <v>SUNSET BEACH ABC BOARD</v>
          </cell>
          <cell r="C1709">
            <v>91047</v>
          </cell>
          <cell r="H1709"/>
          <cell r="K1709"/>
          <cell r="P1709"/>
        </row>
        <row r="1710">
          <cell r="A1710"/>
          <cell r="B1710" t="str">
            <v>SURF CITY</v>
          </cell>
          <cell r="C1710">
            <v>97131</v>
          </cell>
          <cell r="H1710"/>
          <cell r="K1710"/>
          <cell r="P1710"/>
        </row>
        <row r="1711">
          <cell r="A1711"/>
          <cell r="B1711" t="str">
            <v>SURRY COUNTY</v>
          </cell>
          <cell r="C1711">
            <v>98601</v>
          </cell>
          <cell r="H1711"/>
          <cell r="K1711"/>
          <cell r="P1711"/>
        </row>
        <row r="1712">
          <cell r="A1712"/>
          <cell r="B1712" t="str">
            <v>SWAIN COUNTY</v>
          </cell>
          <cell r="C1712">
            <v>98701</v>
          </cell>
          <cell r="H1712"/>
          <cell r="K1712"/>
          <cell r="P1712"/>
        </row>
        <row r="1713">
          <cell r="A1713"/>
          <cell r="B1713" t="str">
            <v>SWANSBORO</v>
          </cell>
          <cell r="C1713">
            <v>96721</v>
          </cell>
          <cell r="H1713"/>
          <cell r="K1713"/>
          <cell r="P1713"/>
        </row>
        <row r="1714">
          <cell r="A1714"/>
          <cell r="B1714" t="str">
            <v>SYLVA</v>
          </cell>
          <cell r="C1714">
            <v>95011</v>
          </cell>
          <cell r="H1714"/>
          <cell r="K1714"/>
          <cell r="P1714"/>
        </row>
        <row r="1715">
          <cell r="A1715"/>
          <cell r="B1715" t="str">
            <v>TABOR CITY</v>
          </cell>
          <cell r="C1715">
            <v>92451</v>
          </cell>
          <cell r="H1715"/>
          <cell r="K1715"/>
          <cell r="P1715"/>
        </row>
        <row r="1716">
          <cell r="A1716"/>
          <cell r="B1716" t="str">
            <v>TARBORO</v>
          </cell>
          <cell r="C1716">
            <v>93311</v>
          </cell>
          <cell r="H1716"/>
          <cell r="K1716"/>
          <cell r="P1716"/>
        </row>
        <row r="1717">
          <cell r="A1717"/>
          <cell r="B1717" t="str">
            <v>TARBORO REDEVELOPMENT COMMISSION</v>
          </cell>
          <cell r="C1717">
            <v>93317</v>
          </cell>
          <cell r="H1717"/>
          <cell r="K1717"/>
          <cell r="P1717"/>
        </row>
        <row r="1718">
          <cell r="A1718"/>
          <cell r="B1718" t="str">
            <v>TAYLORSVILLE</v>
          </cell>
          <cell r="C1718">
            <v>90211</v>
          </cell>
          <cell r="H1718"/>
          <cell r="K1718"/>
          <cell r="P1718"/>
        </row>
        <row r="1719">
          <cell r="A1719"/>
          <cell r="B1719" t="str">
            <v>TAYLORTOWN</v>
          </cell>
          <cell r="C1719">
            <v>96302</v>
          </cell>
          <cell r="H1719"/>
          <cell r="K1719"/>
          <cell r="P1719"/>
        </row>
        <row r="1720">
          <cell r="A1720"/>
          <cell r="B1720" t="str">
            <v>TEACHEY</v>
          </cell>
          <cell r="C1720">
            <v>93181</v>
          </cell>
          <cell r="H1720"/>
          <cell r="K1720"/>
          <cell r="P1720"/>
        </row>
        <row r="1721">
          <cell r="A1721"/>
          <cell r="B1721" t="str">
            <v>THOMASVILLE</v>
          </cell>
          <cell r="C1721">
            <v>92911</v>
          </cell>
          <cell r="H1721"/>
          <cell r="K1721"/>
          <cell r="P1721"/>
        </row>
        <row r="1722">
          <cell r="A1722"/>
          <cell r="B1722" t="str">
            <v>THOMASVILLE ABC BOARD</v>
          </cell>
          <cell r="C1722">
            <v>92914</v>
          </cell>
          <cell r="H1722"/>
          <cell r="K1722"/>
          <cell r="P1722"/>
        </row>
        <row r="1723">
          <cell r="A1723"/>
          <cell r="B1723" t="str">
            <v>THOMASVILLE HOUSING AUTHORITY</v>
          </cell>
          <cell r="C1723">
            <v>92913</v>
          </cell>
          <cell r="H1723"/>
          <cell r="K1723"/>
          <cell r="P1723"/>
        </row>
        <row r="1724">
          <cell r="A1724"/>
          <cell r="B1724" t="str">
            <v>TOBACCOVILLE</v>
          </cell>
          <cell r="C1724">
            <v>93471</v>
          </cell>
          <cell r="H1724"/>
          <cell r="K1724"/>
          <cell r="P1724"/>
        </row>
        <row r="1725">
          <cell r="A1725"/>
          <cell r="B1725" t="str">
            <v>TOE RIVER HEALTH DISTRICT</v>
          </cell>
          <cell r="C1725">
            <v>90098</v>
          </cell>
          <cell r="H1725"/>
          <cell r="K1725"/>
          <cell r="P1725"/>
        </row>
        <row r="1726">
          <cell r="A1726"/>
          <cell r="B1726" t="str">
            <v>TOPSAIL BEACH</v>
          </cell>
          <cell r="C1726">
            <v>97121</v>
          </cell>
          <cell r="H1726"/>
          <cell r="K1726"/>
          <cell r="P1726"/>
        </row>
        <row r="1727">
          <cell r="A1727"/>
          <cell r="B1727" t="str">
            <v>TRANSYLVANIA COUNTY</v>
          </cell>
          <cell r="C1727">
            <v>98801</v>
          </cell>
          <cell r="H1727"/>
          <cell r="K1727"/>
          <cell r="P1727"/>
        </row>
        <row r="1728">
          <cell r="A1728"/>
          <cell r="B1728" t="str">
            <v>TRENT WOODS</v>
          </cell>
          <cell r="C1728">
            <v>92521</v>
          </cell>
          <cell r="H1728"/>
          <cell r="K1728"/>
          <cell r="P1728"/>
        </row>
        <row r="1729">
          <cell r="A1729"/>
          <cell r="B1729" t="str">
            <v>TRIAD MUNICIPAL ABC BOARD</v>
          </cell>
          <cell r="C1729">
            <v>93417</v>
          </cell>
          <cell r="H1729"/>
          <cell r="K1729"/>
          <cell r="P1729"/>
        </row>
        <row r="1730">
          <cell r="A1730"/>
          <cell r="B1730" t="str">
            <v>TRIANGLE J COUNCIL OF GOVERNMENTS</v>
          </cell>
          <cell r="C1730">
            <v>93219</v>
          </cell>
          <cell r="H1730"/>
          <cell r="K1730"/>
          <cell r="P1730"/>
        </row>
        <row r="1731">
          <cell r="A1731"/>
          <cell r="B1731" t="str">
            <v>TRILLIUM HEALTH RESOURCES</v>
          </cell>
          <cell r="C1731">
            <v>92513</v>
          </cell>
          <cell r="H1731"/>
          <cell r="K1731"/>
          <cell r="P1731"/>
        </row>
        <row r="1732">
          <cell r="A1732"/>
          <cell r="B1732" t="str">
            <v>TRINITY</v>
          </cell>
          <cell r="C1732">
            <v>97661</v>
          </cell>
          <cell r="H1732"/>
          <cell r="K1732"/>
          <cell r="P1732"/>
        </row>
        <row r="1733">
          <cell r="A1733"/>
          <cell r="B1733" t="str">
            <v>TROUTMAN</v>
          </cell>
          <cell r="C1733">
            <v>94931</v>
          </cell>
          <cell r="H1733"/>
          <cell r="K1733"/>
          <cell r="P1733"/>
        </row>
        <row r="1734">
          <cell r="A1734"/>
          <cell r="B1734" t="str">
            <v>TROUTMAN ABC BOARD</v>
          </cell>
          <cell r="C1734">
            <v>94937</v>
          </cell>
          <cell r="H1734"/>
          <cell r="K1734"/>
          <cell r="P1734"/>
        </row>
        <row r="1735">
          <cell r="A1735"/>
          <cell r="B1735" t="str">
            <v>TROY</v>
          </cell>
          <cell r="C1735">
            <v>96221</v>
          </cell>
          <cell r="H1735"/>
          <cell r="K1735"/>
          <cell r="P1735"/>
        </row>
        <row r="1736">
          <cell r="A1736"/>
          <cell r="B1736" t="str">
            <v>TRYON</v>
          </cell>
          <cell r="C1736">
            <v>97511</v>
          </cell>
          <cell r="H1736"/>
          <cell r="K1736"/>
          <cell r="P1736"/>
        </row>
        <row r="1737">
          <cell r="A1737"/>
          <cell r="B1737" t="str">
            <v>TUCKASEIGEE WATER AUTHORITY</v>
          </cell>
          <cell r="C1737">
            <v>95002</v>
          </cell>
          <cell r="H1737"/>
          <cell r="K1737"/>
          <cell r="P1737"/>
        </row>
        <row r="1738">
          <cell r="A1738"/>
          <cell r="B1738" t="str">
            <v>TURKEY</v>
          </cell>
          <cell r="C1738">
            <v>98251</v>
          </cell>
          <cell r="H1738"/>
          <cell r="K1738"/>
          <cell r="P1738"/>
        </row>
        <row r="1739">
          <cell r="A1739"/>
          <cell r="B1739" t="str">
            <v>TYRRELL COUNTY</v>
          </cell>
          <cell r="C1739">
            <v>98901</v>
          </cell>
          <cell r="H1739"/>
          <cell r="K1739"/>
          <cell r="P1739"/>
        </row>
        <row r="1740">
          <cell r="A1740"/>
          <cell r="B1740" t="str">
            <v>TYRRELL COUNTY ABC BOARD</v>
          </cell>
          <cell r="C1740">
            <v>98904</v>
          </cell>
          <cell r="H1740"/>
          <cell r="K1740"/>
          <cell r="P1740"/>
        </row>
        <row r="1741">
          <cell r="A1741"/>
          <cell r="B1741" t="str">
            <v>UNION COUNTY</v>
          </cell>
          <cell r="C1741">
            <v>99001</v>
          </cell>
          <cell r="H1741"/>
          <cell r="K1741"/>
          <cell r="P1741"/>
        </row>
        <row r="1742">
          <cell r="A1742"/>
          <cell r="B1742" t="str">
            <v>UNIONVILLE</v>
          </cell>
          <cell r="C1742">
            <v>99061</v>
          </cell>
          <cell r="H1742"/>
          <cell r="K1742"/>
          <cell r="P1742"/>
        </row>
        <row r="1743">
          <cell r="A1743"/>
          <cell r="B1743" t="str">
            <v>UPPER COASTAL PLAIN COUNCIL OF GOVERNMENTS</v>
          </cell>
          <cell r="C1743">
            <v>93309</v>
          </cell>
          <cell r="H1743"/>
          <cell r="K1743"/>
          <cell r="P1743"/>
        </row>
        <row r="1744">
          <cell r="A1744"/>
          <cell r="B1744" t="str">
            <v>VALDESE</v>
          </cell>
          <cell r="C1744">
            <v>91211</v>
          </cell>
          <cell r="H1744"/>
          <cell r="K1744"/>
          <cell r="P1744"/>
        </row>
        <row r="1745">
          <cell r="A1745"/>
          <cell r="B1745" t="str">
            <v>VALDESE ABC BOARD</v>
          </cell>
          <cell r="C1745">
            <v>94947</v>
          </cell>
          <cell r="H1745"/>
          <cell r="K1745"/>
          <cell r="P1745"/>
        </row>
        <row r="1746">
          <cell r="A1746"/>
          <cell r="B1746" t="str">
            <v>VALDESE HOUSING AUTHORITY</v>
          </cell>
          <cell r="C1746">
            <v>91213</v>
          </cell>
          <cell r="H1746"/>
          <cell r="K1746"/>
          <cell r="P1746"/>
        </row>
        <row r="1747">
          <cell r="A1747"/>
          <cell r="B1747" t="str">
            <v>VANCE COUNTY</v>
          </cell>
          <cell r="C1747">
            <v>99101</v>
          </cell>
          <cell r="H1747"/>
          <cell r="K1747"/>
          <cell r="P1747"/>
        </row>
        <row r="1748">
          <cell r="A1748"/>
          <cell r="B1748" t="str">
            <v>VANCE COUNTY ABC BOARD</v>
          </cell>
          <cell r="C1748">
            <v>99104</v>
          </cell>
          <cell r="H1748"/>
          <cell r="K1748"/>
          <cell r="P1748"/>
        </row>
        <row r="1749">
          <cell r="A1749"/>
          <cell r="B1749" t="str">
            <v>VANCEBORO</v>
          </cell>
          <cell r="C1749">
            <v>92551</v>
          </cell>
          <cell r="H1749"/>
          <cell r="K1749"/>
          <cell r="P1749"/>
        </row>
        <row r="1750">
          <cell r="A1750"/>
          <cell r="B1750" t="str">
            <v>VASS</v>
          </cell>
          <cell r="C1750">
            <v>96321</v>
          </cell>
          <cell r="H1750"/>
          <cell r="K1750"/>
          <cell r="P1750"/>
        </row>
        <row r="1751">
          <cell r="A1751"/>
          <cell r="B1751" t="str">
            <v>VAYA HEALTH</v>
          </cell>
          <cell r="C1751">
            <v>95009</v>
          </cell>
          <cell r="H1751"/>
          <cell r="K1751"/>
          <cell r="P1751"/>
        </row>
        <row r="1752">
          <cell r="A1752"/>
          <cell r="B1752" t="str">
            <v>WADE</v>
          </cell>
          <cell r="C1752">
            <v>92641</v>
          </cell>
          <cell r="H1752"/>
          <cell r="K1752"/>
          <cell r="P1752"/>
        </row>
        <row r="1753">
          <cell r="A1753"/>
          <cell r="B1753" t="str">
            <v>WADESBORO</v>
          </cell>
          <cell r="C1753">
            <v>90411</v>
          </cell>
          <cell r="H1753"/>
          <cell r="K1753"/>
          <cell r="P1753"/>
        </row>
        <row r="1754">
          <cell r="A1754"/>
          <cell r="B1754" t="str">
            <v>WADESBORO ABC BOARD</v>
          </cell>
          <cell r="C1754">
            <v>90417</v>
          </cell>
          <cell r="H1754"/>
          <cell r="K1754"/>
          <cell r="P1754"/>
        </row>
        <row r="1755">
          <cell r="A1755"/>
          <cell r="B1755" t="str">
            <v>WADESBORO HOUSING AUTHORITY</v>
          </cell>
          <cell r="C1755">
            <v>90413</v>
          </cell>
          <cell r="H1755"/>
          <cell r="K1755"/>
          <cell r="P1755"/>
        </row>
        <row r="1756">
          <cell r="A1756"/>
          <cell r="B1756" t="str">
            <v>WAGRAM</v>
          </cell>
          <cell r="C1756">
            <v>98321</v>
          </cell>
          <cell r="H1756"/>
          <cell r="K1756"/>
          <cell r="P1756"/>
        </row>
        <row r="1757">
          <cell r="A1757"/>
          <cell r="B1757" t="str">
            <v>WAKE COUNTY</v>
          </cell>
          <cell r="C1757">
            <v>99201</v>
          </cell>
          <cell r="H1757"/>
          <cell r="K1757"/>
          <cell r="P1757"/>
        </row>
        <row r="1758">
          <cell r="A1758"/>
          <cell r="B1758" t="str">
            <v>WAKE COUNTY ABC BOARD</v>
          </cell>
          <cell r="C1758">
            <v>99204</v>
          </cell>
          <cell r="H1758"/>
          <cell r="K1758"/>
          <cell r="P1758"/>
        </row>
        <row r="1759">
          <cell r="A1759"/>
          <cell r="B1759" t="str">
            <v>WAKE COUNTY HOUSING AUTHORITY</v>
          </cell>
          <cell r="C1759">
            <v>99207</v>
          </cell>
          <cell r="H1759"/>
          <cell r="K1759"/>
          <cell r="P1759"/>
        </row>
        <row r="1760">
          <cell r="A1760"/>
          <cell r="B1760" t="str">
            <v>WAKE FOREST</v>
          </cell>
          <cell r="C1760">
            <v>99281</v>
          </cell>
          <cell r="H1760"/>
          <cell r="K1760"/>
          <cell r="P1760"/>
        </row>
        <row r="1761">
          <cell r="A1761"/>
          <cell r="B1761" t="str">
            <v>WALKERTOWN</v>
          </cell>
          <cell r="C1761">
            <v>93461</v>
          </cell>
          <cell r="H1761"/>
          <cell r="K1761"/>
          <cell r="P1761"/>
        </row>
        <row r="1762">
          <cell r="A1762"/>
          <cell r="B1762" t="str">
            <v>WALLACE</v>
          </cell>
          <cell r="C1762">
            <v>93151</v>
          </cell>
          <cell r="H1762"/>
          <cell r="K1762"/>
          <cell r="P1762"/>
        </row>
        <row r="1763">
          <cell r="A1763"/>
          <cell r="B1763" t="str">
            <v>WALLACE ABC BD</v>
          </cell>
          <cell r="C1763">
            <v>93157</v>
          </cell>
          <cell r="H1763"/>
          <cell r="K1763"/>
          <cell r="P1763"/>
        </row>
        <row r="1764">
          <cell r="A1764"/>
          <cell r="B1764" t="str">
            <v>WALNUT COVE</v>
          </cell>
          <cell r="C1764">
            <v>98511</v>
          </cell>
          <cell r="H1764"/>
          <cell r="K1764"/>
          <cell r="P1764"/>
        </row>
        <row r="1765">
          <cell r="A1765"/>
          <cell r="B1765" t="str">
            <v>WALNUT COVE ABC BOARD</v>
          </cell>
          <cell r="C1765">
            <v>98517</v>
          </cell>
          <cell r="H1765"/>
          <cell r="K1765"/>
          <cell r="P1765"/>
        </row>
        <row r="1766">
          <cell r="A1766"/>
          <cell r="B1766" t="str">
            <v>WALNUT CREEK</v>
          </cell>
          <cell r="C1766">
            <v>99661</v>
          </cell>
          <cell r="H1766"/>
          <cell r="K1766"/>
          <cell r="P1766"/>
        </row>
        <row r="1767">
          <cell r="A1767"/>
          <cell r="B1767" t="str">
            <v>WALSTONBURG</v>
          </cell>
          <cell r="C1767">
            <v>94031</v>
          </cell>
          <cell r="H1767"/>
          <cell r="K1767"/>
          <cell r="P1767"/>
        </row>
        <row r="1768">
          <cell r="A1768"/>
          <cell r="B1768" t="str">
            <v>WARREN COUNTY</v>
          </cell>
          <cell r="C1768">
            <v>99301</v>
          </cell>
          <cell r="H1768"/>
          <cell r="K1768"/>
          <cell r="P1768"/>
        </row>
        <row r="1769">
          <cell r="A1769"/>
          <cell r="B1769" t="str">
            <v>WARREN COUNTY ABC BOARD</v>
          </cell>
          <cell r="C1769">
            <v>99304</v>
          </cell>
          <cell r="H1769"/>
          <cell r="K1769"/>
          <cell r="P1769"/>
        </row>
        <row r="1770">
          <cell r="A1770"/>
          <cell r="B1770" t="str">
            <v>WARRENTON</v>
          </cell>
          <cell r="C1770">
            <v>99321</v>
          </cell>
          <cell r="H1770"/>
          <cell r="K1770"/>
          <cell r="P1770"/>
        </row>
        <row r="1771">
          <cell r="A1771"/>
          <cell r="B1771" t="str">
            <v>WARSAW</v>
          </cell>
          <cell r="C1771">
            <v>93131</v>
          </cell>
          <cell r="H1771"/>
          <cell r="K1771"/>
          <cell r="P1771"/>
        </row>
        <row r="1772">
          <cell r="A1772"/>
          <cell r="B1772" t="str">
            <v>WARSAW ABC BOARD</v>
          </cell>
          <cell r="C1772">
            <v>93137</v>
          </cell>
          <cell r="H1772"/>
          <cell r="K1772"/>
          <cell r="P1772"/>
        </row>
        <row r="1773">
          <cell r="A1773"/>
          <cell r="B1773" t="str">
            <v>WASHINGTON</v>
          </cell>
          <cell r="C1773">
            <v>90711</v>
          </cell>
          <cell r="H1773"/>
          <cell r="K1773"/>
          <cell r="P1773"/>
        </row>
        <row r="1774">
          <cell r="A1774"/>
          <cell r="B1774" t="str">
            <v>WASHINGTON COUNTY</v>
          </cell>
          <cell r="C1774">
            <v>99401</v>
          </cell>
          <cell r="H1774"/>
          <cell r="K1774"/>
          <cell r="P1774"/>
        </row>
        <row r="1775">
          <cell r="A1775"/>
          <cell r="B1775" t="str">
            <v>WASHINGTON COUNTY ABC BOARD</v>
          </cell>
          <cell r="C1775">
            <v>99404</v>
          </cell>
          <cell r="H1775"/>
          <cell r="K1775"/>
          <cell r="P1775"/>
        </row>
        <row r="1776">
          <cell r="A1776"/>
          <cell r="B1776" t="str">
            <v>WASHINGTON PARK</v>
          </cell>
          <cell r="C1776">
            <v>90741</v>
          </cell>
          <cell r="H1776"/>
          <cell r="K1776"/>
          <cell r="P1776"/>
        </row>
        <row r="1777">
          <cell r="A1777"/>
          <cell r="B1777" t="str">
            <v>WATAUGA COUNTY</v>
          </cell>
          <cell r="C1777">
            <v>99501</v>
          </cell>
          <cell r="H1777"/>
          <cell r="K1777"/>
          <cell r="P1777"/>
        </row>
        <row r="1778">
          <cell r="A1778"/>
          <cell r="B1778" t="str">
            <v>WATAUGA COUNTY DISTRICT U TDA</v>
          </cell>
          <cell r="C1778">
            <v>99509</v>
          </cell>
          <cell r="H1778"/>
          <cell r="K1778"/>
          <cell r="P1778"/>
        </row>
        <row r="1779">
          <cell r="A1779"/>
          <cell r="B1779" t="str">
            <v>WATER &amp; SEWER AUTHORITY OF CABARRUS COUNTY</v>
          </cell>
          <cell r="C1779">
            <v>91302</v>
          </cell>
          <cell r="H1779"/>
          <cell r="K1779"/>
          <cell r="P1779"/>
        </row>
        <row r="1780">
          <cell r="A1780"/>
          <cell r="B1780" t="str">
            <v>WAXHAW</v>
          </cell>
          <cell r="C1780">
            <v>99041</v>
          </cell>
          <cell r="H1780"/>
          <cell r="K1780"/>
          <cell r="P1780"/>
        </row>
        <row r="1781">
          <cell r="A1781"/>
          <cell r="B1781" t="str">
            <v>WAXHAW ABC BOARD</v>
          </cell>
          <cell r="C1781">
            <v>99047</v>
          </cell>
          <cell r="H1781"/>
          <cell r="K1781"/>
          <cell r="P1781"/>
        </row>
        <row r="1782">
          <cell r="A1782"/>
          <cell r="B1782" t="str">
            <v>WAYNE COUNTY</v>
          </cell>
          <cell r="C1782">
            <v>99601</v>
          </cell>
          <cell r="H1782"/>
          <cell r="K1782"/>
          <cell r="P1782"/>
        </row>
        <row r="1783">
          <cell r="A1783"/>
          <cell r="B1783" t="str">
            <v>WAYNE COUNTY ABC BOARD</v>
          </cell>
          <cell r="C1783">
            <v>99604</v>
          </cell>
          <cell r="H1783"/>
          <cell r="K1783"/>
          <cell r="P1783"/>
        </row>
        <row r="1784">
          <cell r="A1784"/>
          <cell r="B1784" t="str">
            <v>WAYNESVILLE</v>
          </cell>
          <cell r="C1784">
            <v>94411</v>
          </cell>
          <cell r="H1784"/>
          <cell r="K1784"/>
          <cell r="P1784"/>
        </row>
        <row r="1785">
          <cell r="A1785"/>
          <cell r="B1785" t="str">
            <v>WAYNESVILLE ABC BOARD</v>
          </cell>
          <cell r="C1785">
            <v>94412</v>
          </cell>
          <cell r="H1785"/>
          <cell r="K1785"/>
          <cell r="P1785"/>
        </row>
        <row r="1786">
          <cell r="A1786"/>
          <cell r="B1786" t="str">
            <v>WEAVERVILLE</v>
          </cell>
          <cell r="C1786">
            <v>91141</v>
          </cell>
          <cell r="H1786"/>
          <cell r="K1786"/>
          <cell r="P1786"/>
        </row>
        <row r="1787">
          <cell r="A1787"/>
          <cell r="B1787" t="str">
            <v>WEAVERVILLE ABC BOARD</v>
          </cell>
          <cell r="C1787">
            <v>91147</v>
          </cell>
          <cell r="H1787"/>
          <cell r="K1787"/>
          <cell r="P1787"/>
        </row>
        <row r="1788">
          <cell r="A1788"/>
          <cell r="B1788" t="str">
            <v>WEDDINGTON</v>
          </cell>
          <cell r="C1788">
            <v>99071</v>
          </cell>
          <cell r="H1788"/>
          <cell r="K1788"/>
          <cell r="P1788"/>
        </row>
        <row r="1789">
          <cell r="A1789"/>
          <cell r="B1789" t="str">
            <v>WELDON</v>
          </cell>
          <cell r="C1789">
            <v>94231</v>
          </cell>
          <cell r="H1789"/>
          <cell r="K1789"/>
          <cell r="P1789"/>
        </row>
        <row r="1790">
          <cell r="A1790"/>
          <cell r="B1790" t="str">
            <v>WENDELL</v>
          </cell>
          <cell r="C1790">
            <v>99231</v>
          </cell>
          <cell r="H1790"/>
          <cell r="K1790"/>
          <cell r="P1790"/>
        </row>
        <row r="1791">
          <cell r="A1791"/>
          <cell r="B1791" t="str">
            <v>WESLEY CHAPEL</v>
          </cell>
          <cell r="C1791">
            <v>99091</v>
          </cell>
          <cell r="H1791"/>
          <cell r="K1791"/>
          <cell r="P1791"/>
        </row>
        <row r="1792">
          <cell r="A1792"/>
          <cell r="B1792" t="str">
            <v>WEST BUNCOMBE FIRE DEPT</v>
          </cell>
          <cell r="C1792">
            <v>91120</v>
          </cell>
          <cell r="H1792"/>
          <cell r="K1792"/>
          <cell r="P1792"/>
        </row>
        <row r="1793">
          <cell r="A1793"/>
          <cell r="B1793" t="str">
            <v>WEST COLUMBUS ABC BOARD</v>
          </cell>
          <cell r="C1793">
            <v>92444</v>
          </cell>
          <cell r="H1793"/>
          <cell r="K1793"/>
          <cell r="P1793"/>
        </row>
        <row r="1794">
          <cell r="A1794"/>
          <cell r="B1794" t="str">
            <v>WEST JEFFERSON</v>
          </cell>
          <cell r="C1794">
            <v>90521</v>
          </cell>
          <cell r="H1794"/>
          <cell r="K1794"/>
          <cell r="P1794"/>
        </row>
        <row r="1795">
          <cell r="A1795"/>
          <cell r="B1795" t="str">
            <v>WEST JEFFERSON ABC BOARD</v>
          </cell>
          <cell r="C1795">
            <v>90507</v>
          </cell>
          <cell r="H1795"/>
          <cell r="K1795"/>
          <cell r="P1795"/>
        </row>
        <row r="1796">
          <cell r="A1796"/>
          <cell r="B1796" t="str">
            <v>WESTAREA VOLUNTEER FIRE DEPT</v>
          </cell>
          <cell r="C1796">
            <v>92602</v>
          </cell>
          <cell r="H1796"/>
          <cell r="K1796"/>
          <cell r="P1796"/>
        </row>
        <row r="1797">
          <cell r="A1797"/>
          <cell r="B1797" t="str">
            <v>WESTERN CARTERET INTERLOCAL COOPERATION AGENCY</v>
          </cell>
          <cell r="C1797">
            <v>91608</v>
          </cell>
          <cell r="H1797"/>
          <cell r="K1797"/>
          <cell r="P1797"/>
        </row>
        <row r="1798">
          <cell r="A1798"/>
          <cell r="B1798" t="str">
            <v>WESTERN HIGHLAND AREA AUTHORITY</v>
          </cell>
          <cell r="C1798">
            <v>91119</v>
          </cell>
          <cell r="H1798"/>
          <cell r="K1798"/>
          <cell r="P1798"/>
        </row>
        <row r="1799">
          <cell r="A1799"/>
          <cell r="B1799" t="str">
            <v>WESTERN NC REGIONAL AIR QUALITY</v>
          </cell>
          <cell r="C1799">
            <v>91107</v>
          </cell>
          <cell r="H1799"/>
          <cell r="K1799"/>
          <cell r="P1799"/>
        </row>
        <row r="1800">
          <cell r="A1800"/>
          <cell r="B1800" t="str">
            <v>WESTERN PIEDMONT COUNCIL OF GOVERNMENTS</v>
          </cell>
          <cell r="C1800">
            <v>91818</v>
          </cell>
          <cell r="H1800"/>
          <cell r="K1800"/>
          <cell r="P1800"/>
        </row>
        <row r="1801">
          <cell r="A1801"/>
          <cell r="B1801" t="str">
            <v>WESTERN PIEDMONT REGIONAL TRANSIT AUTHORITY</v>
          </cell>
          <cell r="C1801">
            <v>91819</v>
          </cell>
          <cell r="H1801"/>
          <cell r="K1801"/>
          <cell r="P1801"/>
        </row>
        <row r="1802">
          <cell r="A1802"/>
          <cell r="B1802" t="str">
            <v>WHISPERING PINES</v>
          </cell>
          <cell r="C1802">
            <v>96371</v>
          </cell>
          <cell r="H1802"/>
          <cell r="K1802"/>
          <cell r="P1802"/>
        </row>
        <row r="1803">
          <cell r="A1803"/>
          <cell r="B1803" t="str">
            <v>WHITAKERS</v>
          </cell>
          <cell r="C1803">
            <v>96441</v>
          </cell>
          <cell r="H1803"/>
          <cell r="K1803"/>
          <cell r="P1803"/>
        </row>
        <row r="1804">
          <cell r="A1804"/>
          <cell r="B1804" t="str">
            <v>WHITE LAKE</v>
          </cell>
          <cell r="C1804">
            <v>90921</v>
          </cell>
          <cell r="H1804"/>
          <cell r="K1804"/>
          <cell r="P1804"/>
        </row>
        <row r="1805">
          <cell r="A1805"/>
          <cell r="B1805" t="str">
            <v>WHITEVILLE</v>
          </cell>
          <cell r="C1805">
            <v>92411</v>
          </cell>
          <cell r="H1805"/>
          <cell r="K1805"/>
          <cell r="P1805"/>
        </row>
        <row r="1806">
          <cell r="A1806"/>
          <cell r="B1806" t="str">
            <v>WHITEVILLE ABC BOARD</v>
          </cell>
          <cell r="C1806">
            <v>92417</v>
          </cell>
          <cell r="H1806"/>
          <cell r="K1806"/>
          <cell r="P1806"/>
        </row>
        <row r="1807">
          <cell r="A1807"/>
          <cell r="B1807" t="str">
            <v>WHITEVILLE HOUSING AUTHORITY</v>
          </cell>
          <cell r="C1807">
            <v>92403</v>
          </cell>
          <cell r="H1807"/>
          <cell r="K1807"/>
          <cell r="P1807"/>
        </row>
        <row r="1808">
          <cell r="A1808"/>
          <cell r="B1808" t="str">
            <v>WILKES COUNTY</v>
          </cell>
          <cell r="C1808">
            <v>99701</v>
          </cell>
          <cell r="H1808"/>
          <cell r="K1808"/>
          <cell r="P1808"/>
        </row>
        <row r="1809">
          <cell r="A1809"/>
          <cell r="B1809" t="str">
            <v>WILKESBORO</v>
          </cell>
          <cell r="C1809">
            <v>99721</v>
          </cell>
          <cell r="H1809"/>
          <cell r="K1809"/>
          <cell r="P1809"/>
        </row>
        <row r="1810">
          <cell r="A1810"/>
          <cell r="B1810" t="str">
            <v>WILKESBORO ABC BOARD</v>
          </cell>
          <cell r="C1810">
            <v>99727</v>
          </cell>
          <cell r="H1810"/>
          <cell r="K1810"/>
          <cell r="P1810"/>
        </row>
        <row r="1811">
          <cell r="A1811"/>
          <cell r="B1811" t="str">
            <v>WILLIAMSTON</v>
          </cell>
          <cell r="C1811">
            <v>95811</v>
          </cell>
          <cell r="H1811"/>
          <cell r="K1811"/>
          <cell r="P1811"/>
        </row>
        <row r="1812">
          <cell r="A1812"/>
          <cell r="B1812" t="str">
            <v>WILLIAMSTON HOUSING AUTHORITY</v>
          </cell>
          <cell r="C1812">
            <v>95813</v>
          </cell>
          <cell r="H1812"/>
          <cell r="K1812"/>
          <cell r="P1812"/>
        </row>
        <row r="1813">
          <cell r="A1813"/>
          <cell r="B1813" t="str">
            <v>WILMINGTON</v>
          </cell>
          <cell r="C1813">
            <v>96531</v>
          </cell>
          <cell r="H1813"/>
          <cell r="K1813"/>
          <cell r="P1813"/>
        </row>
        <row r="1814">
          <cell r="A1814"/>
          <cell r="B1814" t="str">
            <v>WILMINGTON HOUSING AUTHORITY</v>
          </cell>
          <cell r="C1814">
            <v>96503</v>
          </cell>
          <cell r="H1814"/>
          <cell r="K1814"/>
          <cell r="P1814"/>
        </row>
        <row r="1815">
          <cell r="A1815"/>
          <cell r="B1815" t="str">
            <v>WILSON</v>
          </cell>
          <cell r="C1815">
            <v>99811</v>
          </cell>
          <cell r="H1815"/>
          <cell r="K1815"/>
          <cell r="P1815"/>
        </row>
        <row r="1816">
          <cell r="A1816"/>
          <cell r="B1816" t="str">
            <v>WILSON CEMETERY COMMISSION</v>
          </cell>
          <cell r="C1816">
            <v>99818</v>
          </cell>
          <cell r="H1816"/>
          <cell r="K1816"/>
          <cell r="P1816"/>
        </row>
        <row r="1817">
          <cell r="A1817"/>
          <cell r="B1817" t="str">
            <v>WILSON COUNTY</v>
          </cell>
          <cell r="C1817">
            <v>99801</v>
          </cell>
          <cell r="H1817"/>
          <cell r="K1817"/>
          <cell r="P1817"/>
        </row>
        <row r="1818">
          <cell r="A1818"/>
          <cell r="B1818" t="str">
            <v>WILSON COUNTY ABC BOARD</v>
          </cell>
          <cell r="C1818">
            <v>99804</v>
          </cell>
          <cell r="H1818"/>
          <cell r="K1818"/>
          <cell r="P1818"/>
        </row>
        <row r="1819">
          <cell r="A1819"/>
          <cell r="B1819" t="str">
            <v>WILSON COUNTY TOURISM DEVELOPMENT AUTHORITY</v>
          </cell>
          <cell r="C1819">
            <v>99802</v>
          </cell>
          <cell r="H1819"/>
          <cell r="K1819"/>
          <cell r="P1819"/>
        </row>
        <row r="1820">
          <cell r="A1820"/>
          <cell r="B1820" t="str">
            <v>WILSON ECONOMIC DEV COUNCIL</v>
          </cell>
          <cell r="C1820">
            <v>99812</v>
          </cell>
          <cell r="H1820"/>
          <cell r="K1820"/>
          <cell r="P1820"/>
        </row>
        <row r="1821">
          <cell r="A1821"/>
          <cell r="B1821" t="str">
            <v>WILSON'S MILLS</v>
          </cell>
          <cell r="C1821">
            <v>95191</v>
          </cell>
          <cell r="H1821"/>
          <cell r="K1821"/>
          <cell r="P1821"/>
        </row>
        <row r="1822">
          <cell r="A1822"/>
          <cell r="B1822" t="str">
            <v>WINDSOR</v>
          </cell>
          <cell r="C1822">
            <v>90812</v>
          </cell>
          <cell r="H1822"/>
          <cell r="K1822"/>
          <cell r="P1822"/>
        </row>
        <row r="1823">
          <cell r="A1823"/>
          <cell r="B1823" t="str">
            <v>WINFALL</v>
          </cell>
          <cell r="C1823">
            <v>97221</v>
          </cell>
          <cell r="H1823"/>
          <cell r="K1823"/>
          <cell r="P1823"/>
        </row>
        <row r="1824">
          <cell r="A1824"/>
          <cell r="B1824" t="str">
            <v>WINGATE</v>
          </cell>
          <cell r="C1824">
            <v>99031</v>
          </cell>
          <cell r="H1824"/>
          <cell r="K1824"/>
          <cell r="P1824"/>
        </row>
        <row r="1825">
          <cell r="A1825"/>
          <cell r="B1825" t="str">
            <v>WINSTON-SALEM</v>
          </cell>
          <cell r="C1825">
            <v>93411</v>
          </cell>
          <cell r="H1825"/>
          <cell r="K1825"/>
          <cell r="P1825"/>
        </row>
        <row r="1826">
          <cell r="A1826"/>
          <cell r="B1826" t="str">
            <v>WINSTON-SALEM HOUSING AUTHORITY</v>
          </cell>
          <cell r="C1826">
            <v>93413</v>
          </cell>
          <cell r="H1826"/>
          <cell r="K1826"/>
          <cell r="P1826"/>
        </row>
        <row r="1827">
          <cell r="A1827"/>
          <cell r="B1827" t="str">
            <v>WINTERVILLE</v>
          </cell>
          <cell r="C1827">
            <v>97451</v>
          </cell>
          <cell r="H1827"/>
          <cell r="K1827"/>
          <cell r="P1827"/>
        </row>
        <row r="1828">
          <cell r="A1828"/>
          <cell r="B1828" t="str">
            <v>WINTON</v>
          </cell>
          <cell r="C1828">
            <v>94631</v>
          </cell>
          <cell r="H1828"/>
          <cell r="K1828"/>
          <cell r="P1828"/>
        </row>
        <row r="1829">
          <cell r="A1829"/>
          <cell r="B1829" t="str">
            <v>WOODFIN</v>
          </cell>
          <cell r="C1829">
            <v>91171</v>
          </cell>
          <cell r="H1829"/>
          <cell r="K1829"/>
          <cell r="P1829"/>
        </row>
        <row r="1830">
          <cell r="A1830"/>
          <cell r="B1830" t="str">
            <v>WOODFIN ABC COMMISSION</v>
          </cell>
          <cell r="C1830">
            <v>91104</v>
          </cell>
          <cell r="H1830"/>
          <cell r="K1830"/>
          <cell r="P1830"/>
        </row>
        <row r="1831">
          <cell r="A1831"/>
          <cell r="B1831" t="str">
            <v>WOODFIN SANITARY WATER AND SEWER DISTRICT</v>
          </cell>
          <cell r="C1831">
            <v>91109</v>
          </cell>
          <cell r="H1831"/>
          <cell r="K1831"/>
          <cell r="P1831"/>
        </row>
        <row r="1832">
          <cell r="A1832"/>
          <cell r="B1832" t="str">
            <v>WOODLAND</v>
          </cell>
          <cell r="C1832">
            <v>96621</v>
          </cell>
          <cell r="H1832"/>
          <cell r="K1832"/>
          <cell r="P1832"/>
        </row>
        <row r="1833">
          <cell r="A1833"/>
          <cell r="B1833" t="str">
            <v>WRIGHTSVILLE BEACH</v>
          </cell>
          <cell r="C1833">
            <v>96511</v>
          </cell>
          <cell r="H1833"/>
          <cell r="K1833"/>
          <cell r="P1833"/>
        </row>
        <row r="1834">
          <cell r="A1834"/>
          <cell r="B1834" t="str">
            <v>YADKIN COUNTY</v>
          </cell>
          <cell r="C1834">
            <v>99901</v>
          </cell>
          <cell r="H1834"/>
          <cell r="K1834"/>
          <cell r="P1834"/>
        </row>
        <row r="1835">
          <cell r="A1835"/>
          <cell r="B1835" t="str">
            <v>YADKIN VALLEY ABC BOARD (includes Elkin ABC Board)</v>
          </cell>
          <cell r="C1835">
            <v>98604</v>
          </cell>
          <cell r="H1835"/>
          <cell r="K1835"/>
          <cell r="P1835"/>
        </row>
        <row r="1836">
          <cell r="A1836"/>
          <cell r="B1836" t="str">
            <v>YADKIN VALLEY SEWER AUTHORITY</v>
          </cell>
          <cell r="C1836">
            <v>98608</v>
          </cell>
          <cell r="H1836"/>
          <cell r="K1836"/>
          <cell r="P1836"/>
        </row>
        <row r="1837">
          <cell r="A1837"/>
          <cell r="B1837" t="str">
            <v>YADKINVILLE</v>
          </cell>
          <cell r="C1837">
            <v>99911</v>
          </cell>
          <cell r="H1837"/>
          <cell r="K1837"/>
          <cell r="P1837"/>
        </row>
        <row r="1838">
          <cell r="A1838"/>
          <cell r="B1838" t="str">
            <v>YANCEY COUNTY</v>
          </cell>
          <cell r="C1838">
            <v>90001</v>
          </cell>
          <cell r="H1838"/>
          <cell r="K1838"/>
          <cell r="P1838"/>
        </row>
        <row r="1839">
          <cell r="A1839"/>
          <cell r="B1839" t="str">
            <v>YANCEY SOIL &amp; WATER CONSERVATION DISTRICT</v>
          </cell>
          <cell r="C1839">
            <v>90002</v>
          </cell>
          <cell r="H1839"/>
          <cell r="K1839"/>
          <cell r="P1839"/>
        </row>
        <row r="1840">
          <cell r="A1840"/>
          <cell r="B1840" t="str">
            <v>YANCEYVILLE</v>
          </cell>
          <cell r="C1840">
            <v>91719</v>
          </cell>
          <cell r="H1840"/>
          <cell r="K1840"/>
          <cell r="P1840"/>
        </row>
        <row r="1841">
          <cell r="A1841"/>
          <cell r="B1841" t="str">
            <v>YOUNGSVILLE</v>
          </cell>
          <cell r="C1841">
            <v>93541</v>
          </cell>
          <cell r="H1841"/>
          <cell r="K1841"/>
          <cell r="P1841"/>
        </row>
        <row r="1842">
          <cell r="A1842"/>
          <cell r="B1842" t="str">
            <v>ZEBULON</v>
          </cell>
          <cell r="C1842">
            <v>99241</v>
          </cell>
          <cell r="H1842"/>
          <cell r="K1842"/>
          <cell r="P1842"/>
        </row>
        <row r="1843">
          <cell r="A1843"/>
          <cell r="B1843"/>
          <cell r="H1843"/>
          <cell r="K1843"/>
          <cell r="P1843"/>
        </row>
        <row r="1844">
          <cell r="B1844"/>
          <cell r="H1844"/>
          <cell r="K1844"/>
          <cell r="P1844"/>
        </row>
        <row r="1845">
          <cell r="B1845"/>
          <cell r="H1845"/>
          <cell r="K1845"/>
          <cell r="P1845"/>
        </row>
        <row r="1846">
          <cell r="B1846"/>
          <cell r="H1846"/>
          <cell r="K1846"/>
          <cell r="P1846"/>
        </row>
        <row r="1847">
          <cell r="B1847"/>
          <cell r="H1847"/>
          <cell r="K1847"/>
          <cell r="P1847"/>
        </row>
        <row r="1848">
          <cell r="B1848"/>
          <cell r="H1848"/>
          <cell r="K1848"/>
          <cell r="P1848"/>
        </row>
        <row r="1849">
          <cell r="B1849"/>
          <cell r="H1849"/>
          <cell r="K1849"/>
          <cell r="P1849"/>
        </row>
        <row r="1850">
          <cell r="B1850"/>
          <cell r="H1850"/>
          <cell r="K1850"/>
          <cell r="P1850"/>
        </row>
        <row r="1851">
          <cell r="B1851"/>
          <cell r="H1851"/>
          <cell r="K1851"/>
          <cell r="P1851"/>
        </row>
        <row r="1852">
          <cell r="B1852"/>
          <cell r="H1852"/>
          <cell r="K1852"/>
          <cell r="P1852"/>
        </row>
        <row r="1853">
          <cell r="B1853"/>
          <cell r="H1853"/>
          <cell r="K1853"/>
          <cell r="P1853"/>
        </row>
        <row r="1854">
          <cell r="B1854"/>
          <cell r="H1854"/>
          <cell r="K1854"/>
          <cell r="P1854"/>
        </row>
        <row r="1855">
          <cell r="B1855"/>
          <cell r="H1855"/>
          <cell r="K1855"/>
          <cell r="P1855"/>
        </row>
        <row r="1856">
          <cell r="B1856"/>
          <cell r="H1856"/>
          <cell r="K1856"/>
          <cell r="P1856"/>
        </row>
        <row r="1857">
          <cell r="B1857"/>
          <cell r="H1857"/>
          <cell r="K1857"/>
          <cell r="P1857"/>
        </row>
        <row r="1858">
          <cell r="B1858"/>
          <cell r="H1858"/>
          <cell r="K1858"/>
          <cell r="P1858"/>
        </row>
        <row r="1859">
          <cell r="B1859"/>
          <cell r="H1859"/>
          <cell r="K1859"/>
          <cell r="P1859"/>
        </row>
        <row r="1860">
          <cell r="B1860"/>
          <cell r="H1860"/>
          <cell r="K1860"/>
          <cell r="P1860"/>
        </row>
        <row r="1861">
          <cell r="B1861"/>
          <cell r="H1861"/>
          <cell r="K1861"/>
          <cell r="P1861"/>
        </row>
        <row r="1862">
          <cell r="B1862"/>
          <cell r="H1862"/>
          <cell r="K1862"/>
          <cell r="P1862"/>
        </row>
        <row r="1863">
          <cell r="B1863"/>
          <cell r="H1863"/>
          <cell r="K1863"/>
          <cell r="P1863"/>
        </row>
        <row r="1864">
          <cell r="B1864"/>
          <cell r="H1864"/>
          <cell r="K1864"/>
          <cell r="P1864"/>
        </row>
        <row r="1865">
          <cell r="B1865"/>
          <cell r="H1865"/>
          <cell r="K1865"/>
          <cell r="P1865"/>
        </row>
        <row r="1866">
          <cell r="B1866"/>
          <cell r="H1866"/>
          <cell r="K1866"/>
          <cell r="P1866"/>
        </row>
        <row r="1867">
          <cell r="B1867"/>
          <cell r="H1867"/>
          <cell r="K1867"/>
          <cell r="P1867"/>
        </row>
        <row r="1868">
          <cell r="B1868"/>
          <cell r="H1868"/>
          <cell r="K1868"/>
          <cell r="P1868"/>
        </row>
        <row r="1869">
          <cell r="B1869"/>
          <cell r="H1869"/>
          <cell r="K1869"/>
          <cell r="P1869"/>
        </row>
        <row r="1870">
          <cell r="B1870"/>
          <cell r="H1870"/>
          <cell r="K1870"/>
          <cell r="P1870"/>
        </row>
        <row r="1871">
          <cell r="B1871"/>
          <cell r="H1871"/>
          <cell r="K1871"/>
          <cell r="P1871"/>
        </row>
        <row r="1872">
          <cell r="B1872"/>
          <cell r="H1872"/>
          <cell r="K1872"/>
          <cell r="P1872"/>
        </row>
        <row r="1873">
          <cell r="B1873"/>
          <cell r="H1873"/>
          <cell r="K1873"/>
          <cell r="P1873"/>
        </row>
        <row r="1874">
          <cell r="B1874"/>
          <cell r="H1874"/>
          <cell r="K1874"/>
          <cell r="P1874"/>
        </row>
        <row r="1875">
          <cell r="B1875"/>
          <cell r="H1875"/>
          <cell r="K1875"/>
          <cell r="P1875"/>
        </row>
        <row r="1876">
          <cell r="B1876"/>
          <cell r="H1876"/>
          <cell r="K1876"/>
          <cell r="P1876"/>
        </row>
        <row r="1877">
          <cell r="B1877"/>
          <cell r="H1877"/>
          <cell r="K1877"/>
          <cell r="P1877"/>
        </row>
        <row r="1878">
          <cell r="B1878"/>
          <cell r="H1878"/>
          <cell r="K1878"/>
          <cell r="P1878"/>
        </row>
        <row r="1879">
          <cell r="B1879"/>
          <cell r="H1879"/>
          <cell r="K1879"/>
          <cell r="P1879"/>
        </row>
        <row r="1880">
          <cell r="B1880"/>
          <cell r="H1880"/>
          <cell r="K1880"/>
          <cell r="P1880"/>
        </row>
        <row r="1881">
          <cell r="B1881"/>
          <cell r="H1881"/>
          <cell r="K1881"/>
          <cell r="P1881"/>
        </row>
        <row r="1882">
          <cell r="B1882"/>
          <cell r="H1882"/>
          <cell r="K1882"/>
          <cell r="P1882"/>
        </row>
        <row r="1883">
          <cell r="B1883"/>
          <cell r="H1883"/>
          <cell r="K1883"/>
          <cell r="P1883"/>
        </row>
        <row r="1884">
          <cell r="B1884"/>
          <cell r="H1884"/>
          <cell r="K1884"/>
          <cell r="P1884"/>
        </row>
        <row r="1885">
          <cell r="B1885"/>
          <cell r="H1885"/>
          <cell r="K1885"/>
          <cell r="P1885"/>
        </row>
        <row r="1886">
          <cell r="B1886"/>
          <cell r="H1886"/>
          <cell r="K1886"/>
          <cell r="P1886"/>
        </row>
        <row r="1887">
          <cell r="B1887"/>
          <cell r="H1887"/>
          <cell r="K1887"/>
          <cell r="P1887"/>
        </row>
        <row r="1888">
          <cell r="B1888"/>
          <cell r="H1888"/>
          <cell r="K1888"/>
          <cell r="P1888"/>
        </row>
        <row r="1889">
          <cell r="B1889"/>
          <cell r="H1889"/>
          <cell r="K1889"/>
          <cell r="P1889"/>
        </row>
        <row r="1890">
          <cell r="B1890"/>
          <cell r="H1890"/>
          <cell r="K1890"/>
          <cell r="P1890"/>
        </row>
        <row r="1891">
          <cell r="B1891"/>
          <cell r="H1891"/>
          <cell r="K1891"/>
          <cell r="P1891"/>
        </row>
        <row r="1892">
          <cell r="B1892"/>
          <cell r="H1892"/>
          <cell r="K1892"/>
          <cell r="P1892"/>
        </row>
        <row r="1893">
          <cell r="B1893"/>
          <cell r="H1893"/>
          <cell r="K1893"/>
          <cell r="P1893"/>
        </row>
        <row r="1894">
          <cell r="B1894"/>
          <cell r="H1894"/>
          <cell r="K1894"/>
          <cell r="P1894"/>
        </row>
        <row r="1895">
          <cell r="B1895"/>
          <cell r="H1895"/>
          <cell r="K1895"/>
          <cell r="P1895"/>
        </row>
        <row r="1896">
          <cell r="B1896"/>
          <cell r="H1896"/>
          <cell r="K1896"/>
          <cell r="P1896"/>
        </row>
        <row r="1897">
          <cell r="B1897"/>
          <cell r="H1897"/>
          <cell r="K1897"/>
          <cell r="P1897"/>
        </row>
        <row r="1898">
          <cell r="B1898"/>
          <cell r="H1898"/>
          <cell r="K1898"/>
          <cell r="P1898"/>
        </row>
        <row r="1899">
          <cell r="B1899"/>
          <cell r="H1899"/>
          <cell r="K1899"/>
          <cell r="P1899"/>
        </row>
        <row r="1900">
          <cell r="B1900"/>
          <cell r="H1900"/>
          <cell r="K1900"/>
          <cell r="P1900"/>
        </row>
        <row r="1901">
          <cell r="B1901"/>
          <cell r="H1901"/>
          <cell r="K1901"/>
          <cell r="P1901"/>
        </row>
        <row r="1902">
          <cell r="B1902"/>
          <cell r="H1902"/>
          <cell r="K1902"/>
          <cell r="P1902"/>
        </row>
        <row r="1903">
          <cell r="B1903"/>
          <cell r="H1903"/>
          <cell r="K1903"/>
          <cell r="P1903"/>
        </row>
        <row r="1904">
          <cell r="B1904"/>
          <cell r="H1904"/>
          <cell r="K1904"/>
          <cell r="P1904"/>
        </row>
        <row r="1905">
          <cell r="B1905"/>
          <cell r="H1905"/>
          <cell r="K1905"/>
          <cell r="P1905"/>
        </row>
        <row r="1906">
          <cell r="B1906"/>
          <cell r="H1906"/>
          <cell r="K1906"/>
          <cell r="P1906"/>
        </row>
        <row r="1907">
          <cell r="B1907"/>
          <cell r="H1907"/>
          <cell r="K1907"/>
          <cell r="P1907"/>
        </row>
        <row r="1908">
          <cell r="B1908"/>
          <cell r="H1908"/>
          <cell r="K1908"/>
          <cell r="P1908"/>
        </row>
        <row r="1909">
          <cell r="B1909"/>
          <cell r="H1909"/>
          <cell r="K1909"/>
          <cell r="P1909"/>
        </row>
        <row r="1910">
          <cell r="B1910"/>
          <cell r="H1910"/>
          <cell r="K1910"/>
          <cell r="P1910"/>
        </row>
        <row r="1911">
          <cell r="B1911"/>
          <cell r="H1911"/>
          <cell r="K1911"/>
          <cell r="P1911"/>
        </row>
        <row r="1912">
          <cell r="B1912"/>
          <cell r="H1912"/>
          <cell r="K1912"/>
          <cell r="P1912"/>
        </row>
      </sheetData>
      <sheetData sheetId="19">
        <row r="908">
          <cell r="F908">
            <v>1527723006</v>
          </cell>
        </row>
      </sheetData>
      <sheetData sheetId="20">
        <row r="1">
          <cell r="A1" t="str">
            <v>Measurement date 6/30/2017</v>
          </cell>
          <cell r="J1"/>
        </row>
        <row r="2">
          <cell r="A2" t="str">
            <v>Recognition period - 5.00 years</v>
          </cell>
          <cell r="J2"/>
        </row>
        <row r="3">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row>
        <row r="4">
          <cell r="I4" t="str">
            <v>Deferred Outflows Of Resources</v>
          </cell>
          <cell r="J4"/>
          <cell r="K4"/>
          <cell r="L4"/>
          <cell r="N4" t="str">
            <v>Deferred Inflows Of Resources</v>
          </cell>
          <cell r="O4"/>
          <cell r="P4"/>
          <cell r="Q4"/>
          <cell r="S4" t="str">
            <v>Pension Expense</v>
          </cell>
          <cell r="T4"/>
          <cell r="U4"/>
        </row>
        <row r="5">
          <cell r="A5" t="str">
            <v>Agency Number</v>
          </cell>
          <cell r="B5" t="str">
            <v>Agency</v>
          </cell>
          <cell r="C5" t="str">
            <v>Current Proportional Share</v>
          </cell>
          <cell r="D5" t="str">
            <v>Prior Proportional Share</v>
          </cell>
          <cell r="E5" t="str">
            <v>Contributions to plan</v>
          </cell>
          <cell r="F5" t="str">
            <v>Net Pension Liability - Beginning of the Year</v>
          </cell>
          <cell r="G5" t="str">
            <v>Net Pension Liability - End of Year</v>
          </cell>
          <cell r="H5"/>
          <cell r="I5" t="str">
            <v>Differences Between Expected And Actual Experience</v>
          </cell>
          <cell r="J5" t="str">
            <v>Net Difference Between Projected And Actual Investment Earnings On Plan Investments</v>
          </cell>
          <cell r="K5" t="str">
            <v>Changes Of Assumptions</v>
          </cell>
          <cell r="L5" t="str">
            <v>Changes In Proportion And Differences Between Employer Contributions And Proportional Share Of Contributions</v>
          </cell>
          <cell r="M5"/>
          <cell r="N5" t="str">
            <v>Differences Between Expected And Actual Experience</v>
          </cell>
          <cell r="O5" t="str">
            <v>Net Difference Between Projected And Actual Investment Earnings On Plan Investments</v>
          </cell>
          <cell r="P5" t="str">
            <v>Changes Of Assumptions</v>
          </cell>
          <cell r="Q5" t="str">
            <v>Changes In Proportion And Differences Between Employer Contributions And Proportional Share Of Contributions</v>
          </cell>
          <cell r="R5"/>
          <cell r="S5" t="str">
            <v>Proportional Share Of Pension Expense</v>
          </cell>
          <cell r="T5" t="str">
            <v>Net Amortization Of Deferred Amounts From Changes In Proportion And Differences Between Employer Contributions And Proportional Share Of Contributions</v>
          </cell>
          <cell r="U5" t="str">
            <v>Total Employer Pension Expense</v>
          </cell>
        </row>
        <row r="6">
          <cell r="A6" t="str">
            <v>N/A</v>
          </cell>
          <cell r="B6" t="str">
            <v>No additional agency chosen</v>
          </cell>
          <cell r="C6"/>
          <cell r="D6"/>
          <cell r="E6">
            <v>0</v>
          </cell>
          <cell r="F6"/>
          <cell r="G6"/>
          <cell r="H6"/>
          <cell r="I6"/>
          <cell r="J6"/>
          <cell r="K6"/>
          <cell r="L6"/>
          <cell r="M6"/>
          <cell r="N6"/>
          <cell r="O6"/>
          <cell r="P6"/>
          <cell r="Q6"/>
          <cell r="R6"/>
          <cell r="S6"/>
          <cell r="T6"/>
          <cell r="U6"/>
        </row>
        <row r="7">
          <cell r="A7">
            <v>70505</v>
          </cell>
          <cell r="B7" t="str">
            <v>THE EASTERN BAND OF CHEROKEE INDIANS</v>
          </cell>
          <cell r="C7">
            <v>4.147E-4</v>
          </cell>
          <cell r="D7">
            <v>4.6880000000000001E-4</v>
          </cell>
          <cell r="E7">
            <v>195765</v>
          </cell>
          <cell r="F7">
            <v>994951</v>
          </cell>
          <cell r="G7">
            <v>633547</v>
          </cell>
          <cell r="H7"/>
          <cell r="I7">
            <v>36498</v>
          </cell>
          <cell r="J7">
            <v>153826</v>
          </cell>
          <cell r="K7">
            <v>90479</v>
          </cell>
          <cell r="L7">
            <v>0</v>
          </cell>
          <cell r="M7"/>
          <cell r="N7">
            <v>17934</v>
          </cell>
          <cell r="O7">
            <v>0</v>
          </cell>
          <cell r="P7">
            <v>0</v>
          </cell>
          <cell r="Q7">
            <v>53472</v>
          </cell>
          <cell r="R7"/>
          <cell r="S7">
            <v>213506</v>
          </cell>
          <cell r="T7">
            <v>-18259</v>
          </cell>
          <cell r="U7">
            <v>195247</v>
          </cell>
        </row>
        <row r="8">
          <cell r="A8">
            <v>72265</v>
          </cell>
          <cell r="B8" t="str">
            <v>PIEDMONT TRIAD AIRPORT AUTHORITY</v>
          </cell>
          <cell r="C8">
            <v>1.4009999999999999E-4</v>
          </cell>
          <cell r="D8">
            <v>1.327E-4</v>
          </cell>
          <cell r="E8">
            <v>61817</v>
          </cell>
          <cell r="F8">
            <v>281634</v>
          </cell>
          <cell r="G8">
            <v>214034</v>
          </cell>
          <cell r="H8"/>
          <cell r="I8">
            <v>12330</v>
          </cell>
          <cell r="J8">
            <v>51967</v>
          </cell>
          <cell r="K8">
            <v>30567</v>
          </cell>
          <cell r="L8">
            <v>6550</v>
          </cell>
          <cell r="M8"/>
          <cell r="N8">
            <v>6059</v>
          </cell>
          <cell r="O8">
            <v>0</v>
          </cell>
          <cell r="P8">
            <v>0</v>
          </cell>
          <cell r="Q8">
            <v>3729</v>
          </cell>
          <cell r="R8"/>
          <cell r="S8">
            <v>72130</v>
          </cell>
          <cell r="T8">
            <v>3031</v>
          </cell>
          <cell r="U8">
            <v>75161</v>
          </cell>
        </row>
        <row r="9">
          <cell r="A9">
            <v>72593</v>
          </cell>
          <cell r="B9" t="str">
            <v>TOWN OF SEAGROVE</v>
          </cell>
          <cell r="C9">
            <v>5.9000000000000003E-6</v>
          </cell>
          <cell r="D9">
            <v>0</v>
          </cell>
          <cell r="E9">
            <v>1531</v>
          </cell>
          <cell r="F9">
            <v>0</v>
          </cell>
          <cell r="G9">
            <v>9014</v>
          </cell>
          <cell r="H9"/>
          <cell r="I9">
            <v>519</v>
          </cell>
          <cell r="J9">
            <v>2188</v>
          </cell>
          <cell r="K9">
            <v>1287</v>
          </cell>
          <cell r="L9">
            <v>3014</v>
          </cell>
          <cell r="M9"/>
          <cell r="N9">
            <v>255</v>
          </cell>
          <cell r="O9">
            <v>0</v>
          </cell>
          <cell r="P9">
            <v>0</v>
          </cell>
          <cell r="Q9">
            <v>0</v>
          </cell>
          <cell r="R9"/>
          <cell r="S9">
            <v>3038</v>
          </cell>
          <cell r="T9">
            <v>753</v>
          </cell>
          <cell r="U9">
            <v>3791</v>
          </cell>
        </row>
        <row r="10">
          <cell r="A10">
            <v>72657</v>
          </cell>
          <cell r="B10" t="str">
            <v>TOWN OF SPARTA</v>
          </cell>
          <cell r="C10">
            <v>3.9900000000000001E-5</v>
          </cell>
          <cell r="D10">
            <v>4.2799999999999997E-5</v>
          </cell>
          <cell r="E10">
            <v>16620</v>
          </cell>
          <cell r="F10">
            <v>90836</v>
          </cell>
          <cell r="G10">
            <v>60956</v>
          </cell>
          <cell r="H10"/>
          <cell r="I10">
            <v>3512</v>
          </cell>
          <cell r="J10">
            <v>14801</v>
          </cell>
          <cell r="K10">
            <v>8705</v>
          </cell>
          <cell r="L10">
            <v>3272</v>
          </cell>
          <cell r="M10"/>
          <cell r="N10">
            <v>1725</v>
          </cell>
          <cell r="O10">
            <v>0</v>
          </cell>
          <cell r="P10">
            <v>0</v>
          </cell>
          <cell r="Q10">
            <v>6366</v>
          </cell>
          <cell r="R10"/>
          <cell r="S10">
            <v>20542</v>
          </cell>
          <cell r="T10">
            <v>900</v>
          </cell>
          <cell r="U10">
            <v>21442</v>
          </cell>
        </row>
        <row r="11">
          <cell r="A11">
            <v>90001</v>
          </cell>
          <cell r="B11" t="str">
            <v>YANCEY COUNTY</v>
          </cell>
          <cell r="C11">
            <v>8.6030000000000004E-4</v>
          </cell>
          <cell r="D11">
            <v>8.6910000000000004E-4</v>
          </cell>
          <cell r="E11">
            <v>386652</v>
          </cell>
          <cell r="F11">
            <v>1844521</v>
          </cell>
          <cell r="G11">
            <v>1314300</v>
          </cell>
          <cell r="H11"/>
          <cell r="I11">
            <v>75716</v>
          </cell>
          <cell r="J11">
            <v>319114</v>
          </cell>
          <cell r="K11">
            <v>187700</v>
          </cell>
          <cell r="L11">
            <v>11972</v>
          </cell>
          <cell r="M11"/>
          <cell r="N11">
            <v>37204</v>
          </cell>
          <cell r="O11">
            <v>0</v>
          </cell>
          <cell r="P11">
            <v>0</v>
          </cell>
          <cell r="Q11">
            <v>15474</v>
          </cell>
          <cell r="R11"/>
          <cell r="S11">
            <v>442920</v>
          </cell>
          <cell r="T11">
            <v>891</v>
          </cell>
          <cell r="U11">
            <v>443811</v>
          </cell>
        </row>
        <row r="12">
          <cell r="A12">
            <v>90002</v>
          </cell>
          <cell r="B12" t="str">
            <v>YANCEY SOIL &amp; WATER CONS</v>
          </cell>
          <cell r="C12">
            <v>1.06E-5</v>
          </cell>
          <cell r="D12">
            <v>1.15E-5</v>
          </cell>
          <cell r="E12">
            <v>6253</v>
          </cell>
          <cell r="F12">
            <v>24407</v>
          </cell>
          <cell r="G12">
            <v>16194</v>
          </cell>
          <cell r="H12"/>
          <cell r="I12">
            <v>933</v>
          </cell>
          <cell r="J12">
            <v>3932</v>
          </cell>
          <cell r="K12">
            <v>2313</v>
          </cell>
          <cell r="L12">
            <v>1497</v>
          </cell>
          <cell r="M12"/>
          <cell r="N12">
            <v>458</v>
          </cell>
          <cell r="O12">
            <v>0</v>
          </cell>
          <cell r="P12">
            <v>0</v>
          </cell>
          <cell r="Q12">
            <v>0</v>
          </cell>
          <cell r="R12"/>
          <cell r="S12">
            <v>5457</v>
          </cell>
          <cell r="T12">
            <v>563</v>
          </cell>
          <cell r="U12">
            <v>6020</v>
          </cell>
        </row>
        <row r="13">
          <cell r="A13">
            <v>90011</v>
          </cell>
          <cell r="B13" t="str">
            <v>TOWN OF BURNSVILLE</v>
          </cell>
          <cell r="C13">
            <v>1.974E-4</v>
          </cell>
          <cell r="D13">
            <v>2.0819999999999999E-4</v>
          </cell>
          <cell r="E13">
            <v>84205</v>
          </cell>
          <cell r="F13">
            <v>441870</v>
          </cell>
          <cell r="G13">
            <v>301573</v>
          </cell>
          <cell r="H13"/>
          <cell r="I13">
            <v>17373</v>
          </cell>
          <cell r="J13">
            <v>73222</v>
          </cell>
          <cell r="K13">
            <v>43069</v>
          </cell>
          <cell r="L13">
            <v>2300</v>
          </cell>
          <cell r="M13"/>
          <cell r="N13">
            <v>8537</v>
          </cell>
          <cell r="O13">
            <v>0</v>
          </cell>
          <cell r="P13">
            <v>0</v>
          </cell>
          <cell r="Q13">
            <v>30094</v>
          </cell>
          <cell r="R13"/>
          <cell r="S13">
            <v>101630</v>
          </cell>
          <cell r="T13">
            <v>-7615</v>
          </cell>
          <cell r="U13">
            <v>94015</v>
          </cell>
        </row>
        <row r="14">
          <cell r="A14">
            <v>90092</v>
          </cell>
          <cell r="B14" t="str">
            <v>MARTIN-TYRRELL-WASHINGTON DIST HEALTH DEPT</v>
          </cell>
          <cell r="C14">
            <v>3.5349999999999997E-4</v>
          </cell>
          <cell r="D14">
            <v>3.946E-4</v>
          </cell>
          <cell r="E14">
            <v>186641</v>
          </cell>
          <cell r="F14">
            <v>837473</v>
          </cell>
          <cell r="G14">
            <v>540050</v>
          </cell>
          <cell r="H14"/>
          <cell r="I14">
            <v>31112</v>
          </cell>
          <cell r="J14">
            <v>131125</v>
          </cell>
          <cell r="K14">
            <v>77127</v>
          </cell>
          <cell r="L14">
            <v>0</v>
          </cell>
          <cell r="M14"/>
          <cell r="N14">
            <v>15287</v>
          </cell>
          <cell r="O14">
            <v>0</v>
          </cell>
          <cell r="P14">
            <v>0</v>
          </cell>
          <cell r="Q14">
            <v>83168</v>
          </cell>
          <cell r="R14"/>
          <cell r="S14">
            <v>181997</v>
          </cell>
          <cell r="T14">
            <v>-42793</v>
          </cell>
          <cell r="U14">
            <v>139204</v>
          </cell>
        </row>
        <row r="15">
          <cell r="A15">
            <v>90096</v>
          </cell>
          <cell r="B15" t="str">
            <v>ALBEMARLE REGIONAL HEALTH SERVICES</v>
          </cell>
          <cell r="C15">
            <v>9.7559999999999997E-4</v>
          </cell>
          <cell r="D15">
            <v>1.3860999999999999E-3</v>
          </cell>
          <cell r="E15">
            <v>535127</v>
          </cell>
          <cell r="F15">
            <v>2941769</v>
          </cell>
          <cell r="G15">
            <v>1490447</v>
          </cell>
          <cell r="H15"/>
          <cell r="I15">
            <v>85864</v>
          </cell>
          <cell r="J15">
            <v>361882</v>
          </cell>
          <cell r="K15">
            <v>212856</v>
          </cell>
          <cell r="L15">
            <v>43597</v>
          </cell>
          <cell r="M15"/>
          <cell r="N15">
            <v>42190</v>
          </cell>
          <cell r="O15">
            <v>0</v>
          </cell>
          <cell r="P15">
            <v>0</v>
          </cell>
          <cell r="Q15">
            <v>238564</v>
          </cell>
          <cell r="R15"/>
          <cell r="S15">
            <v>502282</v>
          </cell>
          <cell r="T15">
            <v>-27538</v>
          </cell>
          <cell r="U15">
            <v>474744</v>
          </cell>
        </row>
        <row r="16">
          <cell r="A16">
            <v>90098</v>
          </cell>
          <cell r="B16" t="str">
            <v>TOE RIVER HEALTH DISTRICT</v>
          </cell>
          <cell r="C16">
            <v>2.9599999999999998E-4</v>
          </cell>
          <cell r="D16">
            <v>2.9280000000000002E-4</v>
          </cell>
          <cell r="E16">
            <v>140184</v>
          </cell>
          <cell r="F16">
            <v>621420</v>
          </cell>
          <cell r="G16">
            <v>452206</v>
          </cell>
          <cell r="H16"/>
          <cell r="I16">
            <v>26051</v>
          </cell>
          <cell r="J16">
            <v>109796</v>
          </cell>
          <cell r="K16">
            <v>64581</v>
          </cell>
          <cell r="L16">
            <v>5581</v>
          </cell>
          <cell r="M16"/>
          <cell r="N16">
            <v>12801</v>
          </cell>
          <cell r="O16">
            <v>0</v>
          </cell>
          <cell r="P16">
            <v>0</v>
          </cell>
          <cell r="Q16">
            <v>110893</v>
          </cell>
          <cell r="R16"/>
          <cell r="S16">
            <v>152394</v>
          </cell>
          <cell r="T16">
            <v>-51374</v>
          </cell>
          <cell r="U16">
            <v>101020</v>
          </cell>
        </row>
        <row r="17">
          <cell r="A17">
            <v>90099</v>
          </cell>
          <cell r="B17" t="str">
            <v>APPALACHIAN DISTRICT HEALTH DEPT</v>
          </cell>
          <cell r="C17">
            <v>6.6330000000000002E-4</v>
          </cell>
          <cell r="D17">
            <v>4.9330000000000001E-4</v>
          </cell>
          <cell r="E17">
            <v>271208</v>
          </cell>
          <cell r="F17">
            <v>1046948</v>
          </cell>
          <cell r="G17">
            <v>1013339</v>
          </cell>
          <cell r="H17"/>
          <cell r="I17">
            <v>58378</v>
          </cell>
          <cell r="J17">
            <v>246040</v>
          </cell>
          <cell r="K17">
            <v>144719</v>
          </cell>
          <cell r="L17">
            <v>89744</v>
          </cell>
          <cell r="M17"/>
          <cell r="N17">
            <v>28684</v>
          </cell>
          <cell r="O17">
            <v>0</v>
          </cell>
          <cell r="P17">
            <v>0</v>
          </cell>
          <cell r="Q17">
            <v>44006</v>
          </cell>
          <cell r="R17"/>
          <cell r="S17">
            <v>341496</v>
          </cell>
          <cell r="T17">
            <v>7780</v>
          </cell>
          <cell r="U17">
            <v>349276</v>
          </cell>
        </row>
        <row r="18">
          <cell r="A18">
            <v>90101</v>
          </cell>
          <cell r="B18" t="str">
            <v>ALAMANCE COUNTY</v>
          </cell>
          <cell r="C18">
            <v>6.6312000000000003E-3</v>
          </cell>
          <cell r="D18">
            <v>6.3996000000000001E-3</v>
          </cell>
          <cell r="E18">
            <v>2960721</v>
          </cell>
          <cell r="F18">
            <v>13582095</v>
          </cell>
          <cell r="G18">
            <v>10130637</v>
          </cell>
          <cell r="H18"/>
          <cell r="I18">
            <v>583619</v>
          </cell>
          <cell r="J18">
            <v>2459731</v>
          </cell>
          <cell r="K18">
            <v>1446795</v>
          </cell>
          <cell r="L18">
            <v>245836</v>
          </cell>
          <cell r="M18"/>
          <cell r="N18">
            <v>286766</v>
          </cell>
          <cell r="O18">
            <v>0</v>
          </cell>
          <cell r="P18">
            <v>0</v>
          </cell>
          <cell r="Q18">
            <v>25616</v>
          </cell>
          <cell r="R18"/>
          <cell r="S18">
            <v>3414034</v>
          </cell>
          <cell r="T18">
            <v>67895</v>
          </cell>
          <cell r="U18">
            <v>3481929</v>
          </cell>
        </row>
        <row r="19">
          <cell r="A19">
            <v>90111</v>
          </cell>
          <cell r="B19" t="str">
            <v>CITY OF BURLINGTON</v>
          </cell>
          <cell r="C19">
            <v>4.9740000000000001E-3</v>
          </cell>
          <cell r="D19">
            <v>4.8874000000000001E-3</v>
          </cell>
          <cell r="E19">
            <v>2229766</v>
          </cell>
          <cell r="F19">
            <v>10372700</v>
          </cell>
          <cell r="G19">
            <v>7598894</v>
          </cell>
          <cell r="H19"/>
          <cell r="I19">
            <v>437767</v>
          </cell>
          <cell r="J19">
            <v>1845021</v>
          </cell>
          <cell r="K19">
            <v>1085227</v>
          </cell>
          <cell r="L19">
            <v>15088</v>
          </cell>
          <cell r="M19"/>
          <cell r="N19">
            <v>215101</v>
          </cell>
          <cell r="O19">
            <v>0</v>
          </cell>
          <cell r="P19">
            <v>0</v>
          </cell>
          <cell r="Q19">
            <v>106602</v>
          </cell>
          <cell r="R19"/>
          <cell r="S19">
            <v>2560834</v>
          </cell>
          <cell r="T19">
            <v>-53609</v>
          </cell>
          <cell r="U19">
            <v>2507225</v>
          </cell>
        </row>
        <row r="20">
          <cell r="A20">
            <v>90114</v>
          </cell>
          <cell r="B20" t="str">
            <v>CITY OF MEBANE</v>
          </cell>
          <cell r="C20">
            <v>1.0919E-3</v>
          </cell>
          <cell r="D20">
            <v>1.0681E-3</v>
          </cell>
          <cell r="E20">
            <v>1108464</v>
          </cell>
          <cell r="F20">
            <v>2266866</v>
          </cell>
          <cell r="G20">
            <v>1668121</v>
          </cell>
          <cell r="H20"/>
          <cell r="I20">
            <v>96099</v>
          </cell>
          <cell r="J20">
            <v>405022</v>
          </cell>
          <cell r="K20">
            <v>238231</v>
          </cell>
          <cell r="L20">
            <v>1077044</v>
          </cell>
          <cell r="M20"/>
          <cell r="N20">
            <v>47219</v>
          </cell>
          <cell r="O20">
            <v>0</v>
          </cell>
          <cell r="P20">
            <v>0</v>
          </cell>
          <cell r="Q20">
            <v>0</v>
          </cell>
          <cell r="R20"/>
          <cell r="S20">
            <v>562158</v>
          </cell>
          <cell r="T20">
            <v>371192</v>
          </cell>
          <cell r="U20">
            <v>933350</v>
          </cell>
        </row>
        <row r="21">
          <cell r="A21">
            <v>90117</v>
          </cell>
          <cell r="B21" t="str">
            <v>ALAMANCE MUNICIPAL ABC BOARD</v>
          </cell>
          <cell r="C21">
            <v>1.407E-4</v>
          </cell>
          <cell r="D21">
            <v>1.35E-4</v>
          </cell>
          <cell r="E21">
            <v>80147</v>
          </cell>
          <cell r="F21">
            <v>286515</v>
          </cell>
          <cell r="G21">
            <v>214951</v>
          </cell>
          <cell r="H21"/>
          <cell r="I21">
            <v>12383</v>
          </cell>
          <cell r="J21">
            <v>52190</v>
          </cell>
          <cell r="K21">
            <v>30698</v>
          </cell>
          <cell r="L21">
            <v>44526</v>
          </cell>
          <cell r="M21"/>
          <cell r="N21">
            <v>6085</v>
          </cell>
          <cell r="O21">
            <v>0</v>
          </cell>
          <cell r="P21">
            <v>0</v>
          </cell>
          <cell r="Q21">
            <v>0</v>
          </cell>
          <cell r="R21"/>
          <cell r="S21">
            <v>72439</v>
          </cell>
          <cell r="T21">
            <v>18359</v>
          </cell>
          <cell r="U21">
            <v>90798</v>
          </cell>
        </row>
        <row r="22">
          <cell r="A22">
            <v>90121</v>
          </cell>
          <cell r="B22" t="str">
            <v>CITY OF GRAHAM</v>
          </cell>
          <cell r="C22">
            <v>1.0991E-3</v>
          </cell>
          <cell r="D22">
            <v>1.0789E-3</v>
          </cell>
          <cell r="E22">
            <v>452142</v>
          </cell>
          <cell r="F22">
            <v>2289787</v>
          </cell>
          <cell r="G22">
            <v>1679120</v>
          </cell>
          <cell r="H22"/>
          <cell r="I22">
            <v>96733</v>
          </cell>
          <cell r="J22">
            <v>407692</v>
          </cell>
          <cell r="K22">
            <v>239802</v>
          </cell>
          <cell r="L22">
            <v>3244</v>
          </cell>
          <cell r="M22"/>
          <cell r="N22">
            <v>47531</v>
          </cell>
          <cell r="O22">
            <v>0</v>
          </cell>
          <cell r="P22">
            <v>0</v>
          </cell>
          <cell r="Q22">
            <v>81552</v>
          </cell>
          <cell r="R22"/>
          <cell r="S22">
            <v>565865</v>
          </cell>
          <cell r="T22">
            <v>-25049</v>
          </cell>
          <cell r="U22">
            <v>540816</v>
          </cell>
        </row>
        <row r="23">
          <cell r="A23">
            <v>90131</v>
          </cell>
          <cell r="B23" t="str">
            <v>TOWN OF ELON</v>
          </cell>
          <cell r="C23">
            <v>4.7639999999999998E-4</v>
          </cell>
          <cell r="D23">
            <v>5.0440000000000001E-4</v>
          </cell>
          <cell r="E23">
            <v>207243</v>
          </cell>
          <cell r="F23">
            <v>1070506</v>
          </cell>
          <cell r="G23">
            <v>727807</v>
          </cell>
          <cell r="H23"/>
          <cell r="I23">
            <v>41928</v>
          </cell>
          <cell r="J23">
            <v>176712</v>
          </cell>
          <cell r="K23">
            <v>103941</v>
          </cell>
          <cell r="L23">
            <v>0</v>
          </cell>
          <cell r="M23"/>
          <cell r="N23">
            <v>20602</v>
          </cell>
          <cell r="O23">
            <v>0</v>
          </cell>
          <cell r="P23">
            <v>0</v>
          </cell>
          <cell r="Q23">
            <v>42066</v>
          </cell>
          <cell r="R23"/>
          <cell r="S23">
            <v>245272</v>
          </cell>
          <cell r="T23">
            <v>-15937</v>
          </cell>
          <cell r="U23">
            <v>229335</v>
          </cell>
        </row>
        <row r="24">
          <cell r="A24">
            <v>90141</v>
          </cell>
          <cell r="B24" t="str">
            <v>TOWN OF HAW RIVER</v>
          </cell>
          <cell r="C24">
            <v>1.4779999999999999E-4</v>
          </cell>
          <cell r="D24">
            <v>1.306E-4</v>
          </cell>
          <cell r="E24">
            <v>62655</v>
          </cell>
          <cell r="F24">
            <v>277177</v>
          </cell>
          <cell r="G24">
            <v>225797</v>
          </cell>
          <cell r="H24"/>
          <cell r="I24">
            <v>13008</v>
          </cell>
          <cell r="J24">
            <v>54824</v>
          </cell>
          <cell r="K24">
            <v>32247</v>
          </cell>
          <cell r="L24">
            <v>8660</v>
          </cell>
          <cell r="M24"/>
          <cell r="N24">
            <v>6392</v>
          </cell>
          <cell r="O24">
            <v>0</v>
          </cell>
          <cell r="P24">
            <v>0</v>
          </cell>
          <cell r="Q24">
            <v>10174</v>
          </cell>
          <cell r="R24"/>
          <cell r="S24">
            <v>76094</v>
          </cell>
          <cell r="T24">
            <v>-857</v>
          </cell>
          <cell r="U24">
            <v>75237</v>
          </cell>
        </row>
        <row r="25">
          <cell r="A25">
            <v>90151</v>
          </cell>
          <cell r="B25" t="str">
            <v>VILLAGE OF ALAMANCE</v>
          </cell>
          <cell r="C25">
            <v>9.9000000000000001E-6</v>
          </cell>
          <cell r="D25">
            <v>1.0000000000000001E-5</v>
          </cell>
          <cell r="E25">
            <v>3085</v>
          </cell>
          <cell r="F25">
            <v>21223</v>
          </cell>
          <cell r="G25">
            <v>15124</v>
          </cell>
          <cell r="H25"/>
          <cell r="I25">
            <v>871</v>
          </cell>
          <cell r="J25">
            <v>3672</v>
          </cell>
          <cell r="K25">
            <v>2160</v>
          </cell>
          <cell r="L25">
            <v>0</v>
          </cell>
          <cell r="M25"/>
          <cell r="N25">
            <v>428</v>
          </cell>
          <cell r="O25">
            <v>0</v>
          </cell>
          <cell r="P25">
            <v>0</v>
          </cell>
          <cell r="Q25">
            <v>2719</v>
          </cell>
          <cell r="R25"/>
          <cell r="S25">
            <v>5097</v>
          </cell>
          <cell r="T25">
            <v>-1090</v>
          </cell>
          <cell r="U25">
            <v>4007</v>
          </cell>
        </row>
        <row r="26">
          <cell r="A26">
            <v>90161</v>
          </cell>
          <cell r="B26" t="str">
            <v>TOWN OF GREEN LEVEL</v>
          </cell>
          <cell r="C26">
            <v>3.4199999999999998E-5</v>
          </cell>
          <cell r="D26">
            <v>3.4799999999999999E-5</v>
          </cell>
          <cell r="E26">
            <v>15627</v>
          </cell>
          <cell r="F26">
            <v>73857</v>
          </cell>
          <cell r="G26">
            <v>52248</v>
          </cell>
          <cell r="H26"/>
          <cell r="I26">
            <v>3010</v>
          </cell>
          <cell r="J26">
            <v>12686</v>
          </cell>
          <cell r="K26">
            <v>7462</v>
          </cell>
          <cell r="L26">
            <v>4022</v>
          </cell>
          <cell r="M26"/>
          <cell r="N26">
            <v>1479</v>
          </cell>
          <cell r="O26">
            <v>0</v>
          </cell>
          <cell r="P26">
            <v>0</v>
          </cell>
          <cell r="Q26">
            <v>462</v>
          </cell>
          <cell r="R26"/>
          <cell r="S26">
            <v>17608</v>
          </cell>
          <cell r="T26">
            <v>1591</v>
          </cell>
          <cell r="U26">
            <v>19199</v>
          </cell>
        </row>
        <row r="27">
          <cell r="A27">
            <v>90201</v>
          </cell>
          <cell r="B27" t="str">
            <v>ALEXANDER COUNTY</v>
          </cell>
          <cell r="C27">
            <v>1.2126999999999999E-3</v>
          </cell>
          <cell r="D27">
            <v>1.2419E-3</v>
          </cell>
          <cell r="E27">
            <v>536124</v>
          </cell>
          <cell r="F27">
            <v>2635728</v>
          </cell>
          <cell r="G27">
            <v>1852670</v>
          </cell>
          <cell r="H27"/>
          <cell r="I27">
            <v>106731</v>
          </cell>
          <cell r="J27">
            <v>449830</v>
          </cell>
          <cell r="K27">
            <v>264587</v>
          </cell>
          <cell r="L27">
            <v>36621</v>
          </cell>
          <cell r="M27"/>
          <cell r="N27">
            <v>52443</v>
          </cell>
          <cell r="O27">
            <v>0</v>
          </cell>
          <cell r="P27">
            <v>0</v>
          </cell>
          <cell r="Q27">
            <v>36396</v>
          </cell>
          <cell r="R27"/>
          <cell r="S27">
            <v>624351</v>
          </cell>
          <cell r="T27">
            <v>24941</v>
          </cell>
          <cell r="U27">
            <v>649292</v>
          </cell>
        </row>
        <row r="28">
          <cell r="A28">
            <v>90203</v>
          </cell>
          <cell r="B28" t="str">
            <v>ALEXANDER COUNTY HEALTH DEPT</v>
          </cell>
          <cell r="C28">
            <v>1.994E-4</v>
          </cell>
          <cell r="D28">
            <v>2.3680000000000001E-4</v>
          </cell>
          <cell r="E28">
            <v>91056</v>
          </cell>
          <cell r="F28">
            <v>502569</v>
          </cell>
          <cell r="G28">
            <v>304628</v>
          </cell>
          <cell r="H28"/>
          <cell r="I28">
            <v>17549</v>
          </cell>
          <cell r="J28">
            <v>73964</v>
          </cell>
          <cell r="K28">
            <v>43505</v>
          </cell>
          <cell r="L28">
            <v>2154</v>
          </cell>
          <cell r="M28"/>
          <cell r="N28">
            <v>8623</v>
          </cell>
          <cell r="O28">
            <v>0</v>
          </cell>
          <cell r="P28">
            <v>0</v>
          </cell>
          <cell r="Q28">
            <v>49077</v>
          </cell>
          <cell r="R28"/>
          <cell r="S28">
            <v>102660</v>
          </cell>
          <cell r="T28">
            <v>-18026</v>
          </cell>
          <cell r="U28">
            <v>84634</v>
          </cell>
        </row>
        <row r="29">
          <cell r="A29">
            <v>90205</v>
          </cell>
          <cell r="B29" t="str">
            <v>ALEXANDER COUNTY PUBLIC LIBRARY</v>
          </cell>
          <cell r="C29">
            <v>3.0000000000000001E-5</v>
          </cell>
          <cell r="D29">
            <v>3.3599999999999997E-5</v>
          </cell>
          <cell r="E29">
            <v>14233</v>
          </cell>
          <cell r="F29">
            <v>71310</v>
          </cell>
          <cell r="G29">
            <v>45832</v>
          </cell>
          <cell r="H29"/>
          <cell r="I29">
            <v>2640</v>
          </cell>
          <cell r="J29">
            <v>11128</v>
          </cell>
          <cell r="K29">
            <v>6545</v>
          </cell>
          <cell r="L29">
            <v>769</v>
          </cell>
          <cell r="M29"/>
          <cell r="N29">
            <v>1297</v>
          </cell>
          <cell r="O29">
            <v>0</v>
          </cell>
          <cell r="P29">
            <v>0</v>
          </cell>
          <cell r="Q29">
            <v>2625</v>
          </cell>
          <cell r="R29"/>
          <cell r="S29">
            <v>15445</v>
          </cell>
          <cell r="T29">
            <v>-105</v>
          </cell>
          <cell r="U29">
            <v>15340</v>
          </cell>
        </row>
        <row r="30">
          <cell r="A30">
            <v>90206</v>
          </cell>
          <cell r="B30" t="str">
            <v>ALEXANDER COUNTY DEPT OF S S</v>
          </cell>
          <cell r="C30">
            <v>4.2069999999999998E-4</v>
          </cell>
          <cell r="D30">
            <v>4.347E-4</v>
          </cell>
          <cell r="E30">
            <v>184249</v>
          </cell>
          <cell r="F30">
            <v>922579</v>
          </cell>
          <cell r="G30">
            <v>642713</v>
          </cell>
          <cell r="H30"/>
          <cell r="I30">
            <v>37026</v>
          </cell>
          <cell r="J30">
            <v>156051</v>
          </cell>
          <cell r="K30">
            <v>91788</v>
          </cell>
          <cell r="L30">
            <v>8978</v>
          </cell>
          <cell r="M30"/>
          <cell r="N30">
            <v>18193</v>
          </cell>
          <cell r="O30">
            <v>0</v>
          </cell>
          <cell r="P30">
            <v>0</v>
          </cell>
          <cell r="Q30">
            <v>25382</v>
          </cell>
          <cell r="R30"/>
          <cell r="S30">
            <v>216595</v>
          </cell>
          <cell r="T30">
            <v>1315</v>
          </cell>
          <cell r="U30">
            <v>217910</v>
          </cell>
        </row>
        <row r="31">
          <cell r="A31">
            <v>90211</v>
          </cell>
          <cell r="B31" t="str">
            <v>TOWN OF TAYLORSVILLE</v>
          </cell>
          <cell r="C31">
            <v>1.4799999999999999E-4</v>
          </cell>
          <cell r="D31">
            <v>1.5689999999999999E-4</v>
          </cell>
          <cell r="E31">
            <v>71260</v>
          </cell>
          <cell r="F31">
            <v>332994</v>
          </cell>
          <cell r="G31">
            <v>226103</v>
          </cell>
          <cell r="H31"/>
          <cell r="I31">
            <v>13026</v>
          </cell>
          <cell r="J31">
            <v>54898</v>
          </cell>
          <cell r="K31">
            <v>32291</v>
          </cell>
          <cell r="L31">
            <v>0</v>
          </cell>
          <cell r="M31"/>
          <cell r="N31">
            <v>6400</v>
          </cell>
          <cell r="O31">
            <v>0</v>
          </cell>
          <cell r="P31">
            <v>0</v>
          </cell>
          <cell r="Q31">
            <v>15344</v>
          </cell>
          <cell r="R31"/>
          <cell r="S31">
            <v>76197</v>
          </cell>
          <cell r="T31">
            <v>-6134</v>
          </cell>
          <cell r="U31">
            <v>70063</v>
          </cell>
        </row>
        <row r="32">
          <cell r="A32">
            <v>90301</v>
          </cell>
          <cell r="B32" t="str">
            <v>ALLEGHANY COUNTY</v>
          </cell>
          <cell r="C32">
            <v>6.7040000000000003E-4</v>
          </cell>
          <cell r="D32">
            <v>6.4000000000000005E-4</v>
          </cell>
          <cell r="E32">
            <v>280575</v>
          </cell>
          <cell r="F32">
            <v>1358294</v>
          </cell>
          <cell r="G32">
            <v>1024185</v>
          </cell>
          <cell r="H32"/>
          <cell r="I32">
            <v>59003</v>
          </cell>
          <cell r="J32">
            <v>248673</v>
          </cell>
          <cell r="K32">
            <v>146268</v>
          </cell>
          <cell r="L32">
            <v>4314</v>
          </cell>
          <cell r="M32"/>
          <cell r="N32">
            <v>28991</v>
          </cell>
          <cell r="O32">
            <v>0</v>
          </cell>
          <cell r="P32">
            <v>0</v>
          </cell>
          <cell r="Q32">
            <v>13341</v>
          </cell>
          <cell r="R32"/>
          <cell r="S32">
            <v>345151</v>
          </cell>
          <cell r="T32">
            <v>-5567</v>
          </cell>
          <cell r="U32">
            <v>339584</v>
          </cell>
        </row>
        <row r="33">
          <cell r="A33">
            <v>90305</v>
          </cell>
          <cell r="B33" t="str">
            <v>NORTHWESTERN REGIONAL LIBRARY</v>
          </cell>
          <cell r="C33">
            <v>1.617E-4</v>
          </cell>
          <cell r="D33">
            <v>1.7009999999999999E-4</v>
          </cell>
          <cell r="E33">
            <v>85892</v>
          </cell>
          <cell r="F33">
            <v>361009</v>
          </cell>
          <cell r="G33">
            <v>247033</v>
          </cell>
          <cell r="H33"/>
          <cell r="I33">
            <v>14231</v>
          </cell>
          <cell r="J33">
            <v>59980</v>
          </cell>
          <cell r="K33">
            <v>35280</v>
          </cell>
          <cell r="L33">
            <v>20715</v>
          </cell>
          <cell r="M33"/>
          <cell r="N33">
            <v>6993</v>
          </cell>
          <cell r="O33">
            <v>0</v>
          </cell>
          <cell r="P33">
            <v>0</v>
          </cell>
          <cell r="Q33">
            <v>0</v>
          </cell>
          <cell r="R33"/>
          <cell r="S33">
            <v>83250</v>
          </cell>
          <cell r="T33">
            <v>10025</v>
          </cell>
          <cell r="U33">
            <v>93275</v>
          </cell>
        </row>
        <row r="34">
          <cell r="A34">
            <v>90307</v>
          </cell>
          <cell r="B34" t="str">
            <v>TOWN OF SPARTA ABC BOARD</v>
          </cell>
          <cell r="C34">
            <v>7.7999999999999999E-6</v>
          </cell>
          <cell r="D34">
            <v>7.7000000000000008E-6</v>
          </cell>
          <cell r="E34">
            <v>4130</v>
          </cell>
          <cell r="F34">
            <v>16342</v>
          </cell>
          <cell r="G34">
            <v>11916</v>
          </cell>
          <cell r="H34"/>
          <cell r="I34">
            <v>686</v>
          </cell>
          <cell r="J34">
            <v>2893</v>
          </cell>
          <cell r="K34">
            <v>1702</v>
          </cell>
          <cell r="L34">
            <v>647</v>
          </cell>
          <cell r="M34"/>
          <cell r="N34">
            <v>337</v>
          </cell>
          <cell r="O34">
            <v>0</v>
          </cell>
          <cell r="P34">
            <v>0</v>
          </cell>
          <cell r="Q34">
            <v>40</v>
          </cell>
          <cell r="R34"/>
          <cell r="S34">
            <v>4016</v>
          </cell>
          <cell r="T34">
            <v>160</v>
          </cell>
          <cell r="U34">
            <v>4176</v>
          </cell>
        </row>
        <row r="35">
          <cell r="A35">
            <v>90401</v>
          </cell>
          <cell r="B35" t="str">
            <v>ANSON COUNTY</v>
          </cell>
          <cell r="C35">
            <v>1.3270999999999999E-3</v>
          </cell>
          <cell r="D35">
            <v>1.3626999999999999E-3</v>
          </cell>
          <cell r="E35">
            <v>624955</v>
          </cell>
          <cell r="F35">
            <v>2892106</v>
          </cell>
          <cell r="G35">
            <v>2027441</v>
          </cell>
          <cell r="H35"/>
          <cell r="I35">
            <v>116799</v>
          </cell>
          <cell r="J35">
            <v>492266</v>
          </cell>
          <cell r="K35">
            <v>289547</v>
          </cell>
          <cell r="L35">
            <v>44019</v>
          </cell>
          <cell r="M35"/>
          <cell r="N35">
            <v>57390</v>
          </cell>
          <cell r="O35">
            <v>0</v>
          </cell>
          <cell r="P35">
            <v>0</v>
          </cell>
          <cell r="Q35">
            <v>11305</v>
          </cell>
          <cell r="R35"/>
          <cell r="S35">
            <v>683249</v>
          </cell>
          <cell r="T35">
            <v>23981</v>
          </cell>
          <cell r="U35">
            <v>707230</v>
          </cell>
        </row>
        <row r="36">
          <cell r="A36">
            <v>90411</v>
          </cell>
          <cell r="B36" t="str">
            <v>TOWN OF WADESBORO</v>
          </cell>
          <cell r="C36">
            <v>3.5100000000000002E-4</v>
          </cell>
          <cell r="D36">
            <v>3.5490000000000001E-4</v>
          </cell>
          <cell r="E36">
            <v>152317</v>
          </cell>
          <cell r="F36">
            <v>753217</v>
          </cell>
          <cell r="G36">
            <v>536231</v>
          </cell>
          <cell r="H36"/>
          <cell r="I36">
            <v>30892</v>
          </cell>
          <cell r="J36">
            <v>130197</v>
          </cell>
          <cell r="K36">
            <v>76581</v>
          </cell>
          <cell r="L36">
            <v>0</v>
          </cell>
          <cell r="M36"/>
          <cell r="N36">
            <v>15179</v>
          </cell>
          <cell r="O36">
            <v>0</v>
          </cell>
          <cell r="P36">
            <v>0</v>
          </cell>
          <cell r="Q36">
            <v>41985</v>
          </cell>
          <cell r="R36"/>
          <cell r="S36">
            <v>180710</v>
          </cell>
          <cell r="T36">
            <v>-15971</v>
          </cell>
          <cell r="U36">
            <v>164739</v>
          </cell>
        </row>
        <row r="37">
          <cell r="A37">
            <v>90413</v>
          </cell>
          <cell r="B37" t="str">
            <v>WADESBORO HOUSING AUTHORITY</v>
          </cell>
          <cell r="C37">
            <v>3.4600000000000001E-5</v>
          </cell>
          <cell r="D37">
            <v>3.7299999999999999E-5</v>
          </cell>
          <cell r="E37">
            <v>17002</v>
          </cell>
          <cell r="F37">
            <v>79163</v>
          </cell>
          <cell r="G37">
            <v>52859</v>
          </cell>
          <cell r="H37"/>
          <cell r="I37">
            <v>3045</v>
          </cell>
          <cell r="J37">
            <v>12834</v>
          </cell>
          <cell r="K37">
            <v>7549</v>
          </cell>
          <cell r="L37">
            <v>5923</v>
          </cell>
          <cell r="M37"/>
          <cell r="N37">
            <v>1496</v>
          </cell>
          <cell r="O37">
            <v>0</v>
          </cell>
          <cell r="P37">
            <v>0</v>
          </cell>
          <cell r="Q37">
            <v>916</v>
          </cell>
          <cell r="R37"/>
          <cell r="S37">
            <v>17814</v>
          </cell>
          <cell r="T37">
            <v>3416</v>
          </cell>
          <cell r="U37">
            <v>21230</v>
          </cell>
        </row>
        <row r="38">
          <cell r="A38">
            <v>90417</v>
          </cell>
          <cell r="B38" t="str">
            <v>WADESBORO ABC BOARD</v>
          </cell>
          <cell r="C38">
            <v>1.17E-5</v>
          </cell>
          <cell r="D38">
            <v>1.2099999999999999E-5</v>
          </cell>
          <cell r="E38">
            <v>8372</v>
          </cell>
          <cell r="F38">
            <v>25680</v>
          </cell>
          <cell r="G38">
            <v>17874</v>
          </cell>
          <cell r="H38"/>
          <cell r="I38">
            <v>1030</v>
          </cell>
          <cell r="J38">
            <v>4340</v>
          </cell>
          <cell r="K38">
            <v>2553</v>
          </cell>
          <cell r="L38">
            <v>3477</v>
          </cell>
          <cell r="M38"/>
          <cell r="N38">
            <v>506</v>
          </cell>
          <cell r="O38">
            <v>0</v>
          </cell>
          <cell r="P38">
            <v>0</v>
          </cell>
          <cell r="Q38">
            <v>0</v>
          </cell>
          <cell r="R38"/>
          <cell r="S38">
            <v>6024</v>
          </cell>
          <cell r="T38">
            <v>1221</v>
          </cell>
          <cell r="U38">
            <v>7245</v>
          </cell>
        </row>
        <row r="39">
          <cell r="A39">
            <v>90421</v>
          </cell>
          <cell r="B39" t="str">
            <v>TOWN OF LILESVILLE</v>
          </cell>
          <cell r="C39">
            <v>2.19E-5</v>
          </cell>
          <cell r="D39">
            <v>2.3600000000000001E-5</v>
          </cell>
          <cell r="E39">
            <v>8534</v>
          </cell>
          <cell r="F39">
            <v>50087</v>
          </cell>
          <cell r="G39">
            <v>33457</v>
          </cell>
          <cell r="H39"/>
          <cell r="I39">
            <v>1927</v>
          </cell>
          <cell r="J39">
            <v>8123</v>
          </cell>
          <cell r="K39">
            <v>4778</v>
          </cell>
          <cell r="L39">
            <v>0</v>
          </cell>
          <cell r="M39"/>
          <cell r="N39">
            <v>947</v>
          </cell>
          <cell r="O39">
            <v>0</v>
          </cell>
          <cell r="P39">
            <v>0</v>
          </cell>
          <cell r="Q39">
            <v>4721</v>
          </cell>
          <cell r="R39"/>
          <cell r="S39">
            <v>11275</v>
          </cell>
          <cell r="T39">
            <v>-1814</v>
          </cell>
          <cell r="U39">
            <v>9461</v>
          </cell>
        </row>
        <row r="40">
          <cell r="A40">
            <v>90431</v>
          </cell>
          <cell r="B40" t="str">
            <v>TOWN OF POLKTON</v>
          </cell>
          <cell r="C40">
            <v>4.8300000000000002E-5</v>
          </cell>
          <cell r="D40">
            <v>4.2799999999999997E-5</v>
          </cell>
          <cell r="E40">
            <v>21844</v>
          </cell>
          <cell r="F40">
            <v>90836</v>
          </cell>
          <cell r="G40">
            <v>73789</v>
          </cell>
          <cell r="H40"/>
          <cell r="I40">
            <v>4251</v>
          </cell>
          <cell r="J40">
            <v>17916</v>
          </cell>
          <cell r="K40">
            <v>10538</v>
          </cell>
          <cell r="L40">
            <v>8663</v>
          </cell>
          <cell r="M40"/>
          <cell r="N40">
            <v>2089</v>
          </cell>
          <cell r="O40">
            <v>0</v>
          </cell>
          <cell r="P40">
            <v>0</v>
          </cell>
          <cell r="Q40">
            <v>1273</v>
          </cell>
          <cell r="R40"/>
          <cell r="S40">
            <v>24867</v>
          </cell>
          <cell r="T40">
            <v>3649</v>
          </cell>
          <cell r="U40">
            <v>28516</v>
          </cell>
        </row>
        <row r="41">
          <cell r="A41">
            <v>90441</v>
          </cell>
          <cell r="B41" t="str">
            <v>TOWN OF PEACHLAND</v>
          </cell>
          <cell r="C41">
            <v>8.3999999999999992E-6</v>
          </cell>
          <cell r="D41">
            <v>9.3999999999999998E-6</v>
          </cell>
          <cell r="E41">
            <v>4910</v>
          </cell>
          <cell r="F41">
            <v>19950</v>
          </cell>
          <cell r="G41">
            <v>12833</v>
          </cell>
          <cell r="H41"/>
          <cell r="I41">
            <v>739</v>
          </cell>
          <cell r="J41">
            <v>3115</v>
          </cell>
          <cell r="K41">
            <v>1833</v>
          </cell>
          <cell r="L41">
            <v>890</v>
          </cell>
          <cell r="M41"/>
          <cell r="N41">
            <v>363</v>
          </cell>
          <cell r="O41">
            <v>0</v>
          </cell>
          <cell r="P41">
            <v>0</v>
          </cell>
          <cell r="Q41">
            <v>129</v>
          </cell>
          <cell r="R41"/>
          <cell r="S41">
            <v>4325</v>
          </cell>
          <cell r="T41">
            <v>621</v>
          </cell>
          <cell r="U41">
            <v>4946</v>
          </cell>
        </row>
        <row r="42">
          <cell r="A42">
            <v>90451</v>
          </cell>
          <cell r="B42" t="str">
            <v>TOWN OF ANSONVILLE</v>
          </cell>
          <cell r="C42">
            <v>1.6699999999999999E-5</v>
          </cell>
          <cell r="D42">
            <v>1.7900000000000001E-5</v>
          </cell>
          <cell r="E42">
            <v>7776</v>
          </cell>
          <cell r="F42">
            <v>37990</v>
          </cell>
          <cell r="G42">
            <v>25513</v>
          </cell>
          <cell r="H42"/>
          <cell r="I42">
            <v>1470</v>
          </cell>
          <cell r="J42">
            <v>6194</v>
          </cell>
          <cell r="K42">
            <v>3644</v>
          </cell>
          <cell r="L42">
            <v>2202</v>
          </cell>
          <cell r="M42"/>
          <cell r="N42">
            <v>722</v>
          </cell>
          <cell r="O42">
            <v>0</v>
          </cell>
          <cell r="P42">
            <v>0</v>
          </cell>
          <cell r="Q42">
            <v>903</v>
          </cell>
          <cell r="R42"/>
          <cell r="S42">
            <v>8598</v>
          </cell>
          <cell r="T42">
            <v>635</v>
          </cell>
          <cell r="U42">
            <v>9233</v>
          </cell>
        </row>
        <row r="43">
          <cell r="A43">
            <v>90461</v>
          </cell>
          <cell r="B43" t="str">
            <v>TOWN OF MORVEN</v>
          </cell>
          <cell r="C43">
            <v>7.4000000000000003E-6</v>
          </cell>
          <cell r="D43">
            <v>1.7200000000000001E-5</v>
          </cell>
          <cell r="E43">
            <v>3691</v>
          </cell>
          <cell r="F43">
            <v>36504</v>
          </cell>
          <cell r="G43">
            <v>11305</v>
          </cell>
          <cell r="H43"/>
          <cell r="I43">
            <v>651</v>
          </cell>
          <cell r="J43">
            <v>2745</v>
          </cell>
          <cell r="K43">
            <v>1615</v>
          </cell>
          <cell r="L43">
            <v>3066</v>
          </cell>
          <cell r="M43"/>
          <cell r="N43">
            <v>320</v>
          </cell>
          <cell r="O43">
            <v>0</v>
          </cell>
          <cell r="P43">
            <v>0</v>
          </cell>
          <cell r="Q43">
            <v>7660</v>
          </cell>
          <cell r="R43"/>
          <cell r="S43">
            <v>3810</v>
          </cell>
          <cell r="T43">
            <v>-1001</v>
          </cell>
          <cell r="U43">
            <v>2809</v>
          </cell>
        </row>
        <row r="44">
          <cell r="A44">
            <v>90501</v>
          </cell>
          <cell r="B44" t="str">
            <v>ASHE COUNTY</v>
          </cell>
          <cell r="C44">
            <v>1.4176E-3</v>
          </cell>
          <cell r="D44">
            <v>1.4001E-3</v>
          </cell>
          <cell r="E44">
            <v>670210</v>
          </cell>
          <cell r="F44">
            <v>2971481</v>
          </cell>
          <cell r="G44">
            <v>2165700</v>
          </cell>
          <cell r="H44"/>
          <cell r="I44">
            <v>124764</v>
          </cell>
          <cell r="J44">
            <v>525835</v>
          </cell>
          <cell r="K44">
            <v>309292</v>
          </cell>
          <cell r="L44">
            <v>53925</v>
          </cell>
          <cell r="M44"/>
          <cell r="N44">
            <v>61304</v>
          </cell>
          <cell r="O44">
            <v>0</v>
          </cell>
          <cell r="P44">
            <v>0</v>
          </cell>
          <cell r="Q44">
            <v>0</v>
          </cell>
          <cell r="R44"/>
          <cell r="S44">
            <v>729843</v>
          </cell>
          <cell r="T44">
            <v>27148</v>
          </cell>
          <cell r="U44">
            <v>756991</v>
          </cell>
        </row>
        <row r="45">
          <cell r="A45">
            <v>90507</v>
          </cell>
          <cell r="B45" t="str">
            <v>WEST JEFFERSON ABC BOARD</v>
          </cell>
          <cell r="C45">
            <v>6.6000000000000003E-6</v>
          </cell>
          <cell r="D45">
            <v>7.3000000000000004E-6</v>
          </cell>
          <cell r="E45">
            <v>10408</v>
          </cell>
          <cell r="F45">
            <v>15493</v>
          </cell>
          <cell r="G45">
            <v>10083</v>
          </cell>
          <cell r="H45"/>
          <cell r="I45">
            <v>581</v>
          </cell>
          <cell r="J45">
            <v>2448</v>
          </cell>
          <cell r="K45">
            <v>1440</v>
          </cell>
          <cell r="L45">
            <v>11545</v>
          </cell>
          <cell r="M45"/>
          <cell r="N45">
            <v>285</v>
          </cell>
          <cell r="O45">
            <v>0</v>
          </cell>
          <cell r="P45">
            <v>0</v>
          </cell>
          <cell r="Q45">
            <v>0</v>
          </cell>
          <cell r="R45"/>
          <cell r="S45">
            <v>3398</v>
          </cell>
          <cell r="T45">
            <v>4117</v>
          </cell>
          <cell r="U45">
            <v>7515</v>
          </cell>
        </row>
        <row r="46">
          <cell r="A46">
            <v>90511</v>
          </cell>
          <cell r="B46" t="str">
            <v>TOWN OF JEFFERSON</v>
          </cell>
          <cell r="C46">
            <v>8.7000000000000001E-5</v>
          </cell>
          <cell r="D46">
            <v>9.5500000000000004E-5</v>
          </cell>
          <cell r="E46">
            <v>52403</v>
          </cell>
          <cell r="F46">
            <v>202683</v>
          </cell>
          <cell r="G46">
            <v>132912</v>
          </cell>
          <cell r="H46"/>
          <cell r="I46">
            <v>7657</v>
          </cell>
          <cell r="J46">
            <v>32271</v>
          </cell>
          <cell r="K46">
            <v>18982</v>
          </cell>
          <cell r="L46">
            <v>14433</v>
          </cell>
          <cell r="M46"/>
          <cell r="N46">
            <v>3762</v>
          </cell>
          <cell r="O46">
            <v>0</v>
          </cell>
          <cell r="P46">
            <v>0</v>
          </cell>
          <cell r="Q46">
            <v>0</v>
          </cell>
          <cell r="R46"/>
          <cell r="S46">
            <v>44791</v>
          </cell>
          <cell r="T46">
            <v>6485</v>
          </cell>
          <cell r="U46">
            <v>51276</v>
          </cell>
        </row>
        <row r="47">
          <cell r="A47">
            <v>90521</v>
          </cell>
          <cell r="B47" t="str">
            <v>TOWN OF WEST JEFFERSON</v>
          </cell>
          <cell r="C47">
            <v>1.3880000000000001E-4</v>
          </cell>
          <cell r="D47">
            <v>1.395E-4</v>
          </cell>
          <cell r="E47">
            <v>56198</v>
          </cell>
          <cell r="F47">
            <v>296066</v>
          </cell>
          <cell r="G47">
            <v>212048</v>
          </cell>
          <cell r="H47"/>
          <cell r="I47">
            <v>12216</v>
          </cell>
          <cell r="J47">
            <v>51485</v>
          </cell>
          <cell r="K47">
            <v>30283</v>
          </cell>
          <cell r="L47">
            <v>0</v>
          </cell>
          <cell r="M47"/>
          <cell r="N47">
            <v>6002</v>
          </cell>
          <cell r="O47">
            <v>0</v>
          </cell>
          <cell r="P47">
            <v>0</v>
          </cell>
          <cell r="Q47">
            <v>18446</v>
          </cell>
          <cell r="R47"/>
          <cell r="S47">
            <v>71460</v>
          </cell>
          <cell r="T47">
            <v>-7131</v>
          </cell>
          <cell r="U47">
            <v>64329</v>
          </cell>
        </row>
        <row r="48">
          <cell r="A48">
            <v>90601</v>
          </cell>
          <cell r="B48" t="str">
            <v>AVERY COUNTY</v>
          </cell>
          <cell r="C48">
            <v>1.1888000000000001E-3</v>
          </cell>
          <cell r="D48">
            <v>1.1785999999999999E-3</v>
          </cell>
          <cell r="E48">
            <v>540985</v>
          </cell>
          <cell r="F48">
            <v>2501384</v>
          </cell>
          <cell r="G48">
            <v>1816157</v>
          </cell>
          <cell r="H48"/>
          <cell r="I48">
            <v>104627</v>
          </cell>
          <cell r="J48">
            <v>440965</v>
          </cell>
          <cell r="K48">
            <v>259372</v>
          </cell>
          <cell r="L48">
            <v>20795</v>
          </cell>
          <cell r="M48"/>
          <cell r="N48">
            <v>51410</v>
          </cell>
          <cell r="O48">
            <v>0</v>
          </cell>
          <cell r="P48">
            <v>0</v>
          </cell>
          <cell r="Q48">
            <v>19784</v>
          </cell>
          <cell r="R48"/>
          <cell r="S48">
            <v>612047</v>
          </cell>
          <cell r="T48">
            <v>8359</v>
          </cell>
          <cell r="U48">
            <v>620406</v>
          </cell>
        </row>
        <row r="49">
          <cell r="A49">
            <v>90602</v>
          </cell>
          <cell r="B49" t="str">
            <v>AVERY COUNTY FIRE COMMISSION</v>
          </cell>
          <cell r="C49">
            <v>6.3899999999999995E-5</v>
          </cell>
          <cell r="D49">
            <v>6.3299999999999994E-5</v>
          </cell>
          <cell r="E49">
            <v>34828</v>
          </cell>
          <cell r="F49">
            <v>134344</v>
          </cell>
          <cell r="G49">
            <v>97621</v>
          </cell>
          <cell r="H49"/>
          <cell r="I49">
            <v>5624</v>
          </cell>
          <cell r="J49">
            <v>23703</v>
          </cell>
          <cell r="K49">
            <v>13942</v>
          </cell>
          <cell r="L49">
            <v>38810</v>
          </cell>
          <cell r="M49"/>
          <cell r="N49">
            <v>2763</v>
          </cell>
          <cell r="O49">
            <v>0</v>
          </cell>
          <cell r="P49">
            <v>0</v>
          </cell>
          <cell r="Q49">
            <v>0</v>
          </cell>
          <cell r="R49"/>
          <cell r="S49">
            <v>32899</v>
          </cell>
          <cell r="T49">
            <v>14161</v>
          </cell>
          <cell r="U49">
            <v>47060</v>
          </cell>
        </row>
        <row r="50">
          <cell r="A50">
            <v>90605</v>
          </cell>
          <cell r="B50" t="str">
            <v>AVERY-MITCHELL-YANCEY REG LIBRARY</v>
          </cell>
          <cell r="C50">
            <v>4.1999999999999998E-5</v>
          </cell>
          <cell r="D50">
            <v>3.8399999999999998E-5</v>
          </cell>
          <cell r="E50">
            <v>25461</v>
          </cell>
          <cell r="F50">
            <v>81498</v>
          </cell>
          <cell r="G50">
            <v>64164</v>
          </cell>
          <cell r="H50"/>
          <cell r="I50">
            <v>3696</v>
          </cell>
          <cell r="J50">
            <v>15579</v>
          </cell>
          <cell r="K50">
            <v>9164</v>
          </cell>
          <cell r="L50">
            <v>15425</v>
          </cell>
          <cell r="M50"/>
          <cell r="N50">
            <v>1816</v>
          </cell>
          <cell r="O50">
            <v>0</v>
          </cell>
          <cell r="P50">
            <v>0</v>
          </cell>
          <cell r="Q50">
            <v>0</v>
          </cell>
          <cell r="R50"/>
          <cell r="S50">
            <v>21623</v>
          </cell>
          <cell r="T50">
            <v>5623</v>
          </cell>
          <cell r="U50">
            <v>27246</v>
          </cell>
        </row>
        <row r="51">
          <cell r="A51">
            <v>90611</v>
          </cell>
          <cell r="B51" t="str">
            <v>TOWN OF BANNER ELK</v>
          </cell>
          <cell r="C51">
            <v>1.4880000000000001E-4</v>
          </cell>
          <cell r="D51">
            <v>1.5669999999999999E-4</v>
          </cell>
          <cell r="E51">
            <v>64371</v>
          </cell>
          <cell r="F51">
            <v>332570</v>
          </cell>
          <cell r="G51">
            <v>227325</v>
          </cell>
          <cell r="H51"/>
          <cell r="I51">
            <v>13096</v>
          </cell>
          <cell r="J51">
            <v>55195</v>
          </cell>
          <cell r="K51">
            <v>32465</v>
          </cell>
          <cell r="L51">
            <v>2524</v>
          </cell>
          <cell r="M51"/>
          <cell r="N51">
            <v>6435</v>
          </cell>
          <cell r="O51">
            <v>0</v>
          </cell>
          <cell r="P51">
            <v>0</v>
          </cell>
          <cell r="Q51">
            <v>18006</v>
          </cell>
          <cell r="R51"/>
          <cell r="S51">
            <v>76609</v>
          </cell>
          <cell r="T51">
            <v>-3082</v>
          </cell>
          <cell r="U51">
            <v>73527</v>
          </cell>
        </row>
        <row r="52">
          <cell r="A52">
            <v>90617</v>
          </cell>
          <cell r="B52" t="str">
            <v>HIGH COUNTRY ABC BOARD</v>
          </cell>
          <cell r="C52">
            <v>2.5999999999999998E-5</v>
          </cell>
          <cell r="D52">
            <v>2.6800000000000001E-5</v>
          </cell>
          <cell r="E52">
            <v>15821</v>
          </cell>
          <cell r="F52">
            <v>56879</v>
          </cell>
          <cell r="G52">
            <v>39721</v>
          </cell>
          <cell r="H52"/>
          <cell r="I52">
            <v>2288</v>
          </cell>
          <cell r="J52">
            <v>9644</v>
          </cell>
          <cell r="K52">
            <v>5673</v>
          </cell>
          <cell r="L52">
            <v>7632</v>
          </cell>
          <cell r="M52"/>
          <cell r="N52">
            <v>1124</v>
          </cell>
          <cell r="O52">
            <v>0</v>
          </cell>
          <cell r="P52">
            <v>0</v>
          </cell>
          <cell r="Q52">
            <v>0</v>
          </cell>
          <cell r="R52"/>
          <cell r="S52">
            <v>13386</v>
          </cell>
          <cell r="T52">
            <v>4087</v>
          </cell>
          <cell r="U52">
            <v>17473</v>
          </cell>
        </row>
        <row r="53">
          <cell r="A53">
            <v>90621</v>
          </cell>
          <cell r="B53" t="str">
            <v>TOWN OF NEWLAND</v>
          </cell>
          <cell r="C53">
            <v>6.3999999999999997E-5</v>
          </cell>
          <cell r="D53">
            <v>8.2100000000000003E-5</v>
          </cell>
          <cell r="E53">
            <v>27532</v>
          </cell>
          <cell r="F53">
            <v>174244</v>
          </cell>
          <cell r="G53">
            <v>97774</v>
          </cell>
          <cell r="H53"/>
          <cell r="I53">
            <v>5633</v>
          </cell>
          <cell r="J53">
            <v>23740</v>
          </cell>
          <cell r="K53">
            <v>13964</v>
          </cell>
          <cell r="L53">
            <v>588</v>
          </cell>
          <cell r="M53"/>
          <cell r="N53">
            <v>2768</v>
          </cell>
          <cell r="O53">
            <v>0</v>
          </cell>
          <cell r="P53">
            <v>0</v>
          </cell>
          <cell r="Q53">
            <v>19000</v>
          </cell>
          <cell r="R53"/>
          <cell r="S53">
            <v>32950</v>
          </cell>
          <cell r="T53">
            <v>-5337</v>
          </cell>
          <cell r="U53">
            <v>27613</v>
          </cell>
        </row>
        <row r="54">
          <cell r="A54">
            <v>90631</v>
          </cell>
          <cell r="B54" t="str">
            <v>TOWN OF BEECH MOUNTAIN</v>
          </cell>
          <cell r="C54">
            <v>3.9560000000000002E-4</v>
          </cell>
          <cell r="D54">
            <v>3.8000000000000002E-4</v>
          </cell>
          <cell r="E54">
            <v>175402</v>
          </cell>
          <cell r="F54">
            <v>806487</v>
          </cell>
          <cell r="G54">
            <v>604367</v>
          </cell>
          <cell r="H54"/>
          <cell r="I54">
            <v>34817</v>
          </cell>
          <cell r="J54">
            <v>146742</v>
          </cell>
          <cell r="K54">
            <v>86312</v>
          </cell>
          <cell r="L54">
            <v>17764</v>
          </cell>
          <cell r="M54"/>
          <cell r="N54">
            <v>17108</v>
          </cell>
          <cell r="O54">
            <v>0</v>
          </cell>
          <cell r="P54">
            <v>0</v>
          </cell>
          <cell r="Q54">
            <v>8233</v>
          </cell>
          <cell r="R54"/>
          <cell r="S54">
            <v>203672</v>
          </cell>
          <cell r="T54">
            <v>-484</v>
          </cell>
          <cell r="U54">
            <v>203188</v>
          </cell>
        </row>
        <row r="55">
          <cell r="A55">
            <v>90641</v>
          </cell>
          <cell r="B55" t="str">
            <v>TOWN OF ELK PARK</v>
          </cell>
          <cell r="C55">
            <v>1.38E-5</v>
          </cell>
          <cell r="D55">
            <v>1.4399999999999999E-5</v>
          </cell>
          <cell r="E55">
            <v>6944</v>
          </cell>
          <cell r="F55">
            <v>30562</v>
          </cell>
          <cell r="G55">
            <v>21083</v>
          </cell>
          <cell r="H55"/>
          <cell r="I55">
            <v>1215</v>
          </cell>
          <cell r="J55">
            <v>5118</v>
          </cell>
          <cell r="K55">
            <v>3011</v>
          </cell>
          <cell r="L55">
            <v>304</v>
          </cell>
          <cell r="M55"/>
          <cell r="N55">
            <v>597</v>
          </cell>
          <cell r="O55">
            <v>0</v>
          </cell>
          <cell r="P55">
            <v>0</v>
          </cell>
          <cell r="Q55">
            <v>517</v>
          </cell>
          <cell r="R55"/>
          <cell r="S55">
            <v>7105</v>
          </cell>
          <cell r="T55">
            <v>-123</v>
          </cell>
          <cell r="U55">
            <v>6982</v>
          </cell>
        </row>
        <row r="56">
          <cell r="A56">
            <v>90651</v>
          </cell>
          <cell r="B56" t="str">
            <v>TOWN OF SUGAR MOUNTAIN</v>
          </cell>
          <cell r="C56">
            <v>1E-4</v>
          </cell>
          <cell r="D56">
            <v>1.108E-4</v>
          </cell>
          <cell r="E56">
            <v>98054</v>
          </cell>
          <cell r="F56">
            <v>235155</v>
          </cell>
          <cell r="G56">
            <v>152772</v>
          </cell>
          <cell r="H56"/>
          <cell r="I56">
            <v>8801</v>
          </cell>
          <cell r="J56">
            <v>37093</v>
          </cell>
          <cell r="K56">
            <v>21818</v>
          </cell>
          <cell r="L56">
            <v>85885</v>
          </cell>
          <cell r="M56"/>
          <cell r="N56">
            <v>4325</v>
          </cell>
          <cell r="O56">
            <v>0</v>
          </cell>
          <cell r="P56">
            <v>0</v>
          </cell>
          <cell r="Q56">
            <v>4659</v>
          </cell>
          <cell r="R56"/>
          <cell r="S56">
            <v>51484</v>
          </cell>
          <cell r="T56">
            <v>25671</v>
          </cell>
          <cell r="U56">
            <v>77155</v>
          </cell>
        </row>
        <row r="57">
          <cell r="A57">
            <v>90701</v>
          </cell>
          <cell r="B57" t="str">
            <v>BEAUFORT COUNTY</v>
          </cell>
          <cell r="C57">
            <v>2.6581E-3</v>
          </cell>
          <cell r="D57">
            <v>2.3587E-3</v>
          </cell>
          <cell r="E57">
            <v>1110621</v>
          </cell>
          <cell r="F57">
            <v>0</v>
          </cell>
          <cell r="G57">
            <v>4060841</v>
          </cell>
          <cell r="H57"/>
          <cell r="I57">
            <v>233942</v>
          </cell>
          <cell r="J57">
            <v>985977</v>
          </cell>
          <cell r="K57">
            <v>579944</v>
          </cell>
          <cell r="L57">
            <v>130818</v>
          </cell>
          <cell r="M57"/>
          <cell r="N57">
            <v>114950</v>
          </cell>
          <cell r="O57">
            <v>0</v>
          </cell>
          <cell r="P57">
            <v>0</v>
          </cell>
          <cell r="Q57">
            <v>31847</v>
          </cell>
          <cell r="R57"/>
          <cell r="S57">
            <v>1368507</v>
          </cell>
          <cell r="T57">
            <v>33872</v>
          </cell>
          <cell r="U57">
            <v>1402379</v>
          </cell>
        </row>
        <row r="58">
          <cell r="A58">
            <v>90704</v>
          </cell>
          <cell r="B58" t="str">
            <v>BEAUFORT COUNTY ABC BOARD</v>
          </cell>
          <cell r="C58">
            <v>3.3300000000000003E-5</v>
          </cell>
          <cell r="D58">
            <v>3.4900000000000001E-5</v>
          </cell>
          <cell r="E58">
            <v>23859</v>
          </cell>
          <cell r="F58">
            <v>74069</v>
          </cell>
          <cell r="G58">
            <v>50873</v>
          </cell>
          <cell r="H58"/>
          <cell r="I58">
            <v>2931</v>
          </cell>
          <cell r="J58">
            <v>12352</v>
          </cell>
          <cell r="K58">
            <v>7265</v>
          </cell>
          <cell r="L58">
            <v>14629</v>
          </cell>
          <cell r="M58"/>
          <cell r="N58">
            <v>1440</v>
          </cell>
          <cell r="O58">
            <v>0</v>
          </cell>
          <cell r="P58">
            <v>0</v>
          </cell>
          <cell r="Q58">
            <v>0</v>
          </cell>
          <cell r="R58"/>
          <cell r="S58">
            <v>17144</v>
          </cell>
          <cell r="T58">
            <v>5643</v>
          </cell>
          <cell r="U58">
            <v>22787</v>
          </cell>
        </row>
        <row r="59">
          <cell r="A59">
            <v>90705</v>
          </cell>
          <cell r="B59" t="str">
            <v>B H M REGIONAL LIBRARY</v>
          </cell>
          <cell r="C59">
            <v>5.3000000000000001E-5</v>
          </cell>
          <cell r="D59">
            <v>3.3899999999999997E-5</v>
          </cell>
          <cell r="E59">
            <v>23100</v>
          </cell>
          <cell r="F59">
            <v>71947</v>
          </cell>
          <cell r="G59">
            <v>80969</v>
          </cell>
          <cell r="H59"/>
          <cell r="I59">
            <v>4665</v>
          </cell>
          <cell r="J59">
            <v>19659</v>
          </cell>
          <cell r="K59">
            <v>11564</v>
          </cell>
          <cell r="L59">
            <v>18366</v>
          </cell>
          <cell r="M59"/>
          <cell r="N59">
            <v>2292</v>
          </cell>
          <cell r="O59">
            <v>0</v>
          </cell>
          <cell r="P59">
            <v>0</v>
          </cell>
          <cell r="Q59">
            <v>0</v>
          </cell>
          <cell r="R59"/>
          <cell r="S59">
            <v>27287</v>
          </cell>
          <cell r="T59">
            <v>6194</v>
          </cell>
          <cell r="U59">
            <v>33481</v>
          </cell>
        </row>
        <row r="60">
          <cell r="A60">
            <v>90709</v>
          </cell>
          <cell r="B60" t="str">
            <v>MIDEAST COMMISSION</v>
          </cell>
          <cell r="C60">
            <v>1.2650000000000001E-4</v>
          </cell>
          <cell r="D60">
            <v>1.4569999999999999E-4</v>
          </cell>
          <cell r="E60">
            <v>61710</v>
          </cell>
          <cell r="F60">
            <v>309224</v>
          </cell>
          <cell r="G60">
            <v>193257</v>
          </cell>
          <cell r="H60"/>
          <cell r="I60">
            <v>11133</v>
          </cell>
          <cell r="J60">
            <v>46924</v>
          </cell>
          <cell r="K60">
            <v>27600</v>
          </cell>
          <cell r="L60">
            <v>5085</v>
          </cell>
          <cell r="M60"/>
          <cell r="N60">
            <v>5470</v>
          </cell>
          <cell r="O60">
            <v>0</v>
          </cell>
          <cell r="P60">
            <v>0</v>
          </cell>
          <cell r="Q60">
            <v>42511</v>
          </cell>
          <cell r="R60"/>
          <cell r="S60">
            <v>65128</v>
          </cell>
          <cell r="T60">
            <v>-9374</v>
          </cell>
          <cell r="U60">
            <v>55754</v>
          </cell>
        </row>
        <row r="61">
          <cell r="A61">
            <v>90711</v>
          </cell>
          <cell r="B61" t="str">
            <v>CITY OF WASHINGTON</v>
          </cell>
          <cell r="C61">
            <v>1.6877000000000001E-3</v>
          </cell>
          <cell r="D61">
            <v>1.7302000000000001E-3</v>
          </cell>
          <cell r="E61">
            <v>774256</v>
          </cell>
          <cell r="F61">
            <v>3672064</v>
          </cell>
          <cell r="G61">
            <v>2578338</v>
          </cell>
          <cell r="H61"/>
          <cell r="I61">
            <v>148536</v>
          </cell>
          <cell r="J61">
            <v>626023</v>
          </cell>
          <cell r="K61">
            <v>368222</v>
          </cell>
          <cell r="L61">
            <v>0</v>
          </cell>
          <cell r="M61"/>
          <cell r="N61">
            <v>72985</v>
          </cell>
          <cell r="O61">
            <v>0</v>
          </cell>
          <cell r="P61">
            <v>0</v>
          </cell>
          <cell r="Q61">
            <v>160849</v>
          </cell>
          <cell r="R61"/>
          <cell r="S61">
            <v>868902</v>
          </cell>
          <cell r="T61">
            <v>-68798</v>
          </cell>
          <cell r="U61">
            <v>800104</v>
          </cell>
        </row>
        <row r="62">
          <cell r="A62">
            <v>90721</v>
          </cell>
          <cell r="B62" t="str">
            <v>TOWN OF AURORA</v>
          </cell>
          <cell r="C62">
            <v>2.8600000000000001E-5</v>
          </cell>
          <cell r="D62">
            <v>3.7299999999999999E-5</v>
          </cell>
          <cell r="E62">
            <v>15289</v>
          </cell>
          <cell r="F62">
            <v>79163</v>
          </cell>
          <cell r="G62">
            <v>43693</v>
          </cell>
          <cell r="H62"/>
          <cell r="I62">
            <v>2517</v>
          </cell>
          <cell r="J62">
            <v>10608</v>
          </cell>
          <cell r="K62">
            <v>6240</v>
          </cell>
          <cell r="L62">
            <v>2956</v>
          </cell>
          <cell r="M62"/>
          <cell r="N62">
            <v>1237</v>
          </cell>
          <cell r="O62">
            <v>0</v>
          </cell>
          <cell r="P62">
            <v>0</v>
          </cell>
          <cell r="Q62">
            <v>4943</v>
          </cell>
          <cell r="R62"/>
          <cell r="S62">
            <v>14725</v>
          </cell>
          <cell r="T62">
            <v>1072</v>
          </cell>
          <cell r="U62">
            <v>15797</v>
          </cell>
        </row>
        <row r="63">
          <cell r="A63">
            <v>90731</v>
          </cell>
          <cell r="B63" t="str">
            <v>TOWN OF BELHAVEN</v>
          </cell>
          <cell r="C63">
            <v>1.741E-4</v>
          </cell>
          <cell r="D63">
            <v>1.917E-4</v>
          </cell>
          <cell r="E63">
            <v>79540</v>
          </cell>
          <cell r="F63">
            <v>406852</v>
          </cell>
          <cell r="G63">
            <v>265977</v>
          </cell>
          <cell r="H63"/>
          <cell r="I63">
            <v>15323</v>
          </cell>
          <cell r="J63">
            <v>64580</v>
          </cell>
          <cell r="K63">
            <v>37985</v>
          </cell>
          <cell r="L63">
            <v>0</v>
          </cell>
          <cell r="M63"/>
          <cell r="N63">
            <v>7529</v>
          </cell>
          <cell r="O63">
            <v>0</v>
          </cell>
          <cell r="P63">
            <v>0</v>
          </cell>
          <cell r="Q63">
            <v>18148</v>
          </cell>
          <cell r="R63"/>
          <cell r="S63">
            <v>89634</v>
          </cell>
          <cell r="T63">
            <v>-7025</v>
          </cell>
          <cell r="U63">
            <v>82609</v>
          </cell>
        </row>
        <row r="64">
          <cell r="A64">
            <v>90741</v>
          </cell>
          <cell r="B64" t="str">
            <v>TOWN OF WASHINGTON PARK</v>
          </cell>
          <cell r="C64">
            <v>9.0999999999999993E-6</v>
          </cell>
          <cell r="D64">
            <v>1.2099999999999999E-5</v>
          </cell>
          <cell r="E64">
            <v>6433</v>
          </cell>
          <cell r="F64">
            <v>25680</v>
          </cell>
          <cell r="G64">
            <v>13902</v>
          </cell>
          <cell r="H64"/>
          <cell r="I64">
            <v>801</v>
          </cell>
          <cell r="J64">
            <v>3375</v>
          </cell>
          <cell r="K64">
            <v>1985</v>
          </cell>
          <cell r="L64">
            <v>2169</v>
          </cell>
          <cell r="M64"/>
          <cell r="N64">
            <v>394</v>
          </cell>
          <cell r="O64">
            <v>0</v>
          </cell>
          <cell r="P64">
            <v>0</v>
          </cell>
          <cell r="Q64">
            <v>952</v>
          </cell>
          <cell r="R64"/>
          <cell r="S64">
            <v>4685</v>
          </cell>
          <cell r="T64">
            <v>235</v>
          </cell>
          <cell r="U64">
            <v>4920</v>
          </cell>
        </row>
        <row r="65">
          <cell r="A65">
            <v>90751</v>
          </cell>
          <cell r="B65" t="str">
            <v>TOWN OF CHOCOWINITY</v>
          </cell>
          <cell r="C65">
            <v>6.8700000000000003E-5</v>
          </cell>
          <cell r="D65">
            <v>6.5599999999999995E-5</v>
          </cell>
          <cell r="E65">
            <v>27591</v>
          </cell>
          <cell r="F65">
            <v>139225</v>
          </cell>
          <cell r="G65">
            <v>104955</v>
          </cell>
          <cell r="H65"/>
          <cell r="I65">
            <v>6046</v>
          </cell>
          <cell r="J65">
            <v>25483</v>
          </cell>
          <cell r="K65">
            <v>14989</v>
          </cell>
          <cell r="L65">
            <v>4940</v>
          </cell>
          <cell r="M65"/>
          <cell r="N65">
            <v>2971</v>
          </cell>
          <cell r="O65">
            <v>0</v>
          </cell>
          <cell r="P65">
            <v>0</v>
          </cell>
          <cell r="Q65">
            <v>1080</v>
          </cell>
          <cell r="R65"/>
          <cell r="S65">
            <v>35370</v>
          </cell>
          <cell r="T65">
            <v>3400</v>
          </cell>
          <cell r="U65">
            <v>38770</v>
          </cell>
        </row>
        <row r="66">
          <cell r="A66">
            <v>90801</v>
          </cell>
          <cell r="B66" t="str">
            <v>BERTIE COUNTY</v>
          </cell>
          <cell r="C66">
            <v>1.3064000000000001E-3</v>
          </cell>
          <cell r="D66">
            <v>1.1404E-3</v>
          </cell>
          <cell r="E66">
            <v>521156</v>
          </cell>
          <cell r="F66">
            <v>2420311</v>
          </cell>
          <cell r="G66">
            <v>1995817</v>
          </cell>
          <cell r="H66"/>
          <cell r="I66">
            <v>114978</v>
          </cell>
          <cell r="J66">
            <v>484586</v>
          </cell>
          <cell r="K66">
            <v>285030</v>
          </cell>
          <cell r="L66">
            <v>151641</v>
          </cell>
          <cell r="M66"/>
          <cell r="N66">
            <v>56495</v>
          </cell>
          <cell r="O66">
            <v>0</v>
          </cell>
          <cell r="P66">
            <v>0</v>
          </cell>
          <cell r="Q66">
            <v>0</v>
          </cell>
          <cell r="R66"/>
          <cell r="S66">
            <v>672592</v>
          </cell>
          <cell r="T66">
            <v>65370</v>
          </cell>
          <cell r="U66">
            <v>737962</v>
          </cell>
        </row>
        <row r="67">
          <cell r="A67">
            <v>90804</v>
          </cell>
          <cell r="B67" t="str">
            <v>BERTIE COUNTY ABC BOARD</v>
          </cell>
          <cell r="C67">
            <v>6.1999999999999999E-6</v>
          </cell>
          <cell r="D67">
            <v>6.0000000000000002E-6</v>
          </cell>
          <cell r="E67">
            <v>2751</v>
          </cell>
          <cell r="F67">
            <v>12734</v>
          </cell>
          <cell r="G67">
            <v>9472</v>
          </cell>
          <cell r="H67"/>
          <cell r="I67">
            <v>546</v>
          </cell>
          <cell r="J67">
            <v>2300</v>
          </cell>
          <cell r="K67">
            <v>1353</v>
          </cell>
          <cell r="L67">
            <v>1462</v>
          </cell>
          <cell r="M67"/>
          <cell r="N67">
            <v>268</v>
          </cell>
          <cell r="O67">
            <v>0</v>
          </cell>
          <cell r="P67">
            <v>0</v>
          </cell>
          <cell r="Q67">
            <v>0</v>
          </cell>
          <cell r="R67"/>
          <cell r="S67">
            <v>3192</v>
          </cell>
          <cell r="T67">
            <v>893</v>
          </cell>
          <cell r="U67">
            <v>4085</v>
          </cell>
        </row>
        <row r="68">
          <cell r="A68">
            <v>90805</v>
          </cell>
          <cell r="B68" t="str">
            <v>ALBEMARLE REGIONAL LIBRARY</v>
          </cell>
          <cell r="C68">
            <v>5.1900000000000001E-5</v>
          </cell>
          <cell r="D68">
            <v>5.5099999999999998E-5</v>
          </cell>
          <cell r="E68">
            <v>35600</v>
          </cell>
          <cell r="F68">
            <v>116941</v>
          </cell>
          <cell r="G68">
            <v>79289</v>
          </cell>
          <cell r="H68"/>
          <cell r="I68">
            <v>4568</v>
          </cell>
          <cell r="J68">
            <v>19252</v>
          </cell>
          <cell r="K68">
            <v>11324</v>
          </cell>
          <cell r="L68">
            <v>22022</v>
          </cell>
          <cell r="M68"/>
          <cell r="N68">
            <v>2244</v>
          </cell>
          <cell r="O68">
            <v>0</v>
          </cell>
          <cell r="P68">
            <v>0</v>
          </cell>
          <cell r="Q68">
            <v>0</v>
          </cell>
          <cell r="R68"/>
          <cell r="S68">
            <v>26720</v>
          </cell>
          <cell r="T68">
            <v>9443</v>
          </cell>
          <cell r="U68">
            <v>36163</v>
          </cell>
        </row>
        <row r="69">
          <cell r="A69">
            <v>90808</v>
          </cell>
          <cell r="B69" t="str">
            <v>BERTIE-MARTIN REGIONAL JAIL COMM</v>
          </cell>
          <cell r="C69">
            <v>1.131E-4</v>
          </cell>
          <cell r="D69">
            <v>1.109E-4</v>
          </cell>
          <cell r="E69">
            <v>56029</v>
          </cell>
          <cell r="F69">
            <v>235367</v>
          </cell>
          <cell r="G69">
            <v>172785</v>
          </cell>
          <cell r="H69"/>
          <cell r="I69">
            <v>9954</v>
          </cell>
          <cell r="J69">
            <v>41952</v>
          </cell>
          <cell r="K69">
            <v>24676</v>
          </cell>
          <cell r="L69">
            <v>5678</v>
          </cell>
          <cell r="M69"/>
          <cell r="N69">
            <v>4891</v>
          </cell>
          <cell r="O69">
            <v>0</v>
          </cell>
          <cell r="P69">
            <v>0</v>
          </cell>
          <cell r="Q69">
            <v>2008</v>
          </cell>
          <cell r="R69"/>
          <cell r="S69">
            <v>58229</v>
          </cell>
          <cell r="T69">
            <v>731</v>
          </cell>
          <cell r="U69">
            <v>58960</v>
          </cell>
        </row>
        <row r="70">
          <cell r="A70">
            <v>90811</v>
          </cell>
          <cell r="B70" t="str">
            <v>TOWN OF AULANDER</v>
          </cell>
          <cell r="C70">
            <v>3.3599999999999997E-5</v>
          </cell>
          <cell r="D70">
            <v>4.0000000000000003E-5</v>
          </cell>
          <cell r="E70">
            <v>11655</v>
          </cell>
          <cell r="F70">
            <v>84893</v>
          </cell>
          <cell r="G70">
            <v>51331</v>
          </cell>
          <cell r="H70"/>
          <cell r="I70">
            <v>2957</v>
          </cell>
          <cell r="J70">
            <v>12463</v>
          </cell>
          <cell r="K70">
            <v>7331</v>
          </cell>
          <cell r="L70">
            <v>471</v>
          </cell>
          <cell r="M70"/>
          <cell r="N70">
            <v>1453</v>
          </cell>
          <cell r="O70">
            <v>0</v>
          </cell>
          <cell r="P70">
            <v>0</v>
          </cell>
          <cell r="Q70">
            <v>8846</v>
          </cell>
          <cell r="R70"/>
          <cell r="S70">
            <v>17299</v>
          </cell>
          <cell r="T70">
            <v>-1986</v>
          </cell>
          <cell r="U70">
            <v>15313</v>
          </cell>
        </row>
        <row r="71">
          <cell r="A71">
            <v>90812</v>
          </cell>
          <cell r="B71" t="str">
            <v>TOWN OF WINDSOR</v>
          </cell>
          <cell r="C71">
            <v>2.2900000000000001E-4</v>
          </cell>
          <cell r="D71">
            <v>2.13E-4</v>
          </cell>
          <cell r="E71">
            <v>105040</v>
          </cell>
          <cell r="F71">
            <v>452057</v>
          </cell>
          <cell r="G71">
            <v>349849</v>
          </cell>
          <cell r="H71"/>
          <cell r="I71">
            <v>20155</v>
          </cell>
          <cell r="J71">
            <v>84944</v>
          </cell>
          <cell r="K71">
            <v>49963</v>
          </cell>
          <cell r="L71">
            <v>15087</v>
          </cell>
          <cell r="M71"/>
          <cell r="N71">
            <v>9903</v>
          </cell>
          <cell r="O71">
            <v>0</v>
          </cell>
          <cell r="P71">
            <v>0</v>
          </cell>
          <cell r="Q71">
            <v>10549</v>
          </cell>
          <cell r="R71"/>
          <cell r="S71">
            <v>117899</v>
          </cell>
          <cell r="T71">
            <v>3117</v>
          </cell>
          <cell r="U71">
            <v>121016</v>
          </cell>
        </row>
        <row r="72">
          <cell r="A72">
            <v>90813</v>
          </cell>
          <cell r="B72" t="str">
            <v>TOWN OF COLERAIN</v>
          </cell>
          <cell r="C72">
            <v>5.3000000000000001E-6</v>
          </cell>
          <cell r="D72">
            <v>5.4999999999999999E-6</v>
          </cell>
          <cell r="E72">
            <v>2061</v>
          </cell>
          <cell r="F72">
            <v>11673</v>
          </cell>
          <cell r="G72">
            <v>8097</v>
          </cell>
          <cell r="H72"/>
          <cell r="I72">
            <v>466</v>
          </cell>
          <cell r="J72">
            <v>1966</v>
          </cell>
          <cell r="K72">
            <v>1156</v>
          </cell>
          <cell r="L72">
            <v>0</v>
          </cell>
          <cell r="M72"/>
          <cell r="N72">
            <v>229</v>
          </cell>
          <cell r="O72">
            <v>0</v>
          </cell>
          <cell r="P72">
            <v>0</v>
          </cell>
          <cell r="Q72">
            <v>1124</v>
          </cell>
          <cell r="R72"/>
          <cell r="S72">
            <v>2729</v>
          </cell>
          <cell r="T72">
            <v>-505</v>
          </cell>
          <cell r="U72">
            <v>2224</v>
          </cell>
        </row>
        <row r="73">
          <cell r="A73">
            <v>90861</v>
          </cell>
          <cell r="B73" t="str">
            <v>TOWN OF LEWISTON WOODVILLE</v>
          </cell>
          <cell r="C73">
            <v>4.1999999999999996E-6</v>
          </cell>
          <cell r="D73">
            <v>4.7999999999999998E-6</v>
          </cell>
          <cell r="E73">
            <v>3703</v>
          </cell>
          <cell r="F73">
            <v>10187</v>
          </cell>
          <cell r="G73">
            <v>6416</v>
          </cell>
          <cell r="H73"/>
          <cell r="I73">
            <v>370</v>
          </cell>
          <cell r="J73">
            <v>1558</v>
          </cell>
          <cell r="K73">
            <v>916</v>
          </cell>
          <cell r="L73">
            <v>3211</v>
          </cell>
          <cell r="M73"/>
          <cell r="N73">
            <v>182</v>
          </cell>
          <cell r="O73">
            <v>0</v>
          </cell>
          <cell r="P73">
            <v>0</v>
          </cell>
          <cell r="Q73">
            <v>1117</v>
          </cell>
          <cell r="R73"/>
          <cell r="S73">
            <v>2162</v>
          </cell>
          <cell r="T73">
            <v>191</v>
          </cell>
          <cell r="U73">
            <v>2353</v>
          </cell>
        </row>
        <row r="74">
          <cell r="A74">
            <v>90901</v>
          </cell>
          <cell r="B74" t="str">
            <v>BLADEN COUNTY</v>
          </cell>
          <cell r="C74">
            <v>2.1814999999999998E-3</v>
          </cell>
          <cell r="D74">
            <v>2.1302999999999999E-3</v>
          </cell>
          <cell r="E74">
            <v>980897</v>
          </cell>
          <cell r="F74">
            <v>4521210</v>
          </cell>
          <cell r="G74">
            <v>3332728</v>
          </cell>
          <cell r="H74"/>
          <cell r="I74">
            <v>191996</v>
          </cell>
          <cell r="J74">
            <v>809191</v>
          </cell>
          <cell r="K74">
            <v>475960</v>
          </cell>
          <cell r="L74">
            <v>22389</v>
          </cell>
          <cell r="M74"/>
          <cell r="N74">
            <v>94339</v>
          </cell>
          <cell r="O74">
            <v>0</v>
          </cell>
          <cell r="P74">
            <v>0</v>
          </cell>
          <cell r="Q74">
            <v>38005</v>
          </cell>
          <cell r="R74"/>
          <cell r="S74">
            <v>1123132</v>
          </cell>
          <cell r="T74">
            <v>-5969</v>
          </cell>
          <cell r="U74">
            <v>1117163</v>
          </cell>
        </row>
        <row r="75">
          <cell r="A75">
            <v>90911</v>
          </cell>
          <cell r="B75" t="str">
            <v>TOWN OF ELIZABETHTOWN</v>
          </cell>
          <cell r="C75">
            <v>3.9780000000000002E-4</v>
          </cell>
          <cell r="D75">
            <v>3.6010000000000003E-4</v>
          </cell>
          <cell r="E75">
            <v>159535</v>
          </cell>
          <cell r="F75">
            <v>764253</v>
          </cell>
          <cell r="G75">
            <v>607728</v>
          </cell>
          <cell r="H75"/>
          <cell r="I75">
            <v>35011</v>
          </cell>
          <cell r="J75">
            <v>147557</v>
          </cell>
          <cell r="K75">
            <v>86792</v>
          </cell>
          <cell r="L75">
            <v>6806</v>
          </cell>
          <cell r="M75"/>
          <cell r="N75">
            <v>17203</v>
          </cell>
          <cell r="O75">
            <v>0</v>
          </cell>
          <cell r="P75">
            <v>0</v>
          </cell>
          <cell r="Q75">
            <v>31482</v>
          </cell>
          <cell r="R75"/>
          <cell r="S75">
            <v>204805</v>
          </cell>
          <cell r="T75">
            <v>-18326</v>
          </cell>
          <cell r="U75">
            <v>186479</v>
          </cell>
        </row>
        <row r="76">
          <cell r="A76">
            <v>90917</v>
          </cell>
          <cell r="B76" t="str">
            <v>ELIZABETHTOWN ABC BOARD</v>
          </cell>
          <cell r="C76">
            <v>1.4399999999999999E-5</v>
          </cell>
          <cell r="D76">
            <v>1.42E-5</v>
          </cell>
          <cell r="E76">
            <v>5784</v>
          </cell>
          <cell r="F76">
            <v>30137</v>
          </cell>
          <cell r="G76">
            <v>21999</v>
          </cell>
          <cell r="H76"/>
          <cell r="I76">
            <v>1267</v>
          </cell>
          <cell r="J76">
            <v>5342</v>
          </cell>
          <cell r="K76">
            <v>3142</v>
          </cell>
          <cell r="L76">
            <v>1461</v>
          </cell>
          <cell r="M76"/>
          <cell r="N76">
            <v>623</v>
          </cell>
          <cell r="O76">
            <v>0</v>
          </cell>
          <cell r="P76">
            <v>0</v>
          </cell>
          <cell r="Q76">
            <v>966</v>
          </cell>
          <cell r="R76"/>
          <cell r="S76">
            <v>7414</v>
          </cell>
          <cell r="T76">
            <v>-22</v>
          </cell>
          <cell r="U76">
            <v>7392</v>
          </cell>
        </row>
        <row r="77">
          <cell r="A77">
            <v>90918</v>
          </cell>
          <cell r="B77" t="str">
            <v>SOUTH EASTERN ECONOMIC DEVELOPMENT COMM</v>
          </cell>
          <cell r="C77">
            <v>1.19E-5</v>
          </cell>
          <cell r="D77">
            <v>1.24E-5</v>
          </cell>
          <cell r="E77">
            <v>4773</v>
          </cell>
          <cell r="F77">
            <v>26317</v>
          </cell>
          <cell r="G77">
            <v>18180</v>
          </cell>
          <cell r="H77"/>
          <cell r="I77">
            <v>1047</v>
          </cell>
          <cell r="J77">
            <v>4414</v>
          </cell>
          <cell r="K77">
            <v>2596</v>
          </cell>
          <cell r="L77">
            <v>0</v>
          </cell>
          <cell r="M77"/>
          <cell r="N77">
            <v>515</v>
          </cell>
          <cell r="O77">
            <v>0</v>
          </cell>
          <cell r="P77">
            <v>0</v>
          </cell>
          <cell r="Q77">
            <v>2553</v>
          </cell>
          <cell r="R77"/>
          <cell r="S77">
            <v>6127</v>
          </cell>
          <cell r="T77">
            <v>-1087</v>
          </cell>
          <cell r="U77">
            <v>5040</v>
          </cell>
        </row>
        <row r="78">
          <cell r="A78">
            <v>90921</v>
          </cell>
          <cell r="B78" t="str">
            <v>TOWN OF WHITE LAKE</v>
          </cell>
          <cell r="C78">
            <v>1.2970000000000001E-4</v>
          </cell>
          <cell r="D78">
            <v>8.7399999999999997E-5</v>
          </cell>
          <cell r="E78">
            <v>59486</v>
          </cell>
          <cell r="F78">
            <v>185492</v>
          </cell>
          <cell r="G78">
            <v>198146</v>
          </cell>
          <cell r="H78"/>
          <cell r="I78">
            <v>11415</v>
          </cell>
          <cell r="J78">
            <v>48110</v>
          </cell>
          <cell r="K78">
            <v>28298</v>
          </cell>
          <cell r="L78">
            <v>31212</v>
          </cell>
          <cell r="M78"/>
          <cell r="N78">
            <v>5609</v>
          </cell>
          <cell r="O78">
            <v>0</v>
          </cell>
          <cell r="P78">
            <v>0</v>
          </cell>
          <cell r="Q78">
            <v>7007</v>
          </cell>
          <cell r="R78"/>
          <cell r="S78">
            <v>66775</v>
          </cell>
          <cell r="T78">
            <v>5102</v>
          </cell>
          <cell r="U78">
            <v>71877</v>
          </cell>
        </row>
        <row r="79">
          <cell r="A79">
            <v>90931</v>
          </cell>
          <cell r="B79" t="str">
            <v>TOWN OF CLARKTON</v>
          </cell>
          <cell r="C79">
            <v>4.07E-5</v>
          </cell>
          <cell r="D79">
            <v>5.1900000000000001E-5</v>
          </cell>
          <cell r="E79">
            <v>16168</v>
          </cell>
          <cell r="F79">
            <v>110149</v>
          </cell>
          <cell r="G79">
            <v>62178</v>
          </cell>
          <cell r="H79"/>
          <cell r="I79">
            <v>3582</v>
          </cell>
          <cell r="J79">
            <v>15097</v>
          </cell>
          <cell r="K79">
            <v>8880</v>
          </cell>
          <cell r="L79">
            <v>3743</v>
          </cell>
          <cell r="M79"/>
          <cell r="N79">
            <v>1760</v>
          </cell>
          <cell r="O79">
            <v>0</v>
          </cell>
          <cell r="P79">
            <v>0</v>
          </cell>
          <cell r="Q79">
            <v>14137</v>
          </cell>
          <cell r="R79"/>
          <cell r="S79">
            <v>20954</v>
          </cell>
          <cell r="T79">
            <v>-1298</v>
          </cell>
          <cell r="U79">
            <v>19656</v>
          </cell>
        </row>
        <row r="80">
          <cell r="A80">
            <v>90941</v>
          </cell>
          <cell r="B80" t="str">
            <v>TOWN OF BLADENBORO</v>
          </cell>
          <cell r="C80">
            <v>7.0300000000000001E-5</v>
          </cell>
          <cell r="D80">
            <v>9.0799999999999998E-5</v>
          </cell>
          <cell r="E80">
            <v>35455</v>
          </cell>
          <cell r="F80">
            <v>192708</v>
          </cell>
          <cell r="G80">
            <v>107399</v>
          </cell>
          <cell r="H80"/>
          <cell r="I80">
            <v>6187</v>
          </cell>
          <cell r="J80">
            <v>26076</v>
          </cell>
          <cell r="K80">
            <v>15338</v>
          </cell>
          <cell r="L80">
            <v>1686</v>
          </cell>
          <cell r="M80"/>
          <cell r="N80">
            <v>3040</v>
          </cell>
          <cell r="O80">
            <v>0</v>
          </cell>
          <cell r="P80">
            <v>0</v>
          </cell>
          <cell r="Q80">
            <v>16031</v>
          </cell>
          <cell r="R80"/>
          <cell r="S80">
            <v>36194</v>
          </cell>
          <cell r="T80">
            <v>-4988</v>
          </cell>
          <cell r="U80">
            <v>31206</v>
          </cell>
        </row>
        <row r="81">
          <cell r="A81">
            <v>91001</v>
          </cell>
          <cell r="B81" t="str">
            <v>BRUNSWICK COUNTY</v>
          </cell>
          <cell r="C81">
            <v>6.6703999999999999E-3</v>
          </cell>
          <cell r="D81">
            <v>6.6189999999999999E-3</v>
          </cell>
          <cell r="E81">
            <v>2867178</v>
          </cell>
          <cell r="F81">
            <v>14047735</v>
          </cell>
          <cell r="G81">
            <v>10190523</v>
          </cell>
          <cell r="H81"/>
          <cell r="I81">
            <v>587069</v>
          </cell>
          <cell r="J81">
            <v>2474271</v>
          </cell>
          <cell r="K81">
            <v>1455348</v>
          </cell>
          <cell r="L81">
            <v>35831</v>
          </cell>
          <cell r="M81"/>
          <cell r="N81">
            <v>288461</v>
          </cell>
          <cell r="O81">
            <v>0</v>
          </cell>
          <cell r="P81">
            <v>0</v>
          </cell>
          <cell r="Q81">
            <v>269013</v>
          </cell>
          <cell r="R81"/>
          <cell r="S81">
            <v>3434215</v>
          </cell>
          <cell r="T81">
            <v>-50061</v>
          </cell>
          <cell r="U81">
            <v>3384154</v>
          </cell>
        </row>
        <row r="82">
          <cell r="A82">
            <v>91002</v>
          </cell>
          <cell r="B82" t="str">
            <v>TOWN OF LELAND</v>
          </cell>
          <cell r="C82">
            <v>6.8860000000000004E-4</v>
          </cell>
          <cell r="D82">
            <v>5.6360000000000004E-4</v>
          </cell>
          <cell r="E82">
            <v>257315</v>
          </cell>
          <cell r="F82">
            <v>1196148</v>
          </cell>
          <cell r="G82">
            <v>1051990</v>
          </cell>
          <cell r="H82"/>
          <cell r="I82">
            <v>60604</v>
          </cell>
          <cell r="J82">
            <v>255424</v>
          </cell>
          <cell r="K82">
            <v>150239</v>
          </cell>
          <cell r="L82">
            <v>39390</v>
          </cell>
          <cell r="M82"/>
          <cell r="N82">
            <v>29779</v>
          </cell>
          <cell r="O82">
            <v>0</v>
          </cell>
          <cell r="P82">
            <v>0</v>
          </cell>
          <cell r="Q82">
            <v>48600</v>
          </cell>
          <cell r="R82"/>
          <cell r="S82">
            <v>354522</v>
          </cell>
          <cell r="T82">
            <v>-8849</v>
          </cell>
          <cell r="U82">
            <v>345673</v>
          </cell>
        </row>
        <row r="83">
          <cell r="A83">
            <v>91003</v>
          </cell>
          <cell r="B83" t="str">
            <v>BRUNSWICK CO HEALTH DEPT</v>
          </cell>
          <cell r="C83">
            <v>5.7260000000000004E-4</v>
          </cell>
          <cell r="D83">
            <v>5.6550000000000003E-4</v>
          </cell>
          <cell r="E83">
            <v>268789</v>
          </cell>
          <cell r="F83">
            <v>1200180</v>
          </cell>
          <cell r="G83">
            <v>874774</v>
          </cell>
          <cell r="H83"/>
          <cell r="I83">
            <v>50395</v>
          </cell>
          <cell r="J83">
            <v>212396</v>
          </cell>
          <cell r="K83">
            <v>124930</v>
          </cell>
          <cell r="L83">
            <v>27734</v>
          </cell>
          <cell r="M83"/>
          <cell r="N83">
            <v>24762</v>
          </cell>
          <cell r="O83">
            <v>0</v>
          </cell>
          <cell r="P83">
            <v>0</v>
          </cell>
          <cell r="Q83">
            <v>28524</v>
          </cell>
          <cell r="R83"/>
          <cell r="S83">
            <v>294800</v>
          </cell>
          <cell r="T83">
            <v>7266</v>
          </cell>
          <cell r="U83">
            <v>302066</v>
          </cell>
        </row>
        <row r="84">
          <cell r="A84">
            <v>91004</v>
          </cell>
          <cell r="B84" t="str">
            <v>BRUNSWICK COUNTY ABC BOARD</v>
          </cell>
          <cell r="C84">
            <v>2.58E-5</v>
          </cell>
          <cell r="D84">
            <v>1.7499999999999998E-5</v>
          </cell>
          <cell r="E84">
            <v>13568</v>
          </cell>
          <cell r="F84">
            <v>37141</v>
          </cell>
          <cell r="G84">
            <v>39415</v>
          </cell>
          <cell r="H84"/>
          <cell r="I84">
            <v>2271</v>
          </cell>
          <cell r="J84">
            <v>9571</v>
          </cell>
          <cell r="K84">
            <v>5629</v>
          </cell>
          <cell r="L84">
            <v>12153</v>
          </cell>
          <cell r="M84"/>
          <cell r="N84">
            <v>1116</v>
          </cell>
          <cell r="O84">
            <v>0</v>
          </cell>
          <cell r="P84">
            <v>0</v>
          </cell>
          <cell r="Q84">
            <v>108</v>
          </cell>
          <cell r="R84"/>
          <cell r="S84">
            <v>13283</v>
          </cell>
          <cell r="T84">
            <v>4277</v>
          </cell>
          <cell r="U84">
            <v>17560</v>
          </cell>
        </row>
        <row r="85">
          <cell r="A85">
            <v>91006</v>
          </cell>
          <cell r="B85" t="str">
            <v>BRUNSWICK CO DEPT OF SOCIAL SERVICES</v>
          </cell>
          <cell r="C85">
            <v>1.0317E-3</v>
          </cell>
          <cell r="D85">
            <v>1.0096E-3</v>
          </cell>
          <cell r="E85">
            <v>446629</v>
          </cell>
          <cell r="F85">
            <v>2142709</v>
          </cell>
          <cell r="G85">
            <v>1576152</v>
          </cell>
          <cell r="H85"/>
          <cell r="I85">
            <v>90801</v>
          </cell>
          <cell r="J85">
            <v>382692</v>
          </cell>
          <cell r="K85">
            <v>225096</v>
          </cell>
          <cell r="L85">
            <v>18199</v>
          </cell>
          <cell r="M85"/>
          <cell r="N85">
            <v>44616</v>
          </cell>
          <cell r="O85">
            <v>0</v>
          </cell>
          <cell r="P85">
            <v>0</v>
          </cell>
          <cell r="Q85">
            <v>22958</v>
          </cell>
          <cell r="R85"/>
          <cell r="S85">
            <v>531165</v>
          </cell>
          <cell r="T85">
            <v>3230</v>
          </cell>
          <cell r="U85">
            <v>534395</v>
          </cell>
        </row>
        <row r="86">
          <cell r="A86">
            <v>91007</v>
          </cell>
          <cell r="B86" t="str">
            <v>CALABASH ABC BOARD</v>
          </cell>
          <cell r="C86">
            <v>9.5000000000000005E-6</v>
          </cell>
          <cell r="D86">
            <v>1.2500000000000001E-5</v>
          </cell>
          <cell r="E86">
            <v>9502</v>
          </cell>
          <cell r="F86">
            <v>26529</v>
          </cell>
          <cell r="G86">
            <v>14513</v>
          </cell>
          <cell r="H86"/>
          <cell r="I86">
            <v>836</v>
          </cell>
          <cell r="J86">
            <v>3524</v>
          </cell>
          <cell r="K86">
            <v>2073</v>
          </cell>
          <cell r="L86">
            <v>7476</v>
          </cell>
          <cell r="M86"/>
          <cell r="N86">
            <v>411</v>
          </cell>
          <cell r="O86">
            <v>0</v>
          </cell>
          <cell r="P86">
            <v>0</v>
          </cell>
          <cell r="Q86">
            <v>507</v>
          </cell>
          <cell r="R86"/>
          <cell r="S86">
            <v>4891</v>
          </cell>
          <cell r="T86">
            <v>2150</v>
          </cell>
          <cell r="U86">
            <v>7041</v>
          </cell>
        </row>
        <row r="87">
          <cell r="A87">
            <v>91008</v>
          </cell>
          <cell r="B87" t="str">
            <v>CAPE FEAR COUNCIL OF GOVERNMENTS</v>
          </cell>
          <cell r="C87">
            <v>1.236E-4</v>
          </cell>
          <cell r="D87">
            <v>1.273E-4</v>
          </cell>
          <cell r="E87">
            <v>68974</v>
          </cell>
          <cell r="F87">
            <v>270173</v>
          </cell>
          <cell r="G87">
            <v>188827</v>
          </cell>
          <cell r="H87"/>
          <cell r="I87">
            <v>10878</v>
          </cell>
          <cell r="J87">
            <v>45847</v>
          </cell>
          <cell r="K87">
            <v>26967</v>
          </cell>
          <cell r="L87">
            <v>37042</v>
          </cell>
          <cell r="M87"/>
          <cell r="N87">
            <v>5345</v>
          </cell>
          <cell r="O87">
            <v>0</v>
          </cell>
          <cell r="P87">
            <v>0</v>
          </cell>
          <cell r="Q87">
            <v>0</v>
          </cell>
          <cell r="R87"/>
          <cell r="S87">
            <v>63635</v>
          </cell>
          <cell r="T87">
            <v>17548</v>
          </cell>
          <cell r="U87">
            <v>81183</v>
          </cell>
        </row>
        <row r="88">
          <cell r="A88">
            <v>91009</v>
          </cell>
          <cell r="B88" t="str">
            <v>BRUNSWICK COUNTY TOURISM AUTHORITY</v>
          </cell>
          <cell r="C88">
            <v>1.7499999999999998E-5</v>
          </cell>
          <cell r="D88">
            <v>1.8700000000000001E-5</v>
          </cell>
          <cell r="E88">
            <v>11392</v>
          </cell>
          <cell r="F88">
            <v>39688</v>
          </cell>
          <cell r="G88">
            <v>26735</v>
          </cell>
          <cell r="H88"/>
          <cell r="I88">
            <v>1540</v>
          </cell>
          <cell r="J88">
            <v>6491</v>
          </cell>
          <cell r="K88">
            <v>3818</v>
          </cell>
          <cell r="L88">
            <v>4951</v>
          </cell>
          <cell r="M88"/>
          <cell r="N88">
            <v>757</v>
          </cell>
          <cell r="O88">
            <v>0</v>
          </cell>
          <cell r="P88">
            <v>0</v>
          </cell>
          <cell r="Q88">
            <v>2458</v>
          </cell>
          <cell r="R88"/>
          <cell r="S88">
            <v>9010</v>
          </cell>
          <cell r="T88">
            <v>187</v>
          </cell>
          <cell r="U88">
            <v>9197</v>
          </cell>
        </row>
        <row r="89">
          <cell r="A89">
            <v>91010</v>
          </cell>
          <cell r="B89" t="str">
            <v>TOWN OF CALABASH</v>
          </cell>
          <cell r="C89">
            <v>7.0099999999999996E-5</v>
          </cell>
          <cell r="D89">
            <v>6.8399999999999996E-5</v>
          </cell>
          <cell r="E89">
            <v>32517</v>
          </cell>
          <cell r="F89">
            <v>145168</v>
          </cell>
          <cell r="G89">
            <v>107093</v>
          </cell>
          <cell r="H89"/>
          <cell r="I89">
            <v>6170</v>
          </cell>
          <cell r="J89">
            <v>26003</v>
          </cell>
          <cell r="K89">
            <v>15294</v>
          </cell>
          <cell r="L89">
            <v>7603</v>
          </cell>
          <cell r="M89"/>
          <cell r="N89">
            <v>3031</v>
          </cell>
          <cell r="O89">
            <v>0</v>
          </cell>
          <cell r="P89">
            <v>0</v>
          </cell>
          <cell r="Q89">
            <v>296</v>
          </cell>
          <cell r="R89"/>
          <cell r="S89">
            <v>36091</v>
          </cell>
          <cell r="T89">
            <v>4736</v>
          </cell>
          <cell r="U89">
            <v>40827</v>
          </cell>
        </row>
        <row r="90">
          <cell r="A90">
            <v>91011</v>
          </cell>
          <cell r="B90" t="str">
            <v>CITY OF SOUTHPORT</v>
          </cell>
          <cell r="C90">
            <v>3.5760000000000002E-4</v>
          </cell>
          <cell r="D90">
            <v>3.1789999999999998E-4</v>
          </cell>
          <cell r="E90">
            <v>159847</v>
          </cell>
          <cell r="F90">
            <v>674690</v>
          </cell>
          <cell r="G90">
            <v>546314</v>
          </cell>
          <cell r="H90"/>
          <cell r="I90">
            <v>31473</v>
          </cell>
          <cell r="J90">
            <v>132645</v>
          </cell>
          <cell r="K90">
            <v>78021</v>
          </cell>
          <cell r="L90">
            <v>43643</v>
          </cell>
          <cell r="M90"/>
          <cell r="N90">
            <v>15464</v>
          </cell>
          <cell r="O90">
            <v>0</v>
          </cell>
          <cell r="P90">
            <v>0</v>
          </cell>
          <cell r="Q90">
            <v>0</v>
          </cell>
          <cell r="R90"/>
          <cell r="S90">
            <v>184108</v>
          </cell>
          <cell r="T90">
            <v>16126</v>
          </cell>
          <cell r="U90">
            <v>200234</v>
          </cell>
        </row>
        <row r="91">
          <cell r="A91">
            <v>91012</v>
          </cell>
          <cell r="B91" t="str">
            <v>CITY OF NORTHWEST</v>
          </cell>
          <cell r="C91">
            <v>1.9300000000000002E-5</v>
          </cell>
          <cell r="D91">
            <v>1.49E-5</v>
          </cell>
          <cell r="E91">
            <v>8623</v>
          </cell>
          <cell r="F91">
            <v>31623</v>
          </cell>
          <cell r="G91">
            <v>29485</v>
          </cell>
          <cell r="H91"/>
          <cell r="I91">
            <v>1699</v>
          </cell>
          <cell r="J91">
            <v>7159</v>
          </cell>
          <cell r="K91">
            <v>4211</v>
          </cell>
          <cell r="L91">
            <v>5400</v>
          </cell>
          <cell r="M91"/>
          <cell r="N91">
            <v>835</v>
          </cell>
          <cell r="O91">
            <v>0</v>
          </cell>
          <cell r="P91">
            <v>0</v>
          </cell>
          <cell r="Q91">
            <v>2458</v>
          </cell>
          <cell r="R91"/>
          <cell r="S91">
            <v>9936</v>
          </cell>
          <cell r="T91">
            <v>-662</v>
          </cell>
          <cell r="U91">
            <v>9274</v>
          </cell>
        </row>
        <row r="92">
          <cell r="A92">
            <v>91013</v>
          </cell>
          <cell r="B92" t="str">
            <v>SOUTHEAST BRUNSWICK SANITARY DISTRICT</v>
          </cell>
          <cell r="C92">
            <v>2.34E-5</v>
          </cell>
          <cell r="D92">
            <v>2.1800000000000001E-5</v>
          </cell>
          <cell r="E92">
            <v>29322</v>
          </cell>
          <cell r="F92">
            <v>46267</v>
          </cell>
          <cell r="G92">
            <v>35749</v>
          </cell>
          <cell r="H92"/>
          <cell r="I92">
            <v>2059</v>
          </cell>
          <cell r="J92">
            <v>8680</v>
          </cell>
          <cell r="K92">
            <v>5105</v>
          </cell>
          <cell r="L92">
            <v>31764</v>
          </cell>
          <cell r="M92"/>
          <cell r="N92">
            <v>1012</v>
          </cell>
          <cell r="O92">
            <v>0</v>
          </cell>
          <cell r="P92">
            <v>0</v>
          </cell>
          <cell r="Q92">
            <v>0</v>
          </cell>
          <cell r="R92"/>
          <cell r="S92">
            <v>12047</v>
          </cell>
          <cell r="T92">
            <v>9518</v>
          </cell>
          <cell r="U92">
            <v>21565</v>
          </cell>
        </row>
        <row r="93">
          <cell r="A93">
            <v>91014</v>
          </cell>
          <cell r="B93" t="str">
            <v>TOWN OF HOLDEN BEACH</v>
          </cell>
          <cell r="C93">
            <v>2.22E-4</v>
          </cell>
          <cell r="D93">
            <v>2.1499999999999999E-4</v>
          </cell>
          <cell r="E93">
            <v>97692</v>
          </cell>
          <cell r="F93">
            <v>456302</v>
          </cell>
          <cell r="G93">
            <v>339155</v>
          </cell>
          <cell r="H93"/>
          <cell r="I93">
            <v>19538</v>
          </cell>
          <cell r="J93">
            <v>82347</v>
          </cell>
          <cell r="K93">
            <v>48436</v>
          </cell>
          <cell r="L93">
            <v>1313</v>
          </cell>
          <cell r="M93"/>
          <cell r="N93">
            <v>9600</v>
          </cell>
          <cell r="O93">
            <v>0</v>
          </cell>
          <cell r="P93">
            <v>0</v>
          </cell>
          <cell r="Q93">
            <v>11287</v>
          </cell>
          <cell r="R93"/>
          <cell r="S93">
            <v>114295</v>
          </cell>
          <cell r="T93">
            <v>-6129</v>
          </cell>
          <cell r="U93">
            <v>108166</v>
          </cell>
        </row>
        <row r="94">
          <cell r="A94">
            <v>91017</v>
          </cell>
          <cell r="B94" t="str">
            <v>CITY OF SOUTHPORT ABC BOARD</v>
          </cell>
          <cell r="C94">
            <v>2.4300000000000001E-5</v>
          </cell>
          <cell r="D94">
            <v>2.3E-5</v>
          </cell>
          <cell r="E94">
            <v>12462</v>
          </cell>
          <cell r="F94">
            <v>48814</v>
          </cell>
          <cell r="G94">
            <v>37124</v>
          </cell>
          <cell r="H94"/>
          <cell r="I94">
            <v>2139</v>
          </cell>
          <cell r="J94">
            <v>9014</v>
          </cell>
          <cell r="K94">
            <v>5302</v>
          </cell>
          <cell r="L94">
            <v>10242</v>
          </cell>
          <cell r="M94"/>
          <cell r="N94">
            <v>1051</v>
          </cell>
          <cell r="O94">
            <v>0</v>
          </cell>
          <cell r="P94">
            <v>0</v>
          </cell>
          <cell r="Q94">
            <v>0</v>
          </cell>
          <cell r="R94"/>
          <cell r="S94">
            <v>12511</v>
          </cell>
          <cell r="T94">
            <v>4025</v>
          </cell>
          <cell r="U94">
            <v>16536</v>
          </cell>
        </row>
        <row r="95">
          <cell r="A95">
            <v>91020</v>
          </cell>
          <cell r="B95" t="str">
            <v>TOWN OF BELVILLE</v>
          </cell>
          <cell r="C95">
            <v>2.27E-5</v>
          </cell>
          <cell r="D95">
            <v>1.9899999999999999E-5</v>
          </cell>
          <cell r="E95">
            <v>10949</v>
          </cell>
          <cell r="F95">
            <v>42234</v>
          </cell>
          <cell r="G95">
            <v>34679</v>
          </cell>
          <cell r="H95"/>
          <cell r="I95">
            <v>1998</v>
          </cell>
          <cell r="J95">
            <v>8420</v>
          </cell>
          <cell r="K95">
            <v>4953</v>
          </cell>
          <cell r="L95">
            <v>4064</v>
          </cell>
          <cell r="M95"/>
          <cell r="N95">
            <v>982</v>
          </cell>
          <cell r="O95">
            <v>0</v>
          </cell>
          <cell r="P95">
            <v>0</v>
          </cell>
          <cell r="Q95">
            <v>376</v>
          </cell>
          <cell r="R95"/>
          <cell r="S95">
            <v>11687</v>
          </cell>
          <cell r="T95">
            <v>1259</v>
          </cell>
          <cell r="U95">
            <v>12946</v>
          </cell>
        </row>
        <row r="96">
          <cell r="A96">
            <v>91021</v>
          </cell>
          <cell r="B96" t="str">
            <v>TOWN OF OAK ISLAND</v>
          </cell>
          <cell r="C96">
            <v>8.6450000000000003E-4</v>
          </cell>
          <cell r="D96">
            <v>8.6989999999999995E-4</v>
          </cell>
          <cell r="E96">
            <v>387782</v>
          </cell>
          <cell r="F96">
            <v>1846219</v>
          </cell>
          <cell r="G96">
            <v>1320717</v>
          </cell>
          <cell r="H96"/>
          <cell r="I96">
            <v>76086</v>
          </cell>
          <cell r="J96">
            <v>320672</v>
          </cell>
          <cell r="K96">
            <v>188617</v>
          </cell>
          <cell r="L96">
            <v>0</v>
          </cell>
          <cell r="M96"/>
          <cell r="N96">
            <v>37385</v>
          </cell>
          <cell r="O96">
            <v>0</v>
          </cell>
          <cell r="P96">
            <v>0</v>
          </cell>
          <cell r="Q96">
            <v>82677</v>
          </cell>
          <cell r="R96"/>
          <cell r="S96">
            <v>445083</v>
          </cell>
          <cell r="T96">
            <v>-48679</v>
          </cell>
          <cell r="U96">
            <v>396404</v>
          </cell>
        </row>
        <row r="97">
          <cell r="A97">
            <v>91024</v>
          </cell>
          <cell r="B97" t="str">
            <v>TOWN OF CAROLINA SHORES</v>
          </cell>
          <cell r="C97">
            <v>7.2999999999999999E-5</v>
          </cell>
          <cell r="D97">
            <v>6.6299999999999999E-5</v>
          </cell>
          <cell r="E97">
            <v>34458</v>
          </cell>
          <cell r="F97">
            <v>140711</v>
          </cell>
          <cell r="G97">
            <v>111524</v>
          </cell>
          <cell r="H97"/>
          <cell r="I97">
            <v>6425</v>
          </cell>
          <cell r="J97">
            <v>27078</v>
          </cell>
          <cell r="K97">
            <v>15927</v>
          </cell>
          <cell r="L97">
            <v>24081</v>
          </cell>
          <cell r="M97"/>
          <cell r="N97">
            <v>3157</v>
          </cell>
          <cell r="O97">
            <v>0</v>
          </cell>
          <cell r="P97">
            <v>0</v>
          </cell>
          <cell r="Q97">
            <v>0</v>
          </cell>
          <cell r="R97"/>
          <cell r="S97">
            <v>37584</v>
          </cell>
          <cell r="T97">
            <v>10843</v>
          </cell>
          <cell r="U97">
            <v>48427</v>
          </cell>
        </row>
        <row r="98">
          <cell r="A98">
            <v>91026</v>
          </cell>
          <cell r="B98" t="str">
            <v>TOWN OF NAVASSA</v>
          </cell>
          <cell r="C98">
            <v>4.18E-5</v>
          </cell>
          <cell r="D98">
            <v>6.0900000000000003E-5</v>
          </cell>
          <cell r="E98">
            <v>40781</v>
          </cell>
          <cell r="F98">
            <v>129250</v>
          </cell>
          <cell r="G98">
            <v>63859</v>
          </cell>
          <cell r="H98"/>
          <cell r="I98">
            <v>3679</v>
          </cell>
          <cell r="J98">
            <v>15505</v>
          </cell>
          <cell r="K98">
            <v>9120</v>
          </cell>
          <cell r="L98">
            <v>34468</v>
          </cell>
          <cell r="M98"/>
          <cell r="N98">
            <v>1808</v>
          </cell>
          <cell r="O98">
            <v>0</v>
          </cell>
          <cell r="P98">
            <v>0</v>
          </cell>
          <cell r="Q98">
            <v>3103</v>
          </cell>
          <cell r="R98"/>
          <cell r="S98">
            <v>21520</v>
          </cell>
          <cell r="T98">
            <v>11546</v>
          </cell>
          <cell r="U98">
            <v>33066</v>
          </cell>
        </row>
        <row r="99">
          <cell r="A99">
            <v>91027</v>
          </cell>
          <cell r="B99" t="str">
            <v>OAK ISLAND ABC BD</v>
          </cell>
          <cell r="C99">
            <v>1.4E-5</v>
          </cell>
          <cell r="D99">
            <v>1.6099999999999998E-5</v>
          </cell>
          <cell r="E99">
            <v>15968</v>
          </cell>
          <cell r="F99">
            <v>34170</v>
          </cell>
          <cell r="G99">
            <v>21388</v>
          </cell>
          <cell r="H99"/>
          <cell r="I99">
            <v>1232</v>
          </cell>
          <cell r="J99">
            <v>5193</v>
          </cell>
          <cell r="K99">
            <v>3055</v>
          </cell>
          <cell r="L99">
            <v>16343</v>
          </cell>
          <cell r="M99"/>
          <cell r="N99">
            <v>605</v>
          </cell>
          <cell r="O99">
            <v>0</v>
          </cell>
          <cell r="P99">
            <v>0</v>
          </cell>
          <cell r="Q99">
            <v>0</v>
          </cell>
          <cell r="R99"/>
          <cell r="S99">
            <v>7208</v>
          </cell>
          <cell r="T99">
            <v>6601</v>
          </cell>
          <cell r="U99">
            <v>13809</v>
          </cell>
        </row>
        <row r="100">
          <cell r="A100">
            <v>91032</v>
          </cell>
          <cell r="B100" t="str">
            <v>TOWN OF ST JAMES</v>
          </cell>
          <cell r="C100">
            <v>1.8E-5</v>
          </cell>
          <cell r="D100">
            <v>1.8600000000000001E-5</v>
          </cell>
          <cell r="E100">
            <v>16168</v>
          </cell>
          <cell r="F100">
            <v>39475</v>
          </cell>
          <cell r="G100">
            <v>27499</v>
          </cell>
          <cell r="H100"/>
          <cell r="I100">
            <v>1584</v>
          </cell>
          <cell r="J100">
            <v>6677</v>
          </cell>
          <cell r="K100">
            <v>3927</v>
          </cell>
          <cell r="L100">
            <v>14996</v>
          </cell>
          <cell r="M100"/>
          <cell r="N100">
            <v>778</v>
          </cell>
          <cell r="O100">
            <v>0</v>
          </cell>
          <cell r="P100">
            <v>0</v>
          </cell>
          <cell r="Q100">
            <v>0</v>
          </cell>
          <cell r="R100"/>
          <cell r="S100">
            <v>9267</v>
          </cell>
          <cell r="T100">
            <v>6458</v>
          </cell>
          <cell r="U100">
            <v>15725</v>
          </cell>
        </row>
        <row r="101">
          <cell r="A101">
            <v>91041</v>
          </cell>
          <cell r="B101" t="str">
            <v>TOWN OF SUNSET BEACH</v>
          </cell>
          <cell r="C101">
            <v>4.0400000000000001E-4</v>
          </cell>
          <cell r="D101">
            <v>4.3609999999999998E-4</v>
          </cell>
          <cell r="E101">
            <v>157511</v>
          </cell>
          <cell r="F101">
            <v>925550</v>
          </cell>
          <cell r="G101">
            <v>617200</v>
          </cell>
          <cell r="H101"/>
          <cell r="I101">
            <v>35556</v>
          </cell>
          <cell r="J101">
            <v>149857</v>
          </cell>
          <cell r="K101">
            <v>88145</v>
          </cell>
          <cell r="L101">
            <v>0</v>
          </cell>
          <cell r="M101"/>
          <cell r="N101">
            <v>17471</v>
          </cell>
          <cell r="O101">
            <v>0</v>
          </cell>
          <cell r="P101">
            <v>0</v>
          </cell>
          <cell r="Q101">
            <v>109443</v>
          </cell>
          <cell r="R101"/>
          <cell r="S101">
            <v>207997</v>
          </cell>
          <cell r="T101">
            <v>-39088</v>
          </cell>
          <cell r="U101">
            <v>168909</v>
          </cell>
        </row>
        <row r="102">
          <cell r="A102">
            <v>91042</v>
          </cell>
          <cell r="B102" t="str">
            <v>BRUNSWICK REGIONAL WATER AND SEWER H2GO</v>
          </cell>
          <cell r="C102">
            <v>2.3360000000000001E-4</v>
          </cell>
          <cell r="D102">
            <v>2.062E-4</v>
          </cell>
          <cell r="E102">
            <v>99551</v>
          </cell>
          <cell r="F102">
            <v>437625</v>
          </cell>
          <cell r="G102">
            <v>356876</v>
          </cell>
          <cell r="H102"/>
          <cell r="I102">
            <v>20559</v>
          </cell>
          <cell r="J102">
            <v>86650</v>
          </cell>
          <cell r="K102">
            <v>50967</v>
          </cell>
          <cell r="L102">
            <v>12354</v>
          </cell>
          <cell r="M102"/>
          <cell r="N102">
            <v>10102</v>
          </cell>
          <cell r="O102">
            <v>0</v>
          </cell>
          <cell r="P102">
            <v>0</v>
          </cell>
          <cell r="Q102">
            <v>6985</v>
          </cell>
          <cell r="R102"/>
          <cell r="S102">
            <v>120268</v>
          </cell>
          <cell r="T102">
            <v>717</v>
          </cell>
          <cell r="U102">
            <v>120985</v>
          </cell>
        </row>
        <row r="103">
          <cell r="A103">
            <v>91047</v>
          </cell>
          <cell r="B103" t="str">
            <v>TOWN OF SUNSET BEACH ABC BOARD</v>
          </cell>
          <cell r="C103">
            <v>1.31E-5</v>
          </cell>
          <cell r="D103">
            <v>1.3200000000000001E-5</v>
          </cell>
          <cell r="E103">
            <v>16396</v>
          </cell>
          <cell r="F103">
            <v>28015</v>
          </cell>
          <cell r="G103">
            <v>20013</v>
          </cell>
          <cell r="H103"/>
          <cell r="I103">
            <v>1153</v>
          </cell>
          <cell r="J103">
            <v>4859</v>
          </cell>
          <cell r="K103">
            <v>2858</v>
          </cell>
          <cell r="L103">
            <v>20507</v>
          </cell>
          <cell r="M103"/>
          <cell r="N103">
            <v>567</v>
          </cell>
          <cell r="O103">
            <v>0</v>
          </cell>
          <cell r="P103">
            <v>0</v>
          </cell>
          <cell r="Q103">
            <v>0</v>
          </cell>
          <cell r="R103"/>
          <cell r="S103">
            <v>6744</v>
          </cell>
          <cell r="T103">
            <v>7559</v>
          </cell>
          <cell r="U103">
            <v>14303</v>
          </cell>
        </row>
        <row r="104">
          <cell r="A104">
            <v>91051</v>
          </cell>
          <cell r="B104" t="str">
            <v>TOWN OF CASWELL BEACH</v>
          </cell>
          <cell r="C104">
            <v>6.6400000000000001E-5</v>
          </cell>
          <cell r="D104">
            <v>7.6600000000000005E-5</v>
          </cell>
          <cell r="E104">
            <v>30964</v>
          </cell>
          <cell r="F104">
            <v>162571</v>
          </cell>
          <cell r="G104">
            <v>101441</v>
          </cell>
          <cell r="H104"/>
          <cell r="I104">
            <v>5844</v>
          </cell>
          <cell r="J104">
            <v>24630</v>
          </cell>
          <cell r="K104">
            <v>14487</v>
          </cell>
          <cell r="L104">
            <v>1619</v>
          </cell>
          <cell r="M104"/>
          <cell r="N104">
            <v>2871</v>
          </cell>
          <cell r="O104">
            <v>0</v>
          </cell>
          <cell r="P104">
            <v>0</v>
          </cell>
          <cell r="Q104">
            <v>8430</v>
          </cell>
          <cell r="R104"/>
          <cell r="S104">
            <v>34186</v>
          </cell>
          <cell r="T104">
            <v>-1576</v>
          </cell>
          <cell r="U104">
            <v>32610</v>
          </cell>
        </row>
        <row r="105">
          <cell r="A105">
            <v>91057</v>
          </cell>
          <cell r="B105" t="str">
            <v>SHALLOTTE ABC BOARD</v>
          </cell>
          <cell r="C105">
            <v>1.4399999999999999E-5</v>
          </cell>
          <cell r="D105">
            <v>1.5E-5</v>
          </cell>
          <cell r="E105">
            <v>9616</v>
          </cell>
          <cell r="F105">
            <v>31835</v>
          </cell>
          <cell r="G105">
            <v>21999</v>
          </cell>
          <cell r="H105"/>
          <cell r="I105">
            <v>1267</v>
          </cell>
          <cell r="J105">
            <v>5342</v>
          </cell>
          <cell r="K105">
            <v>3142</v>
          </cell>
          <cell r="L105">
            <v>5805</v>
          </cell>
          <cell r="M105"/>
          <cell r="N105">
            <v>623</v>
          </cell>
          <cell r="O105">
            <v>0</v>
          </cell>
          <cell r="P105">
            <v>0</v>
          </cell>
          <cell r="Q105">
            <v>0</v>
          </cell>
          <cell r="R105"/>
          <cell r="S105">
            <v>7414</v>
          </cell>
          <cell r="T105">
            <v>2191</v>
          </cell>
          <cell r="U105">
            <v>9605</v>
          </cell>
        </row>
        <row r="106">
          <cell r="A106">
            <v>91061</v>
          </cell>
          <cell r="B106" t="str">
            <v>TOWN OF OCEAN ISLE BEACH</v>
          </cell>
          <cell r="C106">
            <v>4.104E-4</v>
          </cell>
          <cell r="D106">
            <v>3.7730000000000001E-4</v>
          </cell>
          <cell r="E106">
            <v>172504</v>
          </cell>
          <cell r="F106">
            <v>800757</v>
          </cell>
          <cell r="G106">
            <v>626978</v>
          </cell>
          <cell r="H106"/>
          <cell r="I106">
            <v>36120</v>
          </cell>
          <cell r="J106">
            <v>152231</v>
          </cell>
          <cell r="K106">
            <v>89541</v>
          </cell>
          <cell r="L106">
            <v>19267</v>
          </cell>
          <cell r="M106"/>
          <cell r="N106">
            <v>17748</v>
          </cell>
          <cell r="O106">
            <v>0</v>
          </cell>
          <cell r="P106">
            <v>0</v>
          </cell>
          <cell r="Q106">
            <v>27800</v>
          </cell>
          <cell r="R106"/>
          <cell r="S106">
            <v>211292</v>
          </cell>
          <cell r="T106">
            <v>-13384</v>
          </cell>
          <cell r="U106">
            <v>197908</v>
          </cell>
        </row>
        <row r="107">
          <cell r="A107">
            <v>91067</v>
          </cell>
          <cell r="B107" t="str">
            <v>OCEAN ISLE BEACH ABC BOARD</v>
          </cell>
          <cell r="C107">
            <v>1.5699999999999999E-5</v>
          </cell>
          <cell r="D107">
            <v>1.8499999999999999E-5</v>
          </cell>
          <cell r="E107">
            <v>9046</v>
          </cell>
          <cell r="F107">
            <v>39263</v>
          </cell>
          <cell r="G107">
            <v>23985</v>
          </cell>
          <cell r="H107"/>
          <cell r="I107">
            <v>1382</v>
          </cell>
          <cell r="J107">
            <v>5824</v>
          </cell>
          <cell r="K107">
            <v>3425</v>
          </cell>
          <cell r="L107">
            <v>2413</v>
          </cell>
          <cell r="M107"/>
          <cell r="N107">
            <v>679</v>
          </cell>
          <cell r="O107">
            <v>0</v>
          </cell>
          <cell r="P107">
            <v>0</v>
          </cell>
          <cell r="Q107">
            <v>406</v>
          </cell>
          <cell r="R107"/>
          <cell r="S107">
            <v>8083</v>
          </cell>
          <cell r="T107">
            <v>1156</v>
          </cell>
          <cell r="U107">
            <v>9239</v>
          </cell>
        </row>
        <row r="108">
          <cell r="A108">
            <v>91071</v>
          </cell>
          <cell r="B108" t="str">
            <v>CITY OF BOILING SPRG LAKES</v>
          </cell>
          <cell r="C108">
            <v>2.2770000000000001E-4</v>
          </cell>
          <cell r="D108">
            <v>2.4379999999999999E-4</v>
          </cell>
          <cell r="E108">
            <v>93245</v>
          </cell>
          <cell r="F108">
            <v>517425</v>
          </cell>
          <cell r="G108">
            <v>347863</v>
          </cell>
          <cell r="H108"/>
          <cell r="I108">
            <v>20040</v>
          </cell>
          <cell r="J108">
            <v>84462</v>
          </cell>
          <cell r="K108">
            <v>49680</v>
          </cell>
          <cell r="L108">
            <v>8372</v>
          </cell>
          <cell r="M108"/>
          <cell r="N108">
            <v>9847</v>
          </cell>
          <cell r="O108">
            <v>0</v>
          </cell>
          <cell r="P108">
            <v>0</v>
          </cell>
          <cell r="Q108">
            <v>22478</v>
          </cell>
          <cell r="R108"/>
          <cell r="S108">
            <v>117230</v>
          </cell>
          <cell r="T108">
            <v>2353</v>
          </cell>
          <cell r="U108">
            <v>119583</v>
          </cell>
        </row>
        <row r="109">
          <cell r="A109">
            <v>91077</v>
          </cell>
          <cell r="B109" t="str">
            <v>BOILING SPRING LAKES ABC BOARD</v>
          </cell>
          <cell r="C109">
            <v>3.5999999999999998E-6</v>
          </cell>
          <cell r="D109">
            <v>3.9999999999999998E-6</v>
          </cell>
          <cell r="E109">
            <v>3277</v>
          </cell>
          <cell r="F109">
            <v>8489</v>
          </cell>
          <cell r="G109">
            <v>5500</v>
          </cell>
          <cell r="H109"/>
          <cell r="I109">
            <v>317</v>
          </cell>
          <cell r="J109">
            <v>1336</v>
          </cell>
          <cell r="K109">
            <v>785</v>
          </cell>
          <cell r="L109">
            <v>1826</v>
          </cell>
          <cell r="M109"/>
          <cell r="N109">
            <v>156</v>
          </cell>
          <cell r="O109">
            <v>0</v>
          </cell>
          <cell r="P109">
            <v>0</v>
          </cell>
          <cell r="Q109">
            <v>51</v>
          </cell>
          <cell r="R109"/>
          <cell r="S109">
            <v>1853</v>
          </cell>
          <cell r="T109">
            <v>551</v>
          </cell>
          <cell r="U109">
            <v>2404</v>
          </cell>
        </row>
        <row r="110">
          <cell r="A110">
            <v>91081</v>
          </cell>
          <cell r="B110" t="str">
            <v>TOWN OF SHALLOTTE</v>
          </cell>
          <cell r="C110">
            <v>3.6240000000000003E-4</v>
          </cell>
          <cell r="D110">
            <v>3.6499999999999998E-4</v>
          </cell>
          <cell r="E110">
            <v>169112</v>
          </cell>
          <cell r="F110">
            <v>774652</v>
          </cell>
          <cell r="G110">
            <v>553647</v>
          </cell>
          <cell r="H110"/>
          <cell r="I110">
            <v>31895</v>
          </cell>
          <cell r="J110">
            <v>134426</v>
          </cell>
          <cell r="K110">
            <v>79068</v>
          </cell>
          <cell r="L110">
            <v>1618</v>
          </cell>
          <cell r="M110"/>
          <cell r="N110">
            <v>15672</v>
          </cell>
          <cell r="O110">
            <v>0</v>
          </cell>
          <cell r="P110">
            <v>0</v>
          </cell>
          <cell r="Q110">
            <v>13549</v>
          </cell>
          <cell r="R110"/>
          <cell r="S110">
            <v>186579</v>
          </cell>
          <cell r="T110">
            <v>-13101</v>
          </cell>
          <cell r="U110">
            <v>173478</v>
          </cell>
        </row>
        <row r="111">
          <cell r="A111">
            <v>91091</v>
          </cell>
          <cell r="B111" t="str">
            <v>VILLAGE OF BALD HEAD ISLAND</v>
          </cell>
          <cell r="C111">
            <v>5.3790000000000001E-4</v>
          </cell>
          <cell r="D111">
            <v>5.6380000000000004E-4</v>
          </cell>
          <cell r="E111">
            <v>225749</v>
          </cell>
          <cell r="F111">
            <v>1196572</v>
          </cell>
          <cell r="G111">
            <v>821762</v>
          </cell>
          <cell r="H111"/>
          <cell r="I111">
            <v>47341</v>
          </cell>
          <cell r="J111">
            <v>199525</v>
          </cell>
          <cell r="K111">
            <v>117359</v>
          </cell>
          <cell r="L111">
            <v>0</v>
          </cell>
          <cell r="M111"/>
          <cell r="N111">
            <v>23261</v>
          </cell>
          <cell r="O111">
            <v>0</v>
          </cell>
          <cell r="P111">
            <v>0</v>
          </cell>
          <cell r="Q111">
            <v>66212</v>
          </cell>
          <cell r="R111"/>
          <cell r="S111">
            <v>276935</v>
          </cell>
          <cell r="T111">
            <v>-30835</v>
          </cell>
          <cell r="U111">
            <v>246100</v>
          </cell>
        </row>
        <row r="112">
          <cell r="A112">
            <v>91101</v>
          </cell>
          <cell r="B112" t="str">
            <v>BUNCOMBE COUNTY</v>
          </cell>
          <cell r="C112">
            <v>1.35581E-2</v>
          </cell>
          <cell r="D112">
            <v>1.36685E-2</v>
          </cell>
          <cell r="E112">
            <v>5894551</v>
          </cell>
          <cell r="F112">
            <v>29009136</v>
          </cell>
          <cell r="G112">
            <v>20713021</v>
          </cell>
          <cell r="H112"/>
          <cell r="I112">
            <v>1193262</v>
          </cell>
          <cell r="J112">
            <v>5029146</v>
          </cell>
          <cell r="K112">
            <v>2958106</v>
          </cell>
          <cell r="L112">
            <v>471609</v>
          </cell>
          <cell r="M112"/>
          <cell r="N112">
            <v>586320</v>
          </cell>
          <cell r="O112">
            <v>0</v>
          </cell>
          <cell r="P112">
            <v>0</v>
          </cell>
          <cell r="Q112">
            <v>587664</v>
          </cell>
          <cell r="R112"/>
          <cell r="S112">
            <v>6980306</v>
          </cell>
          <cell r="T112">
            <v>147859</v>
          </cell>
          <cell r="U112">
            <v>7128165</v>
          </cell>
        </row>
        <row r="113">
          <cell r="A113">
            <v>91102</v>
          </cell>
          <cell r="B113" t="str">
            <v>LAND-OF-SKY REGIONAL COUNCIL</v>
          </cell>
          <cell r="C113">
            <v>3.2919999999999998E-4</v>
          </cell>
          <cell r="D113">
            <v>3.034E-4</v>
          </cell>
          <cell r="E113">
            <v>156560</v>
          </cell>
          <cell r="F113">
            <v>643916</v>
          </cell>
          <cell r="G113">
            <v>502926</v>
          </cell>
          <cell r="H113"/>
          <cell r="I113">
            <v>28973</v>
          </cell>
          <cell r="J113">
            <v>122111</v>
          </cell>
          <cell r="K113">
            <v>71825</v>
          </cell>
          <cell r="L113">
            <v>35240</v>
          </cell>
          <cell r="M113"/>
          <cell r="N113">
            <v>14236</v>
          </cell>
          <cell r="O113">
            <v>0</v>
          </cell>
          <cell r="P113">
            <v>0</v>
          </cell>
          <cell r="Q113">
            <v>33978</v>
          </cell>
          <cell r="R113"/>
          <cell r="S113">
            <v>169487</v>
          </cell>
          <cell r="T113">
            <v>-8323</v>
          </cell>
          <cell r="U113">
            <v>161164</v>
          </cell>
        </row>
        <row r="114">
          <cell r="A114">
            <v>91104</v>
          </cell>
          <cell r="B114" t="str">
            <v>WOODFIN ABC COMMISSION</v>
          </cell>
          <cell r="C114">
            <v>7.9000000000000006E-6</v>
          </cell>
          <cell r="D114">
            <v>8.1999999999999994E-6</v>
          </cell>
          <cell r="E114">
            <v>5628</v>
          </cell>
          <cell r="F114">
            <v>17403</v>
          </cell>
          <cell r="G114">
            <v>12069</v>
          </cell>
          <cell r="H114"/>
          <cell r="I114">
            <v>695</v>
          </cell>
          <cell r="J114">
            <v>2930</v>
          </cell>
          <cell r="K114">
            <v>1724</v>
          </cell>
          <cell r="L114">
            <v>2115</v>
          </cell>
          <cell r="M114"/>
          <cell r="N114">
            <v>342</v>
          </cell>
          <cell r="O114">
            <v>0</v>
          </cell>
          <cell r="P114">
            <v>0</v>
          </cell>
          <cell r="Q114">
            <v>39</v>
          </cell>
          <cell r="R114"/>
          <cell r="S114">
            <v>4067</v>
          </cell>
          <cell r="T114">
            <v>589</v>
          </cell>
          <cell r="U114">
            <v>4656</v>
          </cell>
        </row>
        <row r="115">
          <cell r="A115">
            <v>91107</v>
          </cell>
          <cell r="B115" t="str">
            <v>WESTERN NC REGIONAL AIR QUALITY</v>
          </cell>
          <cell r="C115">
            <v>7.08E-5</v>
          </cell>
          <cell r="D115">
            <v>6.7899999999999997E-5</v>
          </cell>
          <cell r="E115">
            <v>36616</v>
          </cell>
          <cell r="F115">
            <v>0</v>
          </cell>
          <cell r="G115">
            <v>108163</v>
          </cell>
          <cell r="H115"/>
          <cell r="I115">
            <v>6231</v>
          </cell>
          <cell r="J115">
            <v>26263</v>
          </cell>
          <cell r="K115">
            <v>15447</v>
          </cell>
          <cell r="L115">
            <v>13143</v>
          </cell>
          <cell r="M115"/>
          <cell r="N115">
            <v>3062</v>
          </cell>
          <cell r="O115">
            <v>0</v>
          </cell>
          <cell r="P115">
            <v>0</v>
          </cell>
          <cell r="Q115">
            <v>0</v>
          </cell>
          <cell r="R115"/>
          <cell r="S115">
            <v>36451</v>
          </cell>
          <cell r="T115">
            <v>5162</v>
          </cell>
          <cell r="U115">
            <v>41613</v>
          </cell>
        </row>
        <row r="116">
          <cell r="A116">
            <v>91108</v>
          </cell>
          <cell r="B116" t="str">
            <v>METRO SEWERAGE DIST OF BUNCOMBE COUNTY</v>
          </cell>
          <cell r="C116">
            <v>1.2413999999999999E-3</v>
          </cell>
          <cell r="D116">
            <v>1.2622E-3</v>
          </cell>
          <cell r="E116">
            <v>613476</v>
          </cell>
          <cell r="F116">
            <v>2678811</v>
          </cell>
          <cell r="G116">
            <v>1896515</v>
          </cell>
          <cell r="H116"/>
          <cell r="I116">
            <v>109257</v>
          </cell>
          <cell r="J116">
            <v>460476</v>
          </cell>
          <cell r="K116">
            <v>270849</v>
          </cell>
          <cell r="L116">
            <v>74887</v>
          </cell>
          <cell r="M116"/>
          <cell r="N116">
            <v>53684</v>
          </cell>
          <cell r="O116">
            <v>0</v>
          </cell>
          <cell r="P116">
            <v>0</v>
          </cell>
          <cell r="Q116">
            <v>0</v>
          </cell>
          <cell r="R116"/>
          <cell r="S116">
            <v>639127</v>
          </cell>
          <cell r="T116">
            <v>34876</v>
          </cell>
          <cell r="U116">
            <v>674003</v>
          </cell>
        </row>
        <row r="117">
          <cell r="A117">
            <v>91109</v>
          </cell>
          <cell r="B117" t="str">
            <v>WOODFIN SANITARY WATER AND SEWER DIST</v>
          </cell>
          <cell r="C117">
            <v>9.9599999999999995E-5</v>
          </cell>
          <cell r="D117">
            <v>9.2100000000000003E-5</v>
          </cell>
          <cell r="E117">
            <v>45066</v>
          </cell>
          <cell r="F117">
            <v>195467</v>
          </cell>
          <cell r="G117">
            <v>152161</v>
          </cell>
          <cell r="H117"/>
          <cell r="I117">
            <v>8766</v>
          </cell>
          <cell r="J117">
            <v>36945</v>
          </cell>
          <cell r="K117">
            <v>21731</v>
          </cell>
          <cell r="L117">
            <v>5921</v>
          </cell>
          <cell r="M117"/>
          <cell r="N117">
            <v>4307</v>
          </cell>
          <cell r="O117">
            <v>0</v>
          </cell>
          <cell r="P117">
            <v>0</v>
          </cell>
          <cell r="Q117">
            <v>920</v>
          </cell>
          <cell r="R117"/>
          <cell r="S117">
            <v>51278</v>
          </cell>
          <cell r="T117">
            <v>1215</v>
          </cell>
          <cell r="U117">
            <v>52493</v>
          </cell>
        </row>
        <row r="118">
          <cell r="A118">
            <v>91111</v>
          </cell>
          <cell r="B118" t="str">
            <v>TOWN OF BILTMORE FOREST</v>
          </cell>
          <cell r="C118">
            <v>2.2719999999999999E-4</v>
          </cell>
          <cell r="D118">
            <v>2.2359999999999999E-4</v>
          </cell>
          <cell r="E118">
            <v>110903</v>
          </cell>
          <cell r="F118">
            <v>474554</v>
          </cell>
          <cell r="G118">
            <v>347099</v>
          </cell>
          <cell r="H118"/>
          <cell r="I118">
            <v>19996</v>
          </cell>
          <cell r="J118">
            <v>84276</v>
          </cell>
          <cell r="K118">
            <v>49570</v>
          </cell>
          <cell r="L118">
            <v>25492</v>
          </cell>
          <cell r="M118"/>
          <cell r="N118">
            <v>9825</v>
          </cell>
          <cell r="O118">
            <v>0</v>
          </cell>
          <cell r="P118">
            <v>0</v>
          </cell>
          <cell r="Q118">
            <v>0</v>
          </cell>
          <cell r="R118"/>
          <cell r="S118">
            <v>116973</v>
          </cell>
          <cell r="T118">
            <v>10793</v>
          </cell>
          <cell r="U118">
            <v>127766</v>
          </cell>
        </row>
        <row r="119">
          <cell r="A119">
            <v>91119</v>
          </cell>
          <cell r="B119" t="str">
            <v>WESTERN HIGHLAND AREA AUTHORITY</v>
          </cell>
          <cell r="C119">
            <v>0</v>
          </cell>
          <cell r="D119">
            <v>0</v>
          </cell>
          <cell r="E119">
            <v>0</v>
          </cell>
          <cell r="F119">
            <v>0</v>
          </cell>
          <cell r="G119">
            <v>0</v>
          </cell>
          <cell r="H119"/>
          <cell r="I119">
            <v>0</v>
          </cell>
          <cell r="J119">
            <v>0</v>
          </cell>
          <cell r="K119">
            <v>0</v>
          </cell>
          <cell r="L119">
            <v>0</v>
          </cell>
          <cell r="M119"/>
          <cell r="N119">
            <v>0</v>
          </cell>
          <cell r="O119">
            <v>0</v>
          </cell>
          <cell r="P119">
            <v>0</v>
          </cell>
          <cell r="Q119">
            <v>321091</v>
          </cell>
          <cell r="R119"/>
          <cell r="S119">
            <v>0</v>
          </cell>
          <cell r="T119">
            <v>-324334</v>
          </cell>
          <cell r="U119">
            <v>-324334</v>
          </cell>
        </row>
        <row r="120">
          <cell r="A120">
            <v>91120</v>
          </cell>
          <cell r="B120" t="str">
            <v>WEST BUNCOMBE FIRE DEPT</v>
          </cell>
          <cell r="C120">
            <v>1.3019999999999999E-4</v>
          </cell>
          <cell r="D120">
            <v>1.184E-4</v>
          </cell>
          <cell r="E120">
            <v>45449</v>
          </cell>
          <cell r="F120">
            <v>251284</v>
          </cell>
          <cell r="G120">
            <v>198910</v>
          </cell>
          <cell r="H120"/>
          <cell r="I120">
            <v>11459</v>
          </cell>
          <cell r="J120">
            <v>48295</v>
          </cell>
          <cell r="K120">
            <v>28407</v>
          </cell>
          <cell r="L120">
            <v>0</v>
          </cell>
          <cell r="M120"/>
          <cell r="N120">
            <v>5630</v>
          </cell>
          <cell r="O120">
            <v>0</v>
          </cell>
          <cell r="P120">
            <v>0</v>
          </cell>
          <cell r="Q120">
            <v>21939</v>
          </cell>
          <cell r="R120"/>
          <cell r="S120">
            <v>67033</v>
          </cell>
          <cell r="T120">
            <v>-12131</v>
          </cell>
          <cell r="U120">
            <v>54902</v>
          </cell>
        </row>
        <row r="121">
          <cell r="A121">
            <v>91121</v>
          </cell>
          <cell r="B121" t="str">
            <v>CITY OF ASHEVILLE</v>
          </cell>
          <cell r="C121">
            <v>9.9927999999999996E-3</v>
          </cell>
          <cell r="D121">
            <v>9.7842999999999992E-3</v>
          </cell>
          <cell r="E121">
            <v>4272051</v>
          </cell>
          <cell r="F121">
            <v>20765562</v>
          </cell>
          <cell r="G121">
            <v>15266230</v>
          </cell>
          <cell r="H121"/>
          <cell r="I121">
            <v>879476</v>
          </cell>
          <cell r="J121">
            <v>3706660</v>
          </cell>
          <cell r="K121">
            <v>2180229</v>
          </cell>
          <cell r="L121">
            <v>0</v>
          </cell>
          <cell r="M121"/>
          <cell r="N121">
            <v>432139</v>
          </cell>
          <cell r="O121">
            <v>0</v>
          </cell>
          <cell r="P121">
            <v>0</v>
          </cell>
          <cell r="Q121">
            <v>650994</v>
          </cell>
          <cell r="R121"/>
          <cell r="S121">
            <v>5144733</v>
          </cell>
          <cell r="T121">
            <v>-324255</v>
          </cell>
          <cell r="U121">
            <v>4820478</v>
          </cell>
        </row>
        <row r="122">
          <cell r="A122">
            <v>91127</v>
          </cell>
          <cell r="B122" t="str">
            <v>ASHEVILLE ABC BOARD</v>
          </cell>
          <cell r="C122">
            <v>2.6879999999999997E-4</v>
          </cell>
          <cell r="D122">
            <v>2.8229999999999998E-4</v>
          </cell>
          <cell r="E122">
            <v>146935</v>
          </cell>
          <cell r="F122">
            <v>599135</v>
          </cell>
          <cell r="G122">
            <v>410652</v>
          </cell>
          <cell r="H122"/>
          <cell r="I122">
            <v>23657</v>
          </cell>
          <cell r="J122">
            <v>99706</v>
          </cell>
          <cell r="K122">
            <v>58647</v>
          </cell>
          <cell r="L122">
            <v>46863</v>
          </cell>
          <cell r="M122"/>
          <cell r="N122">
            <v>11624</v>
          </cell>
          <cell r="O122">
            <v>0</v>
          </cell>
          <cell r="P122">
            <v>0</v>
          </cell>
          <cell r="Q122">
            <v>0</v>
          </cell>
          <cell r="R122"/>
          <cell r="S122">
            <v>138390</v>
          </cell>
          <cell r="T122">
            <v>25061</v>
          </cell>
          <cell r="U122">
            <v>163451</v>
          </cell>
        </row>
        <row r="123">
          <cell r="A123">
            <v>91128</v>
          </cell>
          <cell r="B123" t="str">
            <v>ASHEVILLE REGIONAL AIRPORT AUTHORITY</v>
          </cell>
          <cell r="C123">
            <v>5.2380000000000005E-4</v>
          </cell>
          <cell r="D123">
            <v>5.0929999999999997E-4</v>
          </cell>
          <cell r="E123">
            <v>238305</v>
          </cell>
          <cell r="F123">
            <v>1080905</v>
          </cell>
          <cell r="G123">
            <v>800221</v>
          </cell>
          <cell r="H123"/>
          <cell r="I123">
            <v>46100</v>
          </cell>
          <cell r="J123">
            <v>194295</v>
          </cell>
          <cell r="K123">
            <v>114283</v>
          </cell>
          <cell r="L123">
            <v>15169</v>
          </cell>
          <cell r="M123"/>
          <cell r="N123">
            <v>22652</v>
          </cell>
          <cell r="O123">
            <v>0</v>
          </cell>
          <cell r="P123">
            <v>0</v>
          </cell>
          <cell r="Q123">
            <v>6263</v>
          </cell>
          <cell r="R123"/>
          <cell r="S123">
            <v>269675</v>
          </cell>
          <cell r="T123">
            <v>-679</v>
          </cell>
          <cell r="U123">
            <v>268996</v>
          </cell>
        </row>
        <row r="124">
          <cell r="A124">
            <v>91138</v>
          </cell>
          <cell r="B124" t="str">
            <v>SKYLAND VOL FIRE DEPT</v>
          </cell>
          <cell r="C124">
            <v>6.2629999999999999E-4</v>
          </cell>
          <cell r="D124">
            <v>6.2350000000000003E-4</v>
          </cell>
          <cell r="E124">
            <v>220646</v>
          </cell>
          <cell r="F124">
            <v>1323276</v>
          </cell>
          <cell r="G124">
            <v>956813</v>
          </cell>
          <cell r="H124"/>
          <cell r="I124">
            <v>55121</v>
          </cell>
          <cell r="J124">
            <v>232316</v>
          </cell>
          <cell r="K124">
            <v>136646</v>
          </cell>
          <cell r="L124">
            <v>0</v>
          </cell>
          <cell r="M124"/>
          <cell r="N124">
            <v>27084</v>
          </cell>
          <cell r="O124">
            <v>0</v>
          </cell>
          <cell r="P124">
            <v>0</v>
          </cell>
          <cell r="Q124">
            <v>127984</v>
          </cell>
          <cell r="R124"/>
          <cell r="S124">
            <v>322447</v>
          </cell>
          <cell r="T124">
            <v>-48531</v>
          </cell>
          <cell r="U124">
            <v>273916</v>
          </cell>
        </row>
        <row r="125">
          <cell r="A125">
            <v>91141</v>
          </cell>
          <cell r="B125" t="str">
            <v>TOWN OF WEAVERVILLE</v>
          </cell>
          <cell r="C125">
            <v>5.7569999999999995E-4</v>
          </cell>
          <cell r="D125">
            <v>5.5679999999999998E-4</v>
          </cell>
          <cell r="E125">
            <v>236315</v>
          </cell>
          <cell r="F125">
            <v>1181716</v>
          </cell>
          <cell r="G125">
            <v>879510</v>
          </cell>
          <cell r="H125"/>
          <cell r="I125">
            <v>50668</v>
          </cell>
          <cell r="J125">
            <v>213546</v>
          </cell>
          <cell r="K125">
            <v>125606</v>
          </cell>
          <cell r="L125">
            <v>0</v>
          </cell>
          <cell r="M125"/>
          <cell r="N125">
            <v>24896</v>
          </cell>
          <cell r="O125">
            <v>0</v>
          </cell>
          <cell r="P125">
            <v>0</v>
          </cell>
          <cell r="Q125">
            <v>80393</v>
          </cell>
          <cell r="R125"/>
          <cell r="S125">
            <v>296396</v>
          </cell>
          <cell r="T125">
            <v>-38126</v>
          </cell>
          <cell r="U125">
            <v>258270</v>
          </cell>
        </row>
        <row r="126">
          <cell r="A126">
            <v>91147</v>
          </cell>
          <cell r="B126" t="str">
            <v>WEAVERVILLE ABC BOARD</v>
          </cell>
          <cell r="C126">
            <v>2.6699999999999998E-5</v>
          </cell>
          <cell r="D126">
            <v>2.4199999999999999E-5</v>
          </cell>
          <cell r="E126">
            <v>12125</v>
          </cell>
          <cell r="F126">
            <v>51361</v>
          </cell>
          <cell r="G126">
            <v>40790</v>
          </cell>
          <cell r="H126"/>
          <cell r="I126">
            <v>2350</v>
          </cell>
          <cell r="J126">
            <v>9904</v>
          </cell>
          <cell r="K126">
            <v>5825</v>
          </cell>
          <cell r="L126">
            <v>8489</v>
          </cell>
          <cell r="M126"/>
          <cell r="N126">
            <v>1155</v>
          </cell>
          <cell r="O126">
            <v>0</v>
          </cell>
          <cell r="P126">
            <v>0</v>
          </cell>
          <cell r="Q126">
            <v>0</v>
          </cell>
          <cell r="R126"/>
          <cell r="S126">
            <v>13746</v>
          </cell>
          <cell r="T126">
            <v>4333</v>
          </cell>
          <cell r="U126">
            <v>18079</v>
          </cell>
        </row>
        <row r="127">
          <cell r="A127">
            <v>91151</v>
          </cell>
          <cell r="B127" t="str">
            <v>TOWN OF BLACK MOUNTAIN</v>
          </cell>
          <cell r="C127">
            <v>6.3409999999999996E-4</v>
          </cell>
          <cell r="D127">
            <v>6.1180000000000002E-4</v>
          </cell>
          <cell r="E127">
            <v>254760</v>
          </cell>
          <cell r="F127">
            <v>1298445</v>
          </cell>
          <cell r="G127">
            <v>968729</v>
          </cell>
          <cell r="H127"/>
          <cell r="I127">
            <v>55808</v>
          </cell>
          <cell r="J127">
            <v>235208</v>
          </cell>
          <cell r="K127">
            <v>138348</v>
          </cell>
          <cell r="L127">
            <v>6907</v>
          </cell>
          <cell r="M127"/>
          <cell r="N127">
            <v>27422</v>
          </cell>
          <cell r="O127">
            <v>0</v>
          </cell>
          <cell r="P127">
            <v>0</v>
          </cell>
          <cell r="Q127">
            <v>49311</v>
          </cell>
          <cell r="R127"/>
          <cell r="S127">
            <v>326463</v>
          </cell>
          <cell r="T127">
            <v>-15290</v>
          </cell>
          <cell r="U127">
            <v>311173</v>
          </cell>
        </row>
        <row r="128">
          <cell r="A128">
            <v>91154</v>
          </cell>
          <cell r="B128" t="str">
            <v>BLACK MTN ABC BOARD</v>
          </cell>
          <cell r="C128">
            <v>2.6299999999999999E-5</v>
          </cell>
          <cell r="D128">
            <v>1.9599999999999999E-5</v>
          </cell>
          <cell r="E128">
            <v>10902</v>
          </cell>
          <cell r="F128">
            <v>41598</v>
          </cell>
          <cell r="G128">
            <v>40179</v>
          </cell>
          <cell r="H128"/>
          <cell r="I128">
            <v>2315</v>
          </cell>
          <cell r="J128">
            <v>9756</v>
          </cell>
          <cell r="K128">
            <v>5738</v>
          </cell>
          <cell r="L128">
            <v>7326</v>
          </cell>
          <cell r="M128"/>
          <cell r="N128">
            <v>1137</v>
          </cell>
          <cell r="O128">
            <v>0</v>
          </cell>
          <cell r="P128">
            <v>0</v>
          </cell>
          <cell r="Q128">
            <v>0</v>
          </cell>
          <cell r="R128"/>
          <cell r="S128">
            <v>13540</v>
          </cell>
          <cell r="T128">
            <v>2962</v>
          </cell>
          <cell r="U128">
            <v>16502</v>
          </cell>
        </row>
        <row r="129">
          <cell r="A129">
            <v>91161</v>
          </cell>
          <cell r="B129" t="str">
            <v>TOWN OF MONTREAT</v>
          </cell>
          <cell r="C129">
            <v>9.2600000000000001E-5</v>
          </cell>
          <cell r="D129">
            <v>9.4599999999999996E-5</v>
          </cell>
          <cell r="E129">
            <v>44457</v>
          </cell>
          <cell r="F129">
            <v>200773</v>
          </cell>
          <cell r="G129">
            <v>141467</v>
          </cell>
          <cell r="H129"/>
          <cell r="I129">
            <v>8150</v>
          </cell>
          <cell r="J129">
            <v>34348</v>
          </cell>
          <cell r="K129">
            <v>20203</v>
          </cell>
          <cell r="L129">
            <v>5327</v>
          </cell>
          <cell r="M129"/>
          <cell r="N129">
            <v>4004</v>
          </cell>
          <cell r="O129">
            <v>0</v>
          </cell>
          <cell r="P129">
            <v>0</v>
          </cell>
          <cell r="Q129">
            <v>3079</v>
          </cell>
          <cell r="R129"/>
          <cell r="S129">
            <v>47675</v>
          </cell>
          <cell r="T129">
            <v>935</v>
          </cell>
          <cell r="U129">
            <v>48610</v>
          </cell>
        </row>
        <row r="130">
          <cell r="A130">
            <v>91171</v>
          </cell>
          <cell r="B130" t="str">
            <v>TOWN OF WOODFIN</v>
          </cell>
          <cell r="C130">
            <v>1.95E-4</v>
          </cell>
          <cell r="D130">
            <v>2.5589999999999999E-4</v>
          </cell>
          <cell r="E130">
            <v>93651</v>
          </cell>
          <cell r="F130">
            <v>543106</v>
          </cell>
          <cell r="G130">
            <v>297906</v>
          </cell>
          <cell r="H130"/>
          <cell r="I130">
            <v>17162</v>
          </cell>
          <cell r="J130">
            <v>72331</v>
          </cell>
          <cell r="K130">
            <v>42545</v>
          </cell>
          <cell r="L130">
            <v>0</v>
          </cell>
          <cell r="M130"/>
          <cell r="N130">
            <v>8433</v>
          </cell>
          <cell r="O130">
            <v>0</v>
          </cell>
          <cell r="P130">
            <v>0</v>
          </cell>
          <cell r="Q130">
            <v>58020</v>
          </cell>
          <cell r="R130"/>
          <cell r="S130">
            <v>100395</v>
          </cell>
          <cell r="T130">
            <v>-21400</v>
          </cell>
          <cell r="U130">
            <v>78995</v>
          </cell>
        </row>
        <row r="131">
          <cell r="A131">
            <v>91201</v>
          </cell>
          <cell r="B131" t="str">
            <v>BURKE COUNTY</v>
          </cell>
          <cell r="C131">
            <v>2.2878E-3</v>
          </cell>
          <cell r="D131">
            <v>2.3127999999999998E-3</v>
          </cell>
          <cell r="E131">
            <v>970291</v>
          </cell>
          <cell r="F131">
            <v>4908536</v>
          </cell>
          <cell r="G131">
            <v>3495125</v>
          </cell>
          <cell r="H131"/>
          <cell r="I131">
            <v>201352</v>
          </cell>
          <cell r="J131">
            <v>848620</v>
          </cell>
          <cell r="K131">
            <v>499152</v>
          </cell>
          <cell r="L131">
            <v>40348</v>
          </cell>
          <cell r="M131"/>
          <cell r="N131">
            <v>98936</v>
          </cell>
          <cell r="O131">
            <v>0</v>
          </cell>
          <cell r="P131">
            <v>0</v>
          </cell>
          <cell r="Q131">
            <v>96428</v>
          </cell>
          <cell r="R131"/>
          <cell r="S131">
            <v>1177860</v>
          </cell>
          <cell r="T131">
            <v>-568</v>
          </cell>
          <cell r="U131">
            <v>1177292</v>
          </cell>
        </row>
        <row r="132">
          <cell r="A132">
            <v>91202</v>
          </cell>
          <cell r="B132" t="str">
            <v>BURKE-CATAWBA DIST CONFINEMENT</v>
          </cell>
          <cell r="C132">
            <v>1.9330000000000001E-4</v>
          </cell>
          <cell r="D132">
            <v>1.897E-4</v>
          </cell>
          <cell r="E132">
            <v>96479</v>
          </cell>
          <cell r="F132">
            <v>402607</v>
          </cell>
          <cell r="G132">
            <v>295309</v>
          </cell>
          <cell r="H132"/>
          <cell r="I132">
            <v>17013</v>
          </cell>
          <cell r="J132">
            <v>71701</v>
          </cell>
          <cell r="K132">
            <v>42174</v>
          </cell>
          <cell r="L132">
            <v>27893</v>
          </cell>
          <cell r="M132"/>
          <cell r="N132">
            <v>8359</v>
          </cell>
          <cell r="O132">
            <v>0</v>
          </cell>
          <cell r="P132">
            <v>0</v>
          </cell>
          <cell r="Q132">
            <v>0</v>
          </cell>
          <cell r="R132"/>
          <cell r="S132">
            <v>99519</v>
          </cell>
          <cell r="T132">
            <v>12367</v>
          </cell>
          <cell r="U132">
            <v>111886</v>
          </cell>
        </row>
        <row r="133">
          <cell r="A133">
            <v>91203</v>
          </cell>
          <cell r="B133" t="str">
            <v>BURKE CO HEALTH DEPT</v>
          </cell>
          <cell r="C133">
            <v>2.1939999999999999E-4</v>
          </cell>
          <cell r="D133">
            <v>2.4479999999999999E-4</v>
          </cell>
          <cell r="E133">
            <v>127249</v>
          </cell>
          <cell r="F133">
            <v>519548</v>
          </cell>
          <cell r="G133">
            <v>335182</v>
          </cell>
          <cell r="H133"/>
          <cell r="I133">
            <v>19310</v>
          </cell>
          <cell r="J133">
            <v>81383</v>
          </cell>
          <cell r="K133">
            <v>47869</v>
          </cell>
          <cell r="L133">
            <v>25236</v>
          </cell>
          <cell r="M133"/>
          <cell r="N133">
            <v>9488</v>
          </cell>
          <cell r="O133">
            <v>0</v>
          </cell>
          <cell r="P133">
            <v>0</v>
          </cell>
          <cell r="Q133">
            <v>0</v>
          </cell>
          <cell r="R133"/>
          <cell r="S133">
            <v>112957</v>
          </cell>
          <cell r="T133">
            <v>12508</v>
          </cell>
          <cell r="U133">
            <v>125465</v>
          </cell>
        </row>
        <row r="134">
          <cell r="A134">
            <v>91206</v>
          </cell>
          <cell r="B134" t="str">
            <v>BURKE CO DEPT OF SOCIAL SERVICES</v>
          </cell>
          <cell r="C134">
            <v>8.6450000000000003E-4</v>
          </cell>
          <cell r="D134">
            <v>8.2129999999999996E-4</v>
          </cell>
          <cell r="E134">
            <v>388200</v>
          </cell>
          <cell r="F134">
            <v>1743074</v>
          </cell>
          <cell r="G134">
            <v>1320717</v>
          </cell>
          <cell r="H134"/>
          <cell r="I134">
            <v>76086</v>
          </cell>
          <cell r="J134">
            <v>320672</v>
          </cell>
          <cell r="K134">
            <v>188617</v>
          </cell>
          <cell r="L134">
            <v>32943</v>
          </cell>
          <cell r="M134"/>
          <cell r="N134">
            <v>37385</v>
          </cell>
          <cell r="O134">
            <v>0</v>
          </cell>
          <cell r="P134">
            <v>0</v>
          </cell>
          <cell r="Q134">
            <v>1131</v>
          </cell>
          <cell r="R134"/>
          <cell r="S134">
            <v>445083</v>
          </cell>
          <cell r="T134">
            <v>15708</v>
          </cell>
          <cell r="U134">
            <v>460791</v>
          </cell>
        </row>
        <row r="135">
          <cell r="A135">
            <v>91208</v>
          </cell>
          <cell r="B135" t="str">
            <v>BURKE COUNTY TOURISM DEV. AUTHORITY</v>
          </cell>
          <cell r="C135">
            <v>1.42E-5</v>
          </cell>
          <cell r="D135">
            <v>1.3699999999999999E-5</v>
          </cell>
          <cell r="E135">
            <v>6398</v>
          </cell>
          <cell r="F135">
            <v>29076</v>
          </cell>
          <cell r="G135">
            <v>21694</v>
          </cell>
          <cell r="H135"/>
          <cell r="I135">
            <v>1250</v>
          </cell>
          <cell r="J135">
            <v>5267</v>
          </cell>
          <cell r="K135">
            <v>3098</v>
          </cell>
          <cell r="L135">
            <v>3961</v>
          </cell>
          <cell r="M135"/>
          <cell r="N135">
            <v>614</v>
          </cell>
          <cell r="O135">
            <v>0</v>
          </cell>
          <cell r="P135">
            <v>0</v>
          </cell>
          <cell r="Q135">
            <v>0</v>
          </cell>
          <cell r="R135"/>
          <cell r="S135">
            <v>7311</v>
          </cell>
          <cell r="T135">
            <v>3460</v>
          </cell>
          <cell r="U135">
            <v>10771</v>
          </cell>
        </row>
        <row r="136">
          <cell r="A136">
            <v>91211</v>
          </cell>
          <cell r="B136" t="str">
            <v>TOWN OF VALDESE</v>
          </cell>
          <cell r="C136">
            <v>4.5530000000000001E-4</v>
          </cell>
          <cell r="D136">
            <v>4.6789999999999999E-4</v>
          </cell>
          <cell r="E136">
            <v>223513</v>
          </cell>
          <cell r="F136">
            <v>993041</v>
          </cell>
          <cell r="G136">
            <v>695572</v>
          </cell>
          <cell r="H136"/>
          <cell r="I136">
            <v>40071</v>
          </cell>
          <cell r="J136">
            <v>168886</v>
          </cell>
          <cell r="K136">
            <v>99337</v>
          </cell>
          <cell r="L136">
            <v>6745</v>
          </cell>
          <cell r="M136"/>
          <cell r="N136">
            <v>19689</v>
          </cell>
          <cell r="O136">
            <v>0</v>
          </cell>
          <cell r="P136">
            <v>0</v>
          </cell>
          <cell r="Q136">
            <v>3315</v>
          </cell>
          <cell r="R136"/>
          <cell r="S136">
            <v>234408</v>
          </cell>
          <cell r="T136">
            <v>1355</v>
          </cell>
          <cell r="U136">
            <v>235763</v>
          </cell>
        </row>
        <row r="137">
          <cell r="A137">
            <v>91213</v>
          </cell>
          <cell r="B137" t="str">
            <v>VALDESE HOUSING AUTHORITY</v>
          </cell>
          <cell r="C137">
            <v>3.2499999999999997E-5</v>
          </cell>
          <cell r="D137">
            <v>3.57E-5</v>
          </cell>
          <cell r="E137">
            <v>12090</v>
          </cell>
          <cell r="F137">
            <v>75767</v>
          </cell>
          <cell r="G137">
            <v>49651</v>
          </cell>
          <cell r="H137"/>
          <cell r="I137">
            <v>2860</v>
          </cell>
          <cell r="J137">
            <v>12056</v>
          </cell>
          <cell r="K137">
            <v>7091</v>
          </cell>
          <cell r="L137">
            <v>0</v>
          </cell>
          <cell r="M137"/>
          <cell r="N137">
            <v>1405</v>
          </cell>
          <cell r="O137">
            <v>0</v>
          </cell>
          <cell r="P137">
            <v>0</v>
          </cell>
          <cell r="Q137">
            <v>7680</v>
          </cell>
          <cell r="R137"/>
          <cell r="S137">
            <v>16732</v>
          </cell>
          <cell r="T137">
            <v>-2660</v>
          </cell>
          <cell r="U137">
            <v>14072</v>
          </cell>
        </row>
        <row r="138">
          <cell r="A138">
            <v>91214</v>
          </cell>
          <cell r="B138" t="str">
            <v>TOWN OF RUTHERFORD COLLEGE</v>
          </cell>
          <cell r="C138">
            <v>2.9300000000000001E-5</v>
          </cell>
          <cell r="D138">
            <v>2.8200000000000001E-5</v>
          </cell>
          <cell r="E138">
            <v>9669</v>
          </cell>
          <cell r="F138">
            <v>59850</v>
          </cell>
          <cell r="G138">
            <v>44762</v>
          </cell>
          <cell r="H138"/>
          <cell r="I138">
            <v>2579</v>
          </cell>
          <cell r="J138">
            <v>10868</v>
          </cell>
          <cell r="K138">
            <v>6393</v>
          </cell>
          <cell r="L138">
            <v>1300</v>
          </cell>
          <cell r="M138"/>
          <cell r="N138">
            <v>1267</v>
          </cell>
          <cell r="O138">
            <v>0</v>
          </cell>
          <cell r="P138">
            <v>0</v>
          </cell>
          <cell r="Q138">
            <v>3669</v>
          </cell>
          <cell r="R138"/>
          <cell r="S138">
            <v>15085</v>
          </cell>
          <cell r="T138">
            <v>-283</v>
          </cell>
          <cell r="U138">
            <v>14802</v>
          </cell>
        </row>
        <row r="139">
          <cell r="A139">
            <v>91217</v>
          </cell>
          <cell r="B139" t="str">
            <v>MORGANTON ABC BOARD</v>
          </cell>
          <cell r="C139">
            <v>2.8799999999999999E-5</v>
          </cell>
          <cell r="D139">
            <v>2.6699999999999998E-5</v>
          </cell>
          <cell r="E139">
            <v>14934</v>
          </cell>
          <cell r="F139">
            <v>56666</v>
          </cell>
          <cell r="G139">
            <v>43998</v>
          </cell>
          <cell r="H139"/>
          <cell r="I139">
            <v>2535</v>
          </cell>
          <cell r="J139">
            <v>10683</v>
          </cell>
          <cell r="K139">
            <v>6284</v>
          </cell>
          <cell r="L139">
            <v>10784</v>
          </cell>
          <cell r="M139"/>
          <cell r="N139">
            <v>1245</v>
          </cell>
          <cell r="O139">
            <v>0</v>
          </cell>
          <cell r="P139">
            <v>0</v>
          </cell>
          <cell r="Q139">
            <v>0</v>
          </cell>
          <cell r="R139"/>
          <cell r="S139">
            <v>14828</v>
          </cell>
          <cell r="T139">
            <v>4311</v>
          </cell>
          <cell r="U139">
            <v>19139</v>
          </cell>
        </row>
        <row r="140">
          <cell r="A140">
            <v>91221</v>
          </cell>
          <cell r="B140" t="str">
            <v>TOWN OF DREXEL</v>
          </cell>
          <cell r="C140">
            <v>1.3359999999999999E-4</v>
          </cell>
          <cell r="D140">
            <v>1.294E-4</v>
          </cell>
          <cell r="E140">
            <v>59449</v>
          </cell>
          <cell r="F140">
            <v>274630</v>
          </cell>
          <cell r="G140">
            <v>204104</v>
          </cell>
          <cell r="H140"/>
          <cell r="I140">
            <v>11758</v>
          </cell>
          <cell r="J140">
            <v>49557</v>
          </cell>
          <cell r="K140">
            <v>29149</v>
          </cell>
          <cell r="L140">
            <v>5038</v>
          </cell>
          <cell r="M140"/>
          <cell r="N140">
            <v>5778</v>
          </cell>
          <cell r="O140">
            <v>0</v>
          </cell>
          <cell r="P140">
            <v>0</v>
          </cell>
          <cell r="Q140">
            <v>7113</v>
          </cell>
          <cell r="R140"/>
          <cell r="S140">
            <v>68783</v>
          </cell>
          <cell r="T140">
            <v>1397</v>
          </cell>
          <cell r="U140">
            <v>70180</v>
          </cell>
        </row>
        <row r="141">
          <cell r="A141">
            <v>91231</v>
          </cell>
          <cell r="B141" t="str">
            <v>CITY OF MORGANTON</v>
          </cell>
          <cell r="C141">
            <v>1.8856000000000001E-3</v>
          </cell>
          <cell r="D141">
            <v>1.9957E-3</v>
          </cell>
          <cell r="E141">
            <v>867955</v>
          </cell>
          <cell r="F141">
            <v>4235544</v>
          </cell>
          <cell r="G141">
            <v>2880674</v>
          </cell>
          <cell r="H141"/>
          <cell r="I141">
            <v>165954</v>
          </cell>
          <cell r="J141">
            <v>699431</v>
          </cell>
          <cell r="K141">
            <v>411400</v>
          </cell>
          <cell r="L141">
            <v>10587</v>
          </cell>
          <cell r="M141"/>
          <cell r="N141">
            <v>81543</v>
          </cell>
          <cell r="O141">
            <v>0</v>
          </cell>
          <cell r="P141">
            <v>0</v>
          </cell>
          <cell r="Q141">
            <v>132995</v>
          </cell>
          <cell r="R141"/>
          <cell r="S141">
            <v>970790</v>
          </cell>
          <cell r="T141">
            <v>-32073</v>
          </cell>
          <cell r="U141">
            <v>938717</v>
          </cell>
        </row>
        <row r="142">
          <cell r="A142">
            <v>91233</v>
          </cell>
          <cell r="B142" t="str">
            <v>MORGANTON HOUSING AUTHORITY</v>
          </cell>
          <cell r="C142">
            <v>5.8100000000000003E-5</v>
          </cell>
          <cell r="D142">
            <v>4.5599999999999997E-5</v>
          </cell>
          <cell r="E142">
            <v>21828</v>
          </cell>
          <cell r="F142">
            <v>96778</v>
          </cell>
          <cell r="G142">
            <v>88761</v>
          </cell>
          <cell r="H142"/>
          <cell r="I142">
            <v>5113</v>
          </cell>
          <cell r="J142">
            <v>21551</v>
          </cell>
          <cell r="K142">
            <v>12676</v>
          </cell>
          <cell r="L142">
            <v>9544</v>
          </cell>
          <cell r="M142"/>
          <cell r="N142">
            <v>2513</v>
          </cell>
          <cell r="O142">
            <v>0</v>
          </cell>
          <cell r="P142">
            <v>0</v>
          </cell>
          <cell r="Q142">
            <v>117</v>
          </cell>
          <cell r="R142"/>
          <cell r="S142">
            <v>29912</v>
          </cell>
          <cell r="T142">
            <v>4289</v>
          </cell>
          <cell r="U142">
            <v>34201</v>
          </cell>
        </row>
        <row r="143">
          <cell r="A143">
            <v>91241</v>
          </cell>
          <cell r="B143" t="str">
            <v>TOWN OF GLEN ALPINE</v>
          </cell>
          <cell r="C143">
            <v>3.5500000000000002E-5</v>
          </cell>
          <cell r="D143">
            <v>3.68E-5</v>
          </cell>
          <cell r="E143">
            <v>17216</v>
          </cell>
          <cell r="F143">
            <v>78102</v>
          </cell>
          <cell r="G143">
            <v>54234</v>
          </cell>
          <cell r="H143"/>
          <cell r="I143">
            <v>3124</v>
          </cell>
          <cell r="J143">
            <v>13168</v>
          </cell>
          <cell r="K143">
            <v>7745</v>
          </cell>
          <cell r="L143">
            <v>0</v>
          </cell>
          <cell r="M143"/>
          <cell r="N143">
            <v>1535</v>
          </cell>
          <cell r="O143">
            <v>0</v>
          </cell>
          <cell r="P143">
            <v>0</v>
          </cell>
          <cell r="Q143">
            <v>4391</v>
          </cell>
          <cell r="R143"/>
          <cell r="S143">
            <v>18277</v>
          </cell>
          <cell r="T143">
            <v>-2564</v>
          </cell>
          <cell r="U143">
            <v>15713</v>
          </cell>
        </row>
        <row r="144">
          <cell r="A144">
            <v>91251</v>
          </cell>
          <cell r="B144" t="str">
            <v>TOWN OF HILDEBRAN</v>
          </cell>
          <cell r="C144">
            <v>1.9899999999999999E-5</v>
          </cell>
          <cell r="D144">
            <v>2.65E-5</v>
          </cell>
          <cell r="E144">
            <v>11339</v>
          </cell>
          <cell r="F144">
            <v>56242</v>
          </cell>
          <cell r="G144">
            <v>30402</v>
          </cell>
          <cell r="H144"/>
          <cell r="I144">
            <v>1751</v>
          </cell>
          <cell r="J144">
            <v>7381</v>
          </cell>
          <cell r="K144">
            <v>4342</v>
          </cell>
          <cell r="L144">
            <v>2341</v>
          </cell>
          <cell r="M144"/>
          <cell r="N144">
            <v>861</v>
          </cell>
          <cell r="O144">
            <v>0</v>
          </cell>
          <cell r="P144">
            <v>0</v>
          </cell>
          <cell r="Q144">
            <v>3540</v>
          </cell>
          <cell r="R144"/>
          <cell r="S144">
            <v>10245</v>
          </cell>
          <cell r="T144">
            <v>1340</v>
          </cell>
          <cell r="U144">
            <v>11585</v>
          </cell>
        </row>
        <row r="145">
          <cell r="A145">
            <v>91261</v>
          </cell>
          <cell r="B145" t="str">
            <v>TOWN OF CONNELLY SPRINGS</v>
          </cell>
          <cell r="C145">
            <v>1.03E-5</v>
          </cell>
          <cell r="D145">
            <v>9.5000000000000005E-6</v>
          </cell>
          <cell r="E145">
            <v>4666</v>
          </cell>
          <cell r="F145">
            <v>20162</v>
          </cell>
          <cell r="G145">
            <v>15736</v>
          </cell>
          <cell r="H145"/>
          <cell r="I145">
            <v>907</v>
          </cell>
          <cell r="J145">
            <v>3821</v>
          </cell>
          <cell r="K145">
            <v>2247</v>
          </cell>
          <cell r="L145">
            <v>1784</v>
          </cell>
          <cell r="M145"/>
          <cell r="N145">
            <v>445</v>
          </cell>
          <cell r="O145">
            <v>0</v>
          </cell>
          <cell r="P145">
            <v>0</v>
          </cell>
          <cell r="Q145">
            <v>0</v>
          </cell>
          <cell r="R145"/>
          <cell r="S145">
            <v>5303</v>
          </cell>
          <cell r="T145">
            <v>850</v>
          </cell>
          <cell r="U145">
            <v>6153</v>
          </cell>
        </row>
        <row r="146">
          <cell r="A146">
            <v>91301</v>
          </cell>
          <cell r="B146" t="str">
            <v>CABARRUS COUNTY</v>
          </cell>
          <cell r="C146">
            <v>7.6985999999999999E-3</v>
          </cell>
          <cell r="D146">
            <v>7.7765000000000004E-3</v>
          </cell>
          <cell r="E146">
            <v>3428603</v>
          </cell>
          <cell r="F146">
            <v>16504338</v>
          </cell>
          <cell r="G146">
            <v>11761328</v>
          </cell>
          <cell r="H146"/>
          <cell r="I146">
            <v>677561</v>
          </cell>
          <cell r="J146">
            <v>2855665</v>
          </cell>
          <cell r="K146">
            <v>1679681</v>
          </cell>
          <cell r="L146">
            <v>19915</v>
          </cell>
          <cell r="M146"/>
          <cell r="N146">
            <v>332926</v>
          </cell>
          <cell r="O146">
            <v>0</v>
          </cell>
          <cell r="P146">
            <v>0</v>
          </cell>
          <cell r="Q146">
            <v>249856</v>
          </cell>
          <cell r="R146"/>
          <cell r="S146">
            <v>3963578</v>
          </cell>
          <cell r="T146">
            <v>-98741</v>
          </cell>
          <cell r="U146">
            <v>3864837</v>
          </cell>
        </row>
        <row r="147">
          <cell r="A147">
            <v>91302</v>
          </cell>
          <cell r="B147" t="str">
            <v>WATER &amp; SEWER AUTH OF CABARRUS CNTY</v>
          </cell>
          <cell r="C147">
            <v>6.0300000000000002E-4</v>
          </cell>
          <cell r="D147">
            <v>5.9190000000000002E-4</v>
          </cell>
          <cell r="E147">
            <v>259187</v>
          </cell>
          <cell r="F147">
            <v>0</v>
          </cell>
          <cell r="G147">
            <v>921217</v>
          </cell>
          <cell r="H147"/>
          <cell r="I147">
            <v>53071</v>
          </cell>
          <cell r="J147">
            <v>223673</v>
          </cell>
          <cell r="K147">
            <v>131563</v>
          </cell>
          <cell r="L147">
            <v>32897</v>
          </cell>
          <cell r="M147"/>
          <cell r="N147">
            <v>26077</v>
          </cell>
          <cell r="O147">
            <v>0</v>
          </cell>
          <cell r="P147">
            <v>0</v>
          </cell>
          <cell r="Q147">
            <v>6670</v>
          </cell>
          <cell r="R147"/>
          <cell r="S147">
            <v>310451</v>
          </cell>
          <cell r="T147">
            <v>18435</v>
          </cell>
          <cell r="U147">
            <v>328886</v>
          </cell>
        </row>
        <row r="148">
          <cell r="A148">
            <v>91306</v>
          </cell>
          <cell r="B148" t="str">
            <v>CABARRUS CO PUBLIC HEALTH AUTH</v>
          </cell>
          <cell r="C148">
            <v>1.6412E-3</v>
          </cell>
          <cell r="D148">
            <v>1.6676E-3</v>
          </cell>
          <cell r="E148">
            <v>766698</v>
          </cell>
          <cell r="F148">
            <v>3539206</v>
          </cell>
          <cell r="G148">
            <v>2507299</v>
          </cell>
          <cell r="H148"/>
          <cell r="I148">
            <v>144444</v>
          </cell>
          <cell r="J148">
            <v>608776</v>
          </cell>
          <cell r="K148">
            <v>358077</v>
          </cell>
          <cell r="L148">
            <v>113707</v>
          </cell>
          <cell r="M148"/>
          <cell r="N148">
            <v>70974</v>
          </cell>
          <cell r="O148">
            <v>0</v>
          </cell>
          <cell r="P148">
            <v>0</v>
          </cell>
          <cell r="Q148">
            <v>7101</v>
          </cell>
          <cell r="R148"/>
          <cell r="S148">
            <v>844962</v>
          </cell>
          <cell r="T148">
            <v>59215</v>
          </cell>
          <cell r="U148">
            <v>904177</v>
          </cell>
        </row>
        <row r="149">
          <cell r="A149">
            <v>91308</v>
          </cell>
          <cell r="B149" t="str">
            <v>CABARRUS COUNTY TOURISM AUTHORITY</v>
          </cell>
          <cell r="C149">
            <v>1.8009999999999999E-4</v>
          </cell>
          <cell r="D149">
            <v>2.05E-4</v>
          </cell>
          <cell r="E149">
            <v>80232</v>
          </cell>
          <cell r="F149">
            <v>435079</v>
          </cell>
          <cell r="G149">
            <v>275143</v>
          </cell>
          <cell r="H149"/>
          <cell r="I149">
            <v>15851</v>
          </cell>
          <cell r="J149">
            <v>66805</v>
          </cell>
          <cell r="K149">
            <v>39294</v>
          </cell>
          <cell r="L149">
            <v>2442</v>
          </cell>
          <cell r="M149"/>
          <cell r="N149">
            <v>7788</v>
          </cell>
          <cell r="O149">
            <v>0</v>
          </cell>
          <cell r="P149">
            <v>0</v>
          </cell>
          <cell r="Q149">
            <v>21144</v>
          </cell>
          <cell r="R149"/>
          <cell r="S149">
            <v>92723</v>
          </cell>
          <cell r="T149">
            <v>-3684</v>
          </cell>
          <cell r="U149">
            <v>89039</v>
          </cell>
        </row>
        <row r="150">
          <cell r="A150">
            <v>91311</v>
          </cell>
          <cell r="B150" t="str">
            <v>CITY OF CONCORD</v>
          </cell>
          <cell r="C150">
            <v>7.6685E-3</v>
          </cell>
          <cell r="D150">
            <v>7.6649999999999999E-3</v>
          </cell>
          <cell r="E150">
            <v>3305761</v>
          </cell>
          <cell r="F150">
            <v>16267698</v>
          </cell>
          <cell r="G150">
            <v>11715344</v>
          </cell>
          <cell r="H150"/>
          <cell r="I150">
            <v>674912</v>
          </cell>
          <cell r="J150">
            <v>2844500</v>
          </cell>
          <cell r="K150">
            <v>1673113</v>
          </cell>
          <cell r="L150">
            <v>78345</v>
          </cell>
          <cell r="M150"/>
          <cell r="N150">
            <v>331624</v>
          </cell>
          <cell r="O150">
            <v>0</v>
          </cell>
          <cell r="P150">
            <v>0</v>
          </cell>
          <cell r="Q150">
            <v>516736</v>
          </cell>
          <cell r="R150"/>
          <cell r="S150">
            <v>3948081</v>
          </cell>
          <cell r="T150">
            <v>-187514</v>
          </cell>
          <cell r="U150">
            <v>3760567</v>
          </cell>
        </row>
        <row r="151">
          <cell r="A151">
            <v>91317</v>
          </cell>
          <cell r="B151" t="str">
            <v>CONCORD ABC BOARD</v>
          </cell>
          <cell r="C151">
            <v>1.016E-4</v>
          </cell>
          <cell r="D151">
            <v>9.0500000000000004E-5</v>
          </cell>
          <cell r="E151">
            <v>50865</v>
          </cell>
          <cell r="F151">
            <v>192071</v>
          </cell>
          <cell r="G151">
            <v>155217</v>
          </cell>
          <cell r="H151"/>
          <cell r="I151">
            <v>8942</v>
          </cell>
          <cell r="J151">
            <v>37687</v>
          </cell>
          <cell r="K151">
            <v>22167</v>
          </cell>
          <cell r="L151">
            <v>13159</v>
          </cell>
          <cell r="M151"/>
          <cell r="N151">
            <v>4394</v>
          </cell>
          <cell r="O151">
            <v>0</v>
          </cell>
          <cell r="P151">
            <v>0</v>
          </cell>
          <cell r="Q151">
            <v>1760</v>
          </cell>
          <cell r="R151"/>
          <cell r="S151">
            <v>52308</v>
          </cell>
          <cell r="T151">
            <v>2823</v>
          </cell>
          <cell r="U151">
            <v>55131</v>
          </cell>
        </row>
        <row r="152">
          <cell r="A152">
            <v>91321</v>
          </cell>
          <cell r="B152" t="str">
            <v>TOWN OF MOUNT PLEASANT</v>
          </cell>
          <cell r="C152">
            <v>4.2799999999999997E-5</v>
          </cell>
          <cell r="D152">
            <v>4.1999999999999998E-5</v>
          </cell>
          <cell r="E152">
            <v>37213</v>
          </cell>
          <cell r="F152">
            <v>89138</v>
          </cell>
          <cell r="G152">
            <v>65387</v>
          </cell>
          <cell r="H152"/>
          <cell r="I152">
            <v>3767</v>
          </cell>
          <cell r="J152">
            <v>15876</v>
          </cell>
          <cell r="K152">
            <v>9338</v>
          </cell>
          <cell r="L152">
            <v>18992</v>
          </cell>
          <cell r="M152"/>
          <cell r="N152">
            <v>1851</v>
          </cell>
          <cell r="O152">
            <v>0</v>
          </cell>
          <cell r="P152">
            <v>0</v>
          </cell>
          <cell r="Q152">
            <v>3760</v>
          </cell>
          <cell r="R152"/>
          <cell r="S152">
            <v>22035</v>
          </cell>
          <cell r="T152">
            <v>3437</v>
          </cell>
          <cell r="U152">
            <v>25472</v>
          </cell>
        </row>
        <row r="153">
          <cell r="A153">
            <v>91327</v>
          </cell>
          <cell r="B153" t="str">
            <v>MT PLEASANT ABC BOARD</v>
          </cell>
          <cell r="C153">
            <v>8.1999999999999994E-6</v>
          </cell>
          <cell r="D153">
            <v>1.03E-5</v>
          </cell>
          <cell r="E153">
            <v>4495</v>
          </cell>
          <cell r="F153">
            <v>21860</v>
          </cell>
          <cell r="G153">
            <v>12527</v>
          </cell>
          <cell r="H153"/>
          <cell r="I153">
            <v>722</v>
          </cell>
          <cell r="J153">
            <v>3042</v>
          </cell>
          <cell r="K153">
            <v>1789</v>
          </cell>
          <cell r="L153">
            <v>36</v>
          </cell>
          <cell r="M153"/>
          <cell r="N153">
            <v>355</v>
          </cell>
          <cell r="O153">
            <v>0</v>
          </cell>
          <cell r="P153">
            <v>0</v>
          </cell>
          <cell r="Q153">
            <v>1563</v>
          </cell>
          <cell r="R153"/>
          <cell r="S153">
            <v>4222</v>
          </cell>
          <cell r="T153">
            <v>-481</v>
          </cell>
          <cell r="U153">
            <v>3741</v>
          </cell>
        </row>
        <row r="154">
          <cell r="A154">
            <v>91331</v>
          </cell>
          <cell r="B154" t="str">
            <v>CITY OF KANNAPOLIS</v>
          </cell>
          <cell r="C154">
            <v>3.0033E-3</v>
          </cell>
          <cell r="D154">
            <v>2.8509999999999998E-3</v>
          </cell>
          <cell r="E154">
            <v>1190887</v>
          </cell>
          <cell r="F154">
            <v>6050777</v>
          </cell>
          <cell r="G154">
            <v>4588210</v>
          </cell>
          <cell r="H154"/>
          <cell r="I154">
            <v>264323</v>
          </cell>
          <cell r="J154">
            <v>1114023</v>
          </cell>
          <cell r="K154">
            <v>655260</v>
          </cell>
          <cell r="L154">
            <v>0</v>
          </cell>
          <cell r="M154"/>
          <cell r="N154">
            <v>129878</v>
          </cell>
          <cell r="O154">
            <v>0</v>
          </cell>
          <cell r="P154">
            <v>0</v>
          </cell>
          <cell r="Q154">
            <v>342951</v>
          </cell>
          <cell r="R154"/>
          <cell r="S154">
            <v>1546231</v>
          </cell>
          <cell r="T154">
            <v>-176510</v>
          </cell>
          <cell r="U154">
            <v>1369721</v>
          </cell>
        </row>
        <row r="155">
          <cell r="A155">
            <v>91341</v>
          </cell>
          <cell r="B155" t="str">
            <v>TOWN OF MIDLAND</v>
          </cell>
          <cell r="C155">
            <v>2.51E-5</v>
          </cell>
          <cell r="D155">
            <v>1.4399999999999999E-5</v>
          </cell>
          <cell r="E155">
            <v>9161</v>
          </cell>
          <cell r="F155">
            <v>30562</v>
          </cell>
          <cell r="G155">
            <v>38346</v>
          </cell>
          <cell r="H155"/>
          <cell r="I155">
            <v>2209</v>
          </cell>
          <cell r="J155">
            <v>9311</v>
          </cell>
          <cell r="K155">
            <v>5476</v>
          </cell>
          <cell r="L155">
            <v>5566</v>
          </cell>
          <cell r="M155"/>
          <cell r="N155">
            <v>1085</v>
          </cell>
          <cell r="O155">
            <v>0</v>
          </cell>
          <cell r="P155">
            <v>0</v>
          </cell>
          <cell r="Q155">
            <v>1759</v>
          </cell>
          <cell r="R155"/>
          <cell r="S155">
            <v>12923</v>
          </cell>
          <cell r="T155">
            <v>939</v>
          </cell>
          <cell r="U155">
            <v>13862</v>
          </cell>
        </row>
        <row r="156">
          <cell r="A156">
            <v>91401</v>
          </cell>
          <cell r="B156" t="str">
            <v>CALDWELL COUNTY</v>
          </cell>
          <cell r="C156">
            <v>3.5885000000000001E-3</v>
          </cell>
          <cell r="D156">
            <v>3.6841E-3</v>
          </cell>
          <cell r="E156">
            <v>1559430</v>
          </cell>
          <cell r="F156">
            <v>7818894</v>
          </cell>
          <cell r="G156">
            <v>5482234</v>
          </cell>
          <cell r="H156"/>
          <cell r="I156">
            <v>315827</v>
          </cell>
          <cell r="J156">
            <v>1331093</v>
          </cell>
          <cell r="K156">
            <v>782939</v>
          </cell>
          <cell r="L156">
            <v>17446</v>
          </cell>
          <cell r="M156"/>
          <cell r="N156">
            <v>155185</v>
          </cell>
          <cell r="O156">
            <v>0</v>
          </cell>
          <cell r="P156">
            <v>0</v>
          </cell>
          <cell r="Q156">
            <v>142927</v>
          </cell>
          <cell r="R156"/>
          <cell r="S156">
            <v>1847518</v>
          </cell>
          <cell r="T156">
            <v>-23160</v>
          </cell>
          <cell r="U156">
            <v>1824358</v>
          </cell>
        </row>
        <row r="157">
          <cell r="A157">
            <v>91411</v>
          </cell>
          <cell r="B157" t="str">
            <v>TOWN OF GRANITE FALLS</v>
          </cell>
          <cell r="C157">
            <v>3.7829999999999998E-4</v>
          </cell>
          <cell r="D157">
            <v>3.5379999999999998E-4</v>
          </cell>
          <cell r="E157">
            <v>168365</v>
          </cell>
          <cell r="F157">
            <v>750882</v>
          </cell>
          <cell r="G157">
            <v>577938</v>
          </cell>
          <cell r="H157"/>
          <cell r="I157">
            <v>33295</v>
          </cell>
          <cell r="J157">
            <v>140324</v>
          </cell>
          <cell r="K157">
            <v>82537</v>
          </cell>
          <cell r="L157">
            <v>28581</v>
          </cell>
          <cell r="M157"/>
          <cell r="N157">
            <v>16360</v>
          </cell>
          <cell r="O157">
            <v>0</v>
          </cell>
          <cell r="P157">
            <v>0</v>
          </cell>
          <cell r="Q157">
            <v>1394</v>
          </cell>
          <cell r="R157"/>
          <cell r="S157">
            <v>194765</v>
          </cell>
          <cell r="T157">
            <v>7766</v>
          </cell>
          <cell r="U157">
            <v>202531</v>
          </cell>
        </row>
        <row r="158">
          <cell r="A158">
            <v>91417</v>
          </cell>
          <cell r="B158" t="str">
            <v>GRANITE FALLS ABC BOARD</v>
          </cell>
          <cell r="C158">
            <v>9.3000000000000007E-6</v>
          </cell>
          <cell r="D158">
            <v>9.9000000000000001E-6</v>
          </cell>
          <cell r="E158">
            <v>5289</v>
          </cell>
          <cell r="F158">
            <v>21011</v>
          </cell>
          <cell r="G158">
            <v>14208</v>
          </cell>
          <cell r="H158"/>
          <cell r="I158">
            <v>819</v>
          </cell>
          <cell r="J158">
            <v>3450</v>
          </cell>
          <cell r="K158">
            <v>2029</v>
          </cell>
          <cell r="L158">
            <v>2388</v>
          </cell>
          <cell r="M158"/>
          <cell r="N158">
            <v>402</v>
          </cell>
          <cell r="O158">
            <v>0</v>
          </cell>
          <cell r="P158">
            <v>0</v>
          </cell>
          <cell r="Q158">
            <v>0</v>
          </cell>
          <cell r="R158"/>
          <cell r="S158">
            <v>4788</v>
          </cell>
          <cell r="T158">
            <v>1814</v>
          </cell>
          <cell r="U158">
            <v>6602</v>
          </cell>
        </row>
        <row r="159">
          <cell r="A159">
            <v>91421</v>
          </cell>
          <cell r="B159" t="str">
            <v>TOWN OF SAWMILLS</v>
          </cell>
          <cell r="C159">
            <v>6.9499999999999995E-5</v>
          </cell>
          <cell r="D159">
            <v>7.0400000000000004E-5</v>
          </cell>
          <cell r="E159">
            <v>36488</v>
          </cell>
          <cell r="F159">
            <v>149412</v>
          </cell>
          <cell r="G159">
            <v>106177</v>
          </cell>
          <cell r="H159"/>
          <cell r="I159">
            <v>6117</v>
          </cell>
          <cell r="J159">
            <v>25779</v>
          </cell>
          <cell r="K159">
            <v>15164</v>
          </cell>
          <cell r="L159">
            <v>4339</v>
          </cell>
          <cell r="M159"/>
          <cell r="N159">
            <v>3006</v>
          </cell>
          <cell r="O159">
            <v>0</v>
          </cell>
          <cell r="P159">
            <v>0</v>
          </cell>
          <cell r="Q159">
            <v>3143</v>
          </cell>
          <cell r="R159"/>
          <cell r="S159">
            <v>35782</v>
          </cell>
          <cell r="T159">
            <v>365</v>
          </cell>
          <cell r="U159">
            <v>36147</v>
          </cell>
        </row>
        <row r="160">
          <cell r="A160">
            <v>91423</v>
          </cell>
          <cell r="B160" t="str">
            <v>LENOIR HOUSING AUTHORITY</v>
          </cell>
          <cell r="C160">
            <v>5.38E-5</v>
          </cell>
          <cell r="D160">
            <v>3.8699999999999999E-5</v>
          </cell>
          <cell r="E160">
            <v>20620</v>
          </cell>
          <cell r="F160">
            <v>82134</v>
          </cell>
          <cell r="G160">
            <v>82191</v>
          </cell>
          <cell r="H160"/>
          <cell r="I160">
            <v>4735</v>
          </cell>
          <cell r="J160">
            <v>19956</v>
          </cell>
          <cell r="K160">
            <v>11738</v>
          </cell>
          <cell r="L160">
            <v>13454</v>
          </cell>
          <cell r="M160"/>
          <cell r="N160">
            <v>2327</v>
          </cell>
          <cell r="O160">
            <v>0</v>
          </cell>
          <cell r="P160">
            <v>0</v>
          </cell>
          <cell r="Q160">
            <v>2026</v>
          </cell>
          <cell r="R160"/>
          <cell r="S160">
            <v>27699</v>
          </cell>
          <cell r="T160">
            <v>3208</v>
          </cell>
          <cell r="U160">
            <v>30907</v>
          </cell>
        </row>
        <row r="161">
          <cell r="A161">
            <v>91431</v>
          </cell>
          <cell r="B161" t="str">
            <v>TOWN OF HUDSON</v>
          </cell>
          <cell r="C161">
            <v>1.562E-4</v>
          </cell>
          <cell r="D161">
            <v>1.417E-4</v>
          </cell>
          <cell r="E161">
            <v>80270</v>
          </cell>
          <cell r="F161">
            <v>300735</v>
          </cell>
          <cell r="G161">
            <v>238630</v>
          </cell>
          <cell r="H161"/>
          <cell r="I161">
            <v>13747</v>
          </cell>
          <cell r="J161">
            <v>57939</v>
          </cell>
          <cell r="K161">
            <v>34080</v>
          </cell>
          <cell r="L161">
            <v>17694</v>
          </cell>
          <cell r="M161"/>
          <cell r="N161">
            <v>6755</v>
          </cell>
          <cell r="O161">
            <v>0</v>
          </cell>
          <cell r="P161">
            <v>0</v>
          </cell>
          <cell r="Q161">
            <v>1767</v>
          </cell>
          <cell r="R161"/>
          <cell r="S161">
            <v>80419</v>
          </cell>
          <cell r="T161">
            <v>4026</v>
          </cell>
          <cell r="U161">
            <v>84445</v>
          </cell>
        </row>
        <row r="162">
          <cell r="A162">
            <v>91441</v>
          </cell>
          <cell r="B162" t="str">
            <v>TOWN OF HARRISBURG</v>
          </cell>
          <cell r="C162">
            <v>9.5140000000000003E-4</v>
          </cell>
          <cell r="D162">
            <v>7.3800000000000005E-4</v>
          </cell>
          <cell r="E162">
            <v>316618</v>
          </cell>
          <cell r="F162">
            <v>1566283</v>
          </cell>
          <cell r="G162">
            <v>1453476</v>
          </cell>
          <cell r="H162"/>
          <cell r="I162">
            <v>83734</v>
          </cell>
          <cell r="J162">
            <v>352905</v>
          </cell>
          <cell r="K162">
            <v>207576</v>
          </cell>
          <cell r="L162">
            <v>46954</v>
          </cell>
          <cell r="M162"/>
          <cell r="N162">
            <v>41143</v>
          </cell>
          <cell r="O162">
            <v>0</v>
          </cell>
          <cell r="P162">
            <v>0</v>
          </cell>
          <cell r="Q162">
            <v>103301</v>
          </cell>
          <cell r="R162"/>
          <cell r="S162">
            <v>489823</v>
          </cell>
          <cell r="T162">
            <v>-39929</v>
          </cell>
          <cell r="U162">
            <v>449894</v>
          </cell>
        </row>
        <row r="163">
          <cell r="A163">
            <v>91451</v>
          </cell>
          <cell r="B163" t="str">
            <v>CITY OF LENOIR</v>
          </cell>
          <cell r="C163">
            <v>1.4760000000000001E-3</v>
          </cell>
          <cell r="D163">
            <v>1.5629000000000001E-3</v>
          </cell>
          <cell r="E163">
            <v>670223</v>
          </cell>
          <cell r="F163">
            <v>3316997</v>
          </cell>
          <cell r="G163">
            <v>2254919</v>
          </cell>
          <cell r="H163"/>
          <cell r="I163">
            <v>129904</v>
          </cell>
          <cell r="J163">
            <v>547497</v>
          </cell>
          <cell r="K163">
            <v>322034</v>
          </cell>
          <cell r="L163">
            <v>0</v>
          </cell>
          <cell r="M163"/>
          <cell r="N163">
            <v>63830</v>
          </cell>
          <cell r="O163">
            <v>0</v>
          </cell>
          <cell r="P163">
            <v>0</v>
          </cell>
          <cell r="Q163">
            <v>199933</v>
          </cell>
          <cell r="R163"/>
          <cell r="S163">
            <v>759910</v>
          </cell>
          <cell r="T163">
            <v>-85072</v>
          </cell>
          <cell r="U163">
            <v>674838</v>
          </cell>
        </row>
        <row r="164">
          <cell r="A164">
            <v>91457</v>
          </cell>
          <cell r="B164" t="str">
            <v>CITY OF LENOIR ABC BRD</v>
          </cell>
          <cell r="C164">
            <v>2.23E-5</v>
          </cell>
          <cell r="D164">
            <v>2.58E-5</v>
          </cell>
          <cell r="E164">
            <v>30670</v>
          </cell>
          <cell r="F164">
            <v>54756</v>
          </cell>
          <cell r="G164">
            <v>34068</v>
          </cell>
          <cell r="H164"/>
          <cell r="I164">
            <v>1963</v>
          </cell>
          <cell r="J164">
            <v>8272</v>
          </cell>
          <cell r="K164">
            <v>4865</v>
          </cell>
          <cell r="L164">
            <v>30858</v>
          </cell>
          <cell r="M164"/>
          <cell r="N164">
            <v>964</v>
          </cell>
          <cell r="O164">
            <v>0</v>
          </cell>
          <cell r="P164">
            <v>0</v>
          </cell>
          <cell r="Q164">
            <v>0</v>
          </cell>
          <cell r="R164"/>
          <cell r="S164">
            <v>11481</v>
          </cell>
          <cell r="T164">
            <v>10929</v>
          </cell>
          <cell r="U164">
            <v>22410</v>
          </cell>
        </row>
        <row r="165">
          <cell r="A165">
            <v>91461</v>
          </cell>
          <cell r="B165" t="str">
            <v>TOWN OF CAJAH'S MOUNTAIN</v>
          </cell>
          <cell r="C165">
            <v>9.3999999999999998E-6</v>
          </cell>
          <cell r="D165">
            <v>8.6999999999999997E-6</v>
          </cell>
          <cell r="E165">
            <v>2932</v>
          </cell>
          <cell r="F165">
            <v>18464</v>
          </cell>
          <cell r="G165">
            <v>14361</v>
          </cell>
          <cell r="H165"/>
          <cell r="I165">
            <v>827</v>
          </cell>
          <cell r="J165">
            <v>3487</v>
          </cell>
          <cell r="K165">
            <v>2051</v>
          </cell>
          <cell r="L165">
            <v>2052</v>
          </cell>
          <cell r="M165"/>
          <cell r="N165">
            <v>407</v>
          </cell>
          <cell r="O165">
            <v>0</v>
          </cell>
          <cell r="P165">
            <v>0</v>
          </cell>
          <cell r="Q165">
            <v>637</v>
          </cell>
          <cell r="R165"/>
          <cell r="S165">
            <v>4840</v>
          </cell>
          <cell r="T165">
            <v>945</v>
          </cell>
          <cell r="U165">
            <v>5785</v>
          </cell>
        </row>
        <row r="166">
          <cell r="A166">
            <v>91501</v>
          </cell>
          <cell r="B166" t="str">
            <v>CAMDEN COUNTY</v>
          </cell>
          <cell r="C166">
            <v>4.9700000000000005E-4</v>
          </cell>
          <cell r="D166">
            <v>5.1099999999999995E-4</v>
          </cell>
          <cell r="E166">
            <v>231246</v>
          </cell>
          <cell r="F166">
            <v>1084513</v>
          </cell>
          <cell r="G166">
            <v>759278</v>
          </cell>
          <cell r="H166"/>
          <cell r="I166">
            <v>43741</v>
          </cell>
          <cell r="J166">
            <v>184353</v>
          </cell>
          <cell r="K166">
            <v>108435</v>
          </cell>
          <cell r="L166">
            <v>24430</v>
          </cell>
          <cell r="M166"/>
          <cell r="N166">
            <v>21493</v>
          </cell>
          <cell r="O166">
            <v>0</v>
          </cell>
          <cell r="P166">
            <v>0</v>
          </cell>
          <cell r="Q166">
            <v>6922</v>
          </cell>
          <cell r="R166"/>
          <cell r="S166">
            <v>255877</v>
          </cell>
          <cell r="T166">
            <v>15592</v>
          </cell>
          <cell r="U166">
            <v>271469</v>
          </cell>
        </row>
        <row r="167">
          <cell r="A167">
            <v>91504</v>
          </cell>
          <cell r="B167" t="str">
            <v>CAMDEN COUNTY ABC BOARD</v>
          </cell>
          <cell r="C167">
            <v>9.7000000000000003E-6</v>
          </cell>
          <cell r="D167">
            <v>1.0200000000000001E-5</v>
          </cell>
          <cell r="E167">
            <v>6531</v>
          </cell>
          <cell r="F167">
            <v>21648</v>
          </cell>
          <cell r="G167">
            <v>14819</v>
          </cell>
          <cell r="H167"/>
          <cell r="I167">
            <v>854</v>
          </cell>
          <cell r="J167">
            <v>3599</v>
          </cell>
          <cell r="K167">
            <v>2116</v>
          </cell>
          <cell r="L167">
            <v>5620</v>
          </cell>
          <cell r="M167"/>
          <cell r="N167">
            <v>419</v>
          </cell>
          <cell r="O167">
            <v>0</v>
          </cell>
          <cell r="P167">
            <v>0</v>
          </cell>
          <cell r="Q167">
            <v>0</v>
          </cell>
          <cell r="R167"/>
          <cell r="S167">
            <v>4994</v>
          </cell>
          <cell r="T167">
            <v>2602</v>
          </cell>
          <cell r="U167">
            <v>7596</v>
          </cell>
        </row>
        <row r="168">
          <cell r="A168">
            <v>91601</v>
          </cell>
          <cell r="B168" t="str">
            <v>CARTERET COUNTY</v>
          </cell>
          <cell r="C168">
            <v>2.8040000000000001E-3</v>
          </cell>
          <cell r="D168">
            <v>2.9077999999999999E-3</v>
          </cell>
          <cell r="E168">
            <v>1323806</v>
          </cell>
          <cell r="F168">
            <v>6171326</v>
          </cell>
          <cell r="G168">
            <v>4283735</v>
          </cell>
          <cell r="H168"/>
          <cell r="I168">
            <v>246783</v>
          </cell>
          <cell r="J168">
            <v>1040096</v>
          </cell>
          <cell r="K168">
            <v>611777</v>
          </cell>
          <cell r="L168">
            <v>168530</v>
          </cell>
          <cell r="M168"/>
          <cell r="N168">
            <v>121259</v>
          </cell>
          <cell r="O168">
            <v>0</v>
          </cell>
          <cell r="P168">
            <v>0</v>
          </cell>
          <cell r="Q168">
            <v>40367</v>
          </cell>
          <cell r="R168"/>
          <cell r="S168">
            <v>1443623</v>
          </cell>
          <cell r="T168">
            <v>76132</v>
          </cell>
          <cell r="U168">
            <v>1519755</v>
          </cell>
        </row>
        <row r="169">
          <cell r="A169">
            <v>91604</v>
          </cell>
          <cell r="B169" t="str">
            <v>CARTERET COUNTY ABC BOARD</v>
          </cell>
          <cell r="C169">
            <v>8.8499999999999996E-5</v>
          </cell>
          <cell r="D169">
            <v>8.6799999999999996E-5</v>
          </cell>
          <cell r="E169">
            <v>50507</v>
          </cell>
          <cell r="F169">
            <v>184219</v>
          </cell>
          <cell r="G169">
            <v>135203</v>
          </cell>
          <cell r="H169"/>
          <cell r="I169">
            <v>7789</v>
          </cell>
          <cell r="J169">
            <v>32827</v>
          </cell>
          <cell r="K169">
            <v>19309</v>
          </cell>
          <cell r="L169">
            <v>20977</v>
          </cell>
          <cell r="M169"/>
          <cell r="N169">
            <v>3827</v>
          </cell>
          <cell r="O169">
            <v>0</v>
          </cell>
          <cell r="P169">
            <v>0</v>
          </cell>
          <cell r="Q169">
            <v>0</v>
          </cell>
          <cell r="R169"/>
          <cell r="S169">
            <v>45564</v>
          </cell>
          <cell r="T169">
            <v>7680</v>
          </cell>
          <cell r="U169">
            <v>53244</v>
          </cell>
        </row>
        <row r="170">
          <cell r="A170">
            <v>91608</v>
          </cell>
          <cell r="B170" t="str">
            <v>WESTERN CARTERET INTERLOCAL COOPERATION AGENCY</v>
          </cell>
          <cell r="C170">
            <v>1.5349999999999999E-4</v>
          </cell>
          <cell r="D170">
            <v>1.208E-4</v>
          </cell>
          <cell r="E170">
            <v>45013</v>
          </cell>
          <cell r="F170">
            <v>256378</v>
          </cell>
          <cell r="G170">
            <v>234505</v>
          </cell>
          <cell r="H170"/>
          <cell r="I170">
            <v>13510</v>
          </cell>
          <cell r="J170">
            <v>56938</v>
          </cell>
          <cell r="K170">
            <v>33491</v>
          </cell>
          <cell r="L170">
            <v>2430</v>
          </cell>
          <cell r="M170"/>
          <cell r="N170">
            <v>6638</v>
          </cell>
          <cell r="O170">
            <v>0</v>
          </cell>
          <cell r="P170">
            <v>0</v>
          </cell>
          <cell r="Q170">
            <v>28763</v>
          </cell>
          <cell r="R170"/>
          <cell r="S170">
            <v>79029</v>
          </cell>
          <cell r="T170">
            <v>-12888</v>
          </cell>
          <cell r="U170">
            <v>66141</v>
          </cell>
        </row>
        <row r="171">
          <cell r="A171">
            <v>91611</v>
          </cell>
          <cell r="B171" t="str">
            <v>TOWN OF MOREHEAD CITY</v>
          </cell>
          <cell r="C171">
            <v>1.4708E-3</v>
          </cell>
          <cell r="D171">
            <v>1.4345E-3</v>
          </cell>
          <cell r="E171">
            <v>598449</v>
          </cell>
          <cell r="F171">
            <v>3044490</v>
          </cell>
          <cell r="G171">
            <v>2246975</v>
          </cell>
          <cell r="H171"/>
          <cell r="I171">
            <v>129447</v>
          </cell>
          <cell r="J171">
            <v>545569</v>
          </cell>
          <cell r="K171">
            <v>320899</v>
          </cell>
          <cell r="L171">
            <v>19333</v>
          </cell>
          <cell r="M171"/>
          <cell r="N171">
            <v>63605</v>
          </cell>
          <cell r="O171">
            <v>0</v>
          </cell>
          <cell r="P171">
            <v>0</v>
          </cell>
          <cell r="Q171">
            <v>53335</v>
          </cell>
          <cell r="R171"/>
          <cell r="S171">
            <v>757233</v>
          </cell>
          <cell r="T171">
            <v>2483</v>
          </cell>
          <cell r="U171">
            <v>759716</v>
          </cell>
        </row>
        <row r="172">
          <cell r="A172">
            <v>91621</v>
          </cell>
          <cell r="B172" t="str">
            <v>TOWN OF NEWPORT</v>
          </cell>
          <cell r="C172">
            <v>2.7050000000000002E-4</v>
          </cell>
          <cell r="D172">
            <v>2.5240000000000001E-4</v>
          </cell>
          <cell r="E172">
            <v>108514</v>
          </cell>
          <cell r="F172">
            <v>535677</v>
          </cell>
          <cell r="G172">
            <v>413249</v>
          </cell>
          <cell r="H172"/>
          <cell r="I172">
            <v>23807</v>
          </cell>
          <cell r="J172">
            <v>100337</v>
          </cell>
          <cell r="K172">
            <v>59018</v>
          </cell>
          <cell r="L172">
            <v>13260</v>
          </cell>
          <cell r="M172"/>
          <cell r="N172">
            <v>11698</v>
          </cell>
          <cell r="O172">
            <v>0</v>
          </cell>
          <cell r="P172">
            <v>0</v>
          </cell>
          <cell r="Q172">
            <v>14620</v>
          </cell>
          <cell r="R172"/>
          <cell r="S172">
            <v>139265</v>
          </cell>
          <cell r="T172">
            <v>-4185</v>
          </cell>
          <cell r="U172">
            <v>135080</v>
          </cell>
        </row>
        <row r="173">
          <cell r="A173">
            <v>91631</v>
          </cell>
          <cell r="B173" t="str">
            <v>TOWN OF BEAUFORT</v>
          </cell>
          <cell r="C173">
            <v>5.2249999999999996E-4</v>
          </cell>
          <cell r="D173">
            <v>5.3870000000000003E-4</v>
          </cell>
          <cell r="E173">
            <v>219722</v>
          </cell>
          <cell r="F173">
            <v>1143302</v>
          </cell>
          <cell r="G173">
            <v>798235</v>
          </cell>
          <cell r="H173"/>
          <cell r="I173">
            <v>45986</v>
          </cell>
          <cell r="J173">
            <v>193812</v>
          </cell>
          <cell r="K173">
            <v>113999</v>
          </cell>
          <cell r="L173">
            <v>0</v>
          </cell>
          <cell r="M173"/>
          <cell r="N173">
            <v>22596</v>
          </cell>
          <cell r="O173">
            <v>0</v>
          </cell>
          <cell r="P173">
            <v>0</v>
          </cell>
          <cell r="Q173">
            <v>52272</v>
          </cell>
          <cell r="R173"/>
          <cell r="S173">
            <v>269006</v>
          </cell>
          <cell r="T173">
            <v>-16747</v>
          </cell>
          <cell r="U173">
            <v>252259</v>
          </cell>
        </row>
        <row r="174">
          <cell r="A174">
            <v>91633</v>
          </cell>
          <cell r="B174" t="str">
            <v>BEAUFORT HOUSING AUTH</v>
          </cell>
          <cell r="C174">
            <v>2.51E-5</v>
          </cell>
          <cell r="D174">
            <v>2.3799999999999999E-5</v>
          </cell>
          <cell r="E174">
            <v>11022</v>
          </cell>
          <cell r="F174">
            <v>50512</v>
          </cell>
          <cell r="G174">
            <v>38346</v>
          </cell>
          <cell r="H174"/>
          <cell r="I174">
            <v>2209</v>
          </cell>
          <cell r="J174">
            <v>9311</v>
          </cell>
          <cell r="K174">
            <v>5476</v>
          </cell>
          <cell r="L174">
            <v>1513</v>
          </cell>
          <cell r="M174"/>
          <cell r="N174">
            <v>1085</v>
          </cell>
          <cell r="O174">
            <v>0</v>
          </cell>
          <cell r="P174">
            <v>0</v>
          </cell>
          <cell r="Q174">
            <v>3215</v>
          </cell>
          <cell r="R174"/>
          <cell r="S174">
            <v>12923</v>
          </cell>
          <cell r="T174">
            <v>-1367</v>
          </cell>
          <cell r="U174">
            <v>11556</v>
          </cell>
        </row>
        <row r="175">
          <cell r="A175">
            <v>91641</v>
          </cell>
          <cell r="B175" t="str">
            <v>TOWN OF PINE KNOLL SHORES</v>
          </cell>
          <cell r="C175">
            <v>3.1139999999999998E-4</v>
          </cell>
          <cell r="D175">
            <v>2.742E-4</v>
          </cell>
          <cell r="E175">
            <v>104379</v>
          </cell>
          <cell r="F175">
            <v>581944</v>
          </cell>
          <cell r="G175">
            <v>475733</v>
          </cell>
          <cell r="H175"/>
          <cell r="I175">
            <v>27407</v>
          </cell>
          <cell r="J175">
            <v>115509</v>
          </cell>
          <cell r="K175">
            <v>67941</v>
          </cell>
          <cell r="L175">
            <v>0</v>
          </cell>
          <cell r="M175"/>
          <cell r="N175">
            <v>13466</v>
          </cell>
          <cell r="O175">
            <v>0</v>
          </cell>
          <cell r="P175">
            <v>0</v>
          </cell>
          <cell r="Q175">
            <v>55139</v>
          </cell>
          <cell r="R175"/>
          <cell r="S175">
            <v>160322</v>
          </cell>
          <cell r="T175">
            <v>-25877</v>
          </cell>
          <cell r="U175">
            <v>134445</v>
          </cell>
        </row>
        <row r="176">
          <cell r="A176">
            <v>91651</v>
          </cell>
          <cell r="B176" t="str">
            <v>TOWN OF EMERALD ISLE</v>
          </cell>
          <cell r="C176">
            <v>4.4440000000000001E-4</v>
          </cell>
          <cell r="D176">
            <v>4.6099999999999998E-4</v>
          </cell>
          <cell r="E176">
            <v>205102</v>
          </cell>
          <cell r="F176">
            <v>978396</v>
          </cell>
          <cell r="G176">
            <v>678920</v>
          </cell>
          <cell r="H176"/>
          <cell r="I176">
            <v>39112</v>
          </cell>
          <cell r="J176">
            <v>164843</v>
          </cell>
          <cell r="K176">
            <v>96959</v>
          </cell>
          <cell r="L176">
            <v>0</v>
          </cell>
          <cell r="M176"/>
          <cell r="N176">
            <v>19218</v>
          </cell>
          <cell r="O176">
            <v>0</v>
          </cell>
          <cell r="P176">
            <v>0</v>
          </cell>
          <cell r="Q176">
            <v>30696</v>
          </cell>
          <cell r="R176"/>
          <cell r="S176">
            <v>228797</v>
          </cell>
          <cell r="T176">
            <v>-12407</v>
          </cell>
          <cell r="U176">
            <v>216390</v>
          </cell>
        </row>
        <row r="177">
          <cell r="A177">
            <v>91661</v>
          </cell>
          <cell r="B177" t="str">
            <v>TOWN OF INDIAN BEACH</v>
          </cell>
          <cell r="C177">
            <v>1.673E-4</v>
          </cell>
          <cell r="D177">
            <v>1.6750000000000001E-4</v>
          </cell>
          <cell r="E177">
            <v>56241</v>
          </cell>
          <cell r="F177">
            <v>355491</v>
          </cell>
          <cell r="G177">
            <v>255588</v>
          </cell>
          <cell r="H177"/>
          <cell r="I177">
            <v>14724</v>
          </cell>
          <cell r="J177">
            <v>62057</v>
          </cell>
          <cell r="K177">
            <v>36502</v>
          </cell>
          <cell r="L177">
            <v>0</v>
          </cell>
          <cell r="M177"/>
          <cell r="N177">
            <v>7235</v>
          </cell>
          <cell r="O177">
            <v>0</v>
          </cell>
          <cell r="P177">
            <v>0</v>
          </cell>
          <cell r="Q177">
            <v>45519</v>
          </cell>
          <cell r="R177"/>
          <cell r="S177">
            <v>86133</v>
          </cell>
          <cell r="T177">
            <v>-16188</v>
          </cell>
          <cell r="U177">
            <v>69945</v>
          </cell>
        </row>
        <row r="178">
          <cell r="A178">
            <v>91671</v>
          </cell>
          <cell r="B178" t="str">
            <v>TOWN OF CAPE CARTERET</v>
          </cell>
          <cell r="C178">
            <v>9.6700000000000006E-5</v>
          </cell>
          <cell r="D178">
            <v>9.7600000000000001E-5</v>
          </cell>
          <cell r="E178">
            <v>43651</v>
          </cell>
          <cell r="F178">
            <v>207140</v>
          </cell>
          <cell r="G178">
            <v>147731</v>
          </cell>
          <cell r="H178"/>
          <cell r="I178">
            <v>8511</v>
          </cell>
          <cell r="J178">
            <v>35869</v>
          </cell>
          <cell r="K178">
            <v>21098</v>
          </cell>
          <cell r="L178">
            <v>11497</v>
          </cell>
          <cell r="M178"/>
          <cell r="N178">
            <v>4182</v>
          </cell>
          <cell r="O178">
            <v>0</v>
          </cell>
          <cell r="P178">
            <v>0</v>
          </cell>
          <cell r="Q178">
            <v>1197</v>
          </cell>
          <cell r="R178"/>
          <cell r="S178">
            <v>49785</v>
          </cell>
          <cell r="T178">
            <v>5725</v>
          </cell>
          <cell r="U178">
            <v>55510</v>
          </cell>
        </row>
        <row r="179">
          <cell r="A179">
            <v>91681</v>
          </cell>
          <cell r="B179" t="str">
            <v>TOWN OF ATLANTIC BEACH</v>
          </cell>
          <cell r="C179">
            <v>4.728E-4</v>
          </cell>
          <cell r="D179">
            <v>4.7130000000000002E-4</v>
          </cell>
          <cell r="E179">
            <v>387832</v>
          </cell>
          <cell r="F179">
            <v>1000256</v>
          </cell>
          <cell r="G179">
            <v>722307</v>
          </cell>
          <cell r="H179"/>
          <cell r="I179">
            <v>41612</v>
          </cell>
          <cell r="J179">
            <v>175378</v>
          </cell>
          <cell r="K179">
            <v>103156</v>
          </cell>
          <cell r="L179">
            <v>274278</v>
          </cell>
          <cell r="M179"/>
          <cell r="N179">
            <v>20446</v>
          </cell>
          <cell r="O179">
            <v>0</v>
          </cell>
          <cell r="P179">
            <v>0</v>
          </cell>
          <cell r="Q179">
            <v>4516</v>
          </cell>
          <cell r="R179"/>
          <cell r="S179">
            <v>243418</v>
          </cell>
          <cell r="T179">
            <v>89641</v>
          </cell>
          <cell r="U179">
            <v>333059</v>
          </cell>
        </row>
        <row r="180">
          <cell r="A180">
            <v>91691</v>
          </cell>
          <cell r="B180" t="str">
            <v>TOWN OF CEDAR POINT</v>
          </cell>
          <cell r="C180">
            <v>2.3200000000000001E-5</v>
          </cell>
          <cell r="D180">
            <v>2.4199999999999999E-5</v>
          </cell>
          <cell r="E180">
            <v>10219</v>
          </cell>
          <cell r="F180">
            <v>51361</v>
          </cell>
          <cell r="G180">
            <v>35443</v>
          </cell>
          <cell r="H180"/>
          <cell r="I180">
            <v>2042</v>
          </cell>
          <cell r="J180">
            <v>8605</v>
          </cell>
          <cell r="K180">
            <v>5062</v>
          </cell>
          <cell r="L180">
            <v>1782</v>
          </cell>
          <cell r="M180"/>
          <cell r="N180">
            <v>1003</v>
          </cell>
          <cell r="O180">
            <v>0</v>
          </cell>
          <cell r="P180">
            <v>0</v>
          </cell>
          <cell r="Q180">
            <v>1533</v>
          </cell>
          <cell r="R180"/>
          <cell r="S180">
            <v>11944</v>
          </cell>
          <cell r="T180">
            <v>129</v>
          </cell>
          <cell r="U180">
            <v>12073</v>
          </cell>
        </row>
        <row r="181">
          <cell r="A181">
            <v>91701</v>
          </cell>
          <cell r="B181" t="str">
            <v>CASWELL COUNTY</v>
          </cell>
          <cell r="C181">
            <v>1.2451999999999999E-3</v>
          </cell>
          <cell r="D181">
            <v>1.0897000000000001E-3</v>
          </cell>
          <cell r="E181">
            <v>542906</v>
          </cell>
          <cell r="F181">
            <v>2312708</v>
          </cell>
          <cell r="G181">
            <v>1902321</v>
          </cell>
          <cell r="H181"/>
          <cell r="I181">
            <v>109591</v>
          </cell>
          <cell r="J181">
            <v>461886</v>
          </cell>
          <cell r="K181">
            <v>271678</v>
          </cell>
          <cell r="L181">
            <v>95964</v>
          </cell>
          <cell r="M181"/>
          <cell r="N181">
            <v>53849</v>
          </cell>
          <cell r="O181">
            <v>0</v>
          </cell>
          <cell r="P181">
            <v>0</v>
          </cell>
          <cell r="Q181">
            <v>6949</v>
          </cell>
          <cell r="R181"/>
          <cell r="S181">
            <v>641084</v>
          </cell>
          <cell r="T181">
            <v>18725</v>
          </cell>
          <cell r="U181">
            <v>659809</v>
          </cell>
        </row>
        <row r="182">
          <cell r="A182">
            <v>91704</v>
          </cell>
          <cell r="B182" t="str">
            <v>CASWELL COUNTY ABC BOARD</v>
          </cell>
          <cell r="C182">
            <v>1.73E-5</v>
          </cell>
          <cell r="D182">
            <v>1.6699999999999999E-5</v>
          </cell>
          <cell r="E182">
            <v>7506</v>
          </cell>
          <cell r="F182">
            <v>35443</v>
          </cell>
          <cell r="G182">
            <v>26430</v>
          </cell>
          <cell r="H182"/>
          <cell r="I182">
            <v>1523</v>
          </cell>
          <cell r="J182">
            <v>6417</v>
          </cell>
          <cell r="K182">
            <v>3775</v>
          </cell>
          <cell r="L182">
            <v>1084</v>
          </cell>
          <cell r="M182"/>
          <cell r="N182">
            <v>748</v>
          </cell>
          <cell r="O182">
            <v>0</v>
          </cell>
          <cell r="P182">
            <v>0</v>
          </cell>
          <cell r="Q182">
            <v>0</v>
          </cell>
          <cell r="R182"/>
          <cell r="S182">
            <v>8907</v>
          </cell>
          <cell r="T182">
            <v>641</v>
          </cell>
          <cell r="U182">
            <v>9548</v>
          </cell>
        </row>
        <row r="183">
          <cell r="A183">
            <v>91706</v>
          </cell>
          <cell r="B183" t="str">
            <v>CASWELL CO DEPT OF SOCIAL SERVICES</v>
          </cell>
          <cell r="C183">
            <v>2.4340000000000001E-4</v>
          </cell>
          <cell r="D183">
            <v>2.4279999999999999E-4</v>
          </cell>
          <cell r="E183">
            <v>121963</v>
          </cell>
          <cell r="F183">
            <v>515303</v>
          </cell>
          <cell r="G183">
            <v>371848</v>
          </cell>
          <cell r="H183"/>
          <cell r="I183">
            <v>21422</v>
          </cell>
          <cell r="J183">
            <v>90285</v>
          </cell>
          <cell r="K183">
            <v>53105</v>
          </cell>
          <cell r="L183">
            <v>9101</v>
          </cell>
          <cell r="M183"/>
          <cell r="N183">
            <v>10526</v>
          </cell>
          <cell r="O183">
            <v>0</v>
          </cell>
          <cell r="P183">
            <v>0</v>
          </cell>
          <cell r="Q183">
            <v>8271</v>
          </cell>
          <cell r="R183"/>
          <cell r="S183">
            <v>125313</v>
          </cell>
          <cell r="T183">
            <v>-4120</v>
          </cell>
          <cell r="U183">
            <v>121193</v>
          </cell>
        </row>
        <row r="184">
          <cell r="A184">
            <v>91719</v>
          </cell>
          <cell r="B184" t="str">
            <v>TOWN OF YANCEYVILLE</v>
          </cell>
          <cell r="C184">
            <v>4.9700000000000002E-5</v>
          </cell>
          <cell r="D184">
            <v>4.9299999999999999E-5</v>
          </cell>
          <cell r="E184">
            <v>19656</v>
          </cell>
          <cell r="F184">
            <v>104631</v>
          </cell>
          <cell r="G184">
            <v>75928</v>
          </cell>
          <cell r="H184"/>
          <cell r="I184">
            <v>4374</v>
          </cell>
          <cell r="J184">
            <v>18435</v>
          </cell>
          <cell r="K184">
            <v>10844</v>
          </cell>
          <cell r="L184">
            <v>4395</v>
          </cell>
          <cell r="M184"/>
          <cell r="N184">
            <v>2149</v>
          </cell>
          <cell r="O184">
            <v>0</v>
          </cell>
          <cell r="P184">
            <v>0</v>
          </cell>
          <cell r="Q184">
            <v>4419</v>
          </cell>
          <cell r="R184"/>
          <cell r="S184">
            <v>25588</v>
          </cell>
          <cell r="T184">
            <v>37</v>
          </cell>
          <cell r="U184">
            <v>25625</v>
          </cell>
        </row>
        <row r="185">
          <cell r="A185">
            <v>91801</v>
          </cell>
          <cell r="B185" t="str">
            <v>CATAWBA COUNTY</v>
          </cell>
          <cell r="C185">
            <v>8.0961000000000002E-3</v>
          </cell>
          <cell r="D185">
            <v>8.3853999999999995E-3</v>
          </cell>
          <cell r="E185">
            <v>3752769</v>
          </cell>
          <cell r="F185">
            <v>17796628</v>
          </cell>
          <cell r="G185">
            <v>12368598</v>
          </cell>
          <cell r="H185"/>
          <cell r="I185">
            <v>712546</v>
          </cell>
          <cell r="J185">
            <v>3003111</v>
          </cell>
          <cell r="K185">
            <v>1766407</v>
          </cell>
          <cell r="L185">
            <v>0</v>
          </cell>
          <cell r="M185"/>
          <cell r="N185">
            <v>350116</v>
          </cell>
          <cell r="O185">
            <v>0</v>
          </cell>
          <cell r="P185">
            <v>0</v>
          </cell>
          <cell r="Q185">
            <v>242225</v>
          </cell>
          <cell r="R185"/>
          <cell r="S185">
            <v>4168229</v>
          </cell>
          <cell r="T185">
            <v>-87031</v>
          </cell>
          <cell r="U185">
            <v>4081198</v>
          </cell>
        </row>
        <row r="186">
          <cell r="A186">
            <v>91804</v>
          </cell>
          <cell r="B186" t="str">
            <v>CATAWBA COUNTY ABC BOARD</v>
          </cell>
          <cell r="C186">
            <v>1.3439999999999999E-4</v>
          </cell>
          <cell r="D186">
            <v>1.462E-4</v>
          </cell>
          <cell r="E186">
            <v>95886</v>
          </cell>
          <cell r="F186">
            <v>310285</v>
          </cell>
          <cell r="G186">
            <v>205326</v>
          </cell>
          <cell r="H186"/>
          <cell r="I186">
            <v>11829</v>
          </cell>
          <cell r="J186">
            <v>49854</v>
          </cell>
          <cell r="K186">
            <v>29323</v>
          </cell>
          <cell r="L186">
            <v>55699</v>
          </cell>
          <cell r="M186"/>
          <cell r="N186">
            <v>5812</v>
          </cell>
          <cell r="O186">
            <v>0</v>
          </cell>
          <cell r="P186">
            <v>0</v>
          </cell>
          <cell r="Q186">
            <v>0</v>
          </cell>
          <cell r="R186"/>
          <cell r="S186">
            <v>69195</v>
          </cell>
          <cell r="T186">
            <v>23621</v>
          </cell>
          <cell r="U186">
            <v>92816</v>
          </cell>
        </row>
        <row r="187">
          <cell r="A187">
            <v>91811</v>
          </cell>
          <cell r="B187" t="str">
            <v>CITY OF HICKORY</v>
          </cell>
          <cell r="C187">
            <v>4.5555999999999999E-3</v>
          </cell>
          <cell r="D187">
            <v>4.6454000000000001E-3</v>
          </cell>
          <cell r="E187">
            <v>1964158</v>
          </cell>
          <cell r="F187">
            <v>9859095</v>
          </cell>
          <cell r="G187">
            <v>6959695</v>
          </cell>
          <cell r="H187"/>
          <cell r="I187">
            <v>400943</v>
          </cell>
          <cell r="J187">
            <v>1689822</v>
          </cell>
          <cell r="K187">
            <v>993941</v>
          </cell>
          <cell r="L187">
            <v>0</v>
          </cell>
          <cell r="M187"/>
          <cell r="N187">
            <v>197007</v>
          </cell>
          <cell r="O187">
            <v>0</v>
          </cell>
          <cell r="P187">
            <v>0</v>
          </cell>
          <cell r="Q187">
            <v>519421</v>
          </cell>
          <cell r="R187"/>
          <cell r="S187">
            <v>2345423</v>
          </cell>
          <cell r="T187">
            <v>-197590</v>
          </cell>
          <cell r="U187">
            <v>2147833</v>
          </cell>
        </row>
        <row r="188">
          <cell r="A188">
            <v>91812</v>
          </cell>
          <cell r="B188" t="str">
            <v>HICKORY CONOVER TOURISM DEV AUTH</v>
          </cell>
          <cell r="C188">
            <v>5.0800000000000002E-5</v>
          </cell>
          <cell r="D188">
            <v>5.8199999999999998E-5</v>
          </cell>
          <cell r="E188">
            <v>26136</v>
          </cell>
          <cell r="F188">
            <v>123520</v>
          </cell>
          <cell r="G188">
            <v>77608</v>
          </cell>
          <cell r="H188"/>
          <cell r="I188">
            <v>4471</v>
          </cell>
          <cell r="J188">
            <v>18843</v>
          </cell>
          <cell r="K188">
            <v>11084</v>
          </cell>
          <cell r="L188">
            <v>11326</v>
          </cell>
          <cell r="M188"/>
          <cell r="N188">
            <v>2197</v>
          </cell>
          <cell r="O188">
            <v>0</v>
          </cell>
          <cell r="P188">
            <v>0</v>
          </cell>
          <cell r="Q188">
            <v>2710</v>
          </cell>
          <cell r="R188"/>
          <cell r="S188">
            <v>26154</v>
          </cell>
          <cell r="T188">
            <v>4584</v>
          </cell>
          <cell r="U188">
            <v>30738</v>
          </cell>
        </row>
        <row r="189">
          <cell r="A189">
            <v>91813</v>
          </cell>
          <cell r="B189" t="str">
            <v>HICKORY PUBLIC HOUSING AUTHORITY</v>
          </cell>
          <cell r="C189">
            <v>8.6100000000000006E-5</v>
          </cell>
          <cell r="D189">
            <v>1.083E-4</v>
          </cell>
          <cell r="E189">
            <v>44452</v>
          </cell>
          <cell r="F189">
            <v>229849</v>
          </cell>
          <cell r="G189">
            <v>131537</v>
          </cell>
          <cell r="H189"/>
          <cell r="I189">
            <v>7578</v>
          </cell>
          <cell r="J189">
            <v>31938</v>
          </cell>
          <cell r="K189">
            <v>18785</v>
          </cell>
          <cell r="L189">
            <v>10986</v>
          </cell>
          <cell r="M189"/>
          <cell r="N189">
            <v>3723</v>
          </cell>
          <cell r="O189">
            <v>0</v>
          </cell>
          <cell r="P189">
            <v>0</v>
          </cell>
          <cell r="Q189">
            <v>13565</v>
          </cell>
          <cell r="R189"/>
          <cell r="S189">
            <v>44328</v>
          </cell>
          <cell r="T189">
            <v>-155</v>
          </cell>
          <cell r="U189">
            <v>44173</v>
          </cell>
        </row>
        <row r="190">
          <cell r="A190">
            <v>91818</v>
          </cell>
          <cell r="B190" t="str">
            <v>WESTERN PIEDMONT COUNCIL OF GVMTS</v>
          </cell>
          <cell r="C190">
            <v>4.0079999999999998E-4</v>
          </cell>
          <cell r="D190">
            <v>3.8559999999999999E-4</v>
          </cell>
          <cell r="E190">
            <v>453409</v>
          </cell>
          <cell r="F190">
            <v>818372</v>
          </cell>
          <cell r="G190">
            <v>612311</v>
          </cell>
          <cell r="H190"/>
          <cell r="I190">
            <v>35275</v>
          </cell>
          <cell r="J190">
            <v>148670</v>
          </cell>
          <cell r="K190">
            <v>87447</v>
          </cell>
          <cell r="L190">
            <v>469231</v>
          </cell>
          <cell r="M190"/>
          <cell r="N190">
            <v>17333</v>
          </cell>
          <cell r="O190">
            <v>0</v>
          </cell>
          <cell r="P190">
            <v>0</v>
          </cell>
          <cell r="Q190">
            <v>5024</v>
          </cell>
          <cell r="R190"/>
          <cell r="S190">
            <v>206349</v>
          </cell>
          <cell r="T190">
            <v>155106</v>
          </cell>
          <cell r="U190">
            <v>361455</v>
          </cell>
        </row>
        <row r="191">
          <cell r="A191">
            <v>91819</v>
          </cell>
          <cell r="B191" t="str">
            <v>WESTERN PIEDMONT REGIONAL TRANSIT AUTHORITY</v>
          </cell>
          <cell r="C191">
            <v>2.8489999999999999E-4</v>
          </cell>
          <cell r="D191">
            <v>2.8200000000000002E-4</v>
          </cell>
          <cell r="E191">
            <v>138657</v>
          </cell>
          <cell r="F191">
            <v>598498</v>
          </cell>
          <cell r="G191">
            <v>435248</v>
          </cell>
          <cell r="H191"/>
          <cell r="I191">
            <v>25074</v>
          </cell>
          <cell r="J191">
            <v>105678</v>
          </cell>
          <cell r="K191">
            <v>62159</v>
          </cell>
          <cell r="L191">
            <v>15073</v>
          </cell>
          <cell r="M191"/>
          <cell r="N191">
            <v>12321</v>
          </cell>
          <cell r="O191">
            <v>0</v>
          </cell>
          <cell r="P191">
            <v>0</v>
          </cell>
          <cell r="Q191">
            <v>8276</v>
          </cell>
          <cell r="R191"/>
          <cell r="S191">
            <v>146679</v>
          </cell>
          <cell r="T191">
            <v>5278</v>
          </cell>
          <cell r="U191">
            <v>151957</v>
          </cell>
        </row>
        <row r="192">
          <cell r="A192">
            <v>91821</v>
          </cell>
          <cell r="B192" t="str">
            <v>CITY OF CLAREMONT</v>
          </cell>
          <cell r="C192">
            <v>1.7330000000000001E-4</v>
          </cell>
          <cell r="D192">
            <v>1.63E-4</v>
          </cell>
          <cell r="E192">
            <v>71126</v>
          </cell>
          <cell r="F192">
            <v>345941</v>
          </cell>
          <cell r="G192">
            <v>264754</v>
          </cell>
          <cell r="H192"/>
          <cell r="I192">
            <v>15252</v>
          </cell>
          <cell r="J192">
            <v>64283</v>
          </cell>
          <cell r="K192">
            <v>37811</v>
          </cell>
          <cell r="L192">
            <v>2434</v>
          </cell>
          <cell r="M192"/>
          <cell r="N192">
            <v>7494</v>
          </cell>
          <cell r="O192">
            <v>0</v>
          </cell>
          <cell r="P192">
            <v>0</v>
          </cell>
          <cell r="Q192">
            <v>1112</v>
          </cell>
          <cell r="R192"/>
          <cell r="S192">
            <v>89222</v>
          </cell>
          <cell r="T192">
            <v>1572</v>
          </cell>
          <cell r="U192">
            <v>90794</v>
          </cell>
        </row>
        <row r="193">
          <cell r="A193">
            <v>91831</v>
          </cell>
          <cell r="B193" t="str">
            <v>TOWN OF MAIDEN</v>
          </cell>
          <cell r="C193">
            <v>3.366E-4</v>
          </cell>
          <cell r="D193">
            <v>3.414E-4</v>
          </cell>
          <cell r="E193">
            <v>150178</v>
          </cell>
          <cell r="F193">
            <v>724565</v>
          </cell>
          <cell r="G193">
            <v>514232</v>
          </cell>
          <cell r="H193"/>
          <cell r="I193">
            <v>29625</v>
          </cell>
          <cell r="J193">
            <v>124856</v>
          </cell>
          <cell r="K193">
            <v>73439</v>
          </cell>
          <cell r="L193">
            <v>7847</v>
          </cell>
          <cell r="M193"/>
          <cell r="N193">
            <v>14556</v>
          </cell>
          <cell r="O193">
            <v>0</v>
          </cell>
          <cell r="P193">
            <v>0</v>
          </cell>
          <cell r="Q193">
            <v>13475</v>
          </cell>
          <cell r="R193"/>
          <cell r="S193">
            <v>173296</v>
          </cell>
          <cell r="T193">
            <v>520</v>
          </cell>
          <cell r="U193">
            <v>173816</v>
          </cell>
        </row>
        <row r="194">
          <cell r="A194">
            <v>91841</v>
          </cell>
          <cell r="B194" t="str">
            <v>THE TOWN OF LONGVIEW</v>
          </cell>
          <cell r="C194">
            <v>2.5339999999999998E-4</v>
          </cell>
          <cell r="D194">
            <v>2.63E-4</v>
          </cell>
          <cell r="E194">
            <v>126479</v>
          </cell>
          <cell r="F194">
            <v>558174</v>
          </cell>
          <cell r="G194">
            <v>387125</v>
          </cell>
          <cell r="H194"/>
          <cell r="I194">
            <v>22302</v>
          </cell>
          <cell r="J194">
            <v>93994</v>
          </cell>
          <cell r="K194">
            <v>55287</v>
          </cell>
          <cell r="L194">
            <v>1681</v>
          </cell>
          <cell r="M194"/>
          <cell r="N194">
            <v>10958</v>
          </cell>
          <cell r="O194">
            <v>0</v>
          </cell>
          <cell r="P194">
            <v>0</v>
          </cell>
          <cell r="Q194">
            <v>14711</v>
          </cell>
          <cell r="R194"/>
          <cell r="S194">
            <v>130461</v>
          </cell>
          <cell r="T194">
            <v>-9727</v>
          </cell>
          <cell r="U194">
            <v>120734</v>
          </cell>
        </row>
        <row r="195">
          <cell r="A195">
            <v>91851</v>
          </cell>
          <cell r="B195" t="str">
            <v>TOWN OF CONOVER</v>
          </cell>
          <cell r="C195">
            <v>7.4910000000000005E-4</v>
          </cell>
          <cell r="D195">
            <v>7.2059999999999995E-4</v>
          </cell>
          <cell r="E195">
            <v>326836</v>
          </cell>
          <cell r="F195">
            <v>1529355</v>
          </cell>
          <cell r="G195">
            <v>1144417</v>
          </cell>
          <cell r="H195"/>
          <cell r="I195">
            <v>65929</v>
          </cell>
          <cell r="J195">
            <v>277866</v>
          </cell>
          <cell r="K195">
            <v>163439</v>
          </cell>
          <cell r="L195">
            <v>9030</v>
          </cell>
          <cell r="M195"/>
          <cell r="N195">
            <v>32395</v>
          </cell>
          <cell r="O195">
            <v>0</v>
          </cell>
          <cell r="P195">
            <v>0</v>
          </cell>
          <cell r="Q195">
            <v>44287</v>
          </cell>
          <cell r="R195"/>
          <cell r="S195">
            <v>385670</v>
          </cell>
          <cell r="T195">
            <v>-13424</v>
          </cell>
          <cell r="U195">
            <v>372246</v>
          </cell>
        </row>
        <row r="196">
          <cell r="A196">
            <v>91861</v>
          </cell>
          <cell r="B196" t="str">
            <v>TOWN OF BROOKFORD</v>
          </cell>
          <cell r="C196">
            <v>1.9700000000000001E-5</v>
          </cell>
          <cell r="D196">
            <v>1.9899999999999999E-5</v>
          </cell>
          <cell r="E196">
            <v>8023</v>
          </cell>
          <cell r="F196">
            <v>42234</v>
          </cell>
          <cell r="G196">
            <v>30096</v>
          </cell>
          <cell r="H196"/>
          <cell r="I196">
            <v>1734</v>
          </cell>
          <cell r="J196">
            <v>7308</v>
          </cell>
          <cell r="K196">
            <v>4298</v>
          </cell>
          <cell r="L196">
            <v>2050</v>
          </cell>
          <cell r="M196"/>
          <cell r="N196">
            <v>852</v>
          </cell>
          <cell r="O196">
            <v>0</v>
          </cell>
          <cell r="P196">
            <v>0</v>
          </cell>
          <cell r="Q196">
            <v>1061</v>
          </cell>
          <cell r="R196"/>
          <cell r="S196">
            <v>10142</v>
          </cell>
          <cell r="T196">
            <v>692</v>
          </cell>
          <cell r="U196">
            <v>10834</v>
          </cell>
        </row>
        <row r="197">
          <cell r="A197">
            <v>91871</v>
          </cell>
          <cell r="B197" t="str">
            <v>CITY OF NEWTON</v>
          </cell>
          <cell r="C197">
            <v>1.3319E-3</v>
          </cell>
          <cell r="D197">
            <v>1.2712000000000001E-3</v>
          </cell>
          <cell r="E197">
            <v>588755</v>
          </cell>
          <cell r="F197">
            <v>2697912</v>
          </cell>
          <cell r="G197">
            <v>2034774</v>
          </cell>
          <cell r="H197"/>
          <cell r="I197">
            <v>117222</v>
          </cell>
          <cell r="J197">
            <v>494045</v>
          </cell>
          <cell r="K197">
            <v>290594</v>
          </cell>
          <cell r="L197">
            <v>22538</v>
          </cell>
          <cell r="M197"/>
          <cell r="N197">
            <v>57598</v>
          </cell>
          <cell r="O197">
            <v>0</v>
          </cell>
          <cell r="P197">
            <v>0</v>
          </cell>
          <cell r="Q197">
            <v>73797</v>
          </cell>
          <cell r="R197"/>
          <cell r="S197">
            <v>685721</v>
          </cell>
          <cell r="T197">
            <v>-28802</v>
          </cell>
          <cell r="U197">
            <v>656919</v>
          </cell>
        </row>
        <row r="198">
          <cell r="A198">
            <v>91881</v>
          </cell>
          <cell r="B198" t="str">
            <v>TOWN OF CATAWBA</v>
          </cell>
          <cell r="C198">
            <v>9.3000000000000007E-6</v>
          </cell>
          <cell r="D198">
            <v>1.01E-5</v>
          </cell>
          <cell r="E198">
            <v>6384</v>
          </cell>
          <cell r="F198">
            <v>21436</v>
          </cell>
          <cell r="G198">
            <v>14208</v>
          </cell>
          <cell r="H198"/>
          <cell r="I198">
            <v>819</v>
          </cell>
          <cell r="J198">
            <v>3450</v>
          </cell>
          <cell r="K198">
            <v>2029</v>
          </cell>
          <cell r="L198">
            <v>1155</v>
          </cell>
          <cell r="M198"/>
          <cell r="N198">
            <v>402</v>
          </cell>
          <cell r="O198">
            <v>0</v>
          </cell>
          <cell r="P198">
            <v>0</v>
          </cell>
          <cell r="Q198">
            <v>8809</v>
          </cell>
          <cell r="R198"/>
          <cell r="S198">
            <v>4788</v>
          </cell>
          <cell r="T198">
            <v>-5615</v>
          </cell>
          <cell r="U198">
            <v>-827</v>
          </cell>
        </row>
        <row r="199">
          <cell r="A199">
            <v>91901</v>
          </cell>
          <cell r="B199" t="str">
            <v>CHATHAM COUNTY</v>
          </cell>
          <cell r="C199">
            <v>3.6706999999999998E-3</v>
          </cell>
          <cell r="D199">
            <v>3.6564000000000002E-3</v>
          </cell>
          <cell r="E199">
            <v>1652493</v>
          </cell>
          <cell r="F199">
            <v>7760106</v>
          </cell>
          <cell r="G199">
            <v>5607813</v>
          </cell>
          <cell r="H199"/>
          <cell r="I199">
            <v>323062</v>
          </cell>
          <cell r="J199">
            <v>1361584</v>
          </cell>
          <cell r="K199">
            <v>800873</v>
          </cell>
          <cell r="L199">
            <v>89719</v>
          </cell>
          <cell r="M199"/>
          <cell r="N199">
            <v>158739</v>
          </cell>
          <cell r="O199">
            <v>0</v>
          </cell>
          <cell r="P199">
            <v>0</v>
          </cell>
          <cell r="Q199">
            <v>16546</v>
          </cell>
          <cell r="R199"/>
          <cell r="S199">
            <v>1889838</v>
          </cell>
          <cell r="T199">
            <v>53714</v>
          </cell>
          <cell r="U199">
            <v>1943552</v>
          </cell>
        </row>
        <row r="200">
          <cell r="A200">
            <v>91903</v>
          </cell>
          <cell r="B200" t="str">
            <v>CHATHAM CO HOUSING AUTH</v>
          </cell>
          <cell r="C200">
            <v>8.6999999999999997E-6</v>
          </cell>
          <cell r="D200">
            <v>8.3999999999999992E-6</v>
          </cell>
          <cell r="E200">
            <v>5739</v>
          </cell>
          <cell r="F200">
            <v>17828</v>
          </cell>
          <cell r="G200">
            <v>13291</v>
          </cell>
          <cell r="H200"/>
          <cell r="I200">
            <v>766</v>
          </cell>
          <cell r="J200">
            <v>3227</v>
          </cell>
          <cell r="K200">
            <v>1898</v>
          </cell>
          <cell r="L200">
            <v>2037</v>
          </cell>
          <cell r="M200"/>
          <cell r="N200">
            <v>376</v>
          </cell>
          <cell r="O200">
            <v>0</v>
          </cell>
          <cell r="P200">
            <v>0</v>
          </cell>
          <cell r="Q200">
            <v>3011</v>
          </cell>
          <cell r="R200"/>
          <cell r="S200">
            <v>4479</v>
          </cell>
          <cell r="T200">
            <v>-2426</v>
          </cell>
          <cell r="U200">
            <v>2053</v>
          </cell>
        </row>
        <row r="201">
          <cell r="A201">
            <v>91904</v>
          </cell>
          <cell r="B201" t="str">
            <v>CHATHAM COUNTY ABC BOARD</v>
          </cell>
          <cell r="C201">
            <v>3.3399999999999999E-5</v>
          </cell>
          <cell r="D201">
            <v>2.3300000000000001E-5</v>
          </cell>
          <cell r="E201">
            <v>13231</v>
          </cell>
          <cell r="F201">
            <v>49450</v>
          </cell>
          <cell r="G201">
            <v>51026</v>
          </cell>
          <cell r="H201"/>
          <cell r="I201">
            <v>2940</v>
          </cell>
          <cell r="J201">
            <v>12389</v>
          </cell>
          <cell r="K201">
            <v>7287</v>
          </cell>
          <cell r="L201">
            <v>11190</v>
          </cell>
          <cell r="M201"/>
          <cell r="N201">
            <v>1444</v>
          </cell>
          <cell r="O201">
            <v>0</v>
          </cell>
          <cell r="P201">
            <v>0</v>
          </cell>
          <cell r="Q201">
            <v>0</v>
          </cell>
          <cell r="R201"/>
          <cell r="S201">
            <v>17196</v>
          </cell>
          <cell r="T201">
            <v>4334</v>
          </cell>
          <cell r="U201">
            <v>21530</v>
          </cell>
        </row>
        <row r="202">
          <cell r="A202">
            <v>91908</v>
          </cell>
          <cell r="B202" t="str">
            <v>GOLDSTON-GULF SANITARY DISTRICT</v>
          </cell>
          <cell r="C202">
            <v>1.6900000000000001E-5</v>
          </cell>
          <cell r="D202">
            <v>1.3699999999999999E-5</v>
          </cell>
          <cell r="E202">
            <v>5211</v>
          </cell>
          <cell r="F202">
            <v>29076</v>
          </cell>
          <cell r="G202">
            <v>25819</v>
          </cell>
          <cell r="H202"/>
          <cell r="I202">
            <v>1487</v>
          </cell>
          <cell r="J202">
            <v>6269</v>
          </cell>
          <cell r="K202">
            <v>3687</v>
          </cell>
          <cell r="L202">
            <v>935</v>
          </cell>
          <cell r="M202"/>
          <cell r="N202">
            <v>731</v>
          </cell>
          <cell r="O202">
            <v>0</v>
          </cell>
          <cell r="P202">
            <v>0</v>
          </cell>
          <cell r="Q202">
            <v>2553</v>
          </cell>
          <cell r="R202"/>
          <cell r="S202">
            <v>8701</v>
          </cell>
          <cell r="T202">
            <v>-56</v>
          </cell>
          <cell r="U202">
            <v>8645</v>
          </cell>
        </row>
        <row r="203">
          <cell r="A203">
            <v>91911</v>
          </cell>
          <cell r="B203" t="str">
            <v>TOWN OF SILER CITY</v>
          </cell>
          <cell r="C203">
            <v>4.5580000000000002E-4</v>
          </cell>
          <cell r="D203">
            <v>4.639E-4</v>
          </cell>
          <cell r="E203">
            <v>224257</v>
          </cell>
          <cell r="F203">
            <v>984551</v>
          </cell>
          <cell r="G203">
            <v>696336</v>
          </cell>
          <cell r="H203"/>
          <cell r="I203">
            <v>40115</v>
          </cell>
          <cell r="J203">
            <v>169071</v>
          </cell>
          <cell r="K203">
            <v>99446</v>
          </cell>
          <cell r="L203">
            <v>13510</v>
          </cell>
          <cell r="M203"/>
          <cell r="N203">
            <v>19711</v>
          </cell>
          <cell r="O203">
            <v>0</v>
          </cell>
          <cell r="P203">
            <v>0</v>
          </cell>
          <cell r="Q203">
            <v>5011</v>
          </cell>
          <cell r="R203"/>
          <cell r="S203">
            <v>234666</v>
          </cell>
          <cell r="T203">
            <v>598</v>
          </cell>
          <cell r="U203">
            <v>235264</v>
          </cell>
        </row>
        <row r="204">
          <cell r="A204">
            <v>91917</v>
          </cell>
          <cell r="B204" t="str">
            <v>SILER CITY ABC BOARD</v>
          </cell>
          <cell r="C204">
            <v>1.22E-5</v>
          </cell>
          <cell r="D204">
            <v>1.36E-5</v>
          </cell>
          <cell r="E204">
            <v>6387</v>
          </cell>
          <cell r="F204">
            <v>28864</v>
          </cell>
          <cell r="G204">
            <v>18638</v>
          </cell>
          <cell r="H204"/>
          <cell r="I204">
            <v>1074</v>
          </cell>
          <cell r="J204">
            <v>4526</v>
          </cell>
          <cell r="K204">
            <v>2662</v>
          </cell>
          <cell r="L204">
            <v>527</v>
          </cell>
          <cell r="M204"/>
          <cell r="N204">
            <v>528</v>
          </cell>
          <cell r="O204">
            <v>0</v>
          </cell>
          <cell r="P204">
            <v>0</v>
          </cell>
          <cell r="Q204">
            <v>310</v>
          </cell>
          <cell r="R204"/>
          <cell r="S204">
            <v>6281</v>
          </cell>
          <cell r="T204">
            <v>126</v>
          </cell>
          <cell r="U204">
            <v>6407</v>
          </cell>
        </row>
        <row r="205">
          <cell r="A205">
            <v>91921</v>
          </cell>
          <cell r="B205" t="str">
            <v>TOWN OF PITTSBORO</v>
          </cell>
          <cell r="C205">
            <v>3.769E-4</v>
          </cell>
          <cell r="D205">
            <v>3.6600000000000001E-4</v>
          </cell>
          <cell r="E205">
            <v>160505</v>
          </cell>
          <cell r="F205">
            <v>776775</v>
          </cell>
          <cell r="G205">
            <v>575799</v>
          </cell>
          <cell r="H205"/>
          <cell r="I205">
            <v>33171</v>
          </cell>
          <cell r="J205">
            <v>139804</v>
          </cell>
          <cell r="K205">
            <v>82232</v>
          </cell>
          <cell r="L205">
            <v>0</v>
          </cell>
          <cell r="M205"/>
          <cell r="N205">
            <v>16299</v>
          </cell>
          <cell r="O205">
            <v>0</v>
          </cell>
          <cell r="P205">
            <v>0</v>
          </cell>
          <cell r="Q205">
            <v>10651</v>
          </cell>
          <cell r="R205"/>
          <cell r="S205">
            <v>194045</v>
          </cell>
          <cell r="T205">
            <v>-5316</v>
          </cell>
          <cell r="U205">
            <v>188729</v>
          </cell>
        </row>
        <row r="206">
          <cell r="A206">
            <v>92001</v>
          </cell>
          <cell r="B206" t="str">
            <v>CHEROKEE COUNTY</v>
          </cell>
          <cell r="C206">
            <v>1.8143E-3</v>
          </cell>
          <cell r="D206">
            <v>1.9604000000000002E-3</v>
          </cell>
          <cell r="E206">
            <v>790603</v>
          </cell>
          <cell r="F206">
            <v>4160626</v>
          </cell>
          <cell r="G206">
            <v>2771748</v>
          </cell>
          <cell r="H206"/>
          <cell r="I206">
            <v>159678</v>
          </cell>
          <cell r="J206">
            <v>672984</v>
          </cell>
          <cell r="K206">
            <v>395844</v>
          </cell>
          <cell r="L206">
            <v>48219</v>
          </cell>
          <cell r="M206"/>
          <cell r="N206">
            <v>78459</v>
          </cell>
          <cell r="O206">
            <v>0</v>
          </cell>
          <cell r="P206">
            <v>0</v>
          </cell>
          <cell r="Q206">
            <v>157894</v>
          </cell>
          <cell r="R206"/>
          <cell r="S206">
            <v>934081</v>
          </cell>
          <cell r="T206">
            <v>-42009</v>
          </cell>
          <cell r="U206">
            <v>892072</v>
          </cell>
        </row>
        <row r="207">
          <cell r="A207">
            <v>92005</v>
          </cell>
          <cell r="B207" t="str">
            <v>NANTAHALA REGIONAL LIBRARY</v>
          </cell>
          <cell r="C207">
            <v>4.1399999999999997E-5</v>
          </cell>
          <cell r="D207">
            <v>4.6499999999999999E-5</v>
          </cell>
          <cell r="E207">
            <v>20947</v>
          </cell>
          <cell r="F207">
            <v>98689</v>
          </cell>
          <cell r="G207">
            <v>63248</v>
          </cell>
          <cell r="H207"/>
          <cell r="I207">
            <v>3644</v>
          </cell>
          <cell r="J207">
            <v>15356</v>
          </cell>
          <cell r="K207">
            <v>9033</v>
          </cell>
          <cell r="L207">
            <v>1741</v>
          </cell>
          <cell r="M207"/>
          <cell r="N207">
            <v>1790</v>
          </cell>
          <cell r="O207">
            <v>0</v>
          </cell>
          <cell r="P207">
            <v>0</v>
          </cell>
          <cell r="Q207">
            <v>2252</v>
          </cell>
          <cell r="R207"/>
          <cell r="S207">
            <v>21315</v>
          </cell>
          <cell r="T207">
            <v>208</v>
          </cell>
          <cell r="U207">
            <v>21523</v>
          </cell>
        </row>
        <row r="208">
          <cell r="A208">
            <v>92011</v>
          </cell>
          <cell r="B208" t="str">
            <v>TOWN OF MURPHY</v>
          </cell>
          <cell r="C208">
            <v>2.0049999999999999E-4</v>
          </cell>
          <cell r="D208">
            <v>1.8660000000000001E-4</v>
          </cell>
          <cell r="E208">
            <v>90383</v>
          </cell>
          <cell r="F208">
            <v>396028</v>
          </cell>
          <cell r="G208">
            <v>306308</v>
          </cell>
          <cell r="H208"/>
          <cell r="I208">
            <v>17646</v>
          </cell>
          <cell r="J208">
            <v>74372</v>
          </cell>
          <cell r="K208">
            <v>43745</v>
          </cell>
          <cell r="L208">
            <v>17614</v>
          </cell>
          <cell r="M208"/>
          <cell r="N208">
            <v>8671</v>
          </cell>
          <cell r="O208">
            <v>0</v>
          </cell>
          <cell r="P208">
            <v>0</v>
          </cell>
          <cell r="Q208">
            <v>0</v>
          </cell>
          <cell r="R208"/>
          <cell r="S208">
            <v>103226</v>
          </cell>
          <cell r="T208">
            <v>9780</v>
          </cell>
          <cell r="U208">
            <v>113006</v>
          </cell>
        </row>
        <row r="209">
          <cell r="A209">
            <v>92017</v>
          </cell>
          <cell r="B209" t="str">
            <v>MURPHY ABC BOARD</v>
          </cell>
          <cell r="C209">
            <v>3.4199999999999998E-5</v>
          </cell>
          <cell r="D209">
            <v>3.5099999999999999E-5</v>
          </cell>
          <cell r="E209">
            <v>16941</v>
          </cell>
          <cell r="F209">
            <v>74494</v>
          </cell>
          <cell r="G209">
            <v>52248</v>
          </cell>
          <cell r="H209"/>
          <cell r="I209">
            <v>3010</v>
          </cell>
          <cell r="J209">
            <v>12686</v>
          </cell>
          <cell r="K209">
            <v>7462</v>
          </cell>
          <cell r="L209">
            <v>639</v>
          </cell>
          <cell r="M209"/>
          <cell r="N209">
            <v>1479</v>
          </cell>
          <cell r="O209">
            <v>0</v>
          </cell>
          <cell r="P209">
            <v>0</v>
          </cell>
          <cell r="Q209">
            <v>1257</v>
          </cell>
          <cell r="R209"/>
          <cell r="S209">
            <v>17608</v>
          </cell>
          <cell r="T209">
            <v>-668</v>
          </cell>
          <cell r="U209">
            <v>16940</v>
          </cell>
        </row>
        <row r="210">
          <cell r="A210">
            <v>92021</v>
          </cell>
          <cell r="B210" t="str">
            <v>TOWN OF ANDREWS</v>
          </cell>
          <cell r="C210">
            <v>1.5779999999999999E-4</v>
          </cell>
          <cell r="D210">
            <v>1.4249999999999999E-4</v>
          </cell>
          <cell r="E210">
            <v>72635</v>
          </cell>
          <cell r="F210">
            <v>302433</v>
          </cell>
          <cell r="G210">
            <v>241075</v>
          </cell>
          <cell r="H210"/>
          <cell r="I210">
            <v>13888</v>
          </cell>
          <cell r="J210">
            <v>58533</v>
          </cell>
          <cell r="K210">
            <v>34429</v>
          </cell>
          <cell r="L210">
            <v>30504</v>
          </cell>
          <cell r="M210"/>
          <cell r="N210">
            <v>6824</v>
          </cell>
          <cell r="O210">
            <v>0</v>
          </cell>
          <cell r="P210">
            <v>0</v>
          </cell>
          <cell r="Q210">
            <v>11142</v>
          </cell>
          <cell r="R210"/>
          <cell r="S210">
            <v>81242</v>
          </cell>
          <cell r="T210">
            <v>1771</v>
          </cell>
          <cell r="U210">
            <v>83013</v>
          </cell>
        </row>
        <row r="211">
          <cell r="A211">
            <v>92101</v>
          </cell>
          <cell r="B211" t="str">
            <v>CHOWAN COUNTY</v>
          </cell>
          <cell r="C211">
            <v>8.5209999999999995E-4</v>
          </cell>
          <cell r="D211">
            <v>8.6870000000000003E-4</v>
          </cell>
          <cell r="E211">
            <v>368519</v>
          </cell>
          <cell r="F211">
            <v>1843672</v>
          </cell>
          <cell r="G211">
            <v>1301773</v>
          </cell>
          <cell r="H211"/>
          <cell r="I211">
            <v>74994</v>
          </cell>
          <cell r="J211">
            <v>316072</v>
          </cell>
          <cell r="K211">
            <v>185911</v>
          </cell>
          <cell r="L211">
            <v>9505</v>
          </cell>
          <cell r="M211"/>
          <cell r="N211">
            <v>36849</v>
          </cell>
          <cell r="O211">
            <v>0</v>
          </cell>
          <cell r="P211">
            <v>0</v>
          </cell>
          <cell r="Q211">
            <v>63189</v>
          </cell>
          <cell r="R211"/>
          <cell r="S211">
            <v>438699</v>
          </cell>
          <cell r="T211">
            <v>-10164</v>
          </cell>
          <cell r="U211">
            <v>428535</v>
          </cell>
        </row>
        <row r="212">
          <cell r="A212">
            <v>92104</v>
          </cell>
          <cell r="B212" t="str">
            <v>CHOWAN COUNTY ABC BOARD</v>
          </cell>
          <cell r="C212">
            <v>8.6000000000000007E-6</v>
          </cell>
          <cell r="D212">
            <v>8.8000000000000004E-6</v>
          </cell>
          <cell r="E212">
            <v>5180</v>
          </cell>
          <cell r="F212">
            <v>18677</v>
          </cell>
          <cell r="G212">
            <v>13138</v>
          </cell>
          <cell r="H212"/>
          <cell r="I212">
            <v>757</v>
          </cell>
          <cell r="J212">
            <v>3190</v>
          </cell>
          <cell r="K212">
            <v>1876</v>
          </cell>
          <cell r="L212">
            <v>3377</v>
          </cell>
          <cell r="M212"/>
          <cell r="N212">
            <v>372</v>
          </cell>
          <cell r="O212">
            <v>0</v>
          </cell>
          <cell r="P212">
            <v>0</v>
          </cell>
          <cell r="Q212">
            <v>0</v>
          </cell>
          <cell r="R212"/>
          <cell r="S212">
            <v>4428</v>
          </cell>
          <cell r="T212">
            <v>1850</v>
          </cell>
          <cell r="U212">
            <v>6278</v>
          </cell>
        </row>
        <row r="213">
          <cell r="A213">
            <v>92109</v>
          </cell>
          <cell r="B213" t="str">
            <v>ALBEMARLE REGNL PLANNING &amp; DEVELOPMENT COMM</v>
          </cell>
          <cell r="C213">
            <v>1.8809999999999999E-4</v>
          </cell>
          <cell r="D213">
            <v>1.7909999999999999E-4</v>
          </cell>
          <cell r="E213">
            <v>79223</v>
          </cell>
          <cell r="F213">
            <v>380110</v>
          </cell>
          <cell r="G213">
            <v>287365</v>
          </cell>
          <cell r="H213"/>
          <cell r="I213">
            <v>16555</v>
          </cell>
          <cell r="J213">
            <v>69773</v>
          </cell>
          <cell r="K213">
            <v>41040</v>
          </cell>
          <cell r="L213">
            <v>2067</v>
          </cell>
          <cell r="M213"/>
          <cell r="N213">
            <v>8134</v>
          </cell>
          <cell r="O213">
            <v>0</v>
          </cell>
          <cell r="P213">
            <v>0</v>
          </cell>
          <cell r="Q213">
            <v>12612</v>
          </cell>
          <cell r="R213"/>
          <cell r="S213">
            <v>96842</v>
          </cell>
          <cell r="T213">
            <v>-5396</v>
          </cell>
          <cell r="U213">
            <v>91446</v>
          </cell>
        </row>
        <row r="214">
          <cell r="A214">
            <v>92111</v>
          </cell>
          <cell r="B214" t="str">
            <v>TOWN OF EDENTON</v>
          </cell>
          <cell r="C214">
            <v>5.0460000000000001E-4</v>
          </cell>
          <cell r="D214">
            <v>5.0009999999999996E-4</v>
          </cell>
          <cell r="E214">
            <v>231049</v>
          </cell>
          <cell r="F214">
            <v>1061380</v>
          </cell>
          <cell r="G214">
            <v>770889</v>
          </cell>
          <cell r="H214"/>
          <cell r="I214">
            <v>44410</v>
          </cell>
          <cell r="J214">
            <v>187173</v>
          </cell>
          <cell r="K214">
            <v>110094</v>
          </cell>
          <cell r="L214">
            <v>10602</v>
          </cell>
          <cell r="M214"/>
          <cell r="N214">
            <v>21821</v>
          </cell>
          <cell r="O214">
            <v>0</v>
          </cell>
          <cell r="P214">
            <v>0</v>
          </cell>
          <cell r="Q214">
            <v>13269</v>
          </cell>
          <cell r="R214"/>
          <cell r="S214">
            <v>259790</v>
          </cell>
          <cell r="T214">
            <v>2449</v>
          </cell>
          <cell r="U214">
            <v>262239</v>
          </cell>
        </row>
        <row r="215">
          <cell r="A215">
            <v>92113</v>
          </cell>
          <cell r="B215" t="str">
            <v>THE NEW EDENTON HOUSING AUTH</v>
          </cell>
          <cell r="C215">
            <v>1.4399999999999999E-5</v>
          </cell>
          <cell r="D215">
            <v>2.2099999999999998E-5</v>
          </cell>
          <cell r="E215">
            <v>10341</v>
          </cell>
          <cell r="F215">
            <v>46904</v>
          </cell>
          <cell r="G215">
            <v>21999</v>
          </cell>
          <cell r="H215"/>
          <cell r="I215">
            <v>1267</v>
          </cell>
          <cell r="J215">
            <v>5342</v>
          </cell>
          <cell r="K215">
            <v>3142</v>
          </cell>
          <cell r="L215">
            <v>17604</v>
          </cell>
          <cell r="M215"/>
          <cell r="N215">
            <v>623</v>
          </cell>
          <cell r="O215">
            <v>0</v>
          </cell>
          <cell r="P215">
            <v>0</v>
          </cell>
          <cell r="Q215">
            <v>2179</v>
          </cell>
          <cell r="R215"/>
          <cell r="S215">
            <v>7414</v>
          </cell>
          <cell r="T215">
            <v>7173</v>
          </cell>
          <cell r="U215">
            <v>14587</v>
          </cell>
        </row>
        <row r="216">
          <cell r="A216">
            <v>92201</v>
          </cell>
          <cell r="B216" t="str">
            <v>CLAY COUNTY</v>
          </cell>
          <cell r="C216">
            <v>9.3389999999999999E-4</v>
          </cell>
          <cell r="D216">
            <v>1.0267E-3</v>
          </cell>
          <cell r="E216">
            <v>452318</v>
          </cell>
          <cell r="F216">
            <v>2179001</v>
          </cell>
          <cell r="G216">
            <v>1426741</v>
          </cell>
          <cell r="H216"/>
          <cell r="I216">
            <v>82193</v>
          </cell>
          <cell r="J216">
            <v>346414</v>
          </cell>
          <cell r="K216">
            <v>203758</v>
          </cell>
          <cell r="L216">
            <v>36804</v>
          </cell>
          <cell r="M216"/>
          <cell r="N216">
            <v>40387</v>
          </cell>
          <cell r="O216">
            <v>0</v>
          </cell>
          <cell r="P216">
            <v>0</v>
          </cell>
          <cell r="Q216">
            <v>43356</v>
          </cell>
          <cell r="R216"/>
          <cell r="S216">
            <v>480813</v>
          </cell>
          <cell r="T216">
            <v>13056</v>
          </cell>
          <cell r="U216">
            <v>493869</v>
          </cell>
        </row>
        <row r="217">
          <cell r="A217">
            <v>92301</v>
          </cell>
          <cell r="B217" t="str">
            <v>CLEVELAND COUNTY</v>
          </cell>
          <cell r="C217">
            <v>5.2129999999999998E-3</v>
          </cell>
          <cell r="D217">
            <v>5.2411000000000003E-3</v>
          </cell>
          <cell r="E217">
            <v>2376668</v>
          </cell>
          <cell r="F217">
            <v>11123370</v>
          </cell>
          <cell r="G217">
            <v>7964020</v>
          </cell>
          <cell r="H217"/>
          <cell r="I217">
            <v>458801</v>
          </cell>
          <cell r="J217">
            <v>1933674</v>
          </cell>
          <cell r="K217">
            <v>1137372</v>
          </cell>
          <cell r="L217">
            <v>53669</v>
          </cell>
          <cell r="M217"/>
          <cell r="N217">
            <v>225436</v>
          </cell>
          <cell r="O217">
            <v>0</v>
          </cell>
          <cell r="P217">
            <v>0</v>
          </cell>
          <cell r="Q217">
            <v>40357</v>
          </cell>
          <cell r="R217"/>
          <cell r="S217">
            <v>2683882</v>
          </cell>
          <cell r="T217">
            <v>7360</v>
          </cell>
          <cell r="U217">
            <v>2691242</v>
          </cell>
        </row>
        <row r="218">
          <cell r="A218">
            <v>92302</v>
          </cell>
          <cell r="B218" t="str">
            <v>CLEVELAND COUNTY WATER</v>
          </cell>
          <cell r="C218">
            <v>2.9740000000000002E-4</v>
          </cell>
          <cell r="D218">
            <v>3.168E-4</v>
          </cell>
          <cell r="E218">
            <v>124071</v>
          </cell>
          <cell r="F218">
            <v>0</v>
          </cell>
          <cell r="G218">
            <v>454345</v>
          </cell>
          <cell r="H218"/>
          <cell r="I218">
            <v>26174</v>
          </cell>
          <cell r="J218">
            <v>110316</v>
          </cell>
          <cell r="K218">
            <v>64887</v>
          </cell>
          <cell r="L218">
            <v>0</v>
          </cell>
          <cell r="M218"/>
          <cell r="N218">
            <v>12861</v>
          </cell>
          <cell r="O218">
            <v>0</v>
          </cell>
          <cell r="P218">
            <v>0</v>
          </cell>
          <cell r="Q218">
            <v>28639</v>
          </cell>
          <cell r="R218"/>
          <cell r="S218">
            <v>153115</v>
          </cell>
          <cell r="T218">
            <v>-9739</v>
          </cell>
          <cell r="U218">
            <v>143376</v>
          </cell>
        </row>
        <row r="219">
          <cell r="A219">
            <v>92311</v>
          </cell>
          <cell r="B219" t="str">
            <v>CITY OF SHELBY</v>
          </cell>
          <cell r="C219">
            <v>2.2504999999999999E-3</v>
          </cell>
          <cell r="D219">
            <v>2.1857000000000001E-3</v>
          </cell>
          <cell r="E219">
            <v>989308</v>
          </cell>
          <cell r="F219">
            <v>4638788</v>
          </cell>
          <cell r="G219">
            <v>3438141</v>
          </cell>
          <cell r="H219"/>
          <cell r="I219">
            <v>198069</v>
          </cell>
          <cell r="J219">
            <v>834785</v>
          </cell>
          <cell r="K219">
            <v>491014</v>
          </cell>
          <cell r="L219">
            <v>8358</v>
          </cell>
          <cell r="M219"/>
          <cell r="N219">
            <v>97323</v>
          </cell>
          <cell r="O219">
            <v>0</v>
          </cell>
          <cell r="P219">
            <v>0</v>
          </cell>
          <cell r="Q219">
            <v>54246</v>
          </cell>
          <cell r="R219"/>
          <cell r="S219">
            <v>1158656</v>
          </cell>
          <cell r="T219">
            <v>-36529</v>
          </cell>
          <cell r="U219">
            <v>1122127</v>
          </cell>
        </row>
        <row r="220">
          <cell r="A220">
            <v>92317</v>
          </cell>
          <cell r="B220" t="str">
            <v>SHELBY ABC BOARD</v>
          </cell>
          <cell r="C220">
            <v>2.94E-5</v>
          </cell>
          <cell r="D220">
            <v>2.9600000000000001E-5</v>
          </cell>
          <cell r="E220">
            <v>22749</v>
          </cell>
          <cell r="F220">
            <v>62821</v>
          </cell>
          <cell r="G220">
            <v>44915</v>
          </cell>
          <cell r="H220"/>
          <cell r="I220">
            <v>2588</v>
          </cell>
          <cell r="J220">
            <v>10905</v>
          </cell>
          <cell r="K220">
            <v>6414</v>
          </cell>
          <cell r="L220">
            <v>15615</v>
          </cell>
          <cell r="M220"/>
          <cell r="N220">
            <v>1271</v>
          </cell>
          <cell r="O220">
            <v>0</v>
          </cell>
          <cell r="P220">
            <v>0</v>
          </cell>
          <cell r="Q220">
            <v>0</v>
          </cell>
          <cell r="R220"/>
          <cell r="S220">
            <v>15136</v>
          </cell>
          <cell r="T220">
            <v>6218</v>
          </cell>
          <cell r="U220">
            <v>21354</v>
          </cell>
        </row>
        <row r="221">
          <cell r="A221">
            <v>92321</v>
          </cell>
          <cell r="B221" t="str">
            <v>CITY OF KINGS MOUNTAIN</v>
          </cell>
          <cell r="C221">
            <v>1.1773E-3</v>
          </cell>
          <cell r="D221">
            <v>1.2218999999999999E-3</v>
          </cell>
          <cell r="E221">
            <v>553266</v>
          </cell>
          <cell r="F221">
            <v>2593281</v>
          </cell>
          <cell r="G221">
            <v>1798588</v>
          </cell>
          <cell r="H221"/>
          <cell r="I221">
            <v>103615</v>
          </cell>
          <cell r="J221">
            <v>436700</v>
          </cell>
          <cell r="K221">
            <v>256863</v>
          </cell>
          <cell r="L221">
            <v>35464</v>
          </cell>
          <cell r="M221"/>
          <cell r="N221">
            <v>50912</v>
          </cell>
          <cell r="O221">
            <v>0</v>
          </cell>
          <cell r="P221">
            <v>0</v>
          </cell>
          <cell r="Q221">
            <v>20669</v>
          </cell>
          <cell r="R221"/>
          <cell r="S221">
            <v>606126</v>
          </cell>
          <cell r="T221">
            <v>20498</v>
          </cell>
          <cell r="U221">
            <v>626624</v>
          </cell>
        </row>
        <row r="222">
          <cell r="A222">
            <v>92327</v>
          </cell>
          <cell r="B222" t="str">
            <v>KINGS MOUNTAIN ABC BOARD</v>
          </cell>
          <cell r="C222">
            <v>5.6999999999999996E-6</v>
          </cell>
          <cell r="D222">
            <v>7.6000000000000001E-6</v>
          </cell>
          <cell r="E222">
            <v>5653</v>
          </cell>
          <cell r="F222">
            <v>16130</v>
          </cell>
          <cell r="G222">
            <v>8708</v>
          </cell>
          <cell r="H222"/>
          <cell r="I222">
            <v>502</v>
          </cell>
          <cell r="J222">
            <v>2115</v>
          </cell>
          <cell r="K222">
            <v>1244</v>
          </cell>
          <cell r="L222">
            <v>2932</v>
          </cell>
          <cell r="M222"/>
          <cell r="N222">
            <v>246</v>
          </cell>
          <cell r="O222">
            <v>0</v>
          </cell>
          <cell r="P222">
            <v>0</v>
          </cell>
          <cell r="Q222">
            <v>0</v>
          </cell>
          <cell r="R222"/>
          <cell r="S222">
            <v>2935</v>
          </cell>
          <cell r="T222">
            <v>1142</v>
          </cell>
          <cell r="U222">
            <v>4077</v>
          </cell>
        </row>
        <row r="223">
          <cell r="A223">
            <v>92331</v>
          </cell>
          <cell r="B223" t="str">
            <v>TOWN OF BOILING SPRINGS</v>
          </cell>
          <cell r="C223">
            <v>1.3970000000000001E-4</v>
          </cell>
          <cell r="D223">
            <v>1.393E-4</v>
          </cell>
          <cell r="E223">
            <v>60878</v>
          </cell>
          <cell r="F223">
            <v>295641</v>
          </cell>
          <cell r="G223">
            <v>213423</v>
          </cell>
          <cell r="H223"/>
          <cell r="I223">
            <v>12295</v>
          </cell>
          <cell r="J223">
            <v>51819</v>
          </cell>
          <cell r="K223">
            <v>30480</v>
          </cell>
          <cell r="L223">
            <v>2070</v>
          </cell>
          <cell r="M223"/>
          <cell r="N223">
            <v>6041</v>
          </cell>
          <cell r="O223">
            <v>0</v>
          </cell>
          <cell r="P223">
            <v>0</v>
          </cell>
          <cell r="Q223">
            <v>7559</v>
          </cell>
          <cell r="R223"/>
          <cell r="S223">
            <v>71924</v>
          </cell>
          <cell r="T223">
            <v>-755</v>
          </cell>
          <cell r="U223">
            <v>71169</v>
          </cell>
        </row>
        <row r="224">
          <cell r="A224">
            <v>92341</v>
          </cell>
          <cell r="B224" t="str">
            <v>TOWN OF LAWNDALE</v>
          </cell>
          <cell r="C224">
            <v>9.7999999999999993E-6</v>
          </cell>
          <cell r="D224">
            <v>7.9000000000000006E-6</v>
          </cell>
          <cell r="E224">
            <v>3179</v>
          </cell>
          <cell r="F224">
            <v>16766</v>
          </cell>
          <cell r="G224">
            <v>14972</v>
          </cell>
          <cell r="H224"/>
          <cell r="I224">
            <v>863</v>
          </cell>
          <cell r="J224">
            <v>3635</v>
          </cell>
          <cell r="K224">
            <v>2138</v>
          </cell>
          <cell r="L224">
            <v>523</v>
          </cell>
          <cell r="M224"/>
          <cell r="N224">
            <v>424</v>
          </cell>
          <cell r="O224">
            <v>0</v>
          </cell>
          <cell r="P224">
            <v>0</v>
          </cell>
          <cell r="Q224">
            <v>1977</v>
          </cell>
          <cell r="R224"/>
          <cell r="S224">
            <v>5045</v>
          </cell>
          <cell r="T224">
            <v>-859</v>
          </cell>
          <cell r="U224">
            <v>4186</v>
          </cell>
        </row>
        <row r="225">
          <cell r="A225">
            <v>92351</v>
          </cell>
          <cell r="B225" t="str">
            <v>TOWN OF GROVER</v>
          </cell>
          <cell r="C225">
            <v>1.8600000000000001E-5</v>
          </cell>
          <cell r="D225">
            <v>1.95E-5</v>
          </cell>
          <cell r="E225">
            <v>9507</v>
          </cell>
          <cell r="F225">
            <v>41386</v>
          </cell>
          <cell r="G225">
            <v>28416</v>
          </cell>
          <cell r="H225"/>
          <cell r="I225">
            <v>1637</v>
          </cell>
          <cell r="J225">
            <v>6899</v>
          </cell>
          <cell r="K225">
            <v>4058</v>
          </cell>
          <cell r="L225">
            <v>746</v>
          </cell>
          <cell r="M225"/>
          <cell r="N225">
            <v>804</v>
          </cell>
          <cell r="O225">
            <v>0</v>
          </cell>
          <cell r="P225">
            <v>0</v>
          </cell>
          <cell r="Q225">
            <v>4166</v>
          </cell>
          <cell r="R225"/>
          <cell r="S225">
            <v>9576</v>
          </cell>
          <cell r="T225">
            <v>-1010</v>
          </cell>
          <cell r="U225">
            <v>8566</v>
          </cell>
        </row>
        <row r="226">
          <cell r="A226">
            <v>92401</v>
          </cell>
          <cell r="B226" t="str">
            <v>COLUMBUS COUNTY</v>
          </cell>
          <cell r="C226">
            <v>2.6890999999999998E-3</v>
          </cell>
          <cell r="D226">
            <v>2.7449000000000002E-3</v>
          </cell>
          <cell r="E226">
            <v>1303903</v>
          </cell>
          <cell r="F226">
            <v>5825597</v>
          </cell>
          <cell r="G226">
            <v>4108200</v>
          </cell>
          <cell r="H226"/>
          <cell r="I226">
            <v>236670</v>
          </cell>
          <cell r="J226">
            <v>997476</v>
          </cell>
          <cell r="K226">
            <v>586708</v>
          </cell>
          <cell r="L226">
            <v>34938</v>
          </cell>
          <cell r="M226"/>
          <cell r="N226">
            <v>116290</v>
          </cell>
          <cell r="O226">
            <v>0</v>
          </cell>
          <cell r="P226">
            <v>0</v>
          </cell>
          <cell r="Q226">
            <v>3448</v>
          </cell>
          <cell r="R226"/>
          <cell r="S226">
            <v>1384467</v>
          </cell>
          <cell r="T226">
            <v>19009</v>
          </cell>
          <cell r="U226">
            <v>1403476</v>
          </cell>
        </row>
        <row r="227">
          <cell r="A227">
            <v>92403</v>
          </cell>
          <cell r="B227" t="str">
            <v>WHITEVILLE HOUSING AUTHORITY</v>
          </cell>
          <cell r="C227">
            <v>1.11E-5</v>
          </cell>
          <cell r="D227">
            <v>9.7999999999999993E-6</v>
          </cell>
          <cell r="E227">
            <v>5892</v>
          </cell>
          <cell r="F227">
            <v>20799</v>
          </cell>
          <cell r="G227">
            <v>16958</v>
          </cell>
          <cell r="H227"/>
          <cell r="I227">
            <v>977</v>
          </cell>
          <cell r="J227">
            <v>4117</v>
          </cell>
          <cell r="K227">
            <v>2422</v>
          </cell>
          <cell r="L227">
            <v>1858</v>
          </cell>
          <cell r="M227"/>
          <cell r="N227">
            <v>480</v>
          </cell>
          <cell r="O227">
            <v>0</v>
          </cell>
          <cell r="P227">
            <v>0</v>
          </cell>
          <cell r="Q227">
            <v>1307</v>
          </cell>
          <cell r="R227"/>
          <cell r="S227">
            <v>5715</v>
          </cell>
          <cell r="T227">
            <v>135</v>
          </cell>
          <cell r="U227">
            <v>5850</v>
          </cell>
        </row>
        <row r="228">
          <cell r="A228">
            <v>92411</v>
          </cell>
          <cell r="B228" t="str">
            <v>CITY OF WHITEVILLE</v>
          </cell>
          <cell r="C228">
            <v>5.0469999999999996E-4</v>
          </cell>
          <cell r="D228">
            <v>4.8030000000000002E-4</v>
          </cell>
          <cell r="E228">
            <v>203732</v>
          </cell>
          <cell r="F228">
            <v>1019358</v>
          </cell>
          <cell r="G228">
            <v>771042</v>
          </cell>
          <cell r="H228"/>
          <cell r="I228">
            <v>44419</v>
          </cell>
          <cell r="J228">
            <v>187210</v>
          </cell>
          <cell r="K228">
            <v>110115</v>
          </cell>
          <cell r="L228">
            <v>369</v>
          </cell>
          <cell r="M228"/>
          <cell r="N228">
            <v>21826</v>
          </cell>
          <cell r="O228">
            <v>0</v>
          </cell>
          <cell r="P228">
            <v>0</v>
          </cell>
          <cell r="Q228">
            <v>44165</v>
          </cell>
          <cell r="R228"/>
          <cell r="S228">
            <v>259842</v>
          </cell>
          <cell r="T228">
            <v>-17900</v>
          </cell>
          <cell r="U228">
            <v>241942</v>
          </cell>
        </row>
        <row r="229">
          <cell r="A229">
            <v>92414</v>
          </cell>
          <cell r="B229" t="str">
            <v>TOWN OF BOLTON</v>
          </cell>
          <cell r="C229">
            <v>0</v>
          </cell>
          <cell r="D229">
            <v>0</v>
          </cell>
          <cell r="E229">
            <v>0</v>
          </cell>
          <cell r="F229">
            <v>0</v>
          </cell>
          <cell r="G229">
            <v>0</v>
          </cell>
          <cell r="H229"/>
          <cell r="I229">
            <v>0</v>
          </cell>
          <cell r="J229">
            <v>0</v>
          </cell>
          <cell r="K229">
            <v>0</v>
          </cell>
          <cell r="L229">
            <v>0</v>
          </cell>
          <cell r="M229"/>
          <cell r="N229">
            <v>0</v>
          </cell>
          <cell r="O229">
            <v>0</v>
          </cell>
          <cell r="P229">
            <v>0</v>
          </cell>
          <cell r="Q229">
            <v>5712</v>
          </cell>
          <cell r="R229"/>
          <cell r="S229">
            <v>0</v>
          </cell>
          <cell r="T229">
            <v>-2445</v>
          </cell>
          <cell r="U229">
            <v>-2445</v>
          </cell>
        </row>
        <row r="230">
          <cell r="A230">
            <v>92417</v>
          </cell>
          <cell r="B230" t="str">
            <v>WHITEVILLE ABC BOARD</v>
          </cell>
          <cell r="C230">
            <v>1.8300000000000001E-5</v>
          </cell>
          <cell r="D230">
            <v>1.77E-5</v>
          </cell>
          <cell r="E230">
            <v>5972</v>
          </cell>
          <cell r="F230">
            <v>37565</v>
          </cell>
          <cell r="G230">
            <v>27957</v>
          </cell>
          <cell r="H230"/>
          <cell r="I230">
            <v>1611</v>
          </cell>
          <cell r="J230">
            <v>6788</v>
          </cell>
          <cell r="K230">
            <v>3993</v>
          </cell>
          <cell r="L230">
            <v>0</v>
          </cell>
          <cell r="M230"/>
          <cell r="N230">
            <v>791</v>
          </cell>
          <cell r="O230">
            <v>0</v>
          </cell>
          <cell r="P230">
            <v>0</v>
          </cell>
          <cell r="Q230">
            <v>2726</v>
          </cell>
          <cell r="R230"/>
          <cell r="S230">
            <v>9422</v>
          </cell>
          <cell r="T230">
            <v>-895</v>
          </cell>
          <cell r="U230">
            <v>8527</v>
          </cell>
        </row>
        <row r="231">
          <cell r="A231">
            <v>92421</v>
          </cell>
          <cell r="B231" t="str">
            <v>TOWN OF BRUNSWICK</v>
          </cell>
          <cell r="C231">
            <v>8.8000000000000004E-6</v>
          </cell>
          <cell r="D231">
            <v>9.0000000000000002E-6</v>
          </cell>
          <cell r="E231">
            <v>7580</v>
          </cell>
          <cell r="F231">
            <v>19101</v>
          </cell>
          <cell r="G231">
            <v>13444</v>
          </cell>
          <cell r="H231"/>
          <cell r="I231">
            <v>774</v>
          </cell>
          <cell r="J231">
            <v>3264</v>
          </cell>
          <cell r="K231">
            <v>1920</v>
          </cell>
          <cell r="L231">
            <v>3546</v>
          </cell>
          <cell r="M231"/>
          <cell r="N231">
            <v>381</v>
          </cell>
          <cell r="O231">
            <v>0</v>
          </cell>
          <cell r="P231">
            <v>0</v>
          </cell>
          <cell r="Q231">
            <v>1149</v>
          </cell>
          <cell r="R231"/>
          <cell r="S231">
            <v>4531</v>
          </cell>
          <cell r="T231">
            <v>935</v>
          </cell>
          <cell r="U231">
            <v>5466</v>
          </cell>
        </row>
        <row r="232">
          <cell r="A232">
            <v>92427</v>
          </cell>
          <cell r="B232" t="str">
            <v>LAKE WACCAMAW ABC BOARD</v>
          </cell>
          <cell r="C232">
            <v>3.9999999999999998E-7</v>
          </cell>
          <cell r="D232">
            <v>6.9999999999999997E-7</v>
          </cell>
          <cell r="E232">
            <v>1463</v>
          </cell>
          <cell r="F232">
            <v>1486</v>
          </cell>
          <cell r="G232">
            <v>611</v>
          </cell>
          <cell r="H232"/>
          <cell r="I232">
            <v>35</v>
          </cell>
          <cell r="J232">
            <v>148</v>
          </cell>
          <cell r="K232">
            <v>87</v>
          </cell>
          <cell r="L232">
            <v>1998</v>
          </cell>
          <cell r="M232"/>
          <cell r="N232">
            <v>17</v>
          </cell>
          <cell r="O232">
            <v>0</v>
          </cell>
          <cell r="P232">
            <v>0</v>
          </cell>
          <cell r="Q232">
            <v>0</v>
          </cell>
          <cell r="R232"/>
          <cell r="S232">
            <v>206</v>
          </cell>
          <cell r="T232">
            <v>841</v>
          </cell>
          <cell r="U232">
            <v>1047</v>
          </cell>
        </row>
        <row r="233">
          <cell r="A233">
            <v>92431</v>
          </cell>
          <cell r="B233" t="str">
            <v>TOWN OF FAIR BLUFF</v>
          </cell>
          <cell r="C233">
            <v>3.0800000000000003E-5</v>
          </cell>
          <cell r="D233">
            <v>1.8499999999999999E-5</v>
          </cell>
          <cell r="E233">
            <v>22456</v>
          </cell>
          <cell r="F233">
            <v>39263</v>
          </cell>
          <cell r="G233">
            <v>47054</v>
          </cell>
          <cell r="H233"/>
          <cell r="I233">
            <v>2711</v>
          </cell>
          <cell r="J233">
            <v>11425</v>
          </cell>
          <cell r="K233">
            <v>6720</v>
          </cell>
          <cell r="L233">
            <v>18832</v>
          </cell>
          <cell r="M233"/>
          <cell r="N233">
            <v>1332</v>
          </cell>
          <cell r="O233">
            <v>0</v>
          </cell>
          <cell r="P233">
            <v>0</v>
          </cell>
          <cell r="Q233">
            <v>3766</v>
          </cell>
          <cell r="R233"/>
          <cell r="S233">
            <v>15857</v>
          </cell>
          <cell r="T233">
            <v>4147</v>
          </cell>
          <cell r="U233">
            <v>20004</v>
          </cell>
        </row>
        <row r="234">
          <cell r="A234">
            <v>92441</v>
          </cell>
          <cell r="B234" t="str">
            <v>TOWN OF CHADBOURN</v>
          </cell>
          <cell r="C234">
            <v>7.7999999999999999E-5</v>
          </cell>
          <cell r="D234">
            <v>9.2299999999999994E-5</v>
          </cell>
          <cell r="E234">
            <v>38185</v>
          </cell>
          <cell r="F234">
            <v>195892</v>
          </cell>
          <cell r="G234">
            <v>119162</v>
          </cell>
          <cell r="H234"/>
          <cell r="I234">
            <v>6865</v>
          </cell>
          <cell r="J234">
            <v>28933</v>
          </cell>
          <cell r="K234">
            <v>17018</v>
          </cell>
          <cell r="L234">
            <v>0</v>
          </cell>
          <cell r="M234"/>
          <cell r="N234">
            <v>3373</v>
          </cell>
          <cell r="O234">
            <v>0</v>
          </cell>
          <cell r="P234">
            <v>0</v>
          </cell>
          <cell r="Q234">
            <v>15306</v>
          </cell>
          <cell r="R234"/>
          <cell r="S234">
            <v>40158</v>
          </cell>
          <cell r="T234">
            <v>-6990</v>
          </cell>
          <cell r="U234">
            <v>33168</v>
          </cell>
        </row>
        <row r="235">
          <cell r="A235">
            <v>92444</v>
          </cell>
          <cell r="B235" t="str">
            <v>WEST COLUMBUS ABC BOARD</v>
          </cell>
          <cell r="C235">
            <v>1.7999999999999999E-6</v>
          </cell>
          <cell r="D235">
            <v>1.9999999999999999E-6</v>
          </cell>
          <cell r="E235">
            <v>2108</v>
          </cell>
          <cell r="F235">
            <v>4245</v>
          </cell>
          <cell r="G235">
            <v>2750</v>
          </cell>
          <cell r="H235"/>
          <cell r="I235">
            <v>158</v>
          </cell>
          <cell r="J235">
            <v>667</v>
          </cell>
          <cell r="K235">
            <v>393</v>
          </cell>
          <cell r="L235">
            <v>2573</v>
          </cell>
          <cell r="M235"/>
          <cell r="N235">
            <v>78</v>
          </cell>
          <cell r="O235">
            <v>0</v>
          </cell>
          <cell r="P235">
            <v>0</v>
          </cell>
          <cell r="Q235">
            <v>0</v>
          </cell>
          <cell r="R235"/>
          <cell r="S235">
            <v>927</v>
          </cell>
          <cell r="T235">
            <v>1194</v>
          </cell>
          <cell r="U235">
            <v>2121</v>
          </cell>
        </row>
        <row r="236">
          <cell r="A236">
            <v>92451</v>
          </cell>
          <cell r="B236" t="str">
            <v>TOWN OF TABOR CITY</v>
          </cell>
          <cell r="C236">
            <v>1.3070000000000001E-4</v>
          </cell>
          <cell r="D236">
            <v>1.4559999999999999E-4</v>
          </cell>
          <cell r="E236">
            <v>77938</v>
          </cell>
          <cell r="F236">
            <v>309012</v>
          </cell>
          <cell r="G236">
            <v>199673</v>
          </cell>
          <cell r="H236"/>
          <cell r="I236">
            <v>11503</v>
          </cell>
          <cell r="J236">
            <v>48481</v>
          </cell>
          <cell r="K236">
            <v>28516</v>
          </cell>
          <cell r="L236">
            <v>29255</v>
          </cell>
          <cell r="M236"/>
          <cell r="N236">
            <v>5652</v>
          </cell>
          <cell r="O236">
            <v>0</v>
          </cell>
          <cell r="P236">
            <v>0</v>
          </cell>
          <cell r="Q236">
            <v>0</v>
          </cell>
          <cell r="R236"/>
          <cell r="S236">
            <v>67290</v>
          </cell>
          <cell r="T236">
            <v>12363</v>
          </cell>
          <cell r="U236">
            <v>79653</v>
          </cell>
        </row>
        <row r="237">
          <cell r="A237">
            <v>92461</v>
          </cell>
          <cell r="B237" t="str">
            <v>TOWN OF LAKE WACCAMAW</v>
          </cell>
          <cell r="C237">
            <v>7.1099999999999994E-5</v>
          </cell>
          <cell r="D237">
            <v>7.2999999999999999E-5</v>
          </cell>
          <cell r="E237">
            <v>40872</v>
          </cell>
          <cell r="F237">
            <v>154930</v>
          </cell>
          <cell r="G237">
            <v>108621</v>
          </cell>
          <cell r="H237"/>
          <cell r="I237">
            <v>6258</v>
          </cell>
          <cell r="J237">
            <v>26373</v>
          </cell>
          <cell r="K237">
            <v>15513</v>
          </cell>
          <cell r="L237">
            <v>12982</v>
          </cell>
          <cell r="M237"/>
          <cell r="N237">
            <v>3075</v>
          </cell>
          <cell r="O237">
            <v>0</v>
          </cell>
          <cell r="P237">
            <v>0</v>
          </cell>
          <cell r="Q237">
            <v>4965</v>
          </cell>
          <cell r="R237"/>
          <cell r="S237">
            <v>36605</v>
          </cell>
          <cell r="T237">
            <v>1157</v>
          </cell>
          <cell r="U237">
            <v>37762</v>
          </cell>
        </row>
        <row r="238">
          <cell r="A238">
            <v>92501</v>
          </cell>
          <cell r="B238" t="str">
            <v>CRAVEN COUNTY</v>
          </cell>
          <cell r="C238">
            <v>3.8252E-3</v>
          </cell>
          <cell r="D238">
            <v>3.8141E-3</v>
          </cell>
          <cell r="E238">
            <v>1869584</v>
          </cell>
          <cell r="F238">
            <v>8094798</v>
          </cell>
          <cell r="G238">
            <v>5843846</v>
          </cell>
          <cell r="H238"/>
          <cell r="I238">
            <v>336660</v>
          </cell>
          <cell r="J238">
            <v>1418892</v>
          </cell>
          <cell r="K238">
            <v>834582</v>
          </cell>
          <cell r="L238">
            <v>137822</v>
          </cell>
          <cell r="M238"/>
          <cell r="N238">
            <v>165421</v>
          </cell>
          <cell r="O238">
            <v>0</v>
          </cell>
          <cell r="P238">
            <v>0</v>
          </cell>
          <cell r="Q238">
            <v>9032</v>
          </cell>
          <cell r="R238"/>
          <cell r="S238">
            <v>1969381</v>
          </cell>
          <cell r="T238">
            <v>45362</v>
          </cell>
          <cell r="U238">
            <v>2014743</v>
          </cell>
        </row>
        <row r="239">
          <cell r="A239">
            <v>92502</v>
          </cell>
          <cell r="B239" t="str">
            <v>FIRST CRAVEN SANITARY DIST</v>
          </cell>
          <cell r="C239">
            <v>2.7500000000000001E-5</v>
          </cell>
          <cell r="D239">
            <v>2.8799999999999999E-5</v>
          </cell>
          <cell r="E239">
            <v>14164</v>
          </cell>
          <cell r="F239">
            <v>61123</v>
          </cell>
          <cell r="G239">
            <v>42012</v>
          </cell>
          <cell r="H239"/>
          <cell r="I239">
            <v>2420</v>
          </cell>
          <cell r="J239">
            <v>10201</v>
          </cell>
          <cell r="K239">
            <v>6000</v>
          </cell>
          <cell r="L239">
            <v>3940</v>
          </cell>
          <cell r="M239"/>
          <cell r="N239">
            <v>1189</v>
          </cell>
          <cell r="O239">
            <v>0</v>
          </cell>
          <cell r="P239">
            <v>0</v>
          </cell>
          <cell r="Q239">
            <v>2154</v>
          </cell>
          <cell r="R239"/>
          <cell r="S239">
            <v>14158</v>
          </cell>
          <cell r="T239">
            <v>-13</v>
          </cell>
          <cell r="U239">
            <v>14145</v>
          </cell>
        </row>
        <row r="240">
          <cell r="A240">
            <v>92504</v>
          </cell>
          <cell r="B240" t="str">
            <v>CRAVEN CO ABC BD</v>
          </cell>
          <cell r="C240">
            <v>8.4300000000000003E-5</v>
          </cell>
          <cell r="D240">
            <v>7.2799999999999994E-5</v>
          </cell>
          <cell r="E240">
            <v>49664</v>
          </cell>
          <cell r="F240">
            <v>154506</v>
          </cell>
          <cell r="G240">
            <v>128787</v>
          </cell>
          <cell r="H240"/>
          <cell r="I240">
            <v>7419</v>
          </cell>
          <cell r="J240">
            <v>31269</v>
          </cell>
          <cell r="K240">
            <v>18393</v>
          </cell>
          <cell r="L240">
            <v>29049</v>
          </cell>
          <cell r="M240"/>
          <cell r="N240">
            <v>3646</v>
          </cell>
          <cell r="O240">
            <v>0</v>
          </cell>
          <cell r="P240">
            <v>0</v>
          </cell>
          <cell r="Q240">
            <v>27</v>
          </cell>
          <cell r="R240"/>
          <cell r="S240">
            <v>43401</v>
          </cell>
          <cell r="T240">
            <v>10026</v>
          </cell>
          <cell r="U240">
            <v>53427</v>
          </cell>
        </row>
        <row r="241">
          <cell r="A241">
            <v>92505</v>
          </cell>
          <cell r="B241" t="str">
            <v>CRAVEN-PAMLICO-CARTERET REGIONAL LIBRARY</v>
          </cell>
          <cell r="C241">
            <v>1.9239999999999999E-4</v>
          </cell>
          <cell r="D241">
            <v>1.8709999999999999E-4</v>
          </cell>
          <cell r="E241">
            <v>119136</v>
          </cell>
          <cell r="F241">
            <v>397089</v>
          </cell>
          <cell r="G241">
            <v>293934</v>
          </cell>
          <cell r="H241"/>
          <cell r="I241">
            <v>16933</v>
          </cell>
          <cell r="J241">
            <v>71367</v>
          </cell>
          <cell r="K241">
            <v>41978</v>
          </cell>
          <cell r="L241">
            <v>59108</v>
          </cell>
          <cell r="M241"/>
          <cell r="N241">
            <v>8320</v>
          </cell>
          <cell r="O241">
            <v>0</v>
          </cell>
          <cell r="P241">
            <v>0</v>
          </cell>
          <cell r="Q241">
            <v>0</v>
          </cell>
          <cell r="R241"/>
          <cell r="S241">
            <v>99056</v>
          </cell>
          <cell r="T241">
            <v>23320</v>
          </cell>
          <cell r="U241">
            <v>122376</v>
          </cell>
        </row>
        <row r="242">
          <cell r="A242">
            <v>92506</v>
          </cell>
          <cell r="B242" t="str">
            <v>COASTAL CAROLINA REGIONAL AIRPORT</v>
          </cell>
          <cell r="C242">
            <v>4.7500000000000003E-5</v>
          </cell>
          <cell r="D242">
            <v>4.3699999999999998E-5</v>
          </cell>
          <cell r="E242">
            <v>26570</v>
          </cell>
          <cell r="F242">
            <v>92746</v>
          </cell>
          <cell r="G242">
            <v>72567</v>
          </cell>
          <cell r="H242"/>
          <cell r="I242">
            <v>4181</v>
          </cell>
          <cell r="J242">
            <v>17619</v>
          </cell>
          <cell r="K242">
            <v>10364</v>
          </cell>
          <cell r="L242">
            <v>17893</v>
          </cell>
          <cell r="M242"/>
          <cell r="N242">
            <v>2054</v>
          </cell>
          <cell r="O242">
            <v>0</v>
          </cell>
          <cell r="P242">
            <v>0</v>
          </cell>
          <cell r="Q242">
            <v>0</v>
          </cell>
          <cell r="R242"/>
          <cell r="S242">
            <v>24455</v>
          </cell>
          <cell r="T242">
            <v>7399</v>
          </cell>
          <cell r="U242">
            <v>31854</v>
          </cell>
        </row>
        <row r="243">
          <cell r="A243">
            <v>92507</v>
          </cell>
          <cell r="B243" t="str">
            <v>NEUSE RIVER COUNCIL OF GOVERNMENTS</v>
          </cell>
          <cell r="C243">
            <v>9.5699999999999995E-5</v>
          </cell>
          <cell r="D243">
            <v>7.6799999999999997E-5</v>
          </cell>
          <cell r="E243">
            <v>40750</v>
          </cell>
          <cell r="F243">
            <v>162995</v>
          </cell>
          <cell r="G243">
            <v>146203</v>
          </cell>
          <cell r="H243"/>
          <cell r="I243">
            <v>8423</v>
          </cell>
          <cell r="J243">
            <v>35498</v>
          </cell>
          <cell r="K243">
            <v>20880</v>
          </cell>
          <cell r="L243">
            <v>10349</v>
          </cell>
          <cell r="M243"/>
          <cell r="N243">
            <v>4139</v>
          </cell>
          <cell r="O243">
            <v>0</v>
          </cell>
          <cell r="P243">
            <v>0</v>
          </cell>
          <cell r="Q243">
            <v>14283</v>
          </cell>
          <cell r="R243"/>
          <cell r="S243">
            <v>49271</v>
          </cell>
          <cell r="T243">
            <v>-5512</v>
          </cell>
          <cell r="U243">
            <v>43759</v>
          </cell>
        </row>
        <row r="244">
          <cell r="A244">
            <v>92508</v>
          </cell>
          <cell r="B244" t="str">
            <v>COASTAL REGIONAL SOLID WASTE MNGT AUTH</v>
          </cell>
          <cell r="C244">
            <v>3.1E-4</v>
          </cell>
          <cell r="D244">
            <v>3.1930000000000001E-4</v>
          </cell>
          <cell r="E244">
            <v>152021</v>
          </cell>
          <cell r="F244">
            <v>677662</v>
          </cell>
          <cell r="G244">
            <v>473594</v>
          </cell>
          <cell r="H244"/>
          <cell r="I244">
            <v>27283</v>
          </cell>
          <cell r="J244">
            <v>114989</v>
          </cell>
          <cell r="K244">
            <v>67636</v>
          </cell>
          <cell r="L244">
            <v>5884</v>
          </cell>
          <cell r="M244"/>
          <cell r="N244">
            <v>13406</v>
          </cell>
          <cell r="O244">
            <v>0</v>
          </cell>
          <cell r="P244">
            <v>0</v>
          </cell>
          <cell r="Q244">
            <v>1407</v>
          </cell>
          <cell r="R244"/>
          <cell r="S244">
            <v>159602</v>
          </cell>
          <cell r="T244">
            <v>3411</v>
          </cell>
          <cell r="U244">
            <v>163013</v>
          </cell>
        </row>
        <row r="245">
          <cell r="A245">
            <v>92511</v>
          </cell>
          <cell r="B245" t="str">
            <v>CITY OF NEW BERN</v>
          </cell>
          <cell r="C245">
            <v>3.3240000000000001E-3</v>
          </cell>
          <cell r="D245">
            <v>3.4164E-3</v>
          </cell>
          <cell r="E245">
            <v>1524503</v>
          </cell>
          <cell r="F245">
            <v>7250745</v>
          </cell>
          <cell r="G245">
            <v>5078151</v>
          </cell>
          <cell r="H245"/>
          <cell r="I245">
            <v>292549</v>
          </cell>
          <cell r="J245">
            <v>1232981</v>
          </cell>
          <cell r="K245">
            <v>725230</v>
          </cell>
          <cell r="L245">
            <v>12146</v>
          </cell>
          <cell r="M245"/>
          <cell r="N245">
            <v>143746</v>
          </cell>
          <cell r="O245">
            <v>0</v>
          </cell>
          <cell r="P245">
            <v>0</v>
          </cell>
          <cell r="Q245">
            <v>237633</v>
          </cell>
          <cell r="R245"/>
          <cell r="S245">
            <v>1711341</v>
          </cell>
          <cell r="T245">
            <v>-72839</v>
          </cell>
          <cell r="U245">
            <v>1638502</v>
          </cell>
        </row>
        <row r="246">
          <cell r="A246">
            <v>92513</v>
          </cell>
          <cell r="B246" t="str">
            <v>TRILLIUM HEALTH RESOURCES</v>
          </cell>
          <cell r="C246">
            <v>4.0328999999999999E-3</v>
          </cell>
          <cell r="D246">
            <v>3.9753000000000002E-3</v>
          </cell>
          <cell r="E246">
            <v>1669954</v>
          </cell>
          <cell r="F246">
            <v>8436918</v>
          </cell>
          <cell r="G246">
            <v>6161154</v>
          </cell>
          <cell r="H246"/>
          <cell r="I246">
            <v>354940</v>
          </cell>
          <cell r="J246">
            <v>1495936</v>
          </cell>
          <cell r="K246">
            <v>879898</v>
          </cell>
          <cell r="L246">
            <v>1731137</v>
          </cell>
          <cell r="M246"/>
          <cell r="N246">
            <v>174403</v>
          </cell>
          <cell r="O246">
            <v>0</v>
          </cell>
          <cell r="P246">
            <v>0</v>
          </cell>
          <cell r="Q246">
            <v>1664349</v>
          </cell>
          <cell r="R246"/>
          <cell r="S246">
            <v>2076314</v>
          </cell>
          <cell r="T246">
            <v>164662</v>
          </cell>
          <cell r="U246">
            <v>2240976</v>
          </cell>
        </row>
        <row r="247">
          <cell r="A247">
            <v>92521</v>
          </cell>
          <cell r="B247" t="str">
            <v>TOWN OF TRENT WOODS</v>
          </cell>
          <cell r="C247">
            <v>8.6899999999999998E-5</v>
          </cell>
          <cell r="D247">
            <v>8.9800000000000001E-5</v>
          </cell>
          <cell r="E247">
            <v>37384</v>
          </cell>
          <cell r="F247">
            <v>190586</v>
          </cell>
          <cell r="G247">
            <v>132759</v>
          </cell>
          <cell r="H247"/>
          <cell r="I247">
            <v>7648</v>
          </cell>
          <cell r="J247">
            <v>32235</v>
          </cell>
          <cell r="K247">
            <v>18960</v>
          </cell>
          <cell r="L247">
            <v>3168</v>
          </cell>
          <cell r="M247"/>
          <cell r="N247">
            <v>3758</v>
          </cell>
          <cell r="O247">
            <v>0</v>
          </cell>
          <cell r="P247">
            <v>0</v>
          </cell>
          <cell r="Q247">
            <v>10611</v>
          </cell>
          <cell r="R247"/>
          <cell r="S247">
            <v>44740</v>
          </cell>
          <cell r="T247">
            <v>-2554</v>
          </cell>
          <cell r="U247">
            <v>42186</v>
          </cell>
        </row>
        <row r="248">
          <cell r="A248">
            <v>92531</v>
          </cell>
          <cell r="B248" t="str">
            <v>CITY OF HAVELOCK</v>
          </cell>
          <cell r="C248">
            <v>8.6490000000000004E-4</v>
          </cell>
          <cell r="D248">
            <v>8.3779999999999998E-4</v>
          </cell>
          <cell r="E248">
            <v>358464</v>
          </cell>
          <cell r="F248">
            <v>1778092</v>
          </cell>
          <cell r="G248">
            <v>1321328</v>
          </cell>
          <cell r="H248"/>
          <cell r="I248">
            <v>76121</v>
          </cell>
          <cell r="J248">
            <v>320820</v>
          </cell>
          <cell r="K248">
            <v>188704</v>
          </cell>
          <cell r="L248">
            <v>0</v>
          </cell>
          <cell r="M248"/>
          <cell r="N248">
            <v>37403</v>
          </cell>
          <cell r="O248">
            <v>0</v>
          </cell>
          <cell r="P248">
            <v>0</v>
          </cell>
          <cell r="Q248">
            <v>124043</v>
          </cell>
          <cell r="R248"/>
          <cell r="S248">
            <v>445289</v>
          </cell>
          <cell r="T248">
            <v>-61397</v>
          </cell>
          <cell r="U248">
            <v>383892</v>
          </cell>
        </row>
        <row r="249">
          <cell r="A249">
            <v>92541</v>
          </cell>
          <cell r="B249" t="str">
            <v>TOWN OF RIVER BEND</v>
          </cell>
          <cell r="C249">
            <v>1.4469999999999999E-4</v>
          </cell>
          <cell r="D249">
            <v>1.4300000000000001E-4</v>
          </cell>
          <cell r="E249">
            <v>58964</v>
          </cell>
          <cell r="F249">
            <v>303494</v>
          </cell>
          <cell r="G249">
            <v>221062</v>
          </cell>
          <cell r="H249"/>
          <cell r="I249">
            <v>12735</v>
          </cell>
          <cell r="J249">
            <v>53674</v>
          </cell>
          <cell r="K249">
            <v>31571</v>
          </cell>
          <cell r="L249">
            <v>7292</v>
          </cell>
          <cell r="M249"/>
          <cell r="N249">
            <v>6258</v>
          </cell>
          <cell r="O249">
            <v>0</v>
          </cell>
          <cell r="P249">
            <v>0</v>
          </cell>
          <cell r="Q249">
            <v>7300</v>
          </cell>
          <cell r="R249"/>
          <cell r="S249">
            <v>74498</v>
          </cell>
          <cell r="T249">
            <v>2019</v>
          </cell>
          <cell r="U249">
            <v>76517</v>
          </cell>
        </row>
        <row r="250">
          <cell r="A250">
            <v>92551</v>
          </cell>
          <cell r="B250" t="str">
            <v>TOWN OF VANCEBORO</v>
          </cell>
          <cell r="C250">
            <v>5.3300000000000001E-5</v>
          </cell>
          <cell r="D250">
            <v>4.18E-5</v>
          </cell>
          <cell r="E250">
            <v>19992</v>
          </cell>
          <cell r="F250">
            <v>88714</v>
          </cell>
          <cell r="G250">
            <v>81428</v>
          </cell>
          <cell r="H250"/>
          <cell r="I250">
            <v>4691</v>
          </cell>
          <cell r="J250">
            <v>19771</v>
          </cell>
          <cell r="K250">
            <v>11629</v>
          </cell>
          <cell r="L250">
            <v>7529</v>
          </cell>
          <cell r="M250"/>
          <cell r="N250">
            <v>2305</v>
          </cell>
          <cell r="O250">
            <v>0</v>
          </cell>
          <cell r="P250">
            <v>0</v>
          </cell>
          <cell r="Q250">
            <v>8359</v>
          </cell>
          <cell r="R250"/>
          <cell r="S250">
            <v>27441</v>
          </cell>
          <cell r="T250">
            <v>961</v>
          </cell>
          <cell r="U250">
            <v>28402</v>
          </cell>
        </row>
        <row r="251">
          <cell r="A251">
            <v>92561</v>
          </cell>
          <cell r="B251" t="str">
            <v>TOWN OF BRIDGETON</v>
          </cell>
          <cell r="C251">
            <v>2.2200000000000001E-5</v>
          </cell>
          <cell r="D251">
            <v>2.2900000000000001E-5</v>
          </cell>
          <cell r="E251">
            <v>11716</v>
          </cell>
          <cell r="F251">
            <v>48601</v>
          </cell>
          <cell r="G251">
            <v>33915</v>
          </cell>
          <cell r="H251"/>
          <cell r="I251">
            <v>1954</v>
          </cell>
          <cell r="J251">
            <v>8235</v>
          </cell>
          <cell r="K251">
            <v>4844</v>
          </cell>
          <cell r="L251">
            <v>5369</v>
          </cell>
          <cell r="M251"/>
          <cell r="N251">
            <v>960</v>
          </cell>
          <cell r="O251">
            <v>0</v>
          </cell>
          <cell r="P251">
            <v>0</v>
          </cell>
          <cell r="Q251">
            <v>0</v>
          </cell>
          <cell r="R251"/>
          <cell r="S251">
            <v>11430</v>
          </cell>
          <cell r="T251">
            <v>2639</v>
          </cell>
          <cell r="U251">
            <v>14069</v>
          </cell>
        </row>
        <row r="252">
          <cell r="A252">
            <v>92571</v>
          </cell>
          <cell r="B252" t="str">
            <v>TOWN OF COVE CITY</v>
          </cell>
          <cell r="C252">
            <v>1.01E-5</v>
          </cell>
          <cell r="D252">
            <v>3.1E-6</v>
          </cell>
          <cell r="E252">
            <v>6486</v>
          </cell>
          <cell r="F252">
            <v>6579</v>
          </cell>
          <cell r="G252">
            <v>15430</v>
          </cell>
          <cell r="H252"/>
          <cell r="I252">
            <v>889</v>
          </cell>
          <cell r="J252">
            <v>3746</v>
          </cell>
          <cell r="K252">
            <v>2204</v>
          </cell>
          <cell r="L252">
            <v>9367</v>
          </cell>
          <cell r="M252"/>
          <cell r="N252">
            <v>437</v>
          </cell>
          <cell r="O252">
            <v>0</v>
          </cell>
          <cell r="P252">
            <v>0</v>
          </cell>
          <cell r="Q252">
            <v>100</v>
          </cell>
          <cell r="R252"/>
          <cell r="S252">
            <v>5200</v>
          </cell>
          <cell r="T252">
            <v>2687</v>
          </cell>
          <cell r="U252">
            <v>7887</v>
          </cell>
        </row>
        <row r="253">
          <cell r="A253">
            <v>92601</v>
          </cell>
          <cell r="B253" t="str">
            <v>CUMBERLAND COUNTY</v>
          </cell>
          <cell r="C253">
            <v>1.51874E-2</v>
          </cell>
          <cell r="D253">
            <v>1.54185E-2</v>
          </cell>
          <cell r="E253">
            <v>7108398</v>
          </cell>
          <cell r="F253">
            <v>32723222</v>
          </cell>
          <cell r="G253">
            <v>23202140</v>
          </cell>
          <cell r="H253"/>
          <cell r="I253">
            <v>1336658</v>
          </cell>
          <cell r="J253">
            <v>5633508</v>
          </cell>
          <cell r="K253">
            <v>3313587</v>
          </cell>
          <cell r="L253">
            <v>134811</v>
          </cell>
          <cell r="M253"/>
          <cell r="N253">
            <v>656779</v>
          </cell>
          <cell r="O253">
            <v>0</v>
          </cell>
          <cell r="P253">
            <v>0</v>
          </cell>
          <cell r="Q253">
            <v>46060</v>
          </cell>
          <cell r="R253"/>
          <cell r="S253">
            <v>7819142</v>
          </cell>
          <cell r="T253">
            <v>112074</v>
          </cell>
          <cell r="U253">
            <v>7931216</v>
          </cell>
        </row>
        <row r="254">
          <cell r="A254">
            <v>92602</v>
          </cell>
          <cell r="B254" t="str">
            <v>WESTAREA VOLUNTEER FIRE DEPT</v>
          </cell>
          <cell r="C254">
            <v>8.3000000000000002E-6</v>
          </cell>
          <cell r="D254">
            <v>8.1999999999999994E-6</v>
          </cell>
          <cell r="E254">
            <v>3605</v>
          </cell>
          <cell r="F254">
            <v>17403</v>
          </cell>
          <cell r="G254">
            <v>12680</v>
          </cell>
          <cell r="H254"/>
          <cell r="I254">
            <v>730</v>
          </cell>
          <cell r="J254">
            <v>3079</v>
          </cell>
          <cell r="K254">
            <v>1811</v>
          </cell>
          <cell r="L254">
            <v>352</v>
          </cell>
          <cell r="M254"/>
          <cell r="N254">
            <v>359</v>
          </cell>
          <cell r="O254">
            <v>0</v>
          </cell>
          <cell r="P254">
            <v>0</v>
          </cell>
          <cell r="Q254">
            <v>927</v>
          </cell>
          <cell r="R254"/>
          <cell r="S254">
            <v>4273</v>
          </cell>
          <cell r="T254">
            <v>-99</v>
          </cell>
          <cell r="U254">
            <v>4174</v>
          </cell>
        </row>
        <row r="255">
          <cell r="A255">
            <v>92604</v>
          </cell>
          <cell r="B255" t="str">
            <v>CUMBERLAND CO ABC BOARD</v>
          </cell>
          <cell r="C255">
            <v>3.4099999999999999E-4</v>
          </cell>
          <cell r="D255">
            <v>3.4380000000000001E-4</v>
          </cell>
          <cell r="E255">
            <v>178691</v>
          </cell>
          <cell r="F255">
            <v>729659</v>
          </cell>
          <cell r="G255">
            <v>520954</v>
          </cell>
          <cell r="H255"/>
          <cell r="I255">
            <v>30012</v>
          </cell>
          <cell r="J255">
            <v>126488</v>
          </cell>
          <cell r="K255">
            <v>74399</v>
          </cell>
          <cell r="L255">
            <v>52760</v>
          </cell>
          <cell r="M255"/>
          <cell r="N255">
            <v>14747</v>
          </cell>
          <cell r="O255">
            <v>0</v>
          </cell>
          <cell r="P255">
            <v>0</v>
          </cell>
          <cell r="Q255">
            <v>0</v>
          </cell>
          <cell r="R255"/>
          <cell r="S255">
            <v>175562</v>
          </cell>
          <cell r="T255">
            <v>23975</v>
          </cell>
          <cell r="U255">
            <v>199537</v>
          </cell>
        </row>
        <row r="256">
          <cell r="A256">
            <v>92607</v>
          </cell>
          <cell r="B256" t="str">
            <v>MID-CAROLINA COUNCIL OF GOVERNMENTS</v>
          </cell>
          <cell r="C256">
            <v>6.6400000000000001E-5</v>
          </cell>
          <cell r="D256">
            <v>7.0400000000000004E-5</v>
          </cell>
          <cell r="E256">
            <v>38427</v>
          </cell>
          <cell r="F256">
            <v>149412</v>
          </cell>
          <cell r="G256">
            <v>101441</v>
          </cell>
          <cell r="H256"/>
          <cell r="I256">
            <v>5844</v>
          </cell>
          <cell r="J256">
            <v>24630</v>
          </cell>
          <cell r="K256">
            <v>14487</v>
          </cell>
          <cell r="L256">
            <v>9416</v>
          </cell>
          <cell r="M256"/>
          <cell r="N256">
            <v>2871</v>
          </cell>
          <cell r="O256">
            <v>0</v>
          </cell>
          <cell r="P256">
            <v>0</v>
          </cell>
          <cell r="Q256">
            <v>0</v>
          </cell>
          <cell r="R256"/>
          <cell r="S256">
            <v>34186</v>
          </cell>
          <cell r="T256">
            <v>4781</v>
          </cell>
          <cell r="U256">
            <v>38967</v>
          </cell>
        </row>
        <row r="257">
          <cell r="A257">
            <v>92608</v>
          </cell>
          <cell r="B257" t="str">
            <v>CUMBERLAND MEMORIAL AUDITORIUM COM</v>
          </cell>
          <cell r="C257">
            <v>0</v>
          </cell>
          <cell r="D257">
            <v>0</v>
          </cell>
          <cell r="E257">
            <v>0</v>
          </cell>
          <cell r="F257">
            <v>0</v>
          </cell>
          <cell r="G257">
            <v>0</v>
          </cell>
          <cell r="H257"/>
          <cell r="I257">
            <v>0</v>
          </cell>
          <cell r="J257">
            <v>0</v>
          </cell>
          <cell r="K257">
            <v>0</v>
          </cell>
          <cell r="L257">
            <v>0</v>
          </cell>
          <cell r="M257"/>
          <cell r="N257">
            <v>0</v>
          </cell>
          <cell r="O257">
            <v>0</v>
          </cell>
          <cell r="P257">
            <v>0</v>
          </cell>
          <cell r="Q257">
            <v>69935</v>
          </cell>
          <cell r="R257"/>
          <cell r="S257">
            <v>0</v>
          </cell>
          <cell r="T257">
            <v>-69872</v>
          </cell>
          <cell r="U257">
            <v>-69872</v>
          </cell>
        </row>
        <row r="258">
          <cell r="A258">
            <v>92611</v>
          </cell>
          <cell r="B258" t="str">
            <v>CITY OF FAYETTEVILLE</v>
          </cell>
          <cell r="C258">
            <v>1.3080899999999999E-2</v>
          </cell>
          <cell r="D258">
            <v>1.3650799999999999E-2</v>
          </cell>
          <cell r="E258">
            <v>5890415</v>
          </cell>
          <cell r="F258">
            <v>28971571</v>
          </cell>
          <cell r="G258">
            <v>19983992</v>
          </cell>
          <cell r="H258"/>
          <cell r="I258">
            <v>1151263</v>
          </cell>
          <cell r="J258">
            <v>4852137</v>
          </cell>
          <cell r="K258">
            <v>2853991</v>
          </cell>
          <cell r="L258">
            <v>10109</v>
          </cell>
          <cell r="M258"/>
          <cell r="N258">
            <v>565684</v>
          </cell>
          <cell r="O258">
            <v>0</v>
          </cell>
          <cell r="P258">
            <v>0</v>
          </cell>
          <cell r="Q258">
            <v>976593</v>
          </cell>
          <cell r="R258"/>
          <cell r="S258">
            <v>6734623</v>
          </cell>
          <cell r="T258">
            <v>-313138</v>
          </cell>
          <cell r="U258">
            <v>6421485</v>
          </cell>
        </row>
        <row r="259">
          <cell r="A259">
            <v>92613</v>
          </cell>
          <cell r="B259" t="str">
            <v>FAYETTEVILLE METROPOLITAN HOUSING AUTH</v>
          </cell>
          <cell r="C259">
            <v>2.6439999999999998E-4</v>
          </cell>
          <cell r="D259">
            <v>2.81E-4</v>
          </cell>
          <cell r="E259">
            <v>143121</v>
          </cell>
          <cell r="F259">
            <v>596376</v>
          </cell>
          <cell r="G259">
            <v>403930</v>
          </cell>
          <cell r="H259"/>
          <cell r="I259">
            <v>23270</v>
          </cell>
          <cell r="J259">
            <v>98075</v>
          </cell>
          <cell r="K259">
            <v>57687</v>
          </cell>
          <cell r="L259">
            <v>84489</v>
          </cell>
          <cell r="M259"/>
          <cell r="N259">
            <v>11434</v>
          </cell>
          <cell r="O259">
            <v>0</v>
          </cell>
          <cell r="P259">
            <v>0</v>
          </cell>
          <cell r="Q259">
            <v>941</v>
          </cell>
          <cell r="R259"/>
          <cell r="S259">
            <v>136125</v>
          </cell>
          <cell r="T259">
            <v>41506</v>
          </cell>
          <cell r="U259">
            <v>177631</v>
          </cell>
        </row>
        <row r="260">
          <cell r="A260">
            <v>92614</v>
          </cell>
          <cell r="B260" t="str">
            <v>PUBLIC WORKS COMM CTY OF FAYETTEVILLE</v>
          </cell>
          <cell r="C260">
            <v>5.7273000000000003E-3</v>
          </cell>
          <cell r="D260">
            <v>5.6468000000000004E-3</v>
          </cell>
          <cell r="E260">
            <v>4788008</v>
          </cell>
          <cell r="F260">
            <v>11984401</v>
          </cell>
          <cell r="G260">
            <v>8749728</v>
          </cell>
          <cell r="H260"/>
          <cell r="I260">
            <v>504065</v>
          </cell>
          <cell r="J260">
            <v>2124444</v>
          </cell>
          <cell r="K260">
            <v>1249582</v>
          </cell>
          <cell r="L260">
            <v>3908054</v>
          </cell>
          <cell r="M260"/>
          <cell r="N260">
            <v>247677</v>
          </cell>
          <cell r="O260">
            <v>0</v>
          </cell>
          <cell r="P260">
            <v>0</v>
          </cell>
          <cell r="Q260">
            <v>0</v>
          </cell>
          <cell r="R260"/>
          <cell r="S260">
            <v>2948666</v>
          </cell>
          <cell r="T260">
            <v>1416067</v>
          </cell>
          <cell r="U260">
            <v>4364733</v>
          </cell>
        </row>
        <row r="261">
          <cell r="A261">
            <v>92621</v>
          </cell>
          <cell r="B261" t="str">
            <v>TOWN OF STEDMAN</v>
          </cell>
          <cell r="C261">
            <v>2.72E-5</v>
          </cell>
          <cell r="D261">
            <v>3.2799999999999998E-5</v>
          </cell>
          <cell r="E261">
            <v>11243</v>
          </cell>
          <cell r="F261">
            <v>69613</v>
          </cell>
          <cell r="G261">
            <v>41554</v>
          </cell>
          <cell r="H261"/>
          <cell r="I261">
            <v>2394</v>
          </cell>
          <cell r="J261">
            <v>10089</v>
          </cell>
          <cell r="K261">
            <v>5934</v>
          </cell>
          <cell r="L261">
            <v>872</v>
          </cell>
          <cell r="M261"/>
          <cell r="N261">
            <v>1176</v>
          </cell>
          <cell r="O261">
            <v>0</v>
          </cell>
          <cell r="P261">
            <v>0</v>
          </cell>
          <cell r="Q261">
            <v>6521</v>
          </cell>
          <cell r="R261"/>
          <cell r="S261">
            <v>14004</v>
          </cell>
          <cell r="T261">
            <v>-1988</v>
          </cell>
          <cell r="U261">
            <v>12016</v>
          </cell>
        </row>
        <row r="262">
          <cell r="A262">
            <v>92631</v>
          </cell>
          <cell r="B262" t="str">
            <v>TOWN OF HOPE MILLS</v>
          </cell>
          <cell r="C262">
            <v>9.2710000000000004E-4</v>
          </cell>
          <cell r="D262">
            <v>1.0068E-3</v>
          </cell>
          <cell r="E262">
            <v>397128</v>
          </cell>
          <cell r="F262">
            <v>2136767</v>
          </cell>
          <cell r="G262">
            <v>1416352</v>
          </cell>
          <cell r="H262"/>
          <cell r="I262">
            <v>81595</v>
          </cell>
          <cell r="J262">
            <v>343892</v>
          </cell>
          <cell r="K262">
            <v>202275</v>
          </cell>
          <cell r="L262">
            <v>0</v>
          </cell>
          <cell r="M262"/>
          <cell r="N262">
            <v>40092</v>
          </cell>
          <cell r="O262">
            <v>0</v>
          </cell>
          <cell r="P262">
            <v>0</v>
          </cell>
          <cell r="Q262">
            <v>146834</v>
          </cell>
          <cell r="R262"/>
          <cell r="S262">
            <v>477312</v>
          </cell>
          <cell r="T262">
            <v>-49734</v>
          </cell>
          <cell r="U262">
            <v>427578</v>
          </cell>
        </row>
        <row r="263">
          <cell r="A263">
            <v>92641</v>
          </cell>
          <cell r="B263" t="str">
            <v>TOWN OF WADE</v>
          </cell>
          <cell r="C263">
            <v>1.0200000000000001E-5</v>
          </cell>
          <cell r="D263">
            <v>1.03E-5</v>
          </cell>
          <cell r="E263">
            <v>5720</v>
          </cell>
          <cell r="F263">
            <v>21860</v>
          </cell>
          <cell r="G263">
            <v>15583</v>
          </cell>
          <cell r="H263"/>
          <cell r="I263">
            <v>898</v>
          </cell>
          <cell r="J263">
            <v>3784</v>
          </cell>
          <cell r="K263">
            <v>2225</v>
          </cell>
          <cell r="L263">
            <v>2556</v>
          </cell>
          <cell r="M263"/>
          <cell r="N263">
            <v>441</v>
          </cell>
          <cell r="O263">
            <v>0</v>
          </cell>
          <cell r="P263">
            <v>0</v>
          </cell>
          <cell r="Q263">
            <v>945</v>
          </cell>
          <cell r="R263"/>
          <cell r="S263">
            <v>5251</v>
          </cell>
          <cell r="T263">
            <v>173</v>
          </cell>
          <cell r="U263">
            <v>5424</v>
          </cell>
        </row>
        <row r="264">
          <cell r="A264">
            <v>92651</v>
          </cell>
          <cell r="B264" t="str">
            <v>TOWN OF LINDEN</v>
          </cell>
          <cell r="C264">
            <v>2.6000000000000001E-6</v>
          </cell>
          <cell r="D264">
            <v>2.6000000000000001E-6</v>
          </cell>
          <cell r="E264">
            <v>3151</v>
          </cell>
          <cell r="F264">
            <v>5518</v>
          </cell>
          <cell r="G264">
            <v>3972</v>
          </cell>
          <cell r="H264"/>
          <cell r="I264">
            <v>229</v>
          </cell>
          <cell r="J264">
            <v>964</v>
          </cell>
          <cell r="K264">
            <v>567</v>
          </cell>
          <cell r="L264">
            <v>3432</v>
          </cell>
          <cell r="M264"/>
          <cell r="N264">
            <v>112</v>
          </cell>
          <cell r="O264">
            <v>0</v>
          </cell>
          <cell r="P264">
            <v>0</v>
          </cell>
          <cell r="Q264">
            <v>0</v>
          </cell>
          <cell r="R264"/>
          <cell r="S264">
            <v>1339</v>
          </cell>
          <cell r="T264">
            <v>1345</v>
          </cell>
          <cell r="U264">
            <v>2684</v>
          </cell>
        </row>
        <row r="265">
          <cell r="A265">
            <v>92661</v>
          </cell>
          <cell r="B265" t="str">
            <v>TOWN OF SPRING LAKE</v>
          </cell>
          <cell r="C265">
            <v>6.9999999999999999E-4</v>
          </cell>
          <cell r="D265">
            <v>6.6299999999999996E-4</v>
          </cell>
          <cell r="E265">
            <v>591164</v>
          </cell>
          <cell r="F265">
            <v>1407108</v>
          </cell>
          <cell r="G265">
            <v>1069406</v>
          </cell>
          <cell r="H265"/>
          <cell r="I265">
            <v>61608</v>
          </cell>
          <cell r="J265">
            <v>259653</v>
          </cell>
          <cell r="K265">
            <v>152726</v>
          </cell>
          <cell r="L265">
            <v>446841</v>
          </cell>
          <cell r="M265"/>
          <cell r="N265">
            <v>30272</v>
          </cell>
          <cell r="O265">
            <v>0</v>
          </cell>
          <cell r="P265">
            <v>0</v>
          </cell>
          <cell r="Q265">
            <v>16877</v>
          </cell>
          <cell r="R265"/>
          <cell r="S265">
            <v>360391</v>
          </cell>
          <cell r="T265">
            <v>130287</v>
          </cell>
          <cell r="U265">
            <v>490678</v>
          </cell>
        </row>
        <row r="266">
          <cell r="A266">
            <v>92671</v>
          </cell>
          <cell r="B266" t="str">
            <v>TOWN OF FALCON</v>
          </cell>
          <cell r="C266">
            <v>2.6000000000000001E-6</v>
          </cell>
          <cell r="D266">
            <v>2.9000000000000002E-6</v>
          </cell>
          <cell r="E266">
            <v>5279</v>
          </cell>
          <cell r="F266">
            <v>6155</v>
          </cell>
          <cell r="G266">
            <v>3972</v>
          </cell>
          <cell r="H266"/>
          <cell r="I266">
            <v>229</v>
          </cell>
          <cell r="J266">
            <v>964</v>
          </cell>
          <cell r="K266">
            <v>567</v>
          </cell>
          <cell r="L266">
            <v>6237</v>
          </cell>
          <cell r="M266"/>
          <cell r="N266">
            <v>112</v>
          </cell>
          <cell r="O266">
            <v>0</v>
          </cell>
          <cell r="P266">
            <v>0</v>
          </cell>
          <cell r="Q266">
            <v>0</v>
          </cell>
          <cell r="R266"/>
          <cell r="S266">
            <v>1339</v>
          </cell>
          <cell r="T266">
            <v>2205</v>
          </cell>
          <cell r="U266">
            <v>3544</v>
          </cell>
        </row>
        <row r="267">
          <cell r="A267">
            <v>92681</v>
          </cell>
          <cell r="B267" t="str">
            <v>TOWN OF EASTOVER</v>
          </cell>
          <cell r="C267">
            <v>1.17E-5</v>
          </cell>
          <cell r="D267">
            <v>1.01E-5</v>
          </cell>
          <cell r="E267">
            <v>11572</v>
          </cell>
          <cell r="F267">
            <v>21436</v>
          </cell>
          <cell r="G267">
            <v>17874</v>
          </cell>
          <cell r="H267"/>
          <cell r="I267">
            <v>1030</v>
          </cell>
          <cell r="J267">
            <v>4340</v>
          </cell>
          <cell r="K267">
            <v>2553</v>
          </cell>
          <cell r="L267">
            <v>13621</v>
          </cell>
          <cell r="M267"/>
          <cell r="N267">
            <v>506</v>
          </cell>
          <cell r="O267">
            <v>0</v>
          </cell>
          <cell r="P267">
            <v>0</v>
          </cell>
          <cell r="Q267">
            <v>0</v>
          </cell>
          <cell r="R267"/>
          <cell r="S267">
            <v>6024</v>
          </cell>
          <cell r="T267">
            <v>4960</v>
          </cell>
          <cell r="U267">
            <v>10984</v>
          </cell>
        </row>
        <row r="268">
          <cell r="A268">
            <v>92701</v>
          </cell>
          <cell r="B268" t="str">
            <v>CURRITUCK COUNTY</v>
          </cell>
          <cell r="C268">
            <v>3.0777000000000001E-3</v>
          </cell>
          <cell r="D268">
            <v>2.9588000000000001E-3</v>
          </cell>
          <cell r="E268">
            <v>1358591</v>
          </cell>
          <cell r="F268">
            <v>6279565</v>
          </cell>
          <cell r="G268">
            <v>4701873</v>
          </cell>
          <cell r="H268"/>
          <cell r="I268">
            <v>270871</v>
          </cell>
          <cell r="J268">
            <v>1141620</v>
          </cell>
          <cell r="K268">
            <v>671493</v>
          </cell>
          <cell r="L268">
            <v>48990</v>
          </cell>
          <cell r="M268"/>
          <cell r="N268">
            <v>133095</v>
          </cell>
          <cell r="O268">
            <v>0</v>
          </cell>
          <cell r="P268">
            <v>0</v>
          </cell>
          <cell r="Q268">
            <v>42924</v>
          </cell>
          <cell r="R268"/>
          <cell r="S268">
            <v>1584535</v>
          </cell>
          <cell r="T268">
            <v>-25139</v>
          </cell>
          <cell r="U268">
            <v>1559396</v>
          </cell>
        </row>
        <row r="269">
          <cell r="A269">
            <v>92704</v>
          </cell>
          <cell r="B269" t="str">
            <v>CURRITUCK CO ABC BOARD</v>
          </cell>
          <cell r="C269">
            <v>4.1600000000000002E-5</v>
          </cell>
          <cell r="D269">
            <v>4.7700000000000001E-5</v>
          </cell>
          <cell r="E269">
            <v>18894</v>
          </cell>
          <cell r="F269">
            <v>101235</v>
          </cell>
          <cell r="G269">
            <v>63553</v>
          </cell>
          <cell r="H269"/>
          <cell r="I269">
            <v>3661</v>
          </cell>
          <cell r="J269">
            <v>15431</v>
          </cell>
          <cell r="K269">
            <v>9076</v>
          </cell>
          <cell r="L269">
            <v>1560</v>
          </cell>
          <cell r="M269"/>
          <cell r="N269">
            <v>1799</v>
          </cell>
          <cell r="O269">
            <v>0</v>
          </cell>
          <cell r="P269">
            <v>0</v>
          </cell>
          <cell r="Q269">
            <v>5674</v>
          </cell>
          <cell r="R269"/>
          <cell r="S269">
            <v>21418</v>
          </cell>
          <cell r="T269">
            <v>-706</v>
          </cell>
          <cell r="U269">
            <v>20712</v>
          </cell>
        </row>
        <row r="270">
          <cell r="A270">
            <v>92801</v>
          </cell>
          <cell r="B270" t="str">
            <v>DARE COUNTY</v>
          </cell>
          <cell r="C270">
            <v>5.0951E-3</v>
          </cell>
          <cell r="D270">
            <v>5.1701000000000004E-3</v>
          </cell>
          <cell r="E270">
            <v>2417020</v>
          </cell>
          <cell r="F270">
            <v>10972684</v>
          </cell>
          <cell r="G270">
            <v>7783901</v>
          </cell>
          <cell r="H270"/>
          <cell r="I270">
            <v>448425</v>
          </cell>
          <cell r="J270">
            <v>1889940</v>
          </cell>
          <cell r="K270">
            <v>1111649</v>
          </cell>
          <cell r="L270">
            <v>152907</v>
          </cell>
          <cell r="M270"/>
          <cell r="N270">
            <v>220338</v>
          </cell>
          <cell r="O270">
            <v>0</v>
          </cell>
          <cell r="P270">
            <v>0</v>
          </cell>
          <cell r="Q270">
            <v>0</v>
          </cell>
          <cell r="R270"/>
          <cell r="S270">
            <v>2623182</v>
          </cell>
          <cell r="T270">
            <v>81450</v>
          </cell>
          <cell r="U270">
            <v>2704632</v>
          </cell>
        </row>
        <row r="271">
          <cell r="A271">
            <v>92802</v>
          </cell>
          <cell r="B271" t="str">
            <v>DARE COUNTY TOURISM BOARD</v>
          </cell>
          <cell r="C271">
            <v>1.2970000000000001E-4</v>
          </cell>
          <cell r="D271">
            <v>1.3410000000000001E-4</v>
          </cell>
          <cell r="E271">
            <v>55828</v>
          </cell>
          <cell r="F271">
            <v>284605</v>
          </cell>
          <cell r="G271">
            <v>198146</v>
          </cell>
          <cell r="H271"/>
          <cell r="I271">
            <v>11415</v>
          </cell>
          <cell r="J271">
            <v>48110</v>
          </cell>
          <cell r="K271">
            <v>28298</v>
          </cell>
          <cell r="L271">
            <v>0</v>
          </cell>
          <cell r="M271"/>
          <cell r="N271">
            <v>5609</v>
          </cell>
          <cell r="O271">
            <v>0</v>
          </cell>
          <cell r="P271">
            <v>0</v>
          </cell>
          <cell r="Q271">
            <v>17517</v>
          </cell>
          <cell r="R271"/>
          <cell r="S271">
            <v>66775</v>
          </cell>
          <cell r="T271">
            <v>-6938</v>
          </cell>
          <cell r="U271">
            <v>59837</v>
          </cell>
        </row>
        <row r="272">
          <cell r="A272">
            <v>92804</v>
          </cell>
          <cell r="B272" t="str">
            <v>DARE COUNTY ABC BOARD</v>
          </cell>
          <cell r="C272">
            <v>1.36E-4</v>
          </cell>
          <cell r="D272">
            <v>1.47E-4</v>
          </cell>
          <cell r="E272">
            <v>57777</v>
          </cell>
          <cell r="F272">
            <v>311983</v>
          </cell>
          <cell r="G272">
            <v>207770</v>
          </cell>
          <cell r="H272"/>
          <cell r="I272">
            <v>11969</v>
          </cell>
          <cell r="J272">
            <v>50447</v>
          </cell>
          <cell r="K272">
            <v>29672</v>
          </cell>
          <cell r="L272">
            <v>8730</v>
          </cell>
          <cell r="M272"/>
          <cell r="N272">
            <v>5881</v>
          </cell>
          <cell r="O272">
            <v>0</v>
          </cell>
          <cell r="P272">
            <v>0</v>
          </cell>
          <cell r="Q272">
            <v>12427</v>
          </cell>
          <cell r="R272"/>
          <cell r="S272">
            <v>70019</v>
          </cell>
          <cell r="T272">
            <v>-172</v>
          </cell>
          <cell r="U272">
            <v>69847</v>
          </cell>
        </row>
        <row r="273">
          <cell r="A273">
            <v>92811</v>
          </cell>
          <cell r="B273" t="str">
            <v>TOWN OF NAGS HEAD</v>
          </cell>
          <cell r="C273">
            <v>1.0036000000000001E-3</v>
          </cell>
          <cell r="D273">
            <v>9.8569999999999994E-4</v>
          </cell>
          <cell r="E273">
            <v>442635</v>
          </cell>
          <cell r="F273">
            <v>2091986</v>
          </cell>
          <cell r="G273">
            <v>1533223</v>
          </cell>
          <cell r="H273"/>
          <cell r="I273">
            <v>88328</v>
          </cell>
          <cell r="J273">
            <v>372269</v>
          </cell>
          <cell r="K273">
            <v>218965</v>
          </cell>
          <cell r="L273">
            <v>0</v>
          </cell>
          <cell r="M273"/>
          <cell r="N273">
            <v>43401</v>
          </cell>
          <cell r="O273">
            <v>0</v>
          </cell>
          <cell r="P273">
            <v>0</v>
          </cell>
          <cell r="Q273">
            <v>85272</v>
          </cell>
          <cell r="R273"/>
          <cell r="S273">
            <v>516697</v>
          </cell>
          <cell r="T273">
            <v>-36667</v>
          </cell>
          <cell r="U273">
            <v>480030</v>
          </cell>
        </row>
        <row r="274">
          <cell r="A274">
            <v>92821</v>
          </cell>
          <cell r="B274" t="str">
            <v>TOWN OF KILL DEVIL HILLS</v>
          </cell>
          <cell r="C274">
            <v>9.9400000000000009E-4</v>
          </cell>
          <cell r="D274">
            <v>1.0139999999999999E-3</v>
          </cell>
          <cell r="E274">
            <v>481049</v>
          </cell>
          <cell r="F274">
            <v>2152048</v>
          </cell>
          <cell r="G274">
            <v>1518557</v>
          </cell>
          <cell r="H274"/>
          <cell r="I274">
            <v>87483</v>
          </cell>
          <cell r="J274">
            <v>368707</v>
          </cell>
          <cell r="K274">
            <v>216871</v>
          </cell>
          <cell r="L274">
            <v>24870</v>
          </cell>
          <cell r="M274"/>
          <cell r="N274">
            <v>42986</v>
          </cell>
          <cell r="O274">
            <v>0</v>
          </cell>
          <cell r="P274">
            <v>0</v>
          </cell>
          <cell r="Q274">
            <v>0</v>
          </cell>
          <cell r="R274"/>
          <cell r="S274">
            <v>511755</v>
          </cell>
          <cell r="T274">
            <v>10495</v>
          </cell>
          <cell r="U274">
            <v>522250</v>
          </cell>
        </row>
        <row r="275">
          <cell r="A275">
            <v>92831</v>
          </cell>
          <cell r="B275" t="str">
            <v>TOWN OF MANTEO</v>
          </cell>
          <cell r="C275">
            <v>2.1829999999999999E-4</v>
          </cell>
          <cell r="D275">
            <v>2.476E-4</v>
          </cell>
          <cell r="E275">
            <v>122076</v>
          </cell>
          <cell r="F275">
            <v>525490</v>
          </cell>
          <cell r="G275">
            <v>333502</v>
          </cell>
          <cell r="H275"/>
          <cell r="I275">
            <v>19213</v>
          </cell>
          <cell r="J275">
            <v>80975</v>
          </cell>
          <cell r="K275">
            <v>47629</v>
          </cell>
          <cell r="L275">
            <v>19156</v>
          </cell>
          <cell r="M275"/>
          <cell r="N275">
            <v>9440</v>
          </cell>
          <cell r="O275">
            <v>0</v>
          </cell>
          <cell r="P275">
            <v>0</v>
          </cell>
          <cell r="Q275">
            <v>2159</v>
          </cell>
          <cell r="R275"/>
          <cell r="S275">
            <v>112390</v>
          </cell>
          <cell r="T275">
            <v>9503</v>
          </cell>
          <cell r="U275">
            <v>121893</v>
          </cell>
        </row>
        <row r="276">
          <cell r="A276">
            <v>92841</v>
          </cell>
          <cell r="B276" t="str">
            <v>TOWN OF SOUTHERN SHORES</v>
          </cell>
          <cell r="C276">
            <v>2.7809999999999998E-4</v>
          </cell>
          <cell r="D276">
            <v>2.8160000000000001E-4</v>
          </cell>
          <cell r="E276">
            <v>116983</v>
          </cell>
          <cell r="F276">
            <v>597650</v>
          </cell>
          <cell r="G276">
            <v>424860</v>
          </cell>
          <cell r="H276"/>
          <cell r="I276">
            <v>24476</v>
          </cell>
          <cell r="J276">
            <v>103157</v>
          </cell>
          <cell r="K276">
            <v>60676</v>
          </cell>
          <cell r="L276">
            <v>5821</v>
          </cell>
          <cell r="M276"/>
          <cell r="N276">
            <v>12026</v>
          </cell>
          <cell r="O276">
            <v>0</v>
          </cell>
          <cell r="P276">
            <v>0</v>
          </cell>
          <cell r="Q276">
            <v>13149</v>
          </cell>
          <cell r="R276"/>
          <cell r="S276">
            <v>143178</v>
          </cell>
          <cell r="T276">
            <v>2288</v>
          </cell>
          <cell r="U276">
            <v>145466</v>
          </cell>
        </row>
        <row r="277">
          <cell r="A277">
            <v>92851</v>
          </cell>
          <cell r="B277" t="str">
            <v>TOWN OF KITTY HAWK</v>
          </cell>
          <cell r="C277">
            <v>4.6079999999999998E-4</v>
          </cell>
          <cell r="D277">
            <v>4.3909999999999999E-4</v>
          </cell>
          <cell r="E277">
            <v>187164</v>
          </cell>
          <cell r="F277">
            <v>931917</v>
          </cell>
          <cell r="G277">
            <v>703975</v>
          </cell>
          <cell r="H277"/>
          <cell r="I277">
            <v>40555</v>
          </cell>
          <cell r="J277">
            <v>170926</v>
          </cell>
          <cell r="K277">
            <v>100537</v>
          </cell>
          <cell r="L277">
            <v>0</v>
          </cell>
          <cell r="M277"/>
          <cell r="N277">
            <v>19927</v>
          </cell>
          <cell r="O277">
            <v>0</v>
          </cell>
          <cell r="P277">
            <v>0</v>
          </cell>
          <cell r="Q277">
            <v>62664</v>
          </cell>
          <cell r="R277"/>
          <cell r="S277">
            <v>237240</v>
          </cell>
          <cell r="T277">
            <v>-35531</v>
          </cell>
          <cell r="U277">
            <v>201709</v>
          </cell>
        </row>
        <row r="278">
          <cell r="A278">
            <v>92861</v>
          </cell>
          <cell r="B278" t="str">
            <v>TOWN OF DUCK</v>
          </cell>
          <cell r="C278">
            <v>3.6010000000000003E-4</v>
          </cell>
          <cell r="D278">
            <v>3.3629999999999999E-4</v>
          </cell>
          <cell r="E278">
            <v>121951</v>
          </cell>
          <cell r="F278">
            <v>713741</v>
          </cell>
          <cell r="G278">
            <v>550133</v>
          </cell>
          <cell r="H278"/>
          <cell r="I278">
            <v>31693</v>
          </cell>
          <cell r="J278">
            <v>133573</v>
          </cell>
          <cell r="K278">
            <v>78567</v>
          </cell>
          <cell r="L278">
            <v>0</v>
          </cell>
          <cell r="M278"/>
          <cell r="N278">
            <v>15573</v>
          </cell>
          <cell r="O278">
            <v>0</v>
          </cell>
          <cell r="P278">
            <v>0</v>
          </cell>
          <cell r="Q278">
            <v>83092</v>
          </cell>
          <cell r="R278"/>
          <cell r="S278">
            <v>185395</v>
          </cell>
          <cell r="T278">
            <v>-36908</v>
          </cell>
          <cell r="U278">
            <v>148487</v>
          </cell>
        </row>
        <row r="279">
          <cell r="A279">
            <v>92901</v>
          </cell>
          <cell r="B279" t="str">
            <v>DAVIDSON COUNTY</v>
          </cell>
          <cell r="C279">
            <v>5.5082999999999998E-3</v>
          </cell>
          <cell r="D279">
            <v>5.7581000000000004E-3</v>
          </cell>
          <cell r="E279">
            <v>2645958</v>
          </cell>
          <cell r="F279">
            <v>12220617</v>
          </cell>
          <cell r="G279">
            <v>8415157</v>
          </cell>
          <cell r="H279"/>
          <cell r="I279">
            <v>484791</v>
          </cell>
          <cell r="J279">
            <v>2043211</v>
          </cell>
          <cell r="K279">
            <v>1201801</v>
          </cell>
          <cell r="L279">
            <v>65697</v>
          </cell>
          <cell r="M279"/>
          <cell r="N279">
            <v>238206</v>
          </cell>
          <cell r="O279">
            <v>0</v>
          </cell>
          <cell r="P279">
            <v>0</v>
          </cell>
          <cell r="Q279">
            <v>124949</v>
          </cell>
          <cell r="R279"/>
          <cell r="S279">
            <v>2835915</v>
          </cell>
          <cell r="T279">
            <v>6522</v>
          </cell>
          <cell r="U279">
            <v>2842437</v>
          </cell>
        </row>
        <row r="280">
          <cell r="A280">
            <v>92911</v>
          </cell>
          <cell r="B280" t="str">
            <v>CITY OF THOMASVILLE</v>
          </cell>
          <cell r="C280">
            <v>1.9548999999999999E-3</v>
          </cell>
          <cell r="D280">
            <v>1.9442999999999999E-3</v>
          </cell>
          <cell r="E280">
            <v>924132</v>
          </cell>
          <cell r="F280">
            <v>4126456</v>
          </cell>
          <cell r="G280">
            <v>2986546</v>
          </cell>
          <cell r="H280"/>
          <cell r="I280">
            <v>172053</v>
          </cell>
          <cell r="J280">
            <v>725137</v>
          </cell>
          <cell r="K280">
            <v>426520</v>
          </cell>
          <cell r="L280">
            <v>28442</v>
          </cell>
          <cell r="M280"/>
          <cell r="N280">
            <v>84540</v>
          </cell>
          <cell r="O280">
            <v>0</v>
          </cell>
          <cell r="P280">
            <v>0</v>
          </cell>
          <cell r="Q280">
            <v>113525</v>
          </cell>
          <cell r="R280"/>
          <cell r="S280">
            <v>1006469</v>
          </cell>
          <cell r="T280">
            <v>-55041</v>
          </cell>
          <cell r="U280">
            <v>951428</v>
          </cell>
        </row>
        <row r="281">
          <cell r="A281">
            <v>92913</v>
          </cell>
          <cell r="B281" t="str">
            <v>THOMASVILLE HOUSING AUTHORITY</v>
          </cell>
          <cell r="C281">
            <v>2.1999999999999999E-5</v>
          </cell>
          <cell r="D281">
            <v>2.37E-5</v>
          </cell>
          <cell r="E281">
            <v>57760</v>
          </cell>
          <cell r="F281">
            <v>50299</v>
          </cell>
          <cell r="G281">
            <v>33610</v>
          </cell>
          <cell r="H281"/>
          <cell r="I281">
            <v>1936</v>
          </cell>
          <cell r="J281">
            <v>8160</v>
          </cell>
          <cell r="K281">
            <v>4800</v>
          </cell>
          <cell r="L281">
            <v>79442</v>
          </cell>
          <cell r="M281"/>
          <cell r="N281">
            <v>951</v>
          </cell>
          <cell r="O281">
            <v>0</v>
          </cell>
          <cell r="P281">
            <v>0</v>
          </cell>
          <cell r="Q281">
            <v>2047</v>
          </cell>
          <cell r="R281"/>
          <cell r="S281">
            <v>11327</v>
          </cell>
          <cell r="T281">
            <v>25513</v>
          </cell>
          <cell r="U281">
            <v>36840</v>
          </cell>
        </row>
        <row r="282">
          <cell r="A282">
            <v>92914</v>
          </cell>
          <cell r="B282" t="str">
            <v>THOMASVILLE ABC BOARD</v>
          </cell>
          <cell r="C282">
            <v>2.8900000000000001E-5</v>
          </cell>
          <cell r="D282">
            <v>0</v>
          </cell>
          <cell r="E282">
            <v>10513</v>
          </cell>
          <cell r="F282">
            <v>0</v>
          </cell>
          <cell r="G282">
            <v>44151</v>
          </cell>
          <cell r="H282"/>
          <cell r="I282">
            <v>2544</v>
          </cell>
          <cell r="J282">
            <v>10720</v>
          </cell>
          <cell r="K282">
            <v>6305</v>
          </cell>
          <cell r="L282">
            <v>17173</v>
          </cell>
          <cell r="M282"/>
          <cell r="N282">
            <v>1250</v>
          </cell>
          <cell r="O282">
            <v>0</v>
          </cell>
          <cell r="P282">
            <v>0</v>
          </cell>
          <cell r="Q282">
            <v>0</v>
          </cell>
          <cell r="R282"/>
          <cell r="S282">
            <v>14879</v>
          </cell>
          <cell r="T282">
            <v>4293</v>
          </cell>
          <cell r="U282">
            <v>19172</v>
          </cell>
        </row>
        <row r="283">
          <cell r="A283">
            <v>92917</v>
          </cell>
          <cell r="B283" t="str">
            <v>LEXINGTON ABC BOARD</v>
          </cell>
          <cell r="C283">
            <v>1.4800000000000001E-5</v>
          </cell>
          <cell r="D283">
            <v>2.0000000000000002E-5</v>
          </cell>
          <cell r="E283">
            <v>16082</v>
          </cell>
          <cell r="F283">
            <v>42447</v>
          </cell>
          <cell r="G283">
            <v>22610</v>
          </cell>
          <cell r="H283"/>
          <cell r="I283">
            <v>1303</v>
          </cell>
          <cell r="J283">
            <v>5490</v>
          </cell>
          <cell r="K283">
            <v>3229</v>
          </cell>
          <cell r="L283">
            <v>13223</v>
          </cell>
          <cell r="M283"/>
          <cell r="N283">
            <v>640</v>
          </cell>
          <cell r="O283">
            <v>0</v>
          </cell>
          <cell r="P283">
            <v>0</v>
          </cell>
          <cell r="Q283">
            <v>0</v>
          </cell>
          <cell r="R283"/>
          <cell r="S283">
            <v>7620</v>
          </cell>
          <cell r="T283">
            <v>6352</v>
          </cell>
          <cell r="U283">
            <v>13972</v>
          </cell>
        </row>
        <row r="284">
          <cell r="A284">
            <v>92921</v>
          </cell>
          <cell r="B284" t="str">
            <v>TOWN OF DENTON</v>
          </cell>
          <cell r="C284">
            <v>7.4400000000000006E-5</v>
          </cell>
          <cell r="D284">
            <v>6.2899999999999997E-5</v>
          </cell>
          <cell r="E284">
            <v>41073</v>
          </cell>
          <cell r="F284">
            <v>133495</v>
          </cell>
          <cell r="G284">
            <v>113663</v>
          </cell>
          <cell r="H284"/>
          <cell r="I284">
            <v>6548</v>
          </cell>
          <cell r="J284">
            <v>27597</v>
          </cell>
          <cell r="K284">
            <v>16233</v>
          </cell>
          <cell r="L284">
            <v>13244</v>
          </cell>
          <cell r="M284"/>
          <cell r="N284">
            <v>3217</v>
          </cell>
          <cell r="O284">
            <v>0</v>
          </cell>
          <cell r="P284">
            <v>0</v>
          </cell>
          <cell r="Q284">
            <v>7831</v>
          </cell>
          <cell r="R284"/>
          <cell r="S284">
            <v>38304</v>
          </cell>
          <cell r="T284">
            <v>-2914</v>
          </cell>
          <cell r="U284">
            <v>35390</v>
          </cell>
        </row>
        <row r="285">
          <cell r="A285">
            <v>92931</v>
          </cell>
          <cell r="B285" t="str">
            <v>CITY OF LEXINGTON</v>
          </cell>
          <cell r="C285">
            <v>2.3996E-3</v>
          </cell>
          <cell r="D285">
            <v>2.5048000000000002E-3</v>
          </cell>
          <cell r="E285">
            <v>1109331</v>
          </cell>
          <cell r="F285">
            <v>5316025</v>
          </cell>
          <cell r="G285">
            <v>3665924</v>
          </cell>
          <cell r="H285"/>
          <cell r="I285">
            <v>211191</v>
          </cell>
          <cell r="J285">
            <v>890091</v>
          </cell>
          <cell r="K285">
            <v>523545</v>
          </cell>
          <cell r="L285">
            <v>7721</v>
          </cell>
          <cell r="M285"/>
          <cell r="N285">
            <v>103771</v>
          </cell>
          <cell r="O285">
            <v>0</v>
          </cell>
          <cell r="P285">
            <v>0</v>
          </cell>
          <cell r="Q285">
            <v>147858</v>
          </cell>
          <cell r="R285"/>
          <cell r="S285">
            <v>1235420</v>
          </cell>
          <cell r="T285">
            <v>-41276</v>
          </cell>
          <cell r="U285">
            <v>1194144</v>
          </cell>
        </row>
        <row r="286">
          <cell r="A286">
            <v>92941</v>
          </cell>
          <cell r="B286" t="str">
            <v>TOWN OF MIDWAY</v>
          </cell>
          <cell r="C286">
            <v>1.2300000000000001E-5</v>
          </cell>
          <cell r="D286">
            <v>1.84E-5</v>
          </cell>
          <cell r="E286">
            <v>8547</v>
          </cell>
          <cell r="F286">
            <v>39051</v>
          </cell>
          <cell r="G286">
            <v>18791</v>
          </cell>
          <cell r="H286"/>
          <cell r="I286">
            <v>1083</v>
          </cell>
          <cell r="J286">
            <v>4563</v>
          </cell>
          <cell r="K286">
            <v>2684</v>
          </cell>
          <cell r="L286">
            <v>6612</v>
          </cell>
          <cell r="M286"/>
          <cell r="N286">
            <v>532</v>
          </cell>
          <cell r="O286">
            <v>0</v>
          </cell>
          <cell r="P286">
            <v>0</v>
          </cell>
          <cell r="Q286">
            <v>1770</v>
          </cell>
          <cell r="R286"/>
          <cell r="S286">
            <v>6333</v>
          </cell>
          <cell r="T286">
            <v>3162</v>
          </cell>
          <cell r="U286">
            <v>9495</v>
          </cell>
        </row>
        <row r="287">
          <cell r="A287">
            <v>93001</v>
          </cell>
          <cell r="B287" t="str">
            <v>DAVIE COUNTY</v>
          </cell>
          <cell r="C287">
            <v>2.2227000000000002E-3</v>
          </cell>
          <cell r="D287">
            <v>2.2739000000000001E-3</v>
          </cell>
          <cell r="E287">
            <v>981066</v>
          </cell>
          <cell r="F287">
            <v>4825978</v>
          </cell>
          <cell r="G287">
            <v>3395670</v>
          </cell>
          <cell r="H287"/>
          <cell r="I287">
            <v>195622</v>
          </cell>
          <cell r="J287">
            <v>824473</v>
          </cell>
          <cell r="K287">
            <v>484949</v>
          </cell>
          <cell r="L287">
            <v>8733</v>
          </cell>
          <cell r="M287"/>
          <cell r="N287">
            <v>96121</v>
          </cell>
          <cell r="O287">
            <v>0</v>
          </cell>
          <cell r="P287">
            <v>0</v>
          </cell>
          <cell r="Q287">
            <v>123729</v>
          </cell>
          <cell r="R287"/>
          <cell r="S287">
            <v>1144344</v>
          </cell>
          <cell r="T287">
            <v>-57358</v>
          </cell>
          <cell r="U287">
            <v>1086986</v>
          </cell>
        </row>
        <row r="288">
          <cell r="A288">
            <v>93009</v>
          </cell>
          <cell r="B288" t="str">
            <v>DAVIE SOIL AND WATER CONSERVATION DIST</v>
          </cell>
          <cell r="C288">
            <v>1.47E-5</v>
          </cell>
          <cell r="D288">
            <v>1.5400000000000002E-5</v>
          </cell>
          <cell r="E288">
            <v>5348</v>
          </cell>
          <cell r="F288">
            <v>32684</v>
          </cell>
          <cell r="G288">
            <v>22458</v>
          </cell>
          <cell r="H288"/>
          <cell r="I288">
            <v>1294</v>
          </cell>
          <cell r="J288">
            <v>5453</v>
          </cell>
          <cell r="K288">
            <v>3207</v>
          </cell>
          <cell r="L288">
            <v>0</v>
          </cell>
          <cell r="M288"/>
          <cell r="N288">
            <v>636</v>
          </cell>
          <cell r="O288">
            <v>0</v>
          </cell>
          <cell r="P288">
            <v>0</v>
          </cell>
          <cell r="Q288">
            <v>4280</v>
          </cell>
          <cell r="R288"/>
          <cell r="S288">
            <v>7568</v>
          </cell>
          <cell r="T288">
            <v>-1918</v>
          </cell>
          <cell r="U288">
            <v>5650</v>
          </cell>
        </row>
        <row r="289">
          <cell r="A289">
            <v>93011</v>
          </cell>
          <cell r="B289" t="str">
            <v>TOWN OF MOCKSVILLE</v>
          </cell>
          <cell r="C289">
            <v>2.2699999999999999E-4</v>
          </cell>
          <cell r="D289">
            <v>2.6160000000000002E-4</v>
          </cell>
          <cell r="E289">
            <v>118523</v>
          </cell>
          <cell r="F289">
            <v>555203</v>
          </cell>
          <cell r="G289">
            <v>346793</v>
          </cell>
          <cell r="H289"/>
          <cell r="I289">
            <v>19978</v>
          </cell>
          <cell r="J289">
            <v>84202</v>
          </cell>
          <cell r="K289">
            <v>49527</v>
          </cell>
          <cell r="L289">
            <v>1542</v>
          </cell>
          <cell r="M289"/>
          <cell r="N289">
            <v>9817</v>
          </cell>
          <cell r="O289">
            <v>0</v>
          </cell>
          <cell r="P289">
            <v>0</v>
          </cell>
          <cell r="Q289">
            <v>15019</v>
          </cell>
          <cell r="R289"/>
          <cell r="S289">
            <v>116870</v>
          </cell>
          <cell r="T289">
            <v>-3863</v>
          </cell>
          <cell r="U289">
            <v>113007</v>
          </cell>
        </row>
        <row r="290">
          <cell r="A290">
            <v>93021</v>
          </cell>
          <cell r="B290" t="str">
            <v>TOWN OF BERMUDA RUN</v>
          </cell>
          <cell r="C290">
            <v>3.4199999999999998E-5</v>
          </cell>
          <cell r="D290">
            <v>2.8900000000000001E-5</v>
          </cell>
          <cell r="E290">
            <v>12994</v>
          </cell>
          <cell r="F290">
            <v>61335</v>
          </cell>
          <cell r="G290">
            <v>52248</v>
          </cell>
          <cell r="H290"/>
          <cell r="I290">
            <v>3010</v>
          </cell>
          <cell r="J290">
            <v>12686</v>
          </cell>
          <cell r="K290">
            <v>7462</v>
          </cell>
          <cell r="L290">
            <v>3788</v>
          </cell>
          <cell r="M290"/>
          <cell r="N290">
            <v>1479</v>
          </cell>
          <cell r="O290">
            <v>0</v>
          </cell>
          <cell r="P290">
            <v>0</v>
          </cell>
          <cell r="Q290">
            <v>4978</v>
          </cell>
          <cell r="R290"/>
          <cell r="S290">
            <v>17608</v>
          </cell>
          <cell r="T290">
            <v>260</v>
          </cell>
          <cell r="U290">
            <v>17868</v>
          </cell>
        </row>
        <row r="291">
          <cell r="A291">
            <v>93027</v>
          </cell>
          <cell r="B291" t="str">
            <v>COOLEEMEE ABC BOARD</v>
          </cell>
          <cell r="C291">
            <v>1.6699999999999999E-5</v>
          </cell>
          <cell r="D291">
            <v>1.6699999999999999E-5</v>
          </cell>
          <cell r="E291">
            <v>8270</v>
          </cell>
          <cell r="F291">
            <v>35443</v>
          </cell>
          <cell r="G291">
            <v>25513</v>
          </cell>
          <cell r="H291"/>
          <cell r="I291">
            <v>1470</v>
          </cell>
          <cell r="J291">
            <v>6194</v>
          </cell>
          <cell r="K291">
            <v>3644</v>
          </cell>
          <cell r="L291">
            <v>1152</v>
          </cell>
          <cell r="M291"/>
          <cell r="N291">
            <v>722</v>
          </cell>
          <cell r="O291">
            <v>0</v>
          </cell>
          <cell r="P291">
            <v>0</v>
          </cell>
          <cell r="Q291">
            <v>834</v>
          </cell>
          <cell r="R291"/>
          <cell r="S291">
            <v>8598</v>
          </cell>
          <cell r="T291">
            <v>-308</v>
          </cell>
          <cell r="U291">
            <v>8290</v>
          </cell>
        </row>
        <row r="292">
          <cell r="A292">
            <v>93031</v>
          </cell>
          <cell r="B292" t="str">
            <v>TOWN OF COOLEEMEE</v>
          </cell>
          <cell r="C292">
            <v>2.1699999999999999E-5</v>
          </cell>
          <cell r="D292">
            <v>2.2399999999999999E-5</v>
          </cell>
          <cell r="E292">
            <v>20397</v>
          </cell>
          <cell r="F292">
            <v>47540</v>
          </cell>
          <cell r="G292">
            <v>33152</v>
          </cell>
          <cell r="H292"/>
          <cell r="I292">
            <v>1910</v>
          </cell>
          <cell r="J292">
            <v>8050</v>
          </cell>
          <cell r="K292">
            <v>4735</v>
          </cell>
          <cell r="L292">
            <v>18910</v>
          </cell>
          <cell r="M292"/>
          <cell r="N292">
            <v>938</v>
          </cell>
          <cell r="O292">
            <v>0</v>
          </cell>
          <cell r="P292">
            <v>0</v>
          </cell>
          <cell r="Q292">
            <v>221</v>
          </cell>
          <cell r="R292"/>
          <cell r="S292">
            <v>11172</v>
          </cell>
          <cell r="T292">
            <v>5880</v>
          </cell>
          <cell r="U292">
            <v>17052</v>
          </cell>
        </row>
        <row r="293">
          <cell r="A293">
            <v>93101</v>
          </cell>
          <cell r="B293" t="str">
            <v>DUPLIN COUNTY</v>
          </cell>
          <cell r="C293">
            <v>3.5159000000000002E-3</v>
          </cell>
          <cell r="D293">
            <v>3.5771000000000002E-3</v>
          </cell>
          <cell r="E293">
            <v>1521217</v>
          </cell>
          <cell r="F293">
            <v>7591805</v>
          </cell>
          <cell r="G293">
            <v>5371321</v>
          </cell>
          <cell r="H293"/>
          <cell r="I293">
            <v>309438</v>
          </cell>
          <cell r="J293">
            <v>1304163</v>
          </cell>
          <cell r="K293">
            <v>767099</v>
          </cell>
          <cell r="L293">
            <v>104257</v>
          </cell>
          <cell r="M293"/>
          <cell r="N293">
            <v>152045</v>
          </cell>
          <cell r="O293">
            <v>0</v>
          </cell>
          <cell r="P293">
            <v>0</v>
          </cell>
          <cell r="Q293">
            <v>115334</v>
          </cell>
          <cell r="R293"/>
          <cell r="S293">
            <v>1810140</v>
          </cell>
          <cell r="T293">
            <v>39451</v>
          </cell>
          <cell r="U293">
            <v>1849591</v>
          </cell>
        </row>
        <row r="294">
          <cell r="A294">
            <v>93103</v>
          </cell>
          <cell r="B294" t="str">
            <v>DUPLIN COUNTY TOURISM DEVELOPMENT AUTHORITY</v>
          </cell>
          <cell r="C294">
            <v>1.7099999999999999E-5</v>
          </cell>
          <cell r="D294">
            <v>1.7200000000000001E-5</v>
          </cell>
          <cell r="E294">
            <v>5686</v>
          </cell>
          <cell r="F294">
            <v>36504</v>
          </cell>
          <cell r="G294">
            <v>26124</v>
          </cell>
          <cell r="H294"/>
          <cell r="I294">
            <v>1505</v>
          </cell>
          <cell r="J294">
            <v>6343</v>
          </cell>
          <cell r="K294">
            <v>3731</v>
          </cell>
          <cell r="L294">
            <v>6718</v>
          </cell>
          <cell r="M294"/>
          <cell r="N294">
            <v>739</v>
          </cell>
          <cell r="O294">
            <v>0</v>
          </cell>
          <cell r="P294">
            <v>0</v>
          </cell>
          <cell r="Q294">
            <v>1798</v>
          </cell>
          <cell r="R294"/>
          <cell r="S294">
            <v>8804</v>
          </cell>
          <cell r="T294">
            <v>2085</v>
          </cell>
          <cell r="U294">
            <v>10889</v>
          </cell>
        </row>
        <row r="295">
          <cell r="A295">
            <v>93108</v>
          </cell>
          <cell r="B295" t="str">
            <v>EASTPOINTE HUMAN SERVICES</v>
          </cell>
          <cell r="C295">
            <v>2.6624999999999999E-3</v>
          </cell>
          <cell r="D295">
            <v>2.5661999999999998E-3</v>
          </cell>
          <cell r="E295">
            <v>1189197</v>
          </cell>
          <cell r="F295">
            <v>5446336</v>
          </cell>
          <cell r="G295">
            <v>4067562</v>
          </cell>
          <cell r="H295"/>
          <cell r="I295">
            <v>234329</v>
          </cell>
          <cell r="J295">
            <v>987609</v>
          </cell>
          <cell r="K295">
            <v>580904</v>
          </cell>
          <cell r="L295">
            <v>274861</v>
          </cell>
          <cell r="M295"/>
          <cell r="N295">
            <v>115140</v>
          </cell>
          <cell r="O295">
            <v>0</v>
          </cell>
          <cell r="P295">
            <v>0</v>
          </cell>
          <cell r="Q295">
            <v>0</v>
          </cell>
          <cell r="R295"/>
          <cell r="S295">
            <v>1370772</v>
          </cell>
          <cell r="T295">
            <v>189775</v>
          </cell>
          <cell r="U295">
            <v>1560547</v>
          </cell>
        </row>
        <row r="296">
          <cell r="A296">
            <v>93111</v>
          </cell>
          <cell r="B296" t="str">
            <v>TOWN OF BEULAVILLE</v>
          </cell>
          <cell r="C296">
            <v>5.8499999999999999E-5</v>
          </cell>
          <cell r="D296">
            <v>7.08E-5</v>
          </cell>
          <cell r="E296">
            <v>27143</v>
          </cell>
          <cell r="F296">
            <v>150261</v>
          </cell>
          <cell r="G296">
            <v>89372</v>
          </cell>
          <cell r="H296"/>
          <cell r="I296">
            <v>5149</v>
          </cell>
          <cell r="J296">
            <v>21700</v>
          </cell>
          <cell r="K296">
            <v>12764</v>
          </cell>
          <cell r="L296">
            <v>0</v>
          </cell>
          <cell r="M296"/>
          <cell r="N296">
            <v>2530</v>
          </cell>
          <cell r="O296">
            <v>0</v>
          </cell>
          <cell r="P296">
            <v>0</v>
          </cell>
          <cell r="Q296">
            <v>15463</v>
          </cell>
          <cell r="R296"/>
          <cell r="S296">
            <v>30118</v>
          </cell>
          <cell r="T296">
            <v>-5541</v>
          </cell>
          <cell r="U296">
            <v>24577</v>
          </cell>
        </row>
        <row r="297">
          <cell r="A297">
            <v>93121</v>
          </cell>
          <cell r="B297" t="str">
            <v>TOWN OF KENANSVILLE</v>
          </cell>
          <cell r="C297">
            <v>6.2299999999999996E-5</v>
          </cell>
          <cell r="D297">
            <v>5.8900000000000002E-5</v>
          </cell>
          <cell r="E297">
            <v>28306</v>
          </cell>
          <cell r="F297">
            <v>125006</v>
          </cell>
          <cell r="G297">
            <v>95177</v>
          </cell>
          <cell r="H297"/>
          <cell r="I297">
            <v>5483</v>
          </cell>
          <cell r="J297">
            <v>23109</v>
          </cell>
          <cell r="K297">
            <v>13593</v>
          </cell>
          <cell r="L297">
            <v>2043</v>
          </cell>
          <cell r="M297"/>
          <cell r="N297">
            <v>2694</v>
          </cell>
          <cell r="O297">
            <v>0</v>
          </cell>
          <cell r="P297">
            <v>0</v>
          </cell>
          <cell r="Q297">
            <v>9059</v>
          </cell>
          <cell r="R297"/>
          <cell r="S297">
            <v>32075</v>
          </cell>
          <cell r="T297">
            <v>-3552</v>
          </cell>
          <cell r="U297">
            <v>28523</v>
          </cell>
        </row>
        <row r="298">
          <cell r="A298">
            <v>93127</v>
          </cell>
          <cell r="B298" t="str">
            <v>KENANSVILLE ABC BOARD</v>
          </cell>
          <cell r="C298">
            <v>6.9E-6</v>
          </cell>
          <cell r="D298">
            <v>6.8000000000000001E-6</v>
          </cell>
          <cell r="E298">
            <v>3239</v>
          </cell>
          <cell r="F298">
            <v>14432</v>
          </cell>
          <cell r="G298">
            <v>10541</v>
          </cell>
          <cell r="H298"/>
          <cell r="I298">
            <v>607</v>
          </cell>
          <cell r="J298">
            <v>2560</v>
          </cell>
          <cell r="K298">
            <v>1505</v>
          </cell>
          <cell r="L298">
            <v>124</v>
          </cell>
          <cell r="M298"/>
          <cell r="N298">
            <v>298</v>
          </cell>
          <cell r="O298">
            <v>0</v>
          </cell>
          <cell r="P298">
            <v>0</v>
          </cell>
          <cell r="Q298">
            <v>731</v>
          </cell>
          <cell r="R298"/>
          <cell r="S298">
            <v>3552</v>
          </cell>
          <cell r="T298">
            <v>-369</v>
          </cell>
          <cell r="U298">
            <v>3183</v>
          </cell>
        </row>
        <row r="299">
          <cell r="A299">
            <v>93131</v>
          </cell>
          <cell r="B299" t="str">
            <v>TOWN OF WARSAW</v>
          </cell>
          <cell r="C299">
            <v>2.218E-4</v>
          </cell>
          <cell r="D299">
            <v>2.3939999999999999E-4</v>
          </cell>
          <cell r="E299">
            <v>95091</v>
          </cell>
          <cell r="F299">
            <v>508087</v>
          </cell>
          <cell r="G299">
            <v>338849</v>
          </cell>
          <cell r="H299"/>
          <cell r="I299">
            <v>19521</v>
          </cell>
          <cell r="J299">
            <v>82273</v>
          </cell>
          <cell r="K299">
            <v>48392</v>
          </cell>
          <cell r="L299">
            <v>7888</v>
          </cell>
          <cell r="M299"/>
          <cell r="N299">
            <v>9592</v>
          </cell>
          <cell r="O299">
            <v>0</v>
          </cell>
          <cell r="P299">
            <v>0</v>
          </cell>
          <cell r="Q299">
            <v>21906</v>
          </cell>
          <cell r="R299"/>
          <cell r="S299">
            <v>114192</v>
          </cell>
          <cell r="T299">
            <v>-530</v>
          </cell>
          <cell r="U299">
            <v>113662</v>
          </cell>
        </row>
        <row r="300">
          <cell r="A300">
            <v>93137</v>
          </cell>
          <cell r="B300" t="str">
            <v>WARSAW ABC BOARD</v>
          </cell>
          <cell r="C300">
            <v>3.3000000000000002E-6</v>
          </cell>
          <cell r="D300">
            <v>1.9E-6</v>
          </cell>
          <cell r="E300">
            <v>2530</v>
          </cell>
          <cell r="F300">
            <v>4032</v>
          </cell>
          <cell r="G300">
            <v>5041</v>
          </cell>
          <cell r="H300"/>
          <cell r="I300">
            <v>290</v>
          </cell>
          <cell r="J300">
            <v>1224</v>
          </cell>
          <cell r="K300">
            <v>720</v>
          </cell>
          <cell r="L300">
            <v>2709</v>
          </cell>
          <cell r="M300"/>
          <cell r="N300">
            <v>143</v>
          </cell>
          <cell r="O300">
            <v>0</v>
          </cell>
          <cell r="P300">
            <v>0</v>
          </cell>
          <cell r="Q300">
            <v>0</v>
          </cell>
          <cell r="R300"/>
          <cell r="S300">
            <v>1699</v>
          </cell>
          <cell r="T300">
            <v>839</v>
          </cell>
          <cell r="U300">
            <v>2538</v>
          </cell>
        </row>
        <row r="301">
          <cell r="A301">
            <v>93141</v>
          </cell>
          <cell r="B301" t="str">
            <v>TOWN OF FAISON</v>
          </cell>
          <cell r="C301">
            <v>4.1100000000000003E-5</v>
          </cell>
          <cell r="D301">
            <v>4.5500000000000001E-5</v>
          </cell>
          <cell r="E301">
            <v>16199</v>
          </cell>
          <cell r="F301">
            <v>96566</v>
          </cell>
          <cell r="G301">
            <v>62789</v>
          </cell>
          <cell r="H301"/>
          <cell r="I301">
            <v>3617</v>
          </cell>
          <cell r="J301">
            <v>15246</v>
          </cell>
          <cell r="K301">
            <v>8967</v>
          </cell>
          <cell r="L301">
            <v>2083</v>
          </cell>
          <cell r="M301"/>
          <cell r="N301">
            <v>1777</v>
          </cell>
          <cell r="O301">
            <v>0</v>
          </cell>
          <cell r="P301">
            <v>0</v>
          </cell>
          <cell r="Q301">
            <v>7408</v>
          </cell>
          <cell r="R301"/>
          <cell r="S301">
            <v>21160</v>
          </cell>
          <cell r="T301">
            <v>-351</v>
          </cell>
          <cell r="U301">
            <v>20809</v>
          </cell>
        </row>
        <row r="302">
          <cell r="A302">
            <v>93151</v>
          </cell>
          <cell r="B302" t="str">
            <v>TOWN OF WALLACE</v>
          </cell>
          <cell r="C302">
            <v>3.4279999999999998E-4</v>
          </cell>
          <cell r="D302">
            <v>3.6539999999999999E-4</v>
          </cell>
          <cell r="E302">
            <v>156182</v>
          </cell>
          <cell r="F302">
            <v>775501</v>
          </cell>
          <cell r="G302">
            <v>523703</v>
          </cell>
          <cell r="H302"/>
          <cell r="I302">
            <v>30170</v>
          </cell>
          <cell r="J302">
            <v>127156</v>
          </cell>
          <cell r="K302">
            <v>74792</v>
          </cell>
          <cell r="L302">
            <v>3795</v>
          </cell>
          <cell r="M302"/>
          <cell r="N302">
            <v>14824</v>
          </cell>
          <cell r="O302">
            <v>0</v>
          </cell>
          <cell r="P302">
            <v>0</v>
          </cell>
          <cell r="Q302">
            <v>19989</v>
          </cell>
          <cell r="R302"/>
          <cell r="S302">
            <v>176489</v>
          </cell>
          <cell r="T302">
            <v>-4355</v>
          </cell>
          <cell r="U302">
            <v>172134</v>
          </cell>
        </row>
        <row r="303">
          <cell r="A303">
            <v>93157</v>
          </cell>
          <cell r="B303" t="str">
            <v>WALLACE ABC BD</v>
          </cell>
          <cell r="C303">
            <v>3.5999999999999998E-6</v>
          </cell>
          <cell r="D303">
            <v>3.8E-6</v>
          </cell>
          <cell r="E303">
            <v>6045</v>
          </cell>
          <cell r="F303">
            <v>8065</v>
          </cell>
          <cell r="G303">
            <v>5500</v>
          </cell>
          <cell r="H303"/>
          <cell r="I303">
            <v>317</v>
          </cell>
          <cell r="J303">
            <v>1336</v>
          </cell>
          <cell r="K303">
            <v>785</v>
          </cell>
          <cell r="L303">
            <v>6931</v>
          </cell>
          <cell r="M303"/>
          <cell r="N303">
            <v>156</v>
          </cell>
          <cell r="O303">
            <v>0</v>
          </cell>
          <cell r="P303">
            <v>0</v>
          </cell>
          <cell r="Q303">
            <v>340</v>
          </cell>
          <cell r="R303"/>
          <cell r="S303">
            <v>1853</v>
          </cell>
          <cell r="T303">
            <v>2783</v>
          </cell>
          <cell r="U303">
            <v>4636</v>
          </cell>
        </row>
        <row r="304">
          <cell r="A304">
            <v>93161</v>
          </cell>
          <cell r="B304" t="str">
            <v>TOWN OF ROSE HILL</v>
          </cell>
          <cell r="C304">
            <v>1.038E-4</v>
          </cell>
          <cell r="D304">
            <v>6.2500000000000001E-5</v>
          </cell>
          <cell r="E304">
            <v>47956</v>
          </cell>
          <cell r="F304">
            <v>132646</v>
          </cell>
          <cell r="G304">
            <v>158578</v>
          </cell>
          <cell r="H304"/>
          <cell r="I304">
            <v>9136</v>
          </cell>
          <cell r="J304">
            <v>38503</v>
          </cell>
          <cell r="K304">
            <v>22647</v>
          </cell>
          <cell r="L304">
            <v>35990</v>
          </cell>
          <cell r="M304"/>
          <cell r="N304">
            <v>4489</v>
          </cell>
          <cell r="O304">
            <v>0</v>
          </cell>
          <cell r="P304">
            <v>0</v>
          </cell>
          <cell r="Q304">
            <v>0</v>
          </cell>
          <cell r="R304"/>
          <cell r="S304">
            <v>53441</v>
          </cell>
          <cell r="T304">
            <v>13001</v>
          </cell>
          <cell r="U304">
            <v>66442</v>
          </cell>
        </row>
        <row r="305">
          <cell r="A305">
            <v>93171</v>
          </cell>
          <cell r="B305" t="str">
            <v>TOWN OF CALYPSO</v>
          </cell>
          <cell r="C305">
            <v>5.2000000000000002E-6</v>
          </cell>
          <cell r="D305">
            <v>5.8000000000000004E-6</v>
          </cell>
          <cell r="E305">
            <v>3889</v>
          </cell>
          <cell r="F305">
            <v>12310</v>
          </cell>
          <cell r="G305">
            <v>7944</v>
          </cell>
          <cell r="H305"/>
          <cell r="I305">
            <v>458</v>
          </cell>
          <cell r="J305">
            <v>1929</v>
          </cell>
          <cell r="K305">
            <v>1135</v>
          </cell>
          <cell r="L305">
            <v>1960</v>
          </cell>
          <cell r="M305"/>
          <cell r="N305">
            <v>225</v>
          </cell>
          <cell r="O305">
            <v>0</v>
          </cell>
          <cell r="P305">
            <v>0</v>
          </cell>
          <cell r="Q305">
            <v>0</v>
          </cell>
          <cell r="R305"/>
          <cell r="S305">
            <v>2677</v>
          </cell>
          <cell r="T305">
            <v>791</v>
          </cell>
          <cell r="U305">
            <v>3468</v>
          </cell>
        </row>
        <row r="306">
          <cell r="A306">
            <v>93181</v>
          </cell>
          <cell r="B306" t="str">
            <v>TOWN OF TEACHEY</v>
          </cell>
          <cell r="C306">
            <v>1.13E-5</v>
          </cell>
          <cell r="D306">
            <v>1.1E-5</v>
          </cell>
          <cell r="E306">
            <v>5393</v>
          </cell>
          <cell r="F306">
            <v>23346</v>
          </cell>
          <cell r="G306">
            <v>17263</v>
          </cell>
          <cell r="H306"/>
          <cell r="I306">
            <v>995</v>
          </cell>
          <cell r="J306">
            <v>4191</v>
          </cell>
          <cell r="K306">
            <v>2465</v>
          </cell>
          <cell r="L306">
            <v>772</v>
          </cell>
          <cell r="M306"/>
          <cell r="N306">
            <v>489</v>
          </cell>
          <cell r="O306">
            <v>0</v>
          </cell>
          <cell r="P306">
            <v>0</v>
          </cell>
          <cell r="Q306">
            <v>28</v>
          </cell>
          <cell r="R306"/>
          <cell r="S306">
            <v>5818</v>
          </cell>
          <cell r="T306">
            <v>412</v>
          </cell>
          <cell r="U306">
            <v>6230</v>
          </cell>
        </row>
        <row r="307">
          <cell r="A307">
            <v>93191</v>
          </cell>
          <cell r="B307" t="str">
            <v>TOWN OF MAGNOLIA</v>
          </cell>
          <cell r="C307">
            <v>2.4600000000000002E-5</v>
          </cell>
          <cell r="D307">
            <v>3.3000000000000003E-5</v>
          </cell>
          <cell r="E307">
            <v>16089</v>
          </cell>
          <cell r="F307">
            <v>70037</v>
          </cell>
          <cell r="G307">
            <v>37582</v>
          </cell>
          <cell r="H307"/>
          <cell r="I307">
            <v>2165</v>
          </cell>
          <cell r="J307">
            <v>9125</v>
          </cell>
          <cell r="K307">
            <v>5367</v>
          </cell>
          <cell r="L307">
            <v>1713</v>
          </cell>
          <cell r="M307"/>
          <cell r="N307">
            <v>1064</v>
          </cell>
          <cell r="O307">
            <v>0</v>
          </cell>
          <cell r="P307">
            <v>0</v>
          </cell>
          <cell r="Q307">
            <v>2443</v>
          </cell>
          <cell r="R307"/>
          <cell r="S307">
            <v>12665</v>
          </cell>
          <cell r="T307">
            <v>-169</v>
          </cell>
          <cell r="U307">
            <v>12496</v>
          </cell>
        </row>
        <row r="308">
          <cell r="A308">
            <v>93201</v>
          </cell>
          <cell r="B308" t="str">
            <v>DURHAM COUNTY</v>
          </cell>
          <cell r="C308">
            <v>1.5517E-2</v>
          </cell>
          <cell r="D308">
            <v>1.5819699999999999E-2</v>
          </cell>
          <cell r="E308">
            <v>7119270</v>
          </cell>
          <cell r="F308">
            <v>33574703</v>
          </cell>
          <cell r="G308">
            <v>23705678</v>
          </cell>
          <cell r="H308"/>
          <cell r="I308">
            <v>1365667</v>
          </cell>
          <cell r="J308">
            <v>5755768</v>
          </cell>
          <cell r="K308">
            <v>3385499</v>
          </cell>
          <cell r="L308">
            <v>809545</v>
          </cell>
          <cell r="M308"/>
          <cell r="N308">
            <v>671033</v>
          </cell>
          <cell r="O308">
            <v>0</v>
          </cell>
          <cell r="P308">
            <v>0</v>
          </cell>
          <cell r="Q308">
            <v>206420</v>
          </cell>
          <cell r="R308"/>
          <cell r="S308">
            <v>7988834</v>
          </cell>
          <cell r="T308">
            <v>397964</v>
          </cell>
          <cell r="U308">
            <v>8386798</v>
          </cell>
        </row>
        <row r="309">
          <cell r="A309">
            <v>93202</v>
          </cell>
          <cell r="B309" t="str">
            <v>PARKWOOD FIRE DEPARTMENT</v>
          </cell>
          <cell r="C309">
            <v>0</v>
          </cell>
          <cell r="D309">
            <v>0</v>
          </cell>
          <cell r="E309">
            <v>0</v>
          </cell>
          <cell r="F309">
            <v>0</v>
          </cell>
          <cell r="G309">
            <v>0</v>
          </cell>
          <cell r="H309"/>
          <cell r="I309">
            <v>0</v>
          </cell>
          <cell r="J309">
            <v>0</v>
          </cell>
          <cell r="K309">
            <v>0</v>
          </cell>
          <cell r="L309">
            <v>0</v>
          </cell>
          <cell r="M309"/>
          <cell r="N309">
            <v>0</v>
          </cell>
          <cell r="O309">
            <v>0</v>
          </cell>
          <cell r="P309">
            <v>0</v>
          </cell>
          <cell r="Q309">
            <v>212519</v>
          </cell>
          <cell r="R309"/>
          <cell r="S309">
            <v>0</v>
          </cell>
          <cell r="T309">
            <v>-109544</v>
          </cell>
          <cell r="U309">
            <v>-109544</v>
          </cell>
        </row>
        <row r="310">
          <cell r="A310">
            <v>93204</v>
          </cell>
          <cell r="B310" t="str">
            <v>DURHAM COUNTY ABC BOARD</v>
          </cell>
          <cell r="C310">
            <v>3.0279999999999999E-4</v>
          </cell>
          <cell r="D310">
            <v>2.9480000000000001E-4</v>
          </cell>
          <cell r="E310">
            <v>157546</v>
          </cell>
          <cell r="F310">
            <v>625664</v>
          </cell>
          <cell r="G310">
            <v>462595</v>
          </cell>
          <cell r="H310"/>
          <cell r="I310">
            <v>26650</v>
          </cell>
          <cell r="J310">
            <v>112319</v>
          </cell>
          <cell r="K310">
            <v>66065</v>
          </cell>
          <cell r="L310">
            <v>24167</v>
          </cell>
          <cell r="M310"/>
          <cell r="N310">
            <v>13095</v>
          </cell>
          <cell r="O310">
            <v>0</v>
          </cell>
          <cell r="P310">
            <v>0</v>
          </cell>
          <cell r="Q310">
            <v>9452</v>
          </cell>
          <cell r="R310"/>
          <cell r="S310">
            <v>155895</v>
          </cell>
          <cell r="T310">
            <v>782</v>
          </cell>
          <cell r="U310">
            <v>156677</v>
          </cell>
        </row>
        <row r="311">
          <cell r="A311">
            <v>93209</v>
          </cell>
          <cell r="B311" t="str">
            <v>ALLIANCE BEHAVIORAL HEALTHCRE</v>
          </cell>
          <cell r="C311">
            <v>4.6693999999999998E-3</v>
          </cell>
          <cell r="D311">
            <v>4.5113999999999996E-3</v>
          </cell>
          <cell r="E311">
            <v>2094525</v>
          </cell>
          <cell r="F311">
            <v>9574702</v>
          </cell>
          <cell r="G311">
            <v>7133550</v>
          </cell>
          <cell r="H311"/>
          <cell r="I311">
            <v>410959</v>
          </cell>
          <cell r="J311">
            <v>1732035</v>
          </cell>
          <cell r="K311">
            <v>1018770</v>
          </cell>
          <cell r="L311">
            <v>838336</v>
          </cell>
          <cell r="M311"/>
          <cell r="N311">
            <v>201928</v>
          </cell>
          <cell r="O311">
            <v>0</v>
          </cell>
          <cell r="P311">
            <v>0</v>
          </cell>
          <cell r="Q311">
            <v>0</v>
          </cell>
          <cell r="R311"/>
          <cell r="S311">
            <v>2404013</v>
          </cell>
          <cell r="T311">
            <v>551077</v>
          </cell>
          <cell r="U311">
            <v>2955090</v>
          </cell>
        </row>
        <row r="312">
          <cell r="A312">
            <v>93211</v>
          </cell>
          <cell r="B312" t="str">
            <v>CITY OF DURHAM</v>
          </cell>
          <cell r="C312">
            <v>2.0374099999999999E-2</v>
          </cell>
          <cell r="D312">
            <v>2.0456800000000001E-2</v>
          </cell>
          <cell r="E312">
            <v>9330077</v>
          </cell>
          <cell r="F312">
            <v>43416183</v>
          </cell>
          <cell r="G312">
            <v>31125981</v>
          </cell>
          <cell r="H312"/>
          <cell r="I312">
            <v>1793145</v>
          </cell>
          <cell r="J312">
            <v>7557426</v>
          </cell>
          <cell r="K312">
            <v>4445221</v>
          </cell>
          <cell r="L312">
            <v>0</v>
          </cell>
          <cell r="M312"/>
          <cell r="N312">
            <v>881078</v>
          </cell>
          <cell r="O312">
            <v>0</v>
          </cell>
          <cell r="P312">
            <v>0</v>
          </cell>
          <cell r="Q312">
            <v>991023</v>
          </cell>
          <cell r="R312"/>
          <cell r="S312">
            <v>10489483</v>
          </cell>
          <cell r="T312">
            <v>-507236</v>
          </cell>
          <cell r="U312">
            <v>9982247</v>
          </cell>
        </row>
        <row r="313">
          <cell r="A313">
            <v>93212</v>
          </cell>
          <cell r="B313" t="str">
            <v>DURHAM CONVENTION &amp; VISITORS BUREAU</v>
          </cell>
          <cell r="C313">
            <v>2.2130000000000001E-4</v>
          </cell>
          <cell r="D313">
            <v>2.052E-4</v>
          </cell>
          <cell r="E313">
            <v>193584</v>
          </cell>
          <cell r="F313">
            <v>435503</v>
          </cell>
          <cell r="G313">
            <v>338085</v>
          </cell>
          <cell r="H313"/>
          <cell r="I313">
            <v>19477</v>
          </cell>
          <cell r="J313">
            <v>82087</v>
          </cell>
          <cell r="K313">
            <v>48283</v>
          </cell>
          <cell r="L313">
            <v>158429</v>
          </cell>
          <cell r="M313"/>
          <cell r="N313">
            <v>9570</v>
          </cell>
          <cell r="O313">
            <v>0</v>
          </cell>
          <cell r="P313">
            <v>0</v>
          </cell>
          <cell r="Q313">
            <v>0</v>
          </cell>
          <cell r="R313"/>
          <cell r="S313">
            <v>113935</v>
          </cell>
          <cell r="T313">
            <v>53448</v>
          </cell>
          <cell r="U313">
            <v>167383</v>
          </cell>
        </row>
        <row r="314">
          <cell r="A314">
            <v>93219</v>
          </cell>
          <cell r="B314" t="str">
            <v>TRIANGLE J COUNCIL OF GOVERNMENTS</v>
          </cell>
          <cell r="C314">
            <v>2.6289999999999999E-4</v>
          </cell>
          <cell r="D314">
            <v>2.286E-4</v>
          </cell>
          <cell r="E314">
            <v>120179</v>
          </cell>
          <cell r="F314">
            <v>485166</v>
          </cell>
          <cell r="G314">
            <v>401638</v>
          </cell>
          <cell r="H314"/>
          <cell r="I314">
            <v>23138</v>
          </cell>
          <cell r="J314">
            <v>97518</v>
          </cell>
          <cell r="K314">
            <v>57360</v>
          </cell>
          <cell r="L314">
            <v>22706</v>
          </cell>
          <cell r="M314"/>
          <cell r="N314">
            <v>11369</v>
          </cell>
          <cell r="O314">
            <v>0</v>
          </cell>
          <cell r="P314">
            <v>0</v>
          </cell>
          <cell r="Q314">
            <v>9094</v>
          </cell>
          <cell r="R314"/>
          <cell r="S314">
            <v>135352</v>
          </cell>
          <cell r="T314">
            <v>1456</v>
          </cell>
          <cell r="U314">
            <v>136808</v>
          </cell>
        </row>
        <row r="315">
          <cell r="A315">
            <v>93301</v>
          </cell>
          <cell r="B315" t="str">
            <v>EDGECOMBE COUNTY</v>
          </cell>
          <cell r="C315">
            <v>2.5243000000000002E-3</v>
          </cell>
          <cell r="D315">
            <v>2.5330999999999999E-3</v>
          </cell>
          <cell r="E315">
            <v>1153746</v>
          </cell>
          <cell r="F315">
            <v>5376087</v>
          </cell>
          <cell r="G315">
            <v>3856431</v>
          </cell>
          <cell r="H315"/>
          <cell r="I315">
            <v>222166</v>
          </cell>
          <cell r="J315">
            <v>936346</v>
          </cell>
          <cell r="K315">
            <v>550752</v>
          </cell>
          <cell r="L315">
            <v>47371</v>
          </cell>
          <cell r="M315"/>
          <cell r="N315">
            <v>109163</v>
          </cell>
          <cell r="O315">
            <v>0</v>
          </cell>
          <cell r="P315">
            <v>0</v>
          </cell>
          <cell r="Q315">
            <v>61692</v>
          </cell>
          <cell r="R315"/>
          <cell r="S315">
            <v>1299621</v>
          </cell>
          <cell r="T315">
            <v>-19789</v>
          </cell>
          <cell r="U315">
            <v>1279832</v>
          </cell>
        </row>
        <row r="316">
          <cell r="A316">
            <v>93304</v>
          </cell>
          <cell r="B316" t="str">
            <v>EDGECOMBE COUNTY ABC BOARD</v>
          </cell>
          <cell r="C316">
            <v>3.0300000000000001E-5</v>
          </cell>
          <cell r="D316">
            <v>3.4400000000000003E-5</v>
          </cell>
          <cell r="E316">
            <v>18289</v>
          </cell>
          <cell r="F316">
            <v>73008</v>
          </cell>
          <cell r="G316">
            <v>46290</v>
          </cell>
          <cell r="H316"/>
          <cell r="I316">
            <v>2667</v>
          </cell>
          <cell r="J316">
            <v>11239</v>
          </cell>
          <cell r="K316">
            <v>6611</v>
          </cell>
          <cell r="L316">
            <v>9418</v>
          </cell>
          <cell r="M316"/>
          <cell r="N316">
            <v>1310</v>
          </cell>
          <cell r="O316">
            <v>0</v>
          </cell>
          <cell r="P316">
            <v>0</v>
          </cell>
          <cell r="Q316">
            <v>0</v>
          </cell>
          <cell r="R316"/>
          <cell r="S316">
            <v>15600</v>
          </cell>
          <cell r="T316">
            <v>5129</v>
          </cell>
          <cell r="U316">
            <v>20729</v>
          </cell>
        </row>
        <row r="317">
          <cell r="A317">
            <v>93305</v>
          </cell>
          <cell r="B317" t="str">
            <v>EDGECOMBE COUNTY MEMORIAL LIBRARY</v>
          </cell>
          <cell r="C317">
            <v>4.6999999999999997E-5</v>
          </cell>
          <cell r="D317">
            <v>4.9400000000000001E-5</v>
          </cell>
          <cell r="E317">
            <v>19565</v>
          </cell>
          <cell r="F317">
            <v>104843</v>
          </cell>
          <cell r="G317">
            <v>71803</v>
          </cell>
          <cell r="H317"/>
          <cell r="I317">
            <v>4137</v>
          </cell>
          <cell r="J317">
            <v>17434</v>
          </cell>
          <cell r="K317">
            <v>10254</v>
          </cell>
          <cell r="L317">
            <v>0</v>
          </cell>
          <cell r="M317"/>
          <cell r="N317">
            <v>2033</v>
          </cell>
          <cell r="O317">
            <v>0</v>
          </cell>
          <cell r="P317">
            <v>0</v>
          </cell>
          <cell r="Q317">
            <v>5631</v>
          </cell>
          <cell r="R317"/>
          <cell r="S317">
            <v>24198</v>
          </cell>
          <cell r="T317">
            <v>-1929</v>
          </cell>
          <cell r="U317">
            <v>22269</v>
          </cell>
        </row>
        <row r="318">
          <cell r="A318">
            <v>93309</v>
          </cell>
          <cell r="B318" t="str">
            <v>UPPER COASTAL PLAIN COUNCIL OF GOVERNMENTS</v>
          </cell>
          <cell r="C318">
            <v>1.63E-4</v>
          </cell>
          <cell r="D318">
            <v>1.716E-4</v>
          </cell>
          <cell r="E318">
            <v>89051</v>
          </cell>
          <cell r="F318">
            <v>364193</v>
          </cell>
          <cell r="G318">
            <v>249019</v>
          </cell>
          <cell r="H318"/>
          <cell r="I318">
            <v>14346</v>
          </cell>
          <cell r="J318">
            <v>60462</v>
          </cell>
          <cell r="K318">
            <v>35563</v>
          </cell>
          <cell r="L318">
            <v>22457</v>
          </cell>
          <cell r="M318"/>
          <cell r="N318">
            <v>7049</v>
          </cell>
          <cell r="O318">
            <v>0</v>
          </cell>
          <cell r="P318">
            <v>0</v>
          </cell>
          <cell r="Q318">
            <v>981</v>
          </cell>
          <cell r="R318"/>
          <cell r="S318">
            <v>83920</v>
          </cell>
          <cell r="T318">
            <v>7147</v>
          </cell>
          <cell r="U318">
            <v>91067</v>
          </cell>
        </row>
        <row r="319">
          <cell r="A319">
            <v>93311</v>
          </cell>
          <cell r="B319" t="str">
            <v>TOWN OF TARBORO</v>
          </cell>
          <cell r="C319">
            <v>1.1665E-3</v>
          </cell>
          <cell r="D319">
            <v>1.1567000000000001E-3</v>
          </cell>
          <cell r="E319">
            <v>529432</v>
          </cell>
          <cell r="F319">
            <v>2454905</v>
          </cell>
          <cell r="G319">
            <v>1782089</v>
          </cell>
          <cell r="H319"/>
          <cell r="I319">
            <v>102665</v>
          </cell>
          <cell r="J319">
            <v>432693</v>
          </cell>
          <cell r="K319">
            <v>254507</v>
          </cell>
          <cell r="L319">
            <v>1699</v>
          </cell>
          <cell r="M319"/>
          <cell r="N319">
            <v>50445</v>
          </cell>
          <cell r="O319">
            <v>0</v>
          </cell>
          <cell r="P319">
            <v>0</v>
          </cell>
          <cell r="Q319">
            <v>83745</v>
          </cell>
          <cell r="R319"/>
          <cell r="S319">
            <v>600566</v>
          </cell>
          <cell r="T319">
            <v>-37677</v>
          </cell>
          <cell r="U319">
            <v>562889</v>
          </cell>
        </row>
        <row r="320">
          <cell r="A320">
            <v>93317</v>
          </cell>
          <cell r="B320" t="str">
            <v>TARBORO REDEVELOPMENT COMMISSION</v>
          </cell>
          <cell r="C320">
            <v>5.0099999999999998E-5</v>
          </cell>
          <cell r="D320">
            <v>4.8099999999999997E-5</v>
          </cell>
          <cell r="E320">
            <v>21779</v>
          </cell>
          <cell r="F320">
            <v>102084</v>
          </cell>
          <cell r="G320">
            <v>76539</v>
          </cell>
          <cell r="H320"/>
          <cell r="I320">
            <v>4409</v>
          </cell>
          <cell r="J320">
            <v>18583</v>
          </cell>
          <cell r="K320">
            <v>10931</v>
          </cell>
          <cell r="L320">
            <v>805</v>
          </cell>
          <cell r="M320"/>
          <cell r="N320">
            <v>2167</v>
          </cell>
          <cell r="O320">
            <v>0</v>
          </cell>
          <cell r="P320">
            <v>0</v>
          </cell>
          <cell r="Q320">
            <v>277</v>
          </cell>
          <cell r="R320"/>
          <cell r="S320">
            <v>25794</v>
          </cell>
          <cell r="T320">
            <v>-23</v>
          </cell>
          <cell r="U320">
            <v>25771</v>
          </cell>
        </row>
        <row r="321">
          <cell r="A321">
            <v>93321</v>
          </cell>
          <cell r="B321" t="str">
            <v>CITY OF ROCKY MOUNT</v>
          </cell>
          <cell r="C321">
            <v>7.3600000000000002E-3</v>
          </cell>
          <cell r="D321">
            <v>7.4706E-3</v>
          </cell>
          <cell r="E321">
            <v>3205902</v>
          </cell>
          <cell r="F321">
            <v>15855116</v>
          </cell>
          <cell r="G321">
            <v>11244041</v>
          </cell>
          <cell r="H321"/>
          <cell r="I321">
            <v>647761</v>
          </cell>
          <cell r="J321">
            <v>2730067</v>
          </cell>
          <cell r="K321">
            <v>1605805</v>
          </cell>
          <cell r="L321">
            <v>0</v>
          </cell>
          <cell r="M321"/>
          <cell r="N321">
            <v>318283</v>
          </cell>
          <cell r="O321">
            <v>0</v>
          </cell>
          <cell r="P321">
            <v>0</v>
          </cell>
          <cell r="Q321">
            <v>681688</v>
          </cell>
          <cell r="R321"/>
          <cell r="S321">
            <v>3789252</v>
          </cell>
          <cell r="T321">
            <v>-330030</v>
          </cell>
          <cell r="U321">
            <v>3459222</v>
          </cell>
        </row>
        <row r="322">
          <cell r="A322">
            <v>93323</v>
          </cell>
          <cell r="B322" t="str">
            <v>ROCKY MOUNT-WILSON AIRPORT AUTHORITY</v>
          </cell>
          <cell r="C322">
            <v>2.19E-5</v>
          </cell>
          <cell r="D322">
            <v>1.0200000000000001E-5</v>
          </cell>
          <cell r="E322">
            <v>8923</v>
          </cell>
          <cell r="F322">
            <v>21648</v>
          </cell>
          <cell r="G322">
            <v>33457</v>
          </cell>
          <cell r="H322"/>
          <cell r="I322">
            <v>1927</v>
          </cell>
          <cell r="J322">
            <v>8123</v>
          </cell>
          <cell r="K322">
            <v>4778</v>
          </cell>
          <cell r="L322">
            <v>8607</v>
          </cell>
          <cell r="M322"/>
          <cell r="N322">
            <v>947</v>
          </cell>
          <cell r="O322">
            <v>0</v>
          </cell>
          <cell r="P322">
            <v>0</v>
          </cell>
          <cell r="Q322">
            <v>1100</v>
          </cell>
          <cell r="R322"/>
          <cell r="S322">
            <v>11275</v>
          </cell>
          <cell r="T322">
            <v>2519</v>
          </cell>
          <cell r="U322">
            <v>13794</v>
          </cell>
        </row>
        <row r="323">
          <cell r="A323">
            <v>93331</v>
          </cell>
          <cell r="B323" t="str">
            <v>TOWN OF PINETOPS</v>
          </cell>
          <cell r="C323">
            <v>1.208E-4</v>
          </cell>
          <cell r="D323">
            <v>1.3090000000000001E-4</v>
          </cell>
          <cell r="E323">
            <v>56936</v>
          </cell>
          <cell r="F323">
            <v>277814</v>
          </cell>
          <cell r="G323">
            <v>184549</v>
          </cell>
          <cell r="H323"/>
          <cell r="I323">
            <v>10632</v>
          </cell>
          <cell r="J323">
            <v>44809</v>
          </cell>
          <cell r="K323">
            <v>26356</v>
          </cell>
          <cell r="L323">
            <v>2512</v>
          </cell>
          <cell r="M323"/>
          <cell r="N323">
            <v>5224</v>
          </cell>
          <cell r="O323">
            <v>0</v>
          </cell>
          <cell r="P323">
            <v>0</v>
          </cell>
          <cell r="Q323">
            <v>11531</v>
          </cell>
          <cell r="R323"/>
          <cell r="S323">
            <v>62193</v>
          </cell>
          <cell r="T323">
            <v>-2506</v>
          </cell>
          <cell r="U323">
            <v>59687</v>
          </cell>
        </row>
        <row r="324">
          <cell r="A324">
            <v>93333</v>
          </cell>
          <cell r="B324" t="str">
            <v>ROCKY MT HOUSING AUTHORITY</v>
          </cell>
          <cell r="C324">
            <v>1.796E-4</v>
          </cell>
          <cell r="D324">
            <v>1.9990000000000001E-4</v>
          </cell>
          <cell r="E324">
            <v>190543</v>
          </cell>
          <cell r="F324">
            <v>424255</v>
          </cell>
          <cell r="G324">
            <v>274379</v>
          </cell>
          <cell r="H324"/>
          <cell r="I324">
            <v>15807</v>
          </cell>
          <cell r="J324">
            <v>66619</v>
          </cell>
          <cell r="K324">
            <v>39185</v>
          </cell>
          <cell r="L324">
            <v>194737</v>
          </cell>
          <cell r="M324"/>
          <cell r="N324">
            <v>7767</v>
          </cell>
          <cell r="O324">
            <v>0</v>
          </cell>
          <cell r="P324">
            <v>0</v>
          </cell>
          <cell r="Q324">
            <v>0</v>
          </cell>
          <cell r="R324"/>
          <cell r="S324">
            <v>92466</v>
          </cell>
          <cell r="T324">
            <v>74695</v>
          </cell>
          <cell r="U324">
            <v>167161</v>
          </cell>
        </row>
        <row r="325">
          <cell r="A325">
            <v>93341</v>
          </cell>
          <cell r="B325" t="str">
            <v>TOWN OF MACCLESFIELD</v>
          </cell>
          <cell r="C325">
            <v>2.34E-5</v>
          </cell>
          <cell r="D325">
            <v>2.73E-5</v>
          </cell>
          <cell r="E325">
            <v>12933</v>
          </cell>
          <cell r="F325">
            <v>57940</v>
          </cell>
          <cell r="G325">
            <v>35749</v>
          </cell>
          <cell r="H325"/>
          <cell r="I325">
            <v>2059</v>
          </cell>
          <cell r="J325">
            <v>8680</v>
          </cell>
          <cell r="K325">
            <v>5105</v>
          </cell>
          <cell r="L325">
            <v>1866</v>
          </cell>
          <cell r="M325"/>
          <cell r="N325">
            <v>1012</v>
          </cell>
          <cell r="O325">
            <v>0</v>
          </cell>
          <cell r="P325">
            <v>0</v>
          </cell>
          <cell r="Q325">
            <v>863</v>
          </cell>
          <cell r="R325"/>
          <cell r="S325">
            <v>12047</v>
          </cell>
          <cell r="T325">
            <v>708</v>
          </cell>
          <cell r="U325">
            <v>12755</v>
          </cell>
        </row>
        <row r="326">
          <cell r="A326">
            <v>93351</v>
          </cell>
          <cell r="B326" t="str">
            <v>TOWN OF PRINCEVILLE</v>
          </cell>
          <cell r="C326">
            <v>3.4E-5</v>
          </cell>
          <cell r="D326">
            <v>1.5999999999999999E-5</v>
          </cell>
          <cell r="E326">
            <v>16319</v>
          </cell>
          <cell r="F326">
            <v>33957</v>
          </cell>
          <cell r="G326">
            <v>51943</v>
          </cell>
          <cell r="H326"/>
          <cell r="I326">
            <v>2992</v>
          </cell>
          <cell r="J326">
            <v>12611</v>
          </cell>
          <cell r="K326">
            <v>7418</v>
          </cell>
          <cell r="L326">
            <v>18867</v>
          </cell>
          <cell r="M326"/>
          <cell r="N326">
            <v>1470</v>
          </cell>
          <cell r="O326">
            <v>0</v>
          </cell>
          <cell r="P326">
            <v>0</v>
          </cell>
          <cell r="Q326">
            <v>4169</v>
          </cell>
          <cell r="R326"/>
          <cell r="S326">
            <v>17505</v>
          </cell>
          <cell r="T326">
            <v>2906</v>
          </cell>
          <cell r="U326">
            <v>20411</v>
          </cell>
        </row>
        <row r="327">
          <cell r="A327">
            <v>93401</v>
          </cell>
          <cell r="B327" t="str">
            <v>FORSYTH COUNTY</v>
          </cell>
          <cell r="C327">
            <v>1.3834900000000001E-2</v>
          </cell>
          <cell r="D327">
            <v>1.37997E-2</v>
          </cell>
          <cell r="E327">
            <v>6356857</v>
          </cell>
          <cell r="F327">
            <v>29287586</v>
          </cell>
          <cell r="G327">
            <v>21135895</v>
          </cell>
          <cell r="H327"/>
          <cell r="I327">
            <v>1217623</v>
          </cell>
          <cell r="J327">
            <v>5131821</v>
          </cell>
          <cell r="K327">
            <v>3018498</v>
          </cell>
          <cell r="L327">
            <v>99926</v>
          </cell>
          <cell r="M327"/>
          <cell r="N327">
            <v>598290</v>
          </cell>
          <cell r="O327">
            <v>0</v>
          </cell>
          <cell r="P327">
            <v>0</v>
          </cell>
          <cell r="Q327">
            <v>186001</v>
          </cell>
          <cell r="R327"/>
          <cell r="S327">
            <v>7122815</v>
          </cell>
          <cell r="T327">
            <v>-76616</v>
          </cell>
          <cell r="U327">
            <v>7046199</v>
          </cell>
        </row>
        <row r="328">
          <cell r="A328">
            <v>93402</v>
          </cell>
          <cell r="B328" t="str">
            <v>AIRPORT COMMISSION OF FORSYTH COUNTY</v>
          </cell>
          <cell r="C328">
            <v>9.8800000000000003E-5</v>
          </cell>
          <cell r="D328">
            <v>9.2999999999999997E-5</v>
          </cell>
          <cell r="E328">
            <v>38604</v>
          </cell>
          <cell r="F328">
            <v>197377</v>
          </cell>
          <cell r="G328">
            <v>150939</v>
          </cell>
          <cell r="H328"/>
          <cell r="I328">
            <v>8695</v>
          </cell>
          <cell r="J328">
            <v>36648</v>
          </cell>
          <cell r="K328">
            <v>21556</v>
          </cell>
          <cell r="L328">
            <v>5545</v>
          </cell>
          <cell r="M328"/>
          <cell r="N328">
            <v>4273</v>
          </cell>
          <cell r="O328">
            <v>0</v>
          </cell>
          <cell r="P328">
            <v>0</v>
          </cell>
          <cell r="Q328">
            <v>3446</v>
          </cell>
          <cell r="R328"/>
          <cell r="S328">
            <v>50867</v>
          </cell>
          <cell r="T328">
            <v>3029</v>
          </cell>
          <cell r="U328">
            <v>53896</v>
          </cell>
        </row>
        <row r="329">
          <cell r="A329">
            <v>93406</v>
          </cell>
          <cell r="B329" t="str">
            <v>PIEDMONT TRIAD REGIONAL COUNCIL</v>
          </cell>
          <cell r="C329">
            <v>6.5059999999999998E-4</v>
          </cell>
          <cell r="D329">
            <v>7.1170000000000001E-4</v>
          </cell>
          <cell r="E329">
            <v>289720</v>
          </cell>
          <cell r="F329">
            <v>1510466</v>
          </cell>
          <cell r="G329">
            <v>993937</v>
          </cell>
          <cell r="H329"/>
          <cell r="I329">
            <v>57260</v>
          </cell>
          <cell r="J329">
            <v>241329</v>
          </cell>
          <cell r="K329">
            <v>141948</v>
          </cell>
          <cell r="L329">
            <v>26056</v>
          </cell>
          <cell r="M329"/>
          <cell r="N329">
            <v>28135</v>
          </cell>
          <cell r="O329">
            <v>0</v>
          </cell>
          <cell r="P329">
            <v>0</v>
          </cell>
          <cell r="Q329">
            <v>48133</v>
          </cell>
          <cell r="R329"/>
          <cell r="S329">
            <v>334958</v>
          </cell>
          <cell r="T329">
            <v>7011</v>
          </cell>
          <cell r="U329">
            <v>341969</v>
          </cell>
        </row>
        <row r="330">
          <cell r="A330">
            <v>93408</v>
          </cell>
          <cell r="B330" t="str">
            <v>CENTERPOINT HUMAN SERVICES</v>
          </cell>
          <cell r="C330">
            <v>0</v>
          </cell>
          <cell r="D330">
            <v>1.8967999999999999E-3</v>
          </cell>
          <cell r="E330">
            <v>73962</v>
          </cell>
          <cell r="F330">
            <v>4025645</v>
          </cell>
          <cell r="G330">
            <v>0</v>
          </cell>
          <cell r="H330"/>
          <cell r="I330">
            <v>0</v>
          </cell>
          <cell r="J330">
            <v>0</v>
          </cell>
          <cell r="K330">
            <v>0</v>
          </cell>
          <cell r="L330">
            <v>173575</v>
          </cell>
          <cell r="M330"/>
          <cell r="N330">
            <v>0</v>
          </cell>
          <cell r="O330">
            <v>0</v>
          </cell>
          <cell r="P330">
            <v>0</v>
          </cell>
          <cell r="Q330">
            <v>1605024</v>
          </cell>
          <cell r="R330"/>
          <cell r="S330">
            <v>0</v>
          </cell>
          <cell r="T330">
            <v>-292149</v>
          </cell>
          <cell r="U330">
            <v>-292149</v>
          </cell>
        </row>
        <row r="331">
          <cell r="A331">
            <v>93411</v>
          </cell>
          <cell r="B331" t="str">
            <v>CITY OF WINSTON-SALEM</v>
          </cell>
          <cell r="C331">
            <v>1.7454999999999998E-2</v>
          </cell>
          <cell r="D331">
            <v>1.73309E-2</v>
          </cell>
          <cell r="E331">
            <v>8222694</v>
          </cell>
          <cell r="F331">
            <v>36781976</v>
          </cell>
          <cell r="G331">
            <v>26666405</v>
          </cell>
          <cell r="H331"/>
          <cell r="I331">
            <v>1536232</v>
          </cell>
          <cell r="J331">
            <v>6474635</v>
          </cell>
          <cell r="K331">
            <v>3808332</v>
          </cell>
          <cell r="L331">
            <v>250711</v>
          </cell>
          <cell r="M331"/>
          <cell r="N331">
            <v>754841</v>
          </cell>
          <cell r="O331">
            <v>0</v>
          </cell>
          <cell r="P331">
            <v>0</v>
          </cell>
          <cell r="Q331">
            <v>594754</v>
          </cell>
          <cell r="R331"/>
          <cell r="S331">
            <v>8986602</v>
          </cell>
          <cell r="T331">
            <v>-306468</v>
          </cell>
          <cell r="U331">
            <v>8680134</v>
          </cell>
        </row>
        <row r="332">
          <cell r="A332">
            <v>93413</v>
          </cell>
          <cell r="B332" t="str">
            <v>WINSTON-SALEM HOUSING AUTHORITY</v>
          </cell>
          <cell r="C332">
            <v>7.7070000000000003E-4</v>
          </cell>
          <cell r="D332">
            <v>8.0130000000000002E-4</v>
          </cell>
          <cell r="E332">
            <v>378796</v>
          </cell>
          <cell r="F332">
            <v>1700627</v>
          </cell>
          <cell r="G332">
            <v>1177416</v>
          </cell>
          <cell r="H332"/>
          <cell r="I332">
            <v>67830</v>
          </cell>
          <cell r="J332">
            <v>285878</v>
          </cell>
          <cell r="K332">
            <v>168151</v>
          </cell>
          <cell r="L332">
            <v>0</v>
          </cell>
          <cell r="M332"/>
          <cell r="N332">
            <v>33329</v>
          </cell>
          <cell r="O332">
            <v>0</v>
          </cell>
          <cell r="P332">
            <v>0</v>
          </cell>
          <cell r="Q332">
            <v>35372</v>
          </cell>
          <cell r="R332"/>
          <cell r="S332">
            <v>396790</v>
          </cell>
          <cell r="T332">
            <v>-17507</v>
          </cell>
          <cell r="U332">
            <v>379283</v>
          </cell>
        </row>
        <row r="333">
          <cell r="A333">
            <v>93417</v>
          </cell>
          <cell r="B333" t="str">
            <v>TRIAD MUNICIPAL ABC BOARD</v>
          </cell>
          <cell r="C333">
            <v>3.4430000000000002E-4</v>
          </cell>
          <cell r="D333">
            <v>4.1130000000000002E-4</v>
          </cell>
          <cell r="E333">
            <v>172878</v>
          </cell>
          <cell r="F333">
            <v>872916</v>
          </cell>
          <cell r="G333">
            <v>525995</v>
          </cell>
          <cell r="H333"/>
          <cell r="I333">
            <v>30302</v>
          </cell>
          <cell r="J333">
            <v>127712</v>
          </cell>
          <cell r="K333">
            <v>75119</v>
          </cell>
          <cell r="L333">
            <v>15432</v>
          </cell>
          <cell r="M333"/>
          <cell r="N333">
            <v>14889</v>
          </cell>
          <cell r="O333">
            <v>0</v>
          </cell>
          <cell r="P333">
            <v>0</v>
          </cell>
          <cell r="Q333">
            <v>33069</v>
          </cell>
          <cell r="R333"/>
          <cell r="S333">
            <v>177261</v>
          </cell>
          <cell r="T333">
            <v>5883</v>
          </cell>
          <cell r="U333">
            <v>183144</v>
          </cell>
        </row>
        <row r="334">
          <cell r="A334">
            <v>93421</v>
          </cell>
          <cell r="B334" t="str">
            <v>TOWN OF KERNERSVILLE</v>
          </cell>
          <cell r="C334">
            <v>2.1294999999999999E-3</v>
          </cell>
          <cell r="D334">
            <v>2.1646E-3</v>
          </cell>
          <cell r="E334">
            <v>893357</v>
          </cell>
          <cell r="F334">
            <v>4594006</v>
          </cell>
          <cell r="G334">
            <v>3253286</v>
          </cell>
          <cell r="H334"/>
          <cell r="I334">
            <v>187419</v>
          </cell>
          <cell r="J334">
            <v>789902</v>
          </cell>
          <cell r="K334">
            <v>464614</v>
          </cell>
          <cell r="L334">
            <v>0</v>
          </cell>
          <cell r="M334"/>
          <cell r="N334">
            <v>92090</v>
          </cell>
          <cell r="O334">
            <v>0</v>
          </cell>
          <cell r="P334">
            <v>0</v>
          </cell>
          <cell r="Q334">
            <v>273225</v>
          </cell>
          <cell r="R334"/>
          <cell r="S334">
            <v>1096360</v>
          </cell>
          <cell r="T334">
            <v>-126565</v>
          </cell>
          <cell r="U334">
            <v>969795</v>
          </cell>
        </row>
        <row r="335">
          <cell r="A335">
            <v>93431</v>
          </cell>
          <cell r="B335" t="str">
            <v>TOWN OF RURAL HALL</v>
          </cell>
          <cell r="C335">
            <v>1.2689999999999999E-4</v>
          </cell>
          <cell r="D335">
            <v>1.127E-4</v>
          </cell>
          <cell r="E335">
            <v>61080</v>
          </cell>
          <cell r="F335">
            <v>239187</v>
          </cell>
          <cell r="G335">
            <v>193868</v>
          </cell>
          <cell r="H335"/>
          <cell r="I335">
            <v>11169</v>
          </cell>
          <cell r="J335">
            <v>47071</v>
          </cell>
          <cell r="K335">
            <v>27687</v>
          </cell>
          <cell r="L335">
            <v>12612</v>
          </cell>
          <cell r="M335"/>
          <cell r="N335">
            <v>5488</v>
          </cell>
          <cell r="O335">
            <v>0</v>
          </cell>
          <cell r="P335">
            <v>0</v>
          </cell>
          <cell r="Q335">
            <v>5397</v>
          </cell>
          <cell r="R335"/>
          <cell r="S335">
            <v>65334</v>
          </cell>
          <cell r="T335">
            <v>1734</v>
          </cell>
          <cell r="U335">
            <v>67068</v>
          </cell>
        </row>
        <row r="336">
          <cell r="A336">
            <v>93441</v>
          </cell>
          <cell r="B336" t="str">
            <v>VILLAGE OF CLEMMONS</v>
          </cell>
          <cell r="C336">
            <v>1.54E-4</v>
          </cell>
          <cell r="D336">
            <v>1.4970000000000001E-4</v>
          </cell>
          <cell r="E336">
            <v>77933</v>
          </cell>
          <cell r="F336">
            <v>317714</v>
          </cell>
          <cell r="G336">
            <v>235269</v>
          </cell>
          <cell r="H336"/>
          <cell r="I336">
            <v>13554</v>
          </cell>
          <cell r="J336">
            <v>57124</v>
          </cell>
          <cell r="K336">
            <v>33600</v>
          </cell>
          <cell r="L336">
            <v>30786</v>
          </cell>
          <cell r="M336"/>
          <cell r="N336">
            <v>6660</v>
          </cell>
          <cell r="O336">
            <v>0</v>
          </cell>
          <cell r="P336">
            <v>0</v>
          </cell>
          <cell r="Q336">
            <v>0</v>
          </cell>
          <cell r="R336"/>
          <cell r="S336">
            <v>79286</v>
          </cell>
          <cell r="T336">
            <v>14822</v>
          </cell>
          <cell r="U336">
            <v>94108</v>
          </cell>
        </row>
        <row r="337">
          <cell r="A337">
            <v>93442</v>
          </cell>
          <cell r="B337" t="str">
            <v>CLEMMONS FIRE DEPARTMENT</v>
          </cell>
          <cell r="C337">
            <v>1.505E-4</v>
          </cell>
          <cell r="D337">
            <v>1.3540000000000001E-4</v>
          </cell>
          <cell r="E337">
            <v>57507</v>
          </cell>
          <cell r="F337">
            <v>287364</v>
          </cell>
          <cell r="G337">
            <v>229922</v>
          </cell>
          <cell r="H337"/>
          <cell r="I337">
            <v>13246</v>
          </cell>
          <cell r="J337">
            <v>55826</v>
          </cell>
          <cell r="K337">
            <v>32836</v>
          </cell>
          <cell r="L337">
            <v>5191</v>
          </cell>
          <cell r="M337"/>
          <cell r="N337">
            <v>6508</v>
          </cell>
          <cell r="O337">
            <v>0</v>
          </cell>
          <cell r="P337">
            <v>0</v>
          </cell>
          <cell r="Q337">
            <v>20988</v>
          </cell>
          <cell r="R337"/>
          <cell r="S337">
            <v>77484</v>
          </cell>
          <cell r="T337">
            <v>-6353</v>
          </cell>
          <cell r="U337">
            <v>71131</v>
          </cell>
        </row>
        <row r="338">
          <cell r="A338">
            <v>93451</v>
          </cell>
          <cell r="B338" t="str">
            <v>TOWN OF LEWISVILLE</v>
          </cell>
          <cell r="C338">
            <v>7.0900000000000002E-5</v>
          </cell>
          <cell r="D338">
            <v>7.6899999999999999E-5</v>
          </cell>
          <cell r="E338">
            <v>41775</v>
          </cell>
          <cell r="F338">
            <v>163208</v>
          </cell>
          <cell r="G338">
            <v>108316</v>
          </cell>
          <cell r="H338"/>
          <cell r="I338">
            <v>6240</v>
          </cell>
          <cell r="J338">
            <v>26299</v>
          </cell>
          <cell r="K338">
            <v>15469</v>
          </cell>
          <cell r="L338">
            <v>16242</v>
          </cell>
          <cell r="M338"/>
          <cell r="N338">
            <v>3066</v>
          </cell>
          <cell r="O338">
            <v>0</v>
          </cell>
          <cell r="P338">
            <v>0</v>
          </cell>
          <cell r="Q338">
            <v>1492</v>
          </cell>
          <cell r="R338"/>
          <cell r="S338">
            <v>36502</v>
          </cell>
          <cell r="T338">
            <v>5181</v>
          </cell>
          <cell r="U338">
            <v>41683</v>
          </cell>
        </row>
        <row r="339">
          <cell r="A339">
            <v>93461</v>
          </cell>
          <cell r="B339" t="str">
            <v>TOWN OF WALKERTOWN</v>
          </cell>
          <cell r="C339">
            <v>1.66E-5</v>
          </cell>
          <cell r="D339">
            <v>1.7200000000000001E-5</v>
          </cell>
          <cell r="E339">
            <v>8264</v>
          </cell>
          <cell r="F339">
            <v>36504</v>
          </cell>
          <cell r="G339">
            <v>25360</v>
          </cell>
          <cell r="H339"/>
          <cell r="I339">
            <v>1461</v>
          </cell>
          <cell r="J339">
            <v>6157</v>
          </cell>
          <cell r="K339">
            <v>3622</v>
          </cell>
          <cell r="L339">
            <v>580</v>
          </cell>
          <cell r="M339"/>
          <cell r="N339">
            <v>718</v>
          </cell>
          <cell r="O339">
            <v>0</v>
          </cell>
          <cell r="P339">
            <v>0</v>
          </cell>
          <cell r="Q339">
            <v>0</v>
          </cell>
          <cell r="R339"/>
          <cell r="S339">
            <v>8546</v>
          </cell>
          <cell r="T339">
            <v>254</v>
          </cell>
          <cell r="U339">
            <v>8800</v>
          </cell>
        </row>
        <row r="340">
          <cell r="A340">
            <v>93471</v>
          </cell>
          <cell r="B340" t="str">
            <v>VILLAGE OF TOBACCOVILLE</v>
          </cell>
          <cell r="C340">
            <v>1.31E-5</v>
          </cell>
          <cell r="D340">
            <v>1.1800000000000001E-5</v>
          </cell>
          <cell r="E340">
            <v>8324</v>
          </cell>
          <cell r="F340">
            <v>25044</v>
          </cell>
          <cell r="G340">
            <v>20013</v>
          </cell>
          <cell r="H340"/>
          <cell r="I340">
            <v>1153</v>
          </cell>
          <cell r="J340">
            <v>4859</v>
          </cell>
          <cell r="K340">
            <v>2858</v>
          </cell>
          <cell r="L340">
            <v>4280</v>
          </cell>
          <cell r="M340"/>
          <cell r="N340">
            <v>567</v>
          </cell>
          <cell r="O340">
            <v>0</v>
          </cell>
          <cell r="P340">
            <v>0</v>
          </cell>
          <cell r="Q340">
            <v>63</v>
          </cell>
          <cell r="R340"/>
          <cell r="S340">
            <v>6744</v>
          </cell>
          <cell r="T340">
            <v>1243</v>
          </cell>
          <cell r="U340">
            <v>7987</v>
          </cell>
        </row>
        <row r="341">
          <cell r="A341">
            <v>93501</v>
          </cell>
          <cell r="B341" t="str">
            <v>FRANKLIN COUNTY</v>
          </cell>
          <cell r="C341">
            <v>3.6113999999999999E-3</v>
          </cell>
          <cell r="D341">
            <v>3.4039000000000001E-3</v>
          </cell>
          <cell r="E341">
            <v>1661033</v>
          </cell>
          <cell r="F341">
            <v>7224216</v>
          </cell>
          <cell r="G341">
            <v>5517219</v>
          </cell>
          <cell r="H341"/>
          <cell r="I341">
            <v>317843</v>
          </cell>
          <cell r="J341">
            <v>1339587</v>
          </cell>
          <cell r="K341">
            <v>787935</v>
          </cell>
          <cell r="L341">
            <v>233815</v>
          </cell>
          <cell r="M341"/>
          <cell r="N341">
            <v>156175</v>
          </cell>
          <cell r="O341">
            <v>0</v>
          </cell>
          <cell r="P341">
            <v>0</v>
          </cell>
          <cell r="Q341">
            <v>57589</v>
          </cell>
          <cell r="R341"/>
          <cell r="S341">
            <v>1859308</v>
          </cell>
          <cell r="T341">
            <v>88331</v>
          </cell>
          <cell r="U341">
            <v>1947639</v>
          </cell>
        </row>
        <row r="342">
          <cell r="A342">
            <v>93511</v>
          </cell>
          <cell r="B342" t="str">
            <v>TOWN OF FRANKLINTON</v>
          </cell>
          <cell r="C342">
            <v>8.8300000000000005E-5</v>
          </cell>
          <cell r="D342">
            <v>9.8999999999999994E-5</v>
          </cell>
          <cell r="E342">
            <v>45050</v>
          </cell>
          <cell r="F342">
            <v>210111</v>
          </cell>
          <cell r="G342">
            <v>134898</v>
          </cell>
          <cell r="H342"/>
          <cell r="I342">
            <v>7771</v>
          </cell>
          <cell r="J342">
            <v>32753</v>
          </cell>
          <cell r="K342">
            <v>19265</v>
          </cell>
          <cell r="L342">
            <v>2589</v>
          </cell>
          <cell r="M342"/>
          <cell r="N342">
            <v>3819</v>
          </cell>
          <cell r="O342">
            <v>0</v>
          </cell>
          <cell r="P342">
            <v>0</v>
          </cell>
          <cell r="Q342">
            <v>13801</v>
          </cell>
          <cell r="R342"/>
          <cell r="S342">
            <v>45461</v>
          </cell>
          <cell r="T342">
            <v>-2683</v>
          </cell>
          <cell r="U342">
            <v>42778</v>
          </cell>
        </row>
        <row r="343">
          <cell r="A343">
            <v>93517</v>
          </cell>
          <cell r="B343" t="str">
            <v>FRANKLINTON ABC BOARD</v>
          </cell>
          <cell r="C343">
            <v>6.0000000000000002E-6</v>
          </cell>
          <cell r="D343">
            <v>6.4999999999999996E-6</v>
          </cell>
          <cell r="E343">
            <v>4387</v>
          </cell>
          <cell r="F343">
            <v>13795</v>
          </cell>
          <cell r="G343">
            <v>9166</v>
          </cell>
          <cell r="H343"/>
          <cell r="I343">
            <v>528</v>
          </cell>
          <cell r="J343">
            <v>2226</v>
          </cell>
          <cell r="K343">
            <v>1309</v>
          </cell>
          <cell r="L343">
            <v>3133</v>
          </cell>
          <cell r="M343"/>
          <cell r="N343">
            <v>259</v>
          </cell>
          <cell r="O343">
            <v>0</v>
          </cell>
          <cell r="P343">
            <v>0</v>
          </cell>
          <cell r="Q343">
            <v>503</v>
          </cell>
          <cell r="R343"/>
          <cell r="S343">
            <v>3089</v>
          </cell>
          <cell r="T343">
            <v>771</v>
          </cell>
          <cell r="U343">
            <v>3860</v>
          </cell>
        </row>
        <row r="344">
          <cell r="A344">
            <v>93521</v>
          </cell>
          <cell r="B344" t="str">
            <v>TOWN OF LOUISBURG</v>
          </cell>
          <cell r="C344">
            <v>4.5649999999999998E-4</v>
          </cell>
          <cell r="D344">
            <v>5.6389999999999999E-4</v>
          </cell>
          <cell r="E344">
            <v>213305</v>
          </cell>
          <cell r="F344">
            <v>1196785</v>
          </cell>
          <cell r="G344">
            <v>697406</v>
          </cell>
          <cell r="H344"/>
          <cell r="I344">
            <v>40177</v>
          </cell>
          <cell r="J344">
            <v>169331</v>
          </cell>
          <cell r="K344">
            <v>99599</v>
          </cell>
          <cell r="L344">
            <v>7159</v>
          </cell>
          <cell r="M344"/>
          <cell r="N344">
            <v>19741</v>
          </cell>
          <cell r="O344">
            <v>0</v>
          </cell>
          <cell r="P344">
            <v>0</v>
          </cell>
          <cell r="Q344">
            <v>74583</v>
          </cell>
          <cell r="R344"/>
          <cell r="S344">
            <v>235026</v>
          </cell>
          <cell r="T344">
            <v>-19847</v>
          </cell>
          <cell r="U344">
            <v>215179</v>
          </cell>
        </row>
        <row r="345">
          <cell r="A345">
            <v>93527</v>
          </cell>
          <cell r="B345" t="str">
            <v>LOUISBURG ABC BOARD</v>
          </cell>
          <cell r="C345">
            <v>1.2099999999999999E-5</v>
          </cell>
          <cell r="D345">
            <v>5.4E-6</v>
          </cell>
          <cell r="E345">
            <v>9591</v>
          </cell>
          <cell r="F345">
            <v>11461</v>
          </cell>
          <cell r="G345">
            <v>18485</v>
          </cell>
          <cell r="H345"/>
          <cell r="I345">
            <v>1065</v>
          </cell>
          <cell r="J345">
            <v>4488</v>
          </cell>
          <cell r="K345">
            <v>2640</v>
          </cell>
          <cell r="L345">
            <v>15016</v>
          </cell>
          <cell r="M345"/>
          <cell r="N345">
            <v>523</v>
          </cell>
          <cell r="O345">
            <v>0</v>
          </cell>
          <cell r="P345">
            <v>0</v>
          </cell>
          <cell r="Q345">
            <v>0</v>
          </cell>
          <cell r="R345"/>
          <cell r="S345">
            <v>6230</v>
          </cell>
          <cell r="T345">
            <v>5872</v>
          </cell>
          <cell r="U345">
            <v>12102</v>
          </cell>
        </row>
        <row r="346">
          <cell r="A346">
            <v>93531</v>
          </cell>
          <cell r="B346" t="str">
            <v>TOWN OF BUNN</v>
          </cell>
          <cell r="C346">
            <v>1.7E-5</v>
          </cell>
          <cell r="D346">
            <v>2.4000000000000001E-5</v>
          </cell>
          <cell r="E346">
            <v>11624</v>
          </cell>
          <cell r="F346">
            <v>50936</v>
          </cell>
          <cell r="G346">
            <v>25971</v>
          </cell>
          <cell r="H346"/>
          <cell r="I346">
            <v>1496</v>
          </cell>
          <cell r="J346">
            <v>6306</v>
          </cell>
          <cell r="K346">
            <v>3709</v>
          </cell>
          <cell r="L346">
            <v>791</v>
          </cell>
          <cell r="M346"/>
          <cell r="N346">
            <v>735</v>
          </cell>
          <cell r="O346">
            <v>0</v>
          </cell>
          <cell r="P346">
            <v>0</v>
          </cell>
          <cell r="Q346">
            <v>2743</v>
          </cell>
          <cell r="R346"/>
          <cell r="S346">
            <v>8752</v>
          </cell>
          <cell r="T346">
            <v>-1210</v>
          </cell>
          <cell r="U346">
            <v>7542</v>
          </cell>
        </row>
        <row r="347">
          <cell r="A347">
            <v>93537</v>
          </cell>
          <cell r="B347" t="str">
            <v>ABC BOARD - TOWN OF BUNN</v>
          </cell>
          <cell r="C347">
            <v>1.1199999999999999E-5</v>
          </cell>
          <cell r="D347">
            <v>1.17E-5</v>
          </cell>
          <cell r="E347">
            <v>4064</v>
          </cell>
          <cell r="F347">
            <v>24831</v>
          </cell>
          <cell r="G347">
            <v>17110</v>
          </cell>
          <cell r="H347"/>
          <cell r="I347">
            <v>986</v>
          </cell>
          <cell r="J347">
            <v>4154</v>
          </cell>
          <cell r="K347">
            <v>2444</v>
          </cell>
          <cell r="L347">
            <v>0</v>
          </cell>
          <cell r="M347"/>
          <cell r="N347">
            <v>484</v>
          </cell>
          <cell r="O347">
            <v>0</v>
          </cell>
          <cell r="P347">
            <v>0</v>
          </cell>
          <cell r="Q347">
            <v>1898</v>
          </cell>
          <cell r="R347"/>
          <cell r="S347">
            <v>5766</v>
          </cell>
          <cell r="T347">
            <v>-575</v>
          </cell>
          <cell r="U347">
            <v>5191</v>
          </cell>
        </row>
        <row r="348">
          <cell r="A348">
            <v>93541</v>
          </cell>
          <cell r="B348" t="str">
            <v>TOWN OF YOUNGSVILLE</v>
          </cell>
          <cell r="C348">
            <v>1.0560000000000001E-4</v>
          </cell>
          <cell r="D348">
            <v>1.061E-4</v>
          </cell>
          <cell r="E348">
            <v>49276</v>
          </cell>
          <cell r="F348">
            <v>225180</v>
          </cell>
          <cell r="G348">
            <v>161328</v>
          </cell>
          <cell r="H348"/>
          <cell r="I348">
            <v>9294</v>
          </cell>
          <cell r="J348">
            <v>39171</v>
          </cell>
          <cell r="K348">
            <v>23040</v>
          </cell>
          <cell r="L348">
            <v>4560</v>
          </cell>
          <cell r="M348"/>
          <cell r="N348">
            <v>4567</v>
          </cell>
          <cell r="O348">
            <v>0</v>
          </cell>
          <cell r="P348">
            <v>0</v>
          </cell>
          <cell r="Q348">
            <v>781</v>
          </cell>
          <cell r="R348"/>
          <cell r="S348">
            <v>54368</v>
          </cell>
          <cell r="T348">
            <v>4003</v>
          </cell>
          <cell r="U348">
            <v>58371</v>
          </cell>
        </row>
        <row r="349">
          <cell r="A349">
            <v>93601</v>
          </cell>
          <cell r="B349" t="str">
            <v>GASTON COUNTY</v>
          </cell>
          <cell r="C349">
            <v>1.0721400000000001E-2</v>
          </cell>
          <cell r="D349">
            <v>1.1139899999999999E-2</v>
          </cell>
          <cell r="E349">
            <v>5038240</v>
          </cell>
          <cell r="F349">
            <v>23642600</v>
          </cell>
          <cell r="G349">
            <v>16379329</v>
          </cell>
          <cell r="H349"/>
          <cell r="I349">
            <v>943601</v>
          </cell>
          <cell r="J349">
            <v>3976921</v>
          </cell>
          <cell r="K349">
            <v>2339195</v>
          </cell>
          <cell r="L349">
            <v>65732</v>
          </cell>
          <cell r="M349"/>
          <cell r="N349">
            <v>463647</v>
          </cell>
          <cell r="O349">
            <v>0</v>
          </cell>
          <cell r="P349">
            <v>0</v>
          </cell>
          <cell r="Q349">
            <v>282932</v>
          </cell>
          <cell r="R349"/>
          <cell r="S349">
            <v>5519848</v>
          </cell>
          <cell r="T349">
            <v>-87424</v>
          </cell>
          <cell r="U349">
            <v>5432424</v>
          </cell>
        </row>
        <row r="350">
          <cell r="A350">
            <v>93602</v>
          </cell>
          <cell r="B350" t="str">
            <v>TOWN OF STANLEY</v>
          </cell>
          <cell r="C350">
            <v>1.7540000000000001E-4</v>
          </cell>
          <cell r="D350">
            <v>1.7200000000000001E-4</v>
          </cell>
          <cell r="E350">
            <v>82188</v>
          </cell>
          <cell r="F350">
            <v>365042</v>
          </cell>
          <cell r="G350">
            <v>267963</v>
          </cell>
          <cell r="H350"/>
          <cell r="I350">
            <v>15437</v>
          </cell>
          <cell r="J350">
            <v>65062</v>
          </cell>
          <cell r="K350">
            <v>38269</v>
          </cell>
          <cell r="L350">
            <v>4381</v>
          </cell>
          <cell r="M350"/>
          <cell r="N350">
            <v>7585</v>
          </cell>
          <cell r="O350">
            <v>0</v>
          </cell>
          <cell r="P350">
            <v>0</v>
          </cell>
          <cell r="Q350">
            <v>10262</v>
          </cell>
          <cell r="R350"/>
          <cell r="S350">
            <v>90304</v>
          </cell>
          <cell r="T350">
            <v>-2871</v>
          </cell>
          <cell r="U350">
            <v>87433</v>
          </cell>
        </row>
        <row r="351">
          <cell r="A351">
            <v>93609</v>
          </cell>
          <cell r="B351" t="str">
            <v>PARTNERS BEHAVIORAL HEALTH MANAGEMENT</v>
          </cell>
          <cell r="C351">
            <v>3.7629999999999999E-3</v>
          </cell>
          <cell r="D351">
            <v>3.0569E-3</v>
          </cell>
          <cell r="E351">
            <v>1743934</v>
          </cell>
          <cell r="F351">
            <v>6487766</v>
          </cell>
          <cell r="G351">
            <v>5748822</v>
          </cell>
          <cell r="H351"/>
          <cell r="I351">
            <v>331185</v>
          </cell>
          <cell r="J351">
            <v>1395821</v>
          </cell>
          <cell r="K351">
            <v>821011</v>
          </cell>
          <cell r="L351">
            <v>823315</v>
          </cell>
          <cell r="M351"/>
          <cell r="N351">
            <v>162731</v>
          </cell>
          <cell r="O351">
            <v>0</v>
          </cell>
          <cell r="P351">
            <v>0</v>
          </cell>
          <cell r="Q351">
            <v>0</v>
          </cell>
          <cell r="R351"/>
          <cell r="S351">
            <v>1937358</v>
          </cell>
          <cell r="T351">
            <v>360052</v>
          </cell>
          <cell r="U351">
            <v>2297410</v>
          </cell>
        </row>
        <row r="352">
          <cell r="A352">
            <v>93610</v>
          </cell>
          <cell r="B352" t="str">
            <v>TOWN OF MCADENVILLE</v>
          </cell>
          <cell r="C352">
            <v>1.33E-5</v>
          </cell>
          <cell r="D352">
            <v>6.4999999999999996E-6</v>
          </cell>
          <cell r="E352">
            <v>5846</v>
          </cell>
          <cell r="F352">
            <v>13795</v>
          </cell>
          <cell r="G352">
            <v>20319</v>
          </cell>
          <cell r="H352"/>
          <cell r="I352">
            <v>1171</v>
          </cell>
          <cell r="J352">
            <v>4933</v>
          </cell>
          <cell r="K352">
            <v>2902</v>
          </cell>
          <cell r="L352">
            <v>6303</v>
          </cell>
          <cell r="M352"/>
          <cell r="N352">
            <v>575</v>
          </cell>
          <cell r="O352">
            <v>0</v>
          </cell>
          <cell r="P352">
            <v>0</v>
          </cell>
          <cell r="Q352">
            <v>3373</v>
          </cell>
          <cell r="R352"/>
          <cell r="S352">
            <v>6847</v>
          </cell>
          <cell r="T352">
            <v>1242</v>
          </cell>
          <cell r="U352">
            <v>8089</v>
          </cell>
        </row>
        <row r="353">
          <cell r="A353">
            <v>93611</v>
          </cell>
          <cell r="B353" t="str">
            <v>CITY OF GASTONIA</v>
          </cell>
          <cell r="C353">
            <v>6.9544000000000003E-3</v>
          </cell>
          <cell r="D353">
            <v>6.9325000000000003E-3</v>
          </cell>
          <cell r="E353">
            <v>3250733</v>
          </cell>
          <cell r="F353">
            <v>14713087</v>
          </cell>
          <cell r="G353">
            <v>10624397</v>
          </cell>
          <cell r="H353"/>
          <cell r="I353">
            <v>612064</v>
          </cell>
          <cell r="J353">
            <v>2579617</v>
          </cell>
          <cell r="K353">
            <v>1517311</v>
          </cell>
          <cell r="L353">
            <v>61146</v>
          </cell>
          <cell r="M353"/>
          <cell r="N353">
            <v>300743</v>
          </cell>
          <cell r="O353">
            <v>0</v>
          </cell>
          <cell r="P353">
            <v>0</v>
          </cell>
          <cell r="Q353">
            <v>153061</v>
          </cell>
          <cell r="R353"/>
          <cell r="S353">
            <v>3580431</v>
          </cell>
          <cell r="T353">
            <v>-98066</v>
          </cell>
          <cell r="U353">
            <v>3482365</v>
          </cell>
        </row>
        <row r="354">
          <cell r="A354">
            <v>93617</v>
          </cell>
          <cell r="B354" t="str">
            <v>GASTONIA ABC BOARD</v>
          </cell>
          <cell r="C354">
            <v>8.2799999999999993E-5</v>
          </cell>
          <cell r="D354">
            <v>9.5000000000000005E-5</v>
          </cell>
          <cell r="E354">
            <v>49100</v>
          </cell>
          <cell r="F354">
            <v>201622</v>
          </cell>
          <cell r="G354">
            <v>126495</v>
          </cell>
          <cell r="H354"/>
          <cell r="I354">
            <v>7287</v>
          </cell>
          <cell r="J354">
            <v>30714</v>
          </cell>
          <cell r="K354">
            <v>18065</v>
          </cell>
          <cell r="L354">
            <v>19622</v>
          </cell>
          <cell r="M354"/>
          <cell r="N354">
            <v>3581</v>
          </cell>
          <cell r="O354">
            <v>0</v>
          </cell>
          <cell r="P354">
            <v>0</v>
          </cell>
          <cell r="Q354">
            <v>0</v>
          </cell>
          <cell r="R354"/>
          <cell r="S354">
            <v>42629</v>
          </cell>
          <cell r="T354">
            <v>10180</v>
          </cell>
          <cell r="U354">
            <v>52809</v>
          </cell>
        </row>
        <row r="355">
          <cell r="A355">
            <v>93618</v>
          </cell>
          <cell r="B355" t="str">
            <v>GASTON COUNTY ECONOMIC DEV. COMMISSION</v>
          </cell>
          <cell r="C355">
            <v>1.11E-5</v>
          </cell>
          <cell r="D355">
            <v>1.17E-5</v>
          </cell>
          <cell r="E355">
            <v>23982</v>
          </cell>
          <cell r="F355">
            <v>24831</v>
          </cell>
          <cell r="G355">
            <v>16958</v>
          </cell>
          <cell r="H355"/>
          <cell r="I355">
            <v>977</v>
          </cell>
          <cell r="J355">
            <v>4117</v>
          </cell>
          <cell r="K355">
            <v>2422</v>
          </cell>
          <cell r="L355">
            <v>33625</v>
          </cell>
          <cell r="M355"/>
          <cell r="N355">
            <v>480</v>
          </cell>
          <cell r="O355">
            <v>0</v>
          </cell>
          <cell r="P355">
            <v>0</v>
          </cell>
          <cell r="Q355">
            <v>0</v>
          </cell>
          <cell r="R355"/>
          <cell r="S355">
            <v>5715</v>
          </cell>
          <cell r="T355">
            <v>12182</v>
          </cell>
          <cell r="U355">
            <v>17897</v>
          </cell>
        </row>
        <row r="356">
          <cell r="A356">
            <v>93621</v>
          </cell>
          <cell r="B356" t="str">
            <v>CITY OF BELMONT</v>
          </cell>
          <cell r="C356">
            <v>9.5719999999999996E-4</v>
          </cell>
          <cell r="D356">
            <v>8.5320000000000003E-4</v>
          </cell>
          <cell r="E356">
            <v>412639</v>
          </cell>
          <cell r="F356">
            <v>1810776</v>
          </cell>
          <cell r="G356">
            <v>1462336</v>
          </cell>
          <cell r="H356"/>
          <cell r="I356">
            <v>84244</v>
          </cell>
          <cell r="J356">
            <v>355057</v>
          </cell>
          <cell r="K356">
            <v>208842</v>
          </cell>
          <cell r="L356">
            <v>48292</v>
          </cell>
          <cell r="M356"/>
          <cell r="N356">
            <v>41394</v>
          </cell>
          <cell r="O356">
            <v>0</v>
          </cell>
          <cell r="P356">
            <v>0</v>
          </cell>
          <cell r="Q356">
            <v>79767</v>
          </cell>
          <cell r="R356"/>
          <cell r="S356">
            <v>492809</v>
          </cell>
          <cell r="T356">
            <v>-26570</v>
          </cell>
          <cell r="U356">
            <v>466239</v>
          </cell>
        </row>
        <row r="357">
          <cell r="A357">
            <v>93623</v>
          </cell>
          <cell r="B357" t="str">
            <v>BELMONT HOUSING AUTHORITY</v>
          </cell>
          <cell r="C357">
            <v>1.2799999999999999E-5</v>
          </cell>
          <cell r="D357">
            <v>1.2500000000000001E-5</v>
          </cell>
          <cell r="E357">
            <v>8720</v>
          </cell>
          <cell r="F357">
            <v>26529</v>
          </cell>
          <cell r="G357">
            <v>19555</v>
          </cell>
          <cell r="H357"/>
          <cell r="I357">
            <v>1127</v>
          </cell>
          <cell r="J357">
            <v>4748</v>
          </cell>
          <cell r="K357">
            <v>2793</v>
          </cell>
          <cell r="L357">
            <v>5501</v>
          </cell>
          <cell r="M357"/>
          <cell r="N357">
            <v>554</v>
          </cell>
          <cell r="O357">
            <v>0</v>
          </cell>
          <cell r="P357">
            <v>0</v>
          </cell>
          <cell r="Q357">
            <v>1</v>
          </cell>
          <cell r="R357"/>
          <cell r="S357">
            <v>6590</v>
          </cell>
          <cell r="T357">
            <v>1908</v>
          </cell>
          <cell r="U357">
            <v>8498</v>
          </cell>
        </row>
        <row r="358">
          <cell r="A358">
            <v>93631</v>
          </cell>
          <cell r="B358" t="str">
            <v>TOWN OF CRAMERTON</v>
          </cell>
          <cell r="C358">
            <v>2.252E-4</v>
          </cell>
          <cell r="D358">
            <v>2.3440000000000001E-4</v>
          </cell>
          <cell r="E358">
            <v>100501</v>
          </cell>
          <cell r="F358">
            <v>497475</v>
          </cell>
          <cell r="G358">
            <v>344043</v>
          </cell>
          <cell r="H358"/>
          <cell r="I358">
            <v>19820</v>
          </cell>
          <cell r="J358">
            <v>83534</v>
          </cell>
          <cell r="K358">
            <v>49134</v>
          </cell>
          <cell r="L358">
            <v>435</v>
          </cell>
          <cell r="M358"/>
          <cell r="N358">
            <v>9739</v>
          </cell>
          <cell r="O358">
            <v>0</v>
          </cell>
          <cell r="P358">
            <v>0</v>
          </cell>
          <cell r="Q358">
            <v>20459</v>
          </cell>
          <cell r="R358"/>
          <cell r="S358">
            <v>115943</v>
          </cell>
          <cell r="T358">
            <v>-7001</v>
          </cell>
          <cell r="U358">
            <v>108942</v>
          </cell>
        </row>
        <row r="359">
          <cell r="A359">
            <v>93641</v>
          </cell>
          <cell r="B359" t="str">
            <v>CITY OF CHERRYVILLE</v>
          </cell>
          <cell r="C359">
            <v>4.0450000000000002E-4</v>
          </cell>
          <cell r="D359">
            <v>4.3550000000000001E-4</v>
          </cell>
          <cell r="E359">
            <v>197852</v>
          </cell>
          <cell r="F359">
            <v>924277</v>
          </cell>
          <cell r="G359">
            <v>617964</v>
          </cell>
          <cell r="H359"/>
          <cell r="I359">
            <v>35600</v>
          </cell>
          <cell r="J359">
            <v>150042</v>
          </cell>
          <cell r="K359">
            <v>88254</v>
          </cell>
          <cell r="L359">
            <v>14033</v>
          </cell>
          <cell r="M359"/>
          <cell r="N359">
            <v>17493</v>
          </cell>
          <cell r="O359">
            <v>0</v>
          </cell>
          <cell r="P359">
            <v>0</v>
          </cell>
          <cell r="Q359">
            <v>11062</v>
          </cell>
          <cell r="R359"/>
          <cell r="S359">
            <v>208254</v>
          </cell>
          <cell r="T359">
            <v>4772</v>
          </cell>
          <cell r="U359">
            <v>213026</v>
          </cell>
        </row>
        <row r="360">
          <cell r="A360">
            <v>93647</v>
          </cell>
          <cell r="B360" t="str">
            <v>CHERRYVILLE ABC BOARD</v>
          </cell>
          <cell r="C360">
            <v>6.0000000000000002E-6</v>
          </cell>
          <cell r="D360">
            <v>6.1E-6</v>
          </cell>
          <cell r="E360">
            <v>9062</v>
          </cell>
          <cell r="F360">
            <v>12946</v>
          </cell>
          <cell r="G360">
            <v>9166</v>
          </cell>
          <cell r="H360"/>
          <cell r="I360">
            <v>528</v>
          </cell>
          <cell r="J360">
            <v>2226</v>
          </cell>
          <cell r="K360">
            <v>1309</v>
          </cell>
          <cell r="L360">
            <v>12039</v>
          </cell>
          <cell r="M360"/>
          <cell r="N360">
            <v>259</v>
          </cell>
          <cell r="O360">
            <v>0</v>
          </cell>
          <cell r="P360">
            <v>0</v>
          </cell>
          <cell r="Q360">
            <v>0</v>
          </cell>
          <cell r="R360"/>
          <cell r="S360">
            <v>3089</v>
          </cell>
          <cell r="T360">
            <v>4642</v>
          </cell>
          <cell r="U360">
            <v>7731</v>
          </cell>
        </row>
        <row r="361">
          <cell r="A361">
            <v>93651</v>
          </cell>
          <cell r="B361" t="str">
            <v>TOWN OF DALLAS</v>
          </cell>
          <cell r="C361">
            <v>4.3800000000000002E-4</v>
          </cell>
          <cell r="D361">
            <v>4.282E-4</v>
          </cell>
          <cell r="E361">
            <v>185953</v>
          </cell>
          <cell r="F361">
            <v>908784</v>
          </cell>
          <cell r="G361">
            <v>669143</v>
          </cell>
          <cell r="H361"/>
          <cell r="I361">
            <v>38549</v>
          </cell>
          <cell r="J361">
            <v>162468</v>
          </cell>
          <cell r="K361">
            <v>95563</v>
          </cell>
          <cell r="L361">
            <v>5830</v>
          </cell>
          <cell r="M361"/>
          <cell r="N361">
            <v>18941</v>
          </cell>
          <cell r="O361">
            <v>0</v>
          </cell>
          <cell r="P361">
            <v>0</v>
          </cell>
          <cell r="Q361">
            <v>13910</v>
          </cell>
          <cell r="R361"/>
          <cell r="S361">
            <v>225502</v>
          </cell>
          <cell r="T361">
            <v>-1521</v>
          </cell>
          <cell r="U361">
            <v>223981</v>
          </cell>
        </row>
        <row r="362">
          <cell r="A362">
            <v>93661</v>
          </cell>
          <cell r="B362" t="str">
            <v>CITY OF LOWELL</v>
          </cell>
          <cell r="C362">
            <v>1.3410000000000001E-4</v>
          </cell>
          <cell r="D362">
            <v>1.3420000000000001E-4</v>
          </cell>
          <cell r="E362">
            <v>66084</v>
          </cell>
          <cell r="F362">
            <v>284817</v>
          </cell>
          <cell r="G362">
            <v>204868</v>
          </cell>
          <cell r="H362"/>
          <cell r="I362">
            <v>11802</v>
          </cell>
          <cell r="J362">
            <v>49742</v>
          </cell>
          <cell r="K362">
            <v>29258</v>
          </cell>
          <cell r="L362">
            <v>11769</v>
          </cell>
          <cell r="M362"/>
          <cell r="N362">
            <v>5799</v>
          </cell>
          <cell r="O362">
            <v>0</v>
          </cell>
          <cell r="P362">
            <v>0</v>
          </cell>
          <cell r="Q362">
            <v>0</v>
          </cell>
          <cell r="R362"/>
          <cell r="S362">
            <v>69041</v>
          </cell>
          <cell r="T362">
            <v>4842</v>
          </cell>
          <cell r="U362">
            <v>73883</v>
          </cell>
        </row>
        <row r="363">
          <cell r="A363">
            <v>93671</v>
          </cell>
          <cell r="B363" t="str">
            <v>BESSEMER CITY</v>
          </cell>
          <cell r="C363">
            <v>3.5530000000000002E-4</v>
          </cell>
          <cell r="D363">
            <v>3.6900000000000002E-4</v>
          </cell>
          <cell r="E363">
            <v>172672</v>
          </cell>
          <cell r="F363">
            <v>783142</v>
          </cell>
          <cell r="G363">
            <v>542800</v>
          </cell>
          <cell r="H363"/>
          <cell r="I363">
            <v>31270</v>
          </cell>
          <cell r="J363">
            <v>131793</v>
          </cell>
          <cell r="K363">
            <v>77519</v>
          </cell>
          <cell r="L363">
            <v>38666</v>
          </cell>
          <cell r="M363"/>
          <cell r="N363">
            <v>15365</v>
          </cell>
          <cell r="O363">
            <v>0</v>
          </cell>
          <cell r="P363">
            <v>0</v>
          </cell>
          <cell r="Q363">
            <v>2899</v>
          </cell>
          <cell r="R363"/>
          <cell r="S363">
            <v>182924</v>
          </cell>
          <cell r="T363">
            <v>28467</v>
          </cell>
          <cell r="U363">
            <v>211391</v>
          </cell>
        </row>
        <row r="364">
          <cell r="A364">
            <v>93677</v>
          </cell>
          <cell r="B364" t="str">
            <v>BESSEMER CITY A.B.C. BOARD</v>
          </cell>
          <cell r="C364">
            <v>0</v>
          </cell>
          <cell r="D364">
            <v>0</v>
          </cell>
          <cell r="E364">
            <v>0</v>
          </cell>
          <cell r="F364">
            <v>0</v>
          </cell>
          <cell r="G364">
            <v>0</v>
          </cell>
          <cell r="H364"/>
          <cell r="I364">
            <v>0</v>
          </cell>
          <cell r="J364">
            <v>0</v>
          </cell>
          <cell r="K364">
            <v>0</v>
          </cell>
          <cell r="L364">
            <v>0</v>
          </cell>
          <cell r="M364"/>
          <cell r="N364">
            <v>0</v>
          </cell>
          <cell r="O364">
            <v>0</v>
          </cell>
          <cell r="P364">
            <v>0</v>
          </cell>
          <cell r="Q364">
            <v>718</v>
          </cell>
          <cell r="R364"/>
          <cell r="S364">
            <v>0</v>
          </cell>
          <cell r="T364">
            <v>-725</v>
          </cell>
          <cell r="U364">
            <v>-725</v>
          </cell>
        </row>
        <row r="365">
          <cell r="A365">
            <v>93681</v>
          </cell>
          <cell r="B365" t="str">
            <v>TOWN OF RANLO</v>
          </cell>
          <cell r="C365">
            <v>1.1179999999999999E-4</v>
          </cell>
          <cell r="D365">
            <v>1.1010000000000001E-4</v>
          </cell>
          <cell r="E365">
            <v>48115</v>
          </cell>
          <cell r="F365">
            <v>233669</v>
          </cell>
          <cell r="G365">
            <v>170799</v>
          </cell>
          <cell r="H365"/>
          <cell r="I365">
            <v>9840</v>
          </cell>
          <cell r="J365">
            <v>41470</v>
          </cell>
          <cell r="K365">
            <v>24393</v>
          </cell>
          <cell r="L365">
            <v>264</v>
          </cell>
          <cell r="M365"/>
          <cell r="N365">
            <v>4835</v>
          </cell>
          <cell r="O365">
            <v>0</v>
          </cell>
          <cell r="P365">
            <v>0</v>
          </cell>
          <cell r="Q365">
            <v>12629</v>
          </cell>
          <cell r="R365"/>
          <cell r="S365">
            <v>57560</v>
          </cell>
          <cell r="T365">
            <v>-6498</v>
          </cell>
          <cell r="U365">
            <v>51062</v>
          </cell>
        </row>
        <row r="366">
          <cell r="A366">
            <v>93691</v>
          </cell>
          <cell r="B366" t="str">
            <v>CITY OF MOUNT HOLLY</v>
          </cell>
          <cell r="C366">
            <v>1.0858E-3</v>
          </cell>
          <cell r="D366">
            <v>1.1251E-3</v>
          </cell>
          <cell r="E366">
            <v>464182</v>
          </cell>
          <cell r="F366">
            <v>2387839</v>
          </cell>
          <cell r="G366">
            <v>1658802</v>
          </cell>
          <cell r="H366"/>
          <cell r="I366">
            <v>95562</v>
          </cell>
          <cell r="J366">
            <v>402759</v>
          </cell>
          <cell r="K366">
            <v>236900</v>
          </cell>
          <cell r="L366">
            <v>0</v>
          </cell>
          <cell r="M366"/>
          <cell r="N366">
            <v>46955</v>
          </cell>
          <cell r="O366">
            <v>0</v>
          </cell>
          <cell r="P366">
            <v>0</v>
          </cell>
          <cell r="Q366">
            <v>115438</v>
          </cell>
          <cell r="R366"/>
          <cell r="S366">
            <v>559018</v>
          </cell>
          <cell r="T366">
            <v>-42411</v>
          </cell>
          <cell r="U366">
            <v>516607</v>
          </cell>
        </row>
        <row r="367">
          <cell r="A367">
            <v>93701</v>
          </cell>
          <cell r="B367" t="str">
            <v>GATES COUNTY</v>
          </cell>
          <cell r="C367">
            <v>4.5800000000000002E-4</v>
          </cell>
          <cell r="D367">
            <v>4.6200000000000001E-4</v>
          </cell>
          <cell r="E367">
            <v>201820</v>
          </cell>
          <cell r="F367">
            <v>0</v>
          </cell>
          <cell r="G367">
            <v>699697</v>
          </cell>
          <cell r="H367"/>
          <cell r="I367">
            <v>40309</v>
          </cell>
          <cell r="J367">
            <v>169888</v>
          </cell>
          <cell r="K367">
            <v>99926</v>
          </cell>
          <cell r="L367">
            <v>7923</v>
          </cell>
          <cell r="M367"/>
          <cell r="N367">
            <v>19806</v>
          </cell>
          <cell r="O367">
            <v>0</v>
          </cell>
          <cell r="P367">
            <v>0</v>
          </cell>
          <cell r="Q367">
            <v>17631</v>
          </cell>
          <cell r="R367"/>
          <cell r="S367">
            <v>235799</v>
          </cell>
          <cell r="T367">
            <v>566</v>
          </cell>
          <cell r="U367">
            <v>236365</v>
          </cell>
        </row>
        <row r="368">
          <cell r="A368">
            <v>93704</v>
          </cell>
          <cell r="B368" t="str">
            <v>GATES COUNTY ABC BOARD</v>
          </cell>
          <cell r="C368">
            <v>3.0000000000000001E-6</v>
          </cell>
          <cell r="D368">
            <v>3.3000000000000002E-6</v>
          </cell>
          <cell r="E368">
            <v>1962</v>
          </cell>
          <cell r="F368">
            <v>7004</v>
          </cell>
          <cell r="G368">
            <v>4583</v>
          </cell>
          <cell r="H368"/>
          <cell r="I368">
            <v>264</v>
          </cell>
          <cell r="J368">
            <v>1113</v>
          </cell>
          <cell r="K368">
            <v>655</v>
          </cell>
          <cell r="L368">
            <v>578</v>
          </cell>
          <cell r="M368"/>
          <cell r="N368">
            <v>130</v>
          </cell>
          <cell r="O368">
            <v>0</v>
          </cell>
          <cell r="P368">
            <v>0</v>
          </cell>
          <cell r="Q368">
            <v>49</v>
          </cell>
          <cell r="R368"/>
          <cell r="S368">
            <v>1545</v>
          </cell>
          <cell r="T368">
            <v>136</v>
          </cell>
          <cell r="U368">
            <v>1681</v>
          </cell>
        </row>
        <row r="369">
          <cell r="A369">
            <v>93801</v>
          </cell>
          <cell r="B369" t="str">
            <v>GRAHAM COUNTY</v>
          </cell>
          <cell r="C369">
            <v>4.7889999999999999E-4</v>
          </cell>
          <cell r="D369">
            <v>5.4180000000000005E-4</v>
          </cell>
          <cell r="E369">
            <v>205984</v>
          </cell>
          <cell r="F369">
            <v>1149881</v>
          </cell>
          <cell r="G369">
            <v>731627</v>
          </cell>
          <cell r="H369"/>
          <cell r="I369">
            <v>42148</v>
          </cell>
          <cell r="J369">
            <v>177639</v>
          </cell>
          <cell r="K369">
            <v>104486</v>
          </cell>
          <cell r="L369">
            <v>113630</v>
          </cell>
          <cell r="M369"/>
          <cell r="N369">
            <v>20710</v>
          </cell>
          <cell r="O369">
            <v>0</v>
          </cell>
          <cell r="P369">
            <v>0</v>
          </cell>
          <cell r="Q369">
            <v>54734</v>
          </cell>
          <cell r="R369"/>
          <cell r="S369">
            <v>246559</v>
          </cell>
          <cell r="T369">
            <v>28052</v>
          </cell>
          <cell r="U369">
            <v>274611</v>
          </cell>
        </row>
        <row r="370">
          <cell r="A370">
            <v>93803</v>
          </cell>
          <cell r="B370" t="str">
            <v>GRAHAM CO HEALTH DEPT</v>
          </cell>
          <cell r="C370">
            <v>1.1900000000000001E-4</v>
          </cell>
          <cell r="D370">
            <v>1.4469999999999999E-4</v>
          </cell>
          <cell r="E370">
            <v>50573</v>
          </cell>
          <cell r="F370">
            <v>307102</v>
          </cell>
          <cell r="G370">
            <v>181799</v>
          </cell>
          <cell r="H370"/>
          <cell r="I370">
            <v>10473</v>
          </cell>
          <cell r="J370">
            <v>44141</v>
          </cell>
          <cell r="K370">
            <v>25963</v>
          </cell>
          <cell r="L370">
            <v>0</v>
          </cell>
          <cell r="M370"/>
          <cell r="N370">
            <v>5146</v>
          </cell>
          <cell r="O370">
            <v>0</v>
          </cell>
          <cell r="P370">
            <v>0</v>
          </cell>
          <cell r="Q370">
            <v>42594</v>
          </cell>
          <cell r="R370"/>
          <cell r="S370">
            <v>61266</v>
          </cell>
          <cell r="T370">
            <v>-17510</v>
          </cell>
          <cell r="U370">
            <v>43756</v>
          </cell>
        </row>
        <row r="371">
          <cell r="A371">
            <v>93806</v>
          </cell>
          <cell r="B371" t="str">
            <v>GRAHAM COUNTY DEPT OF S S</v>
          </cell>
          <cell r="C371">
            <v>9.3900000000000006E-5</v>
          </cell>
          <cell r="D371">
            <v>7.3700000000000002E-5</v>
          </cell>
          <cell r="E371">
            <v>41336</v>
          </cell>
          <cell r="F371">
            <v>156416</v>
          </cell>
          <cell r="G371">
            <v>143453</v>
          </cell>
          <cell r="H371"/>
          <cell r="I371">
            <v>8264</v>
          </cell>
          <cell r="J371">
            <v>34831</v>
          </cell>
          <cell r="K371">
            <v>20487</v>
          </cell>
          <cell r="L371">
            <v>13283</v>
          </cell>
          <cell r="M371"/>
          <cell r="N371">
            <v>4061</v>
          </cell>
          <cell r="O371">
            <v>0</v>
          </cell>
          <cell r="P371">
            <v>0</v>
          </cell>
          <cell r="Q371">
            <v>10049</v>
          </cell>
          <cell r="R371"/>
          <cell r="S371">
            <v>48344</v>
          </cell>
          <cell r="T371">
            <v>-6121</v>
          </cell>
          <cell r="U371">
            <v>42223</v>
          </cell>
        </row>
        <row r="372">
          <cell r="A372">
            <v>93821</v>
          </cell>
          <cell r="B372" t="str">
            <v>TOWN OF ROBBINSVILLE</v>
          </cell>
          <cell r="C372">
            <v>2.9899999999999998E-5</v>
          </cell>
          <cell r="D372">
            <v>5.7200000000000001E-5</v>
          </cell>
          <cell r="E372">
            <v>36177</v>
          </cell>
          <cell r="F372">
            <v>121398</v>
          </cell>
          <cell r="G372">
            <v>45679</v>
          </cell>
          <cell r="H372"/>
          <cell r="I372">
            <v>2632</v>
          </cell>
          <cell r="J372">
            <v>11090</v>
          </cell>
          <cell r="K372">
            <v>6524</v>
          </cell>
          <cell r="L372">
            <v>18424</v>
          </cell>
          <cell r="M372"/>
          <cell r="N372">
            <v>1293</v>
          </cell>
          <cell r="O372">
            <v>0</v>
          </cell>
          <cell r="P372">
            <v>0</v>
          </cell>
          <cell r="Q372">
            <v>343</v>
          </cell>
          <cell r="R372"/>
          <cell r="S372">
            <v>15394</v>
          </cell>
          <cell r="T372">
            <v>7633</v>
          </cell>
          <cell r="U372">
            <v>23027</v>
          </cell>
        </row>
        <row r="373">
          <cell r="A373">
            <v>93901</v>
          </cell>
          <cell r="B373" t="str">
            <v>GRANVILLE COUNTY</v>
          </cell>
          <cell r="C373">
            <v>1.7974E-3</v>
          </cell>
          <cell r="D373">
            <v>1.8059E-3</v>
          </cell>
          <cell r="E373">
            <v>887170</v>
          </cell>
          <cell r="F373">
            <v>3832725</v>
          </cell>
          <cell r="G373">
            <v>2745929</v>
          </cell>
          <cell r="H373"/>
          <cell r="I373">
            <v>158191</v>
          </cell>
          <cell r="J373">
            <v>666715</v>
          </cell>
          <cell r="K373">
            <v>392157</v>
          </cell>
          <cell r="L373">
            <v>89069</v>
          </cell>
          <cell r="M373"/>
          <cell r="N373">
            <v>77729</v>
          </cell>
          <cell r="O373">
            <v>0</v>
          </cell>
          <cell r="P373">
            <v>0</v>
          </cell>
          <cell r="Q373">
            <v>0</v>
          </cell>
          <cell r="R373"/>
          <cell r="S373">
            <v>925381</v>
          </cell>
          <cell r="T373">
            <v>32657</v>
          </cell>
          <cell r="U373">
            <v>958038</v>
          </cell>
        </row>
        <row r="374">
          <cell r="A374">
            <v>93904</v>
          </cell>
          <cell r="B374" t="str">
            <v>GRANVILLE CO ABC BD</v>
          </cell>
          <cell r="C374">
            <v>3.0000000000000001E-5</v>
          </cell>
          <cell r="D374">
            <v>2.4700000000000001E-5</v>
          </cell>
          <cell r="E374">
            <v>17302</v>
          </cell>
          <cell r="F374">
            <v>52422</v>
          </cell>
          <cell r="G374">
            <v>45832</v>
          </cell>
          <cell r="H374"/>
          <cell r="I374">
            <v>2640</v>
          </cell>
          <cell r="J374">
            <v>11128</v>
          </cell>
          <cell r="K374">
            <v>6545</v>
          </cell>
          <cell r="L374">
            <v>9710</v>
          </cell>
          <cell r="M374"/>
          <cell r="N374">
            <v>1297</v>
          </cell>
          <cell r="O374">
            <v>0</v>
          </cell>
          <cell r="P374">
            <v>0</v>
          </cell>
          <cell r="Q374">
            <v>28</v>
          </cell>
          <cell r="R374"/>
          <cell r="S374">
            <v>15445</v>
          </cell>
          <cell r="T374">
            <v>3144</v>
          </cell>
          <cell r="U374">
            <v>18589</v>
          </cell>
        </row>
        <row r="375">
          <cell r="A375">
            <v>93906</v>
          </cell>
          <cell r="B375" t="str">
            <v>GRANVILLE COUNTY HOSPITAL</v>
          </cell>
          <cell r="C375">
            <v>3.3882000000000001E-3</v>
          </cell>
          <cell r="D375">
            <v>3.4513E-3</v>
          </cell>
          <cell r="E375">
            <v>1486051</v>
          </cell>
          <cell r="F375">
            <v>7324815</v>
          </cell>
          <cell r="G375">
            <v>5176231</v>
          </cell>
          <cell r="H375"/>
          <cell r="I375">
            <v>298199</v>
          </cell>
          <cell r="J375">
            <v>1256796</v>
          </cell>
          <cell r="K375">
            <v>739237</v>
          </cell>
          <cell r="L375">
            <v>14983</v>
          </cell>
          <cell r="M375"/>
          <cell r="N375">
            <v>146523</v>
          </cell>
          <cell r="O375">
            <v>0</v>
          </cell>
          <cell r="P375">
            <v>0</v>
          </cell>
          <cell r="Q375">
            <v>222323</v>
          </cell>
          <cell r="R375"/>
          <cell r="S375">
            <v>1744394</v>
          </cell>
          <cell r="T375">
            <v>-70525</v>
          </cell>
          <cell r="U375">
            <v>1673869</v>
          </cell>
        </row>
        <row r="376">
          <cell r="A376">
            <v>93908</v>
          </cell>
          <cell r="B376" t="str">
            <v>GRANVILLE-VANCE PUBLIC HEALTH</v>
          </cell>
          <cell r="C376">
            <v>5.1219999999999998E-4</v>
          </cell>
          <cell r="D376">
            <v>5.0239999999999996E-4</v>
          </cell>
          <cell r="E376">
            <v>237114</v>
          </cell>
          <cell r="F376">
            <v>0</v>
          </cell>
          <cell r="G376">
            <v>782500</v>
          </cell>
          <cell r="H376"/>
          <cell r="I376">
            <v>45079</v>
          </cell>
          <cell r="J376">
            <v>189992</v>
          </cell>
          <cell r="K376">
            <v>111752</v>
          </cell>
          <cell r="L376">
            <v>12340</v>
          </cell>
          <cell r="M376"/>
          <cell r="N376">
            <v>22150</v>
          </cell>
          <cell r="O376">
            <v>0</v>
          </cell>
          <cell r="P376">
            <v>0</v>
          </cell>
          <cell r="Q376">
            <v>16479</v>
          </cell>
          <cell r="R376"/>
          <cell r="S376">
            <v>263703</v>
          </cell>
          <cell r="T376">
            <v>-2302</v>
          </cell>
          <cell r="U376">
            <v>261401</v>
          </cell>
        </row>
        <row r="377">
          <cell r="A377">
            <v>93910</v>
          </cell>
          <cell r="B377" t="str">
            <v>SOUTH GRANVILLE WATER AND SEWER AUTHORITY</v>
          </cell>
          <cell r="C377">
            <v>2.786E-4</v>
          </cell>
          <cell r="D377">
            <v>2.9129999999999998E-4</v>
          </cell>
          <cell r="E377">
            <v>117578</v>
          </cell>
          <cell r="F377">
            <v>618236</v>
          </cell>
          <cell r="G377">
            <v>425624</v>
          </cell>
          <cell r="H377"/>
          <cell r="I377">
            <v>24520</v>
          </cell>
          <cell r="J377">
            <v>103342</v>
          </cell>
          <cell r="K377">
            <v>60785</v>
          </cell>
          <cell r="L377">
            <v>0</v>
          </cell>
          <cell r="M377"/>
          <cell r="N377">
            <v>12048</v>
          </cell>
          <cell r="O377">
            <v>0</v>
          </cell>
          <cell r="P377">
            <v>0</v>
          </cell>
          <cell r="Q377">
            <v>34002</v>
          </cell>
          <cell r="R377"/>
          <cell r="S377">
            <v>143436</v>
          </cell>
          <cell r="T377">
            <v>-14513</v>
          </cell>
          <cell r="U377">
            <v>128923</v>
          </cell>
        </row>
        <row r="378">
          <cell r="A378">
            <v>93911</v>
          </cell>
          <cell r="B378" t="str">
            <v>CITY OF OXFORD</v>
          </cell>
          <cell r="C378">
            <v>6.3429999999999997E-4</v>
          </cell>
          <cell r="D378">
            <v>6.9890000000000002E-4</v>
          </cell>
          <cell r="E378">
            <v>301989</v>
          </cell>
          <cell r="F378">
            <v>1483300</v>
          </cell>
          <cell r="G378">
            <v>969035</v>
          </cell>
          <cell r="H378"/>
          <cell r="I378">
            <v>55825</v>
          </cell>
          <cell r="J378">
            <v>235283</v>
          </cell>
          <cell r="K378">
            <v>138392</v>
          </cell>
          <cell r="L378">
            <v>13175</v>
          </cell>
          <cell r="M378"/>
          <cell r="N378">
            <v>27430</v>
          </cell>
          <cell r="O378">
            <v>0</v>
          </cell>
          <cell r="P378">
            <v>0</v>
          </cell>
          <cell r="Q378">
            <v>54353</v>
          </cell>
          <cell r="R378"/>
          <cell r="S378">
            <v>326566</v>
          </cell>
          <cell r="T378">
            <v>-6922</v>
          </cell>
          <cell r="U378">
            <v>319644</v>
          </cell>
        </row>
        <row r="379">
          <cell r="A379">
            <v>93913</v>
          </cell>
          <cell r="B379" t="str">
            <v>OXFORD HOUSING AUTHORITY</v>
          </cell>
          <cell r="C379">
            <v>5.8799999999999999E-5</v>
          </cell>
          <cell r="D379">
            <v>6.2600000000000004E-5</v>
          </cell>
          <cell r="E379">
            <v>29910</v>
          </cell>
          <cell r="F379">
            <v>132858</v>
          </cell>
          <cell r="G379">
            <v>89830</v>
          </cell>
          <cell r="H379"/>
          <cell r="I379">
            <v>5175</v>
          </cell>
          <cell r="J379">
            <v>21810</v>
          </cell>
          <cell r="K379">
            <v>12829</v>
          </cell>
          <cell r="L379">
            <v>2902</v>
          </cell>
          <cell r="M379"/>
          <cell r="N379">
            <v>2543</v>
          </cell>
          <cell r="O379">
            <v>0</v>
          </cell>
          <cell r="P379">
            <v>0</v>
          </cell>
          <cell r="Q379">
            <v>1064</v>
          </cell>
          <cell r="R379"/>
          <cell r="S379">
            <v>30273</v>
          </cell>
          <cell r="T379">
            <v>476</v>
          </cell>
          <cell r="U379">
            <v>30749</v>
          </cell>
        </row>
        <row r="380">
          <cell r="A380">
            <v>93914</v>
          </cell>
          <cell r="B380" t="str">
            <v>TOWN OF STOVALL</v>
          </cell>
          <cell r="C380">
            <v>8.1000000000000004E-6</v>
          </cell>
          <cell r="D380">
            <v>9.0999999999999993E-6</v>
          </cell>
          <cell r="E380">
            <v>6536</v>
          </cell>
          <cell r="F380">
            <v>19313</v>
          </cell>
          <cell r="G380">
            <v>12375</v>
          </cell>
          <cell r="H380"/>
          <cell r="I380">
            <v>713</v>
          </cell>
          <cell r="J380">
            <v>3005</v>
          </cell>
          <cell r="K380">
            <v>1767</v>
          </cell>
          <cell r="L380">
            <v>3568</v>
          </cell>
          <cell r="M380"/>
          <cell r="N380">
            <v>350</v>
          </cell>
          <cell r="O380">
            <v>0</v>
          </cell>
          <cell r="P380">
            <v>0</v>
          </cell>
          <cell r="Q380">
            <v>0</v>
          </cell>
          <cell r="R380"/>
          <cell r="S380">
            <v>4170</v>
          </cell>
          <cell r="T380">
            <v>1520</v>
          </cell>
          <cell r="U380">
            <v>5690</v>
          </cell>
        </row>
        <row r="381">
          <cell r="A381">
            <v>93921</v>
          </cell>
          <cell r="B381" t="str">
            <v>CITY OF CREEDMOOR</v>
          </cell>
          <cell r="C381">
            <v>2.9020000000000001E-4</v>
          </cell>
          <cell r="D381">
            <v>2.7139999999999998E-4</v>
          </cell>
          <cell r="E381">
            <v>126884</v>
          </cell>
          <cell r="F381">
            <v>576002</v>
          </cell>
          <cell r="G381">
            <v>443345</v>
          </cell>
          <cell r="H381"/>
          <cell r="I381">
            <v>25541</v>
          </cell>
          <cell r="J381">
            <v>107645</v>
          </cell>
          <cell r="K381">
            <v>63316</v>
          </cell>
          <cell r="L381">
            <v>16222</v>
          </cell>
          <cell r="M381"/>
          <cell r="N381">
            <v>12550</v>
          </cell>
          <cell r="O381">
            <v>0</v>
          </cell>
          <cell r="P381">
            <v>0</v>
          </cell>
          <cell r="Q381">
            <v>5036</v>
          </cell>
          <cell r="R381"/>
          <cell r="S381">
            <v>149408</v>
          </cell>
          <cell r="T381">
            <v>6326</v>
          </cell>
          <cell r="U381">
            <v>155734</v>
          </cell>
        </row>
        <row r="382">
          <cell r="A382">
            <v>93931</v>
          </cell>
          <cell r="B382" t="str">
            <v>TOWN OF BUTNER</v>
          </cell>
          <cell r="C382">
            <v>5.0029999999999996E-4</v>
          </cell>
          <cell r="D382">
            <v>5.2260000000000002E-4</v>
          </cell>
          <cell r="E382">
            <v>212623</v>
          </cell>
          <cell r="F382">
            <v>1109132</v>
          </cell>
          <cell r="G382">
            <v>764320</v>
          </cell>
          <cell r="H382"/>
          <cell r="I382">
            <v>44032</v>
          </cell>
          <cell r="J382">
            <v>185578</v>
          </cell>
          <cell r="K382">
            <v>109155</v>
          </cell>
          <cell r="L382">
            <v>107572</v>
          </cell>
          <cell r="M382"/>
          <cell r="N382">
            <v>21635</v>
          </cell>
          <cell r="O382">
            <v>0</v>
          </cell>
          <cell r="P382">
            <v>0</v>
          </cell>
          <cell r="Q382">
            <v>39017</v>
          </cell>
          <cell r="R382"/>
          <cell r="S382">
            <v>257576</v>
          </cell>
          <cell r="T382">
            <v>79129</v>
          </cell>
          <cell r="U382">
            <v>336705</v>
          </cell>
        </row>
        <row r="383">
          <cell r="A383">
            <v>94001</v>
          </cell>
          <cell r="B383" t="str">
            <v>GREENE COUNTY</v>
          </cell>
          <cell r="C383">
            <v>9.209E-4</v>
          </cell>
          <cell r="D383">
            <v>9.0240000000000003E-4</v>
          </cell>
          <cell r="E383">
            <v>430503</v>
          </cell>
          <cell r="F383">
            <v>1915195</v>
          </cell>
          <cell r="G383">
            <v>1406880</v>
          </cell>
          <cell r="H383"/>
          <cell r="I383">
            <v>81049</v>
          </cell>
          <cell r="J383">
            <v>341592</v>
          </cell>
          <cell r="K383">
            <v>200922</v>
          </cell>
          <cell r="L383">
            <v>45532</v>
          </cell>
          <cell r="M383"/>
          <cell r="N383">
            <v>39824</v>
          </cell>
          <cell r="O383">
            <v>0</v>
          </cell>
          <cell r="P383">
            <v>0</v>
          </cell>
          <cell r="Q383">
            <v>27168</v>
          </cell>
          <cell r="R383"/>
          <cell r="S383">
            <v>474120</v>
          </cell>
          <cell r="T383">
            <v>-12411</v>
          </cell>
          <cell r="U383">
            <v>461709</v>
          </cell>
        </row>
        <row r="384">
          <cell r="A384">
            <v>94002</v>
          </cell>
          <cell r="B384" t="str">
            <v>MAURY SANITARY LAND DISTRICT</v>
          </cell>
          <cell r="C384">
            <v>7.0999999999999998E-6</v>
          </cell>
          <cell r="D384">
            <v>7.6000000000000001E-6</v>
          </cell>
          <cell r="E384">
            <v>4693</v>
          </cell>
          <cell r="F384">
            <v>16130</v>
          </cell>
          <cell r="G384">
            <v>10847</v>
          </cell>
          <cell r="H384"/>
          <cell r="I384">
            <v>625</v>
          </cell>
          <cell r="J384">
            <v>2633</v>
          </cell>
          <cell r="K384">
            <v>1549</v>
          </cell>
          <cell r="L384">
            <v>1428</v>
          </cell>
          <cell r="M384"/>
          <cell r="N384">
            <v>307</v>
          </cell>
          <cell r="O384">
            <v>0</v>
          </cell>
          <cell r="P384">
            <v>0</v>
          </cell>
          <cell r="Q384">
            <v>214</v>
          </cell>
          <cell r="R384"/>
          <cell r="S384">
            <v>3655</v>
          </cell>
          <cell r="T384">
            <v>237</v>
          </cell>
          <cell r="U384">
            <v>3892</v>
          </cell>
        </row>
        <row r="385">
          <cell r="A385">
            <v>94004</v>
          </cell>
          <cell r="B385" t="str">
            <v>GREENE COUNTY ABC BOARD</v>
          </cell>
          <cell r="C385">
            <v>7.3000000000000004E-6</v>
          </cell>
          <cell r="D385">
            <v>2.7999999999999999E-6</v>
          </cell>
          <cell r="E385">
            <v>4145</v>
          </cell>
          <cell r="F385">
            <v>5943</v>
          </cell>
          <cell r="G385">
            <v>11152</v>
          </cell>
          <cell r="H385"/>
          <cell r="I385">
            <v>642</v>
          </cell>
          <cell r="J385">
            <v>2708</v>
          </cell>
          <cell r="K385">
            <v>1593</v>
          </cell>
          <cell r="L385">
            <v>4768</v>
          </cell>
          <cell r="M385"/>
          <cell r="N385">
            <v>316</v>
          </cell>
          <cell r="O385">
            <v>0</v>
          </cell>
          <cell r="P385">
            <v>0</v>
          </cell>
          <cell r="Q385">
            <v>626</v>
          </cell>
          <cell r="R385"/>
          <cell r="S385">
            <v>3758</v>
          </cell>
          <cell r="T385">
            <v>706</v>
          </cell>
          <cell r="U385">
            <v>4464</v>
          </cell>
        </row>
        <row r="386">
          <cell r="A386">
            <v>94005</v>
          </cell>
          <cell r="B386" t="str">
            <v>NEUSE REGIONAL LIBRARY-GREENE COUNTY</v>
          </cell>
          <cell r="C386">
            <v>0</v>
          </cell>
          <cell r="D386">
            <v>5.4999999999999999E-6</v>
          </cell>
          <cell r="E386">
            <v>560</v>
          </cell>
          <cell r="F386">
            <v>11673</v>
          </cell>
          <cell r="G386">
            <v>0</v>
          </cell>
          <cell r="H386"/>
          <cell r="I386">
            <v>0</v>
          </cell>
          <cell r="J386">
            <v>0</v>
          </cell>
          <cell r="K386">
            <v>0</v>
          </cell>
          <cell r="L386">
            <v>0</v>
          </cell>
          <cell r="M386"/>
          <cell r="N386">
            <v>0</v>
          </cell>
          <cell r="O386">
            <v>0</v>
          </cell>
          <cell r="P386">
            <v>0</v>
          </cell>
          <cell r="Q386">
            <v>5864</v>
          </cell>
          <cell r="R386"/>
          <cell r="S386">
            <v>0</v>
          </cell>
          <cell r="T386">
            <v>-1984</v>
          </cell>
          <cell r="U386">
            <v>-1984</v>
          </cell>
        </row>
        <row r="387">
          <cell r="A387">
            <v>94011</v>
          </cell>
          <cell r="B387" t="str">
            <v>TOWN OF HOOKERTON</v>
          </cell>
          <cell r="C387">
            <v>2.3600000000000001E-5</v>
          </cell>
          <cell r="D387">
            <v>2.5599999999999999E-5</v>
          </cell>
          <cell r="E387">
            <v>9233</v>
          </cell>
          <cell r="F387">
            <v>54332</v>
          </cell>
          <cell r="G387">
            <v>36054</v>
          </cell>
          <cell r="H387"/>
          <cell r="I387">
            <v>2077</v>
          </cell>
          <cell r="J387">
            <v>8754</v>
          </cell>
          <cell r="K387">
            <v>5149</v>
          </cell>
          <cell r="L387">
            <v>3216</v>
          </cell>
          <cell r="M387"/>
          <cell r="N387">
            <v>1021</v>
          </cell>
          <cell r="O387">
            <v>0</v>
          </cell>
          <cell r="P387">
            <v>0</v>
          </cell>
          <cell r="Q387">
            <v>3156</v>
          </cell>
          <cell r="R387"/>
          <cell r="S387">
            <v>12150</v>
          </cell>
          <cell r="T387">
            <v>-16</v>
          </cell>
          <cell r="U387">
            <v>12134</v>
          </cell>
        </row>
        <row r="388">
          <cell r="A388">
            <v>94021</v>
          </cell>
          <cell r="B388" t="str">
            <v>TOWN OF SNOW HILL</v>
          </cell>
          <cell r="C388">
            <v>9.3399999999999993E-5</v>
          </cell>
          <cell r="D388">
            <v>8.1699999999999994E-5</v>
          </cell>
          <cell r="E388">
            <v>47346</v>
          </cell>
          <cell r="F388">
            <v>173395</v>
          </cell>
          <cell r="G388">
            <v>142689</v>
          </cell>
          <cell r="H388"/>
          <cell r="I388">
            <v>8220</v>
          </cell>
          <cell r="J388">
            <v>34645</v>
          </cell>
          <cell r="K388">
            <v>20378</v>
          </cell>
          <cell r="L388">
            <v>20025</v>
          </cell>
          <cell r="M388"/>
          <cell r="N388">
            <v>4039</v>
          </cell>
          <cell r="O388">
            <v>0</v>
          </cell>
          <cell r="P388">
            <v>0</v>
          </cell>
          <cell r="Q388">
            <v>0</v>
          </cell>
          <cell r="R388"/>
          <cell r="S388">
            <v>48086</v>
          </cell>
          <cell r="T388">
            <v>8567</v>
          </cell>
          <cell r="U388">
            <v>56653</v>
          </cell>
        </row>
        <row r="389">
          <cell r="A389">
            <v>94031</v>
          </cell>
          <cell r="B389" t="str">
            <v>TOWN OF WALSTONBURG</v>
          </cell>
          <cell r="C389">
            <v>5.4E-6</v>
          </cell>
          <cell r="D389">
            <v>8.1000000000000004E-6</v>
          </cell>
          <cell r="E389">
            <v>6800</v>
          </cell>
          <cell r="F389">
            <v>17191</v>
          </cell>
          <cell r="G389">
            <v>8250</v>
          </cell>
          <cell r="H389"/>
          <cell r="I389">
            <v>475</v>
          </cell>
          <cell r="J389">
            <v>2003</v>
          </cell>
          <cell r="K389">
            <v>1178</v>
          </cell>
          <cell r="L389">
            <v>7232</v>
          </cell>
          <cell r="M389"/>
          <cell r="N389">
            <v>234</v>
          </cell>
          <cell r="O389">
            <v>0</v>
          </cell>
          <cell r="P389">
            <v>0</v>
          </cell>
          <cell r="Q389">
            <v>41</v>
          </cell>
          <cell r="R389"/>
          <cell r="S389">
            <v>2780</v>
          </cell>
          <cell r="T389">
            <v>2829</v>
          </cell>
          <cell r="U389">
            <v>5609</v>
          </cell>
        </row>
        <row r="390">
          <cell r="A390">
            <v>94101</v>
          </cell>
          <cell r="B390" t="str">
            <v>GUILFORD COUNTY</v>
          </cell>
          <cell r="C390">
            <v>1.8321799999999999E-2</v>
          </cell>
          <cell r="D390">
            <v>1.85028E-2</v>
          </cell>
          <cell r="E390">
            <v>8515875</v>
          </cell>
          <cell r="F390">
            <v>39269140</v>
          </cell>
          <cell r="G390">
            <v>27990635</v>
          </cell>
          <cell r="H390"/>
          <cell r="I390">
            <v>1612520</v>
          </cell>
          <cell r="J390">
            <v>6796161</v>
          </cell>
          <cell r="K390">
            <v>3997450</v>
          </cell>
          <cell r="L390">
            <v>271577</v>
          </cell>
          <cell r="M390"/>
          <cell r="N390">
            <v>792326</v>
          </cell>
          <cell r="O390">
            <v>0</v>
          </cell>
          <cell r="P390">
            <v>0</v>
          </cell>
          <cell r="Q390">
            <v>721969</v>
          </cell>
          <cell r="R390"/>
          <cell r="S390">
            <v>9432869</v>
          </cell>
          <cell r="T390">
            <v>-270678</v>
          </cell>
          <cell r="U390">
            <v>9162191</v>
          </cell>
        </row>
        <row r="391">
          <cell r="A391">
            <v>94102</v>
          </cell>
          <cell r="B391" t="str">
            <v>GUIL-RAND FIRE DEPARTMENT</v>
          </cell>
          <cell r="C391">
            <v>2.965E-4</v>
          </cell>
          <cell r="D391">
            <v>2.7569999999999998E-4</v>
          </cell>
          <cell r="E391">
            <v>104557</v>
          </cell>
          <cell r="F391">
            <v>585128</v>
          </cell>
          <cell r="G391">
            <v>452970</v>
          </cell>
          <cell r="H391"/>
          <cell r="I391">
            <v>26095</v>
          </cell>
          <cell r="J391">
            <v>109981</v>
          </cell>
          <cell r="K391">
            <v>64690</v>
          </cell>
          <cell r="L391">
            <v>2570</v>
          </cell>
          <cell r="M391"/>
          <cell r="N391">
            <v>12822</v>
          </cell>
          <cell r="O391">
            <v>0</v>
          </cell>
          <cell r="P391">
            <v>0</v>
          </cell>
          <cell r="Q391">
            <v>36856</v>
          </cell>
          <cell r="R391"/>
          <cell r="S391">
            <v>152651</v>
          </cell>
          <cell r="T391">
            <v>-11311</v>
          </cell>
          <cell r="U391">
            <v>141340</v>
          </cell>
        </row>
        <row r="392">
          <cell r="A392">
            <v>94108</v>
          </cell>
          <cell r="B392" t="str">
            <v>PINECROFT-SEDGEFIELD FIRE DIST INC</v>
          </cell>
          <cell r="C392">
            <v>3.1389999999999999E-4</v>
          </cell>
          <cell r="D392">
            <v>3.1809999999999998E-4</v>
          </cell>
          <cell r="E392">
            <v>112936</v>
          </cell>
          <cell r="F392">
            <v>675115</v>
          </cell>
          <cell r="G392">
            <v>479552</v>
          </cell>
          <cell r="H392"/>
          <cell r="I392">
            <v>27627</v>
          </cell>
          <cell r="J392">
            <v>116436</v>
          </cell>
          <cell r="K392">
            <v>68487</v>
          </cell>
          <cell r="L392">
            <v>0</v>
          </cell>
          <cell r="M392"/>
          <cell r="N392">
            <v>13575</v>
          </cell>
          <cell r="O392">
            <v>0</v>
          </cell>
          <cell r="P392">
            <v>0</v>
          </cell>
          <cell r="Q392">
            <v>108607</v>
          </cell>
          <cell r="R392"/>
          <cell r="S392">
            <v>161610</v>
          </cell>
          <cell r="T392">
            <v>-47459</v>
          </cell>
          <cell r="U392">
            <v>114151</v>
          </cell>
        </row>
        <row r="393">
          <cell r="A393">
            <v>94109</v>
          </cell>
          <cell r="B393" t="str">
            <v>ALAMANCE COMM FIRE DIST</v>
          </cell>
          <cell r="C393">
            <v>9.09E-5</v>
          </cell>
          <cell r="D393">
            <v>1.0399999999999999E-4</v>
          </cell>
          <cell r="E393">
            <v>31710</v>
          </cell>
          <cell r="F393">
            <v>220723</v>
          </cell>
          <cell r="G393">
            <v>138870</v>
          </cell>
          <cell r="H393"/>
          <cell r="I393">
            <v>8000</v>
          </cell>
          <cell r="J393">
            <v>33718</v>
          </cell>
          <cell r="K393">
            <v>19833</v>
          </cell>
          <cell r="L393">
            <v>796</v>
          </cell>
          <cell r="M393"/>
          <cell r="N393">
            <v>3931</v>
          </cell>
          <cell r="O393">
            <v>0</v>
          </cell>
          <cell r="P393">
            <v>0</v>
          </cell>
          <cell r="Q393">
            <v>41294</v>
          </cell>
          <cell r="R393"/>
          <cell r="S393">
            <v>46799</v>
          </cell>
          <cell r="T393">
            <v>-12890</v>
          </cell>
          <cell r="U393">
            <v>33909</v>
          </cell>
        </row>
        <row r="394">
          <cell r="A394">
            <v>94111</v>
          </cell>
          <cell r="B394" t="str">
            <v>CITY OF GREENSBORO</v>
          </cell>
          <cell r="C394">
            <v>2.5682300000000002E-2</v>
          </cell>
          <cell r="D394">
            <v>2.5623300000000002E-2</v>
          </cell>
          <cell r="E394">
            <v>11270051</v>
          </cell>
          <cell r="F394">
            <v>54381226</v>
          </cell>
          <cell r="G394">
            <v>39235440</v>
          </cell>
          <cell r="H394"/>
          <cell r="I394">
            <v>2260325</v>
          </cell>
          <cell r="J394">
            <v>9526412</v>
          </cell>
          <cell r="K394">
            <v>5603364</v>
          </cell>
          <cell r="L394">
            <v>7528</v>
          </cell>
          <cell r="M394"/>
          <cell r="N394">
            <v>1110631</v>
          </cell>
          <cell r="O394">
            <v>0</v>
          </cell>
          <cell r="P394">
            <v>0</v>
          </cell>
          <cell r="Q394">
            <v>1491627</v>
          </cell>
          <cell r="R394"/>
          <cell r="S394">
            <v>13222378</v>
          </cell>
          <cell r="T394">
            <v>-524586</v>
          </cell>
          <cell r="U394">
            <v>12697792</v>
          </cell>
        </row>
        <row r="395">
          <cell r="A395">
            <v>94112</v>
          </cell>
          <cell r="B395" t="str">
            <v>PIEDMONT TRIAD REG WATER AUTH</v>
          </cell>
          <cell r="C395">
            <v>1.6699999999999999E-4</v>
          </cell>
          <cell r="D395">
            <v>1.6530000000000001E-4</v>
          </cell>
          <cell r="E395">
            <v>68640</v>
          </cell>
          <cell r="F395">
            <v>350822</v>
          </cell>
          <cell r="G395">
            <v>255130</v>
          </cell>
          <cell r="H395"/>
          <cell r="I395">
            <v>14698</v>
          </cell>
          <cell r="J395">
            <v>61946</v>
          </cell>
          <cell r="K395">
            <v>36436</v>
          </cell>
          <cell r="L395">
            <v>0</v>
          </cell>
          <cell r="M395"/>
          <cell r="N395">
            <v>7222</v>
          </cell>
          <cell r="O395">
            <v>0</v>
          </cell>
          <cell r="P395">
            <v>0</v>
          </cell>
          <cell r="Q395">
            <v>18973</v>
          </cell>
          <cell r="R395"/>
          <cell r="S395">
            <v>85979</v>
          </cell>
          <cell r="T395">
            <v>-8534</v>
          </cell>
          <cell r="U395">
            <v>77445</v>
          </cell>
        </row>
        <row r="396">
          <cell r="A396">
            <v>94117</v>
          </cell>
          <cell r="B396" t="str">
            <v>GREENSBORO ABC BD</v>
          </cell>
          <cell r="C396">
            <v>3.9809999999999997E-4</v>
          </cell>
          <cell r="D396">
            <v>4.0709999999999997E-4</v>
          </cell>
          <cell r="E396">
            <v>179744</v>
          </cell>
          <cell r="F396">
            <v>864003</v>
          </cell>
          <cell r="G396">
            <v>608187</v>
          </cell>
          <cell r="H396"/>
          <cell r="I396">
            <v>35037</v>
          </cell>
          <cell r="J396">
            <v>147669</v>
          </cell>
          <cell r="K396">
            <v>86857</v>
          </cell>
          <cell r="L396">
            <v>8133</v>
          </cell>
          <cell r="M396"/>
          <cell r="N396">
            <v>17216</v>
          </cell>
          <cell r="O396">
            <v>0</v>
          </cell>
          <cell r="P396">
            <v>0</v>
          </cell>
          <cell r="Q396">
            <v>15587</v>
          </cell>
          <cell r="R396"/>
          <cell r="S396">
            <v>204959</v>
          </cell>
          <cell r="T396">
            <v>-79</v>
          </cell>
          <cell r="U396">
            <v>204880</v>
          </cell>
        </row>
        <row r="397">
          <cell r="A397">
            <v>94118</v>
          </cell>
          <cell r="B397" t="str">
            <v>GUILFORD FIRE DISTRICT # 13 INC</v>
          </cell>
          <cell r="C397">
            <v>1.494E-4</v>
          </cell>
          <cell r="D397">
            <v>1.63E-4</v>
          </cell>
          <cell r="E397">
            <v>57233</v>
          </cell>
          <cell r="F397">
            <v>345941</v>
          </cell>
          <cell r="G397">
            <v>228242</v>
          </cell>
          <cell r="H397"/>
          <cell r="I397">
            <v>13149</v>
          </cell>
          <cell r="J397">
            <v>55417</v>
          </cell>
          <cell r="K397">
            <v>32596</v>
          </cell>
          <cell r="L397">
            <v>0</v>
          </cell>
          <cell r="M397"/>
          <cell r="N397">
            <v>6461</v>
          </cell>
          <cell r="O397">
            <v>0</v>
          </cell>
          <cell r="P397">
            <v>0</v>
          </cell>
          <cell r="Q397">
            <v>56599</v>
          </cell>
          <cell r="R397"/>
          <cell r="S397">
            <v>76918</v>
          </cell>
          <cell r="T397">
            <v>-24768</v>
          </cell>
          <cell r="U397">
            <v>52150</v>
          </cell>
        </row>
        <row r="398">
          <cell r="A398">
            <v>94121</v>
          </cell>
          <cell r="B398" t="str">
            <v>CITY OF HIGH POINT</v>
          </cell>
          <cell r="C398">
            <v>1.1246000000000001E-2</v>
          </cell>
          <cell r="D398">
            <v>1.12823E-2</v>
          </cell>
          <cell r="E398">
            <v>5240634</v>
          </cell>
          <cell r="F398">
            <v>23944820</v>
          </cell>
          <cell r="G398">
            <v>17180773</v>
          </cell>
          <cell r="H398"/>
          <cell r="I398">
            <v>989772</v>
          </cell>
          <cell r="J398">
            <v>4171512</v>
          </cell>
          <cell r="K398">
            <v>2453652</v>
          </cell>
          <cell r="L398">
            <v>65556</v>
          </cell>
          <cell r="M398"/>
          <cell r="N398">
            <v>486333</v>
          </cell>
          <cell r="O398">
            <v>0</v>
          </cell>
          <cell r="P398">
            <v>0</v>
          </cell>
          <cell r="Q398">
            <v>276825</v>
          </cell>
          <cell r="R398"/>
          <cell r="S398">
            <v>5789936</v>
          </cell>
          <cell r="T398">
            <v>-128084</v>
          </cell>
          <cell r="U398">
            <v>5661852</v>
          </cell>
        </row>
        <row r="399">
          <cell r="A399">
            <v>94127</v>
          </cell>
          <cell r="B399" t="str">
            <v>HIGH POINT ABC BD</v>
          </cell>
          <cell r="C399">
            <v>1.7310000000000001E-4</v>
          </cell>
          <cell r="D399">
            <v>1.528E-4</v>
          </cell>
          <cell r="E399">
            <v>70093</v>
          </cell>
          <cell r="F399">
            <v>324293</v>
          </cell>
          <cell r="G399">
            <v>264449</v>
          </cell>
          <cell r="H399"/>
          <cell r="I399">
            <v>15235</v>
          </cell>
          <cell r="J399">
            <v>64208</v>
          </cell>
          <cell r="K399">
            <v>37767</v>
          </cell>
          <cell r="L399">
            <v>8697</v>
          </cell>
          <cell r="M399"/>
          <cell r="N399">
            <v>7486</v>
          </cell>
          <cell r="O399">
            <v>0</v>
          </cell>
          <cell r="P399">
            <v>0</v>
          </cell>
          <cell r="Q399">
            <v>398</v>
          </cell>
          <cell r="R399"/>
          <cell r="S399">
            <v>89119</v>
          </cell>
          <cell r="T399">
            <v>2605</v>
          </cell>
          <cell r="U399">
            <v>91724</v>
          </cell>
        </row>
        <row r="400">
          <cell r="A400">
            <v>94131</v>
          </cell>
          <cell r="B400" t="str">
            <v>TOWN OF JAMESTOWN</v>
          </cell>
          <cell r="C400">
            <v>1.7479999999999999E-4</v>
          </cell>
          <cell r="D400">
            <v>2.0049999999999999E-4</v>
          </cell>
          <cell r="E400">
            <v>91156</v>
          </cell>
          <cell r="F400">
            <v>425528</v>
          </cell>
          <cell r="G400">
            <v>267046</v>
          </cell>
          <cell r="H400"/>
          <cell r="I400">
            <v>15384</v>
          </cell>
          <cell r="J400">
            <v>64840</v>
          </cell>
          <cell r="K400">
            <v>38138</v>
          </cell>
          <cell r="L400">
            <v>3004</v>
          </cell>
          <cell r="M400"/>
          <cell r="N400">
            <v>7559</v>
          </cell>
          <cell r="O400">
            <v>0</v>
          </cell>
          <cell r="P400">
            <v>0</v>
          </cell>
          <cell r="Q400">
            <v>9062</v>
          </cell>
          <cell r="R400"/>
          <cell r="S400">
            <v>89995</v>
          </cell>
          <cell r="T400">
            <v>-1148</v>
          </cell>
          <cell r="U400">
            <v>88847</v>
          </cell>
        </row>
        <row r="401">
          <cell r="A401">
            <v>94151</v>
          </cell>
          <cell r="B401" t="str">
            <v>TOWN OF GIBSONVILLE</v>
          </cell>
          <cell r="C401">
            <v>4.1590000000000003E-4</v>
          </cell>
          <cell r="D401">
            <v>4.2870000000000001E-4</v>
          </cell>
          <cell r="E401">
            <v>171244</v>
          </cell>
          <cell r="F401">
            <v>909845</v>
          </cell>
          <cell r="G401">
            <v>635380</v>
          </cell>
          <cell r="H401"/>
          <cell r="I401">
            <v>36604</v>
          </cell>
          <cell r="J401">
            <v>154271</v>
          </cell>
          <cell r="K401">
            <v>90741</v>
          </cell>
          <cell r="L401">
            <v>0</v>
          </cell>
          <cell r="M401"/>
          <cell r="N401">
            <v>17986</v>
          </cell>
          <cell r="O401">
            <v>0</v>
          </cell>
          <cell r="P401">
            <v>0</v>
          </cell>
          <cell r="Q401">
            <v>36672</v>
          </cell>
          <cell r="R401"/>
          <cell r="S401">
            <v>214124</v>
          </cell>
          <cell r="T401">
            <v>-12878</v>
          </cell>
          <cell r="U401">
            <v>201246</v>
          </cell>
        </row>
        <row r="402">
          <cell r="A402">
            <v>94157</v>
          </cell>
          <cell r="B402" t="str">
            <v>GIBSONVILLE ABC BOARD</v>
          </cell>
          <cell r="C402">
            <v>8.8999999999999995E-6</v>
          </cell>
          <cell r="D402">
            <v>9.3999999999999998E-6</v>
          </cell>
          <cell r="E402">
            <v>5186</v>
          </cell>
          <cell r="F402">
            <v>19950</v>
          </cell>
          <cell r="G402">
            <v>13597</v>
          </cell>
          <cell r="H402"/>
          <cell r="I402">
            <v>783</v>
          </cell>
          <cell r="J402">
            <v>3302</v>
          </cell>
          <cell r="K402">
            <v>1942</v>
          </cell>
          <cell r="L402">
            <v>3748</v>
          </cell>
          <cell r="M402"/>
          <cell r="N402">
            <v>385</v>
          </cell>
          <cell r="O402">
            <v>0</v>
          </cell>
          <cell r="P402">
            <v>0</v>
          </cell>
          <cell r="Q402">
            <v>0</v>
          </cell>
          <cell r="R402"/>
          <cell r="S402">
            <v>4582</v>
          </cell>
          <cell r="T402">
            <v>2084</v>
          </cell>
          <cell r="U402">
            <v>6666</v>
          </cell>
        </row>
        <row r="403">
          <cell r="A403">
            <v>94161</v>
          </cell>
          <cell r="B403" t="str">
            <v>TOWN OF OAK RIDGE</v>
          </cell>
          <cell r="C403">
            <v>5.1900000000000001E-5</v>
          </cell>
          <cell r="D403">
            <v>5.7899999999999998E-5</v>
          </cell>
          <cell r="E403">
            <v>24925</v>
          </cell>
          <cell r="F403">
            <v>122883</v>
          </cell>
          <cell r="G403">
            <v>79289</v>
          </cell>
          <cell r="H403"/>
          <cell r="I403">
            <v>4568</v>
          </cell>
          <cell r="J403">
            <v>19252</v>
          </cell>
          <cell r="K403">
            <v>11324</v>
          </cell>
          <cell r="L403">
            <v>5455</v>
          </cell>
          <cell r="M403"/>
          <cell r="N403">
            <v>2244</v>
          </cell>
          <cell r="O403">
            <v>0</v>
          </cell>
          <cell r="P403">
            <v>0</v>
          </cell>
          <cell r="Q403">
            <v>3144</v>
          </cell>
          <cell r="R403"/>
          <cell r="S403">
            <v>26720</v>
          </cell>
          <cell r="T403">
            <v>2302</v>
          </cell>
          <cell r="U403">
            <v>29022</v>
          </cell>
        </row>
        <row r="404">
          <cell r="A404">
            <v>94168</v>
          </cell>
          <cell r="B404" t="str">
            <v>COLFAX VOLUNTEER FIRE DEPARTMENT</v>
          </cell>
          <cell r="C404">
            <v>2.5899999999999999E-5</v>
          </cell>
          <cell r="D404">
            <v>3.4E-5</v>
          </cell>
          <cell r="E404">
            <v>14686</v>
          </cell>
          <cell r="F404">
            <v>72159</v>
          </cell>
          <cell r="G404">
            <v>39568</v>
          </cell>
          <cell r="H404"/>
          <cell r="I404">
            <v>2279</v>
          </cell>
          <cell r="J404">
            <v>9607</v>
          </cell>
          <cell r="K404">
            <v>5651</v>
          </cell>
          <cell r="L404">
            <v>0</v>
          </cell>
          <cell r="M404"/>
          <cell r="N404">
            <v>1120</v>
          </cell>
          <cell r="O404">
            <v>0</v>
          </cell>
          <cell r="P404">
            <v>0</v>
          </cell>
          <cell r="Q404">
            <v>11664</v>
          </cell>
          <cell r="R404"/>
          <cell r="S404">
            <v>13334</v>
          </cell>
          <cell r="T404">
            <v>-5442</v>
          </cell>
          <cell r="U404">
            <v>7892</v>
          </cell>
        </row>
        <row r="405">
          <cell r="A405">
            <v>94171</v>
          </cell>
          <cell r="B405" t="str">
            <v>TOWN OF SUMMERFIELD</v>
          </cell>
          <cell r="C405">
            <v>6.9800000000000003E-5</v>
          </cell>
          <cell r="D405">
            <v>5.5000000000000002E-5</v>
          </cell>
          <cell r="E405">
            <v>26828</v>
          </cell>
          <cell r="F405">
            <v>116728</v>
          </cell>
          <cell r="G405">
            <v>106635</v>
          </cell>
          <cell r="H405"/>
          <cell r="I405">
            <v>6143</v>
          </cell>
          <cell r="J405">
            <v>25891</v>
          </cell>
          <cell r="K405">
            <v>15229</v>
          </cell>
          <cell r="L405">
            <v>10026</v>
          </cell>
          <cell r="M405"/>
          <cell r="N405">
            <v>3019</v>
          </cell>
          <cell r="O405">
            <v>0</v>
          </cell>
          <cell r="P405">
            <v>0</v>
          </cell>
          <cell r="Q405">
            <v>862</v>
          </cell>
          <cell r="R405"/>
          <cell r="S405">
            <v>35936</v>
          </cell>
          <cell r="T405">
            <v>2780</v>
          </cell>
          <cell r="U405">
            <v>38716</v>
          </cell>
        </row>
        <row r="406">
          <cell r="A406">
            <v>94172</v>
          </cell>
          <cell r="B406" t="str">
            <v>SUMMERFIELD FIRE DISTRICT</v>
          </cell>
          <cell r="C406">
            <v>2.6289999999999999E-4</v>
          </cell>
          <cell r="D406">
            <v>2.6699999999999998E-4</v>
          </cell>
          <cell r="E406">
            <v>91553</v>
          </cell>
          <cell r="F406">
            <v>566663</v>
          </cell>
          <cell r="G406">
            <v>401638</v>
          </cell>
          <cell r="H406"/>
          <cell r="I406">
            <v>23138</v>
          </cell>
          <cell r="J406">
            <v>97518</v>
          </cell>
          <cell r="K406">
            <v>57360</v>
          </cell>
          <cell r="L406">
            <v>0</v>
          </cell>
          <cell r="M406"/>
          <cell r="N406">
            <v>11369</v>
          </cell>
          <cell r="O406">
            <v>0</v>
          </cell>
          <cell r="P406">
            <v>0</v>
          </cell>
          <cell r="Q406">
            <v>90059</v>
          </cell>
          <cell r="R406"/>
          <cell r="S406">
            <v>135352</v>
          </cell>
          <cell r="T406">
            <v>-41178</v>
          </cell>
          <cell r="U406">
            <v>94174</v>
          </cell>
        </row>
        <row r="407">
          <cell r="A407">
            <v>94201</v>
          </cell>
          <cell r="B407" t="str">
            <v>HALIFAX COUNTY</v>
          </cell>
          <cell r="C407">
            <v>3.3658999999999998E-3</v>
          </cell>
          <cell r="D407">
            <v>3.4813000000000001E-3</v>
          </cell>
          <cell r="E407">
            <v>1556105</v>
          </cell>
          <cell r="F407">
            <v>7388485</v>
          </cell>
          <cell r="G407">
            <v>5142163</v>
          </cell>
          <cell r="H407"/>
          <cell r="I407">
            <v>296236</v>
          </cell>
          <cell r="J407">
            <v>1248524</v>
          </cell>
          <cell r="K407">
            <v>734372</v>
          </cell>
          <cell r="L407">
            <v>37947</v>
          </cell>
          <cell r="M407"/>
          <cell r="N407">
            <v>145558</v>
          </cell>
          <cell r="O407">
            <v>0</v>
          </cell>
          <cell r="P407">
            <v>0</v>
          </cell>
          <cell r="Q407">
            <v>70514</v>
          </cell>
          <cell r="R407"/>
          <cell r="S407">
            <v>1732913</v>
          </cell>
          <cell r="T407">
            <v>-942</v>
          </cell>
          <cell r="U407">
            <v>1731971</v>
          </cell>
        </row>
        <row r="408">
          <cell r="A408">
            <v>94204</v>
          </cell>
          <cell r="B408" t="str">
            <v>HALIFAX COUNTY ABC BOARD</v>
          </cell>
          <cell r="C408">
            <v>2.5899999999999999E-5</v>
          </cell>
          <cell r="D408">
            <v>2.4899999999999999E-5</v>
          </cell>
          <cell r="E408">
            <v>17428</v>
          </cell>
          <cell r="F408">
            <v>52846</v>
          </cell>
          <cell r="G408">
            <v>39568</v>
          </cell>
          <cell r="H408"/>
          <cell r="I408">
            <v>2279</v>
          </cell>
          <cell r="J408">
            <v>9607</v>
          </cell>
          <cell r="K408">
            <v>5651</v>
          </cell>
          <cell r="L408">
            <v>12190</v>
          </cell>
          <cell r="M408"/>
          <cell r="N408">
            <v>1120</v>
          </cell>
          <cell r="O408">
            <v>0</v>
          </cell>
          <cell r="P408">
            <v>0</v>
          </cell>
          <cell r="Q408">
            <v>0</v>
          </cell>
          <cell r="R408"/>
          <cell r="S408">
            <v>13334</v>
          </cell>
          <cell r="T408">
            <v>4996</v>
          </cell>
          <cell r="U408">
            <v>18330</v>
          </cell>
        </row>
        <row r="409">
          <cell r="A409">
            <v>94205</v>
          </cell>
          <cell r="B409" t="str">
            <v>HALIFAX COUNTY TOURISM DEVELOPMENT AUTHORITY</v>
          </cell>
          <cell r="C409">
            <v>2.0699999999999998E-5</v>
          </cell>
          <cell r="D409">
            <v>2.6100000000000001E-5</v>
          </cell>
          <cell r="E409">
            <v>11902</v>
          </cell>
          <cell r="F409">
            <v>55393</v>
          </cell>
          <cell r="G409">
            <v>31624</v>
          </cell>
          <cell r="H409"/>
          <cell r="I409">
            <v>1822</v>
          </cell>
          <cell r="J409">
            <v>7678</v>
          </cell>
          <cell r="K409">
            <v>4516</v>
          </cell>
          <cell r="L409">
            <v>1652</v>
          </cell>
          <cell r="M409"/>
          <cell r="N409">
            <v>895</v>
          </cell>
          <cell r="O409">
            <v>0</v>
          </cell>
          <cell r="P409">
            <v>0</v>
          </cell>
          <cell r="Q409">
            <v>5048</v>
          </cell>
          <cell r="R409"/>
          <cell r="S409">
            <v>10657</v>
          </cell>
          <cell r="T409">
            <v>-3026</v>
          </cell>
          <cell r="U409">
            <v>7631</v>
          </cell>
        </row>
        <row r="410">
          <cell r="A410">
            <v>94209</v>
          </cell>
          <cell r="B410" t="str">
            <v>ROANOKE RAPIDS SANITARY DISTRICT</v>
          </cell>
          <cell r="C410">
            <v>3.4190000000000002E-4</v>
          </cell>
          <cell r="D410">
            <v>3.2909999999999998E-4</v>
          </cell>
          <cell r="E410">
            <v>157003</v>
          </cell>
          <cell r="F410">
            <v>698460</v>
          </cell>
          <cell r="G410">
            <v>522328</v>
          </cell>
          <cell r="H410"/>
          <cell r="I410">
            <v>30091</v>
          </cell>
          <cell r="J410">
            <v>126822</v>
          </cell>
          <cell r="K410">
            <v>74596</v>
          </cell>
          <cell r="L410">
            <v>23431</v>
          </cell>
          <cell r="M410"/>
          <cell r="N410">
            <v>14785</v>
          </cell>
          <cell r="O410">
            <v>0</v>
          </cell>
          <cell r="P410">
            <v>0</v>
          </cell>
          <cell r="Q410">
            <v>7196</v>
          </cell>
          <cell r="R410"/>
          <cell r="S410">
            <v>176025</v>
          </cell>
          <cell r="T410">
            <v>9128</v>
          </cell>
          <cell r="U410">
            <v>185153</v>
          </cell>
        </row>
        <row r="411">
          <cell r="A411">
            <v>94211</v>
          </cell>
          <cell r="B411" t="str">
            <v>TOWN OF ENFIELD</v>
          </cell>
          <cell r="C411">
            <v>1.3660000000000001E-4</v>
          </cell>
          <cell r="D411">
            <v>1.2400000000000001E-4</v>
          </cell>
          <cell r="E411">
            <v>61663</v>
          </cell>
          <cell r="F411">
            <v>263170</v>
          </cell>
          <cell r="G411">
            <v>208687</v>
          </cell>
          <cell r="H411"/>
          <cell r="I411">
            <v>12022</v>
          </cell>
          <cell r="J411">
            <v>50669</v>
          </cell>
          <cell r="K411">
            <v>29803</v>
          </cell>
          <cell r="L411">
            <v>7857</v>
          </cell>
          <cell r="M411"/>
          <cell r="N411">
            <v>5907</v>
          </cell>
          <cell r="O411">
            <v>0</v>
          </cell>
          <cell r="P411">
            <v>0</v>
          </cell>
          <cell r="Q411">
            <v>17326</v>
          </cell>
          <cell r="R411"/>
          <cell r="S411">
            <v>70328</v>
          </cell>
          <cell r="T411">
            <v>-11553</v>
          </cell>
          <cell r="U411">
            <v>58775</v>
          </cell>
        </row>
        <row r="412">
          <cell r="A412">
            <v>94221</v>
          </cell>
          <cell r="B412" t="str">
            <v>CITY OF ROANOKE RAPIDS</v>
          </cell>
          <cell r="C412">
            <v>1.0436E-3</v>
          </cell>
          <cell r="D412">
            <v>1.0705999999999999E-3</v>
          </cell>
          <cell r="E412">
            <v>459328</v>
          </cell>
          <cell r="F412">
            <v>2272172</v>
          </cell>
          <cell r="G412">
            <v>1594332</v>
          </cell>
          <cell r="H412"/>
          <cell r="I412">
            <v>91848</v>
          </cell>
          <cell r="J412">
            <v>387106</v>
          </cell>
          <cell r="K412">
            <v>227693</v>
          </cell>
          <cell r="L412">
            <v>63725</v>
          </cell>
          <cell r="M412"/>
          <cell r="N412">
            <v>45130</v>
          </cell>
          <cell r="O412">
            <v>0</v>
          </cell>
          <cell r="P412">
            <v>0</v>
          </cell>
          <cell r="Q412">
            <v>120971</v>
          </cell>
          <cell r="R412"/>
          <cell r="S412">
            <v>537291</v>
          </cell>
          <cell r="T412">
            <v>-24799</v>
          </cell>
          <cell r="U412">
            <v>512492</v>
          </cell>
        </row>
        <row r="413">
          <cell r="A413">
            <v>94231</v>
          </cell>
          <cell r="B413" t="str">
            <v>TOWN OF WELDON</v>
          </cell>
          <cell r="C413">
            <v>2.2609999999999999E-4</v>
          </cell>
          <cell r="D413">
            <v>2.1269999999999999E-4</v>
          </cell>
          <cell r="E413">
            <v>101171</v>
          </cell>
          <cell r="F413">
            <v>451421</v>
          </cell>
          <cell r="G413">
            <v>345418</v>
          </cell>
          <cell r="H413"/>
          <cell r="I413">
            <v>19899</v>
          </cell>
          <cell r="J413">
            <v>83868</v>
          </cell>
          <cell r="K413">
            <v>49330</v>
          </cell>
          <cell r="L413">
            <v>8354</v>
          </cell>
          <cell r="M413"/>
          <cell r="N413">
            <v>9778</v>
          </cell>
          <cell r="O413">
            <v>0</v>
          </cell>
          <cell r="P413">
            <v>0</v>
          </cell>
          <cell r="Q413">
            <v>6714</v>
          </cell>
          <cell r="R413"/>
          <cell r="S413">
            <v>116406</v>
          </cell>
          <cell r="T413">
            <v>-2799</v>
          </cell>
          <cell r="U413">
            <v>113607</v>
          </cell>
        </row>
        <row r="414">
          <cell r="A414">
            <v>94241</v>
          </cell>
          <cell r="B414" t="str">
            <v>TOWN OF SCOTLAND NECK</v>
          </cell>
          <cell r="C414">
            <v>1.2669999999999999E-4</v>
          </cell>
          <cell r="D414">
            <v>8.4099999999999998E-5</v>
          </cell>
          <cell r="E414">
            <v>53317</v>
          </cell>
          <cell r="F414">
            <v>178488</v>
          </cell>
          <cell r="G414">
            <v>193563</v>
          </cell>
          <cell r="H414"/>
          <cell r="I414">
            <v>11151</v>
          </cell>
          <cell r="J414">
            <v>46997</v>
          </cell>
          <cell r="K414">
            <v>27643</v>
          </cell>
          <cell r="L414">
            <v>26711</v>
          </cell>
          <cell r="M414"/>
          <cell r="N414">
            <v>5479</v>
          </cell>
          <cell r="O414">
            <v>0</v>
          </cell>
          <cell r="P414">
            <v>0</v>
          </cell>
          <cell r="Q414">
            <v>856</v>
          </cell>
          <cell r="R414"/>
          <cell r="S414">
            <v>65231</v>
          </cell>
          <cell r="T414">
            <v>6835</v>
          </cell>
          <cell r="U414">
            <v>72066</v>
          </cell>
        </row>
        <row r="415">
          <cell r="A415">
            <v>94251</v>
          </cell>
          <cell r="B415" t="str">
            <v>TOWN OF HOBGOOD</v>
          </cell>
          <cell r="C415">
            <v>1.95E-5</v>
          </cell>
          <cell r="D415">
            <v>1.4E-5</v>
          </cell>
          <cell r="E415">
            <v>8455</v>
          </cell>
          <cell r="F415">
            <v>29713</v>
          </cell>
          <cell r="G415">
            <v>29791</v>
          </cell>
          <cell r="H415"/>
          <cell r="I415">
            <v>1716</v>
          </cell>
          <cell r="J415">
            <v>7233</v>
          </cell>
          <cell r="K415">
            <v>4255</v>
          </cell>
          <cell r="L415">
            <v>3290</v>
          </cell>
          <cell r="M415"/>
          <cell r="N415">
            <v>843</v>
          </cell>
          <cell r="O415">
            <v>0</v>
          </cell>
          <cell r="P415">
            <v>0</v>
          </cell>
          <cell r="Q415">
            <v>6508</v>
          </cell>
          <cell r="R415"/>
          <cell r="S415">
            <v>10039</v>
          </cell>
          <cell r="T415">
            <v>-2297</v>
          </cell>
          <cell r="U415">
            <v>7742</v>
          </cell>
        </row>
        <row r="416">
          <cell r="A416">
            <v>94261</v>
          </cell>
          <cell r="B416" t="str">
            <v>TOWN OF LITTLETON</v>
          </cell>
          <cell r="C416">
            <v>3.9199999999999997E-5</v>
          </cell>
          <cell r="D416">
            <v>2.9499999999999999E-5</v>
          </cell>
          <cell r="E416">
            <v>18726</v>
          </cell>
          <cell r="F416">
            <v>62609</v>
          </cell>
          <cell r="G416">
            <v>59887</v>
          </cell>
          <cell r="H416"/>
          <cell r="I416">
            <v>3450</v>
          </cell>
          <cell r="J416">
            <v>14541</v>
          </cell>
          <cell r="K416">
            <v>8553</v>
          </cell>
          <cell r="L416">
            <v>15518</v>
          </cell>
          <cell r="M416"/>
          <cell r="N416">
            <v>1695</v>
          </cell>
          <cell r="O416">
            <v>0</v>
          </cell>
          <cell r="P416">
            <v>0</v>
          </cell>
          <cell r="Q416">
            <v>0</v>
          </cell>
          <cell r="R416"/>
          <cell r="S416">
            <v>20182</v>
          </cell>
          <cell r="T416">
            <v>5508</v>
          </cell>
          <cell r="U416">
            <v>25690</v>
          </cell>
        </row>
        <row r="417">
          <cell r="A417">
            <v>94301</v>
          </cell>
          <cell r="B417" t="str">
            <v>HARNETT COUNTY</v>
          </cell>
          <cell r="C417">
            <v>6.2988999999999996E-3</v>
          </cell>
          <cell r="D417">
            <v>6.0746999999999997E-3</v>
          </cell>
          <cell r="E417">
            <v>2799560</v>
          </cell>
          <cell r="F417">
            <v>12892548</v>
          </cell>
          <cell r="G417">
            <v>9622974</v>
          </cell>
          <cell r="H417"/>
          <cell r="I417">
            <v>554372</v>
          </cell>
          <cell r="J417">
            <v>2336470</v>
          </cell>
          <cell r="K417">
            <v>1374294</v>
          </cell>
          <cell r="L417">
            <v>85982</v>
          </cell>
          <cell r="M417"/>
          <cell r="N417">
            <v>272396</v>
          </cell>
          <cell r="O417">
            <v>0</v>
          </cell>
          <cell r="P417">
            <v>0</v>
          </cell>
          <cell r="Q417">
            <v>117980</v>
          </cell>
          <cell r="R417"/>
          <cell r="S417">
            <v>3242951</v>
          </cell>
          <cell r="T417">
            <v>-22710</v>
          </cell>
          <cell r="U417">
            <v>3220241</v>
          </cell>
        </row>
        <row r="418">
          <cell r="A418">
            <v>94311</v>
          </cell>
          <cell r="B418" t="str">
            <v>CITY OF DUNN</v>
          </cell>
          <cell r="C418">
            <v>7.8540000000000001E-4</v>
          </cell>
          <cell r="D418">
            <v>7.4399999999999998E-4</v>
          </cell>
          <cell r="E418">
            <v>355079</v>
          </cell>
          <cell r="F418">
            <v>1579017</v>
          </cell>
          <cell r="G418">
            <v>1199874</v>
          </cell>
          <cell r="H418"/>
          <cell r="I418">
            <v>69124</v>
          </cell>
          <cell r="J418">
            <v>291331</v>
          </cell>
          <cell r="K418">
            <v>171359</v>
          </cell>
          <cell r="L418">
            <v>26150</v>
          </cell>
          <cell r="M418"/>
          <cell r="N418">
            <v>33965</v>
          </cell>
          <cell r="O418">
            <v>0</v>
          </cell>
          <cell r="P418">
            <v>0</v>
          </cell>
          <cell r="Q418">
            <v>52115</v>
          </cell>
          <cell r="R418"/>
          <cell r="S418">
            <v>404358</v>
          </cell>
          <cell r="T418">
            <v>-13365</v>
          </cell>
          <cell r="U418">
            <v>390993</v>
          </cell>
        </row>
        <row r="419">
          <cell r="A419">
            <v>94313</v>
          </cell>
          <cell r="B419" t="str">
            <v>DUNN HOUSING AUTHORITY</v>
          </cell>
          <cell r="C419">
            <v>1.8700000000000001E-5</v>
          </cell>
          <cell r="D419">
            <v>2.0299999999999999E-5</v>
          </cell>
          <cell r="E419">
            <v>12663</v>
          </cell>
          <cell r="F419">
            <v>43083</v>
          </cell>
          <cell r="G419">
            <v>28568</v>
          </cell>
          <cell r="H419"/>
          <cell r="I419">
            <v>1646</v>
          </cell>
          <cell r="J419">
            <v>6936</v>
          </cell>
          <cell r="K419">
            <v>4080</v>
          </cell>
          <cell r="L419">
            <v>7421</v>
          </cell>
          <cell r="M419"/>
          <cell r="N419">
            <v>809</v>
          </cell>
          <cell r="O419">
            <v>0</v>
          </cell>
          <cell r="P419">
            <v>0</v>
          </cell>
          <cell r="Q419">
            <v>0</v>
          </cell>
          <cell r="R419"/>
          <cell r="S419">
            <v>9628</v>
          </cell>
          <cell r="T419">
            <v>3124</v>
          </cell>
          <cell r="U419">
            <v>12752</v>
          </cell>
        </row>
        <row r="420">
          <cell r="A420">
            <v>94317</v>
          </cell>
          <cell r="B420" t="str">
            <v>DUNN ABC BOARD</v>
          </cell>
          <cell r="C420">
            <v>1.2E-5</v>
          </cell>
          <cell r="D420">
            <v>1.2099999999999999E-5</v>
          </cell>
          <cell r="E420">
            <v>9618</v>
          </cell>
          <cell r="F420">
            <v>25680</v>
          </cell>
          <cell r="G420">
            <v>18333</v>
          </cell>
          <cell r="H420"/>
          <cell r="I420">
            <v>1056</v>
          </cell>
          <cell r="J420">
            <v>4451</v>
          </cell>
          <cell r="K420">
            <v>2618</v>
          </cell>
          <cell r="L420">
            <v>7663</v>
          </cell>
          <cell r="M420"/>
          <cell r="N420">
            <v>519</v>
          </cell>
          <cell r="O420">
            <v>0</v>
          </cell>
          <cell r="P420">
            <v>0</v>
          </cell>
          <cell r="Q420">
            <v>0</v>
          </cell>
          <cell r="R420"/>
          <cell r="S420">
            <v>6178</v>
          </cell>
          <cell r="T420">
            <v>3130</v>
          </cell>
          <cell r="U420">
            <v>9308</v>
          </cell>
        </row>
        <row r="421">
          <cell r="A421">
            <v>94321</v>
          </cell>
          <cell r="B421" t="str">
            <v>TOWN OF LILLINGTON</v>
          </cell>
          <cell r="C421">
            <v>2.7760000000000003E-4</v>
          </cell>
          <cell r="D421">
            <v>2.7070000000000002E-4</v>
          </cell>
          <cell r="E421">
            <v>115395</v>
          </cell>
          <cell r="F421">
            <v>574516</v>
          </cell>
          <cell r="G421">
            <v>424096</v>
          </cell>
          <cell r="H421"/>
          <cell r="I421">
            <v>24432</v>
          </cell>
          <cell r="J421">
            <v>102971</v>
          </cell>
          <cell r="K421">
            <v>60567</v>
          </cell>
          <cell r="L421">
            <v>1692</v>
          </cell>
          <cell r="M421"/>
          <cell r="N421">
            <v>12005</v>
          </cell>
          <cell r="O421">
            <v>0</v>
          </cell>
          <cell r="P421">
            <v>0</v>
          </cell>
          <cell r="Q421">
            <v>19924</v>
          </cell>
          <cell r="R421"/>
          <cell r="S421">
            <v>142921</v>
          </cell>
          <cell r="T421">
            <v>-5646</v>
          </cell>
          <cell r="U421">
            <v>137275</v>
          </cell>
        </row>
        <row r="422">
          <cell r="A422">
            <v>94331</v>
          </cell>
          <cell r="B422" t="str">
            <v>TOWN OF ERWIN</v>
          </cell>
          <cell r="C422">
            <v>1.3569999999999999E-4</v>
          </cell>
          <cell r="D422">
            <v>1.517E-4</v>
          </cell>
          <cell r="E422">
            <v>68284</v>
          </cell>
          <cell r="F422">
            <v>321958</v>
          </cell>
          <cell r="G422">
            <v>207312</v>
          </cell>
          <cell r="H422"/>
          <cell r="I422">
            <v>11943</v>
          </cell>
          <cell r="J422">
            <v>50336</v>
          </cell>
          <cell r="K422">
            <v>29607</v>
          </cell>
          <cell r="L422">
            <v>7715</v>
          </cell>
          <cell r="M422"/>
          <cell r="N422">
            <v>5868</v>
          </cell>
          <cell r="O422">
            <v>0</v>
          </cell>
          <cell r="P422">
            <v>0</v>
          </cell>
          <cell r="Q422">
            <v>10557</v>
          </cell>
          <cell r="R422"/>
          <cell r="S422">
            <v>69864</v>
          </cell>
          <cell r="T422">
            <v>2981</v>
          </cell>
          <cell r="U422">
            <v>72845</v>
          </cell>
        </row>
        <row r="423">
          <cell r="A423">
            <v>94341</v>
          </cell>
          <cell r="B423" t="str">
            <v>TOWN OF COATS</v>
          </cell>
          <cell r="C423">
            <v>9.4699999999999998E-5</v>
          </cell>
          <cell r="D423">
            <v>8.1000000000000004E-5</v>
          </cell>
          <cell r="E423">
            <v>38534</v>
          </cell>
          <cell r="F423">
            <v>171909</v>
          </cell>
          <cell r="G423">
            <v>144675</v>
          </cell>
          <cell r="H423"/>
          <cell r="I423">
            <v>8335</v>
          </cell>
          <cell r="J423">
            <v>35127</v>
          </cell>
          <cell r="K423">
            <v>20662</v>
          </cell>
          <cell r="L423">
            <v>5564</v>
          </cell>
          <cell r="M423"/>
          <cell r="N423">
            <v>4095</v>
          </cell>
          <cell r="O423">
            <v>0</v>
          </cell>
          <cell r="P423">
            <v>0</v>
          </cell>
          <cell r="Q423">
            <v>5713</v>
          </cell>
          <cell r="R423"/>
          <cell r="S423">
            <v>48756</v>
          </cell>
          <cell r="T423">
            <v>-1783</v>
          </cell>
          <cell r="U423">
            <v>46973</v>
          </cell>
        </row>
        <row r="424">
          <cell r="A424">
            <v>94347</v>
          </cell>
          <cell r="B424" t="str">
            <v>TOWN OF ANGIER ABC BOARD</v>
          </cell>
          <cell r="C424">
            <v>1.22E-5</v>
          </cell>
          <cell r="D424">
            <v>1.2300000000000001E-5</v>
          </cell>
          <cell r="E424">
            <v>8691</v>
          </cell>
          <cell r="F424">
            <v>26105</v>
          </cell>
          <cell r="G424">
            <v>18638</v>
          </cell>
          <cell r="H424"/>
          <cell r="I424">
            <v>1074</v>
          </cell>
          <cell r="J424">
            <v>4526</v>
          </cell>
          <cell r="K424">
            <v>2662</v>
          </cell>
          <cell r="L424">
            <v>4271</v>
          </cell>
          <cell r="M424"/>
          <cell r="N424">
            <v>528</v>
          </cell>
          <cell r="O424">
            <v>0</v>
          </cell>
          <cell r="P424">
            <v>0</v>
          </cell>
          <cell r="Q424">
            <v>0</v>
          </cell>
          <cell r="R424"/>
          <cell r="S424">
            <v>6281</v>
          </cell>
          <cell r="T424">
            <v>1892</v>
          </cell>
          <cell r="U424">
            <v>8173</v>
          </cell>
        </row>
        <row r="425">
          <cell r="A425">
            <v>94351</v>
          </cell>
          <cell r="B425" t="str">
            <v>TOWN OF ANGIER</v>
          </cell>
          <cell r="C425">
            <v>2.433E-4</v>
          </cell>
          <cell r="D425">
            <v>2.377E-4</v>
          </cell>
          <cell r="E425">
            <v>104639</v>
          </cell>
          <cell r="F425">
            <v>504479</v>
          </cell>
          <cell r="G425">
            <v>371695</v>
          </cell>
          <cell r="H425"/>
          <cell r="I425">
            <v>21413</v>
          </cell>
          <cell r="J425">
            <v>90248</v>
          </cell>
          <cell r="K425">
            <v>53083</v>
          </cell>
          <cell r="L425">
            <v>1592</v>
          </cell>
          <cell r="M425"/>
          <cell r="N425">
            <v>10522</v>
          </cell>
          <cell r="O425">
            <v>0</v>
          </cell>
          <cell r="P425">
            <v>0</v>
          </cell>
          <cell r="Q425">
            <v>4723</v>
          </cell>
          <cell r="R425"/>
          <cell r="S425">
            <v>125262</v>
          </cell>
          <cell r="T425">
            <v>-1683</v>
          </cell>
          <cell r="U425">
            <v>123579</v>
          </cell>
        </row>
        <row r="426">
          <cell r="A426">
            <v>94401</v>
          </cell>
          <cell r="B426" t="str">
            <v>HAYWOOD COUNTY</v>
          </cell>
          <cell r="C426">
            <v>3.2718000000000001E-3</v>
          </cell>
          <cell r="D426">
            <v>3.4548999999999999E-3</v>
          </cell>
          <cell r="E426">
            <v>1551159</v>
          </cell>
          <cell r="F426">
            <v>0</v>
          </cell>
          <cell r="G426">
            <v>4998404</v>
          </cell>
          <cell r="H426"/>
          <cell r="I426">
            <v>287954</v>
          </cell>
          <cell r="J426">
            <v>1213619</v>
          </cell>
          <cell r="K426">
            <v>713841</v>
          </cell>
          <cell r="L426">
            <v>20795</v>
          </cell>
          <cell r="M426"/>
          <cell r="N426">
            <v>141489</v>
          </cell>
          <cell r="O426">
            <v>0</v>
          </cell>
          <cell r="P426">
            <v>0</v>
          </cell>
          <cell r="Q426">
            <v>83776</v>
          </cell>
          <cell r="R426"/>
          <cell r="S426">
            <v>1684467</v>
          </cell>
          <cell r="T426">
            <v>-11283</v>
          </cell>
          <cell r="U426">
            <v>1673184</v>
          </cell>
        </row>
        <row r="427">
          <cell r="A427">
            <v>94402</v>
          </cell>
          <cell r="B427" t="str">
            <v>HAYWOOD MEDICAL CENTER</v>
          </cell>
          <cell r="C427">
            <v>0</v>
          </cell>
          <cell r="D427">
            <v>0</v>
          </cell>
          <cell r="E427">
            <v>0</v>
          </cell>
          <cell r="F427">
            <v>0</v>
          </cell>
          <cell r="G427">
            <v>0</v>
          </cell>
          <cell r="H427"/>
          <cell r="I427">
            <v>0</v>
          </cell>
          <cell r="J427">
            <v>0</v>
          </cell>
          <cell r="K427">
            <v>0</v>
          </cell>
          <cell r="L427">
            <v>0</v>
          </cell>
          <cell r="M427"/>
          <cell r="N427">
            <v>0</v>
          </cell>
          <cell r="O427">
            <v>0</v>
          </cell>
          <cell r="P427">
            <v>0</v>
          </cell>
          <cell r="Q427">
            <v>1774367</v>
          </cell>
          <cell r="R427"/>
          <cell r="S427">
            <v>0</v>
          </cell>
          <cell r="T427">
            <v>-1007431</v>
          </cell>
          <cell r="U427">
            <v>-1007431</v>
          </cell>
        </row>
        <row r="428">
          <cell r="A428">
            <v>94403</v>
          </cell>
          <cell r="B428" t="str">
            <v>HAYWOOD COUNTY TOURISM DEVELOPMENT AUTHORITY</v>
          </cell>
          <cell r="C428">
            <v>2.2099999999999998E-5</v>
          </cell>
          <cell r="D428">
            <v>0</v>
          </cell>
          <cell r="E428">
            <v>9904</v>
          </cell>
          <cell r="F428">
            <v>0</v>
          </cell>
          <cell r="G428">
            <v>33763</v>
          </cell>
          <cell r="H428"/>
          <cell r="I428">
            <v>1945</v>
          </cell>
          <cell r="J428">
            <v>8198</v>
          </cell>
          <cell r="K428">
            <v>4822</v>
          </cell>
          <cell r="L428">
            <v>14624</v>
          </cell>
          <cell r="M428"/>
          <cell r="N428">
            <v>956</v>
          </cell>
          <cell r="O428">
            <v>0</v>
          </cell>
          <cell r="P428">
            <v>0</v>
          </cell>
          <cell r="Q428">
            <v>0</v>
          </cell>
          <cell r="R428"/>
          <cell r="S428">
            <v>11378</v>
          </cell>
          <cell r="T428">
            <v>3656</v>
          </cell>
          <cell r="U428">
            <v>15034</v>
          </cell>
        </row>
        <row r="429">
          <cell r="A429">
            <v>94408</v>
          </cell>
          <cell r="B429" t="str">
            <v>JUNALUSKA SANITARY DISTRICT</v>
          </cell>
          <cell r="C429">
            <v>4.2400000000000001E-5</v>
          </cell>
          <cell r="D429">
            <v>4.0099999999999999E-5</v>
          </cell>
          <cell r="E429">
            <v>14750</v>
          </cell>
          <cell r="F429">
            <v>85106</v>
          </cell>
          <cell r="G429">
            <v>64775</v>
          </cell>
          <cell r="H429"/>
          <cell r="I429">
            <v>3732</v>
          </cell>
          <cell r="J429">
            <v>15728</v>
          </cell>
          <cell r="K429">
            <v>9251</v>
          </cell>
          <cell r="L429">
            <v>7577</v>
          </cell>
          <cell r="M429"/>
          <cell r="N429">
            <v>1834</v>
          </cell>
          <cell r="O429">
            <v>0</v>
          </cell>
          <cell r="P429">
            <v>0</v>
          </cell>
          <cell r="Q429">
            <v>4064</v>
          </cell>
          <cell r="R429"/>
          <cell r="S429">
            <v>21829</v>
          </cell>
          <cell r="T429">
            <v>382</v>
          </cell>
          <cell r="U429">
            <v>22211</v>
          </cell>
        </row>
        <row r="430">
          <cell r="A430">
            <v>94411</v>
          </cell>
          <cell r="B430" t="str">
            <v>TOWN OF WAYNESVILLE</v>
          </cell>
          <cell r="C430">
            <v>1.2672E-3</v>
          </cell>
          <cell r="D430">
            <v>1.1592E-3</v>
          </cell>
          <cell r="E430">
            <v>555106</v>
          </cell>
          <cell r="F430">
            <v>2460211</v>
          </cell>
          <cell r="G430">
            <v>1935931</v>
          </cell>
          <cell r="H430"/>
          <cell r="I430">
            <v>111528</v>
          </cell>
          <cell r="J430">
            <v>470046</v>
          </cell>
          <cell r="K430">
            <v>276478</v>
          </cell>
          <cell r="L430">
            <v>63511</v>
          </cell>
          <cell r="M430"/>
          <cell r="N430">
            <v>54800</v>
          </cell>
          <cell r="O430">
            <v>0</v>
          </cell>
          <cell r="P430">
            <v>0</v>
          </cell>
          <cell r="Q430">
            <v>4125</v>
          </cell>
          <cell r="R430"/>
          <cell r="S430">
            <v>652410</v>
          </cell>
          <cell r="T430">
            <v>18114</v>
          </cell>
          <cell r="U430">
            <v>670524</v>
          </cell>
        </row>
        <row r="431">
          <cell r="A431">
            <v>94412</v>
          </cell>
          <cell r="B431" t="str">
            <v>WAYNESVILLE ABC BOARD</v>
          </cell>
          <cell r="C431">
            <v>1.5099999999999999E-5</v>
          </cell>
          <cell r="D431">
            <v>1.63E-5</v>
          </cell>
          <cell r="E431">
            <v>13059</v>
          </cell>
          <cell r="F431">
            <v>34594</v>
          </cell>
          <cell r="G431">
            <v>23069</v>
          </cell>
          <cell r="H431"/>
          <cell r="I431">
            <v>1329</v>
          </cell>
          <cell r="J431">
            <v>5602</v>
          </cell>
          <cell r="K431">
            <v>3295</v>
          </cell>
          <cell r="L431">
            <v>12533</v>
          </cell>
          <cell r="M431"/>
          <cell r="N431">
            <v>653</v>
          </cell>
          <cell r="O431">
            <v>0</v>
          </cell>
          <cell r="P431">
            <v>0</v>
          </cell>
          <cell r="Q431">
            <v>0</v>
          </cell>
          <cell r="R431"/>
          <cell r="S431">
            <v>7774</v>
          </cell>
          <cell r="T431">
            <v>5893</v>
          </cell>
          <cell r="U431">
            <v>13667</v>
          </cell>
        </row>
        <row r="432">
          <cell r="A432">
            <v>94421</v>
          </cell>
          <cell r="B432" t="str">
            <v>TOWN OF MAGGIE VALLEY</v>
          </cell>
          <cell r="C432">
            <v>1.6679999999999999E-4</v>
          </cell>
          <cell r="D432">
            <v>1.6899999999999999E-4</v>
          </cell>
          <cell r="E432">
            <v>80768</v>
          </cell>
          <cell r="F432">
            <v>358675</v>
          </cell>
          <cell r="G432">
            <v>254824</v>
          </cell>
          <cell r="H432"/>
          <cell r="I432">
            <v>14680</v>
          </cell>
          <cell r="J432">
            <v>61871</v>
          </cell>
          <cell r="K432">
            <v>36392</v>
          </cell>
          <cell r="L432">
            <v>4157</v>
          </cell>
          <cell r="M432"/>
          <cell r="N432">
            <v>7213</v>
          </cell>
          <cell r="O432">
            <v>0</v>
          </cell>
          <cell r="P432">
            <v>0</v>
          </cell>
          <cell r="Q432">
            <v>6763</v>
          </cell>
          <cell r="R432"/>
          <cell r="S432">
            <v>85876</v>
          </cell>
          <cell r="T432">
            <v>-3870</v>
          </cell>
          <cell r="U432">
            <v>82006</v>
          </cell>
        </row>
        <row r="433">
          <cell r="A433">
            <v>94427</v>
          </cell>
          <cell r="B433" t="str">
            <v>MAGGIE VALLEY ABC BOARD</v>
          </cell>
          <cell r="C433">
            <v>1.5699999999999999E-5</v>
          </cell>
          <cell r="D433">
            <v>1.29E-5</v>
          </cell>
          <cell r="E433">
            <v>9340</v>
          </cell>
          <cell r="F433">
            <v>27378</v>
          </cell>
          <cell r="G433">
            <v>23985</v>
          </cell>
          <cell r="H433"/>
          <cell r="I433">
            <v>1382</v>
          </cell>
          <cell r="J433">
            <v>5824</v>
          </cell>
          <cell r="K433">
            <v>3425</v>
          </cell>
          <cell r="L433">
            <v>4090</v>
          </cell>
          <cell r="M433"/>
          <cell r="N433">
            <v>679</v>
          </cell>
          <cell r="O433">
            <v>0</v>
          </cell>
          <cell r="P433">
            <v>0</v>
          </cell>
          <cell r="Q433">
            <v>478</v>
          </cell>
          <cell r="R433"/>
          <cell r="S433">
            <v>8083</v>
          </cell>
          <cell r="T433">
            <v>943</v>
          </cell>
          <cell r="U433">
            <v>9026</v>
          </cell>
        </row>
        <row r="434">
          <cell r="A434">
            <v>94428</v>
          </cell>
          <cell r="B434" t="str">
            <v>MAGGIE VALLEY SANITARY DIST</v>
          </cell>
          <cell r="C434">
            <v>6.5199999999999999E-5</v>
          </cell>
          <cell r="D434">
            <v>7.4400000000000006E-5</v>
          </cell>
          <cell r="E434">
            <v>33460</v>
          </cell>
          <cell r="F434">
            <v>157902</v>
          </cell>
          <cell r="G434">
            <v>99608</v>
          </cell>
          <cell r="H434"/>
          <cell r="I434">
            <v>5738</v>
          </cell>
          <cell r="J434">
            <v>24185</v>
          </cell>
          <cell r="K434">
            <v>14225</v>
          </cell>
          <cell r="L434">
            <v>2315</v>
          </cell>
          <cell r="M434"/>
          <cell r="N434">
            <v>2820</v>
          </cell>
          <cell r="O434">
            <v>0</v>
          </cell>
          <cell r="P434">
            <v>0</v>
          </cell>
          <cell r="Q434">
            <v>3346</v>
          </cell>
          <cell r="R434"/>
          <cell r="S434">
            <v>33568</v>
          </cell>
          <cell r="T434">
            <v>366</v>
          </cell>
          <cell r="U434">
            <v>33934</v>
          </cell>
        </row>
        <row r="435">
          <cell r="A435">
            <v>94431</v>
          </cell>
          <cell r="B435" t="str">
            <v>TOWN OF CANTON</v>
          </cell>
          <cell r="C435">
            <v>4.2440000000000002E-4</v>
          </cell>
          <cell r="D435">
            <v>3.7589999999999998E-4</v>
          </cell>
          <cell r="E435">
            <v>293286</v>
          </cell>
          <cell r="F435">
            <v>797786</v>
          </cell>
          <cell r="G435">
            <v>648366</v>
          </cell>
          <cell r="H435"/>
          <cell r="I435">
            <v>37352</v>
          </cell>
          <cell r="J435">
            <v>157424</v>
          </cell>
          <cell r="K435">
            <v>92596</v>
          </cell>
          <cell r="L435">
            <v>210809</v>
          </cell>
          <cell r="M435"/>
          <cell r="N435">
            <v>18353</v>
          </cell>
          <cell r="O435">
            <v>0</v>
          </cell>
          <cell r="P435">
            <v>0</v>
          </cell>
          <cell r="Q435">
            <v>611</v>
          </cell>
          <cell r="R435"/>
          <cell r="S435">
            <v>218500</v>
          </cell>
          <cell r="T435">
            <v>68328</v>
          </cell>
          <cell r="U435">
            <v>286828</v>
          </cell>
        </row>
        <row r="436">
          <cell r="A436">
            <v>94437</v>
          </cell>
          <cell r="B436" t="str">
            <v>CANTON ABC BOARD</v>
          </cell>
          <cell r="C436">
            <v>1.5299999999999999E-5</v>
          </cell>
          <cell r="D436">
            <v>1.34E-5</v>
          </cell>
          <cell r="E436">
            <v>12848</v>
          </cell>
          <cell r="F436">
            <v>28439</v>
          </cell>
          <cell r="G436">
            <v>23374</v>
          </cell>
          <cell r="H436"/>
          <cell r="I436">
            <v>1347</v>
          </cell>
          <cell r="J436">
            <v>5675</v>
          </cell>
          <cell r="K436">
            <v>3338</v>
          </cell>
          <cell r="L436">
            <v>13868</v>
          </cell>
          <cell r="M436"/>
          <cell r="N436">
            <v>662</v>
          </cell>
          <cell r="O436">
            <v>0</v>
          </cell>
          <cell r="P436">
            <v>0</v>
          </cell>
          <cell r="Q436">
            <v>0</v>
          </cell>
          <cell r="R436"/>
          <cell r="S436">
            <v>7877</v>
          </cell>
          <cell r="T436">
            <v>5640</v>
          </cell>
          <cell r="U436">
            <v>13517</v>
          </cell>
        </row>
        <row r="437">
          <cell r="A437">
            <v>94501</v>
          </cell>
          <cell r="B437" t="str">
            <v>COUNTY OF HENDERSON</v>
          </cell>
          <cell r="C437">
            <v>5.6991000000000003E-3</v>
          </cell>
          <cell r="D437">
            <v>5.8474E-3</v>
          </cell>
          <cell r="E437">
            <v>2726192</v>
          </cell>
          <cell r="F437">
            <v>12410142</v>
          </cell>
          <cell r="G437">
            <v>8706646</v>
          </cell>
          <cell r="H437"/>
          <cell r="I437">
            <v>501583</v>
          </cell>
          <cell r="J437">
            <v>2113984</v>
          </cell>
          <cell r="K437">
            <v>1243430</v>
          </cell>
          <cell r="L437">
            <v>145440</v>
          </cell>
          <cell r="M437"/>
          <cell r="N437">
            <v>246458</v>
          </cell>
          <cell r="O437">
            <v>0</v>
          </cell>
          <cell r="P437">
            <v>0</v>
          </cell>
          <cell r="Q437">
            <v>11569</v>
          </cell>
          <cell r="R437"/>
          <cell r="S437">
            <v>2934147</v>
          </cell>
          <cell r="T437">
            <v>99795</v>
          </cell>
          <cell r="U437">
            <v>3033942</v>
          </cell>
        </row>
        <row r="438">
          <cell r="A438">
            <v>94511</v>
          </cell>
          <cell r="B438" t="str">
            <v>CITY OF HENDERSONVILLE</v>
          </cell>
          <cell r="C438">
            <v>1.8538999999999999E-3</v>
          </cell>
          <cell r="D438">
            <v>1.7432000000000001E-3</v>
          </cell>
          <cell r="E438">
            <v>773013</v>
          </cell>
          <cell r="F438">
            <v>3699654</v>
          </cell>
          <cell r="G438">
            <v>2832246</v>
          </cell>
          <cell r="H438"/>
          <cell r="I438">
            <v>163164</v>
          </cell>
          <cell r="J438">
            <v>687673</v>
          </cell>
          <cell r="K438">
            <v>404484</v>
          </cell>
          <cell r="L438">
            <v>155537</v>
          </cell>
          <cell r="M438"/>
          <cell r="N438">
            <v>80172</v>
          </cell>
          <cell r="O438">
            <v>0</v>
          </cell>
          <cell r="P438">
            <v>0</v>
          </cell>
          <cell r="Q438">
            <v>31633</v>
          </cell>
          <cell r="R438"/>
          <cell r="S438">
            <v>954469</v>
          </cell>
          <cell r="T438">
            <v>72914</v>
          </cell>
          <cell r="U438">
            <v>1027383</v>
          </cell>
        </row>
        <row r="439">
          <cell r="A439">
            <v>94512</v>
          </cell>
          <cell r="B439" t="str">
            <v>HENDERSONVILLE WATER COMMISSION</v>
          </cell>
          <cell r="C439">
            <v>0</v>
          </cell>
          <cell r="D439">
            <v>0</v>
          </cell>
          <cell r="E439">
            <v>0</v>
          </cell>
          <cell r="F439">
            <v>0</v>
          </cell>
          <cell r="G439">
            <v>0</v>
          </cell>
          <cell r="H439"/>
          <cell r="I439">
            <v>0</v>
          </cell>
          <cell r="J439">
            <v>0</v>
          </cell>
          <cell r="K439">
            <v>0</v>
          </cell>
          <cell r="L439">
            <v>0</v>
          </cell>
          <cell r="M439"/>
          <cell r="N439">
            <v>0</v>
          </cell>
          <cell r="O439">
            <v>0</v>
          </cell>
          <cell r="P439">
            <v>0</v>
          </cell>
          <cell r="Q439">
            <v>138579</v>
          </cell>
          <cell r="R439"/>
          <cell r="S439">
            <v>0</v>
          </cell>
          <cell r="T439">
            <v>-78713</v>
          </cell>
          <cell r="U439">
            <v>-78713</v>
          </cell>
        </row>
        <row r="440">
          <cell r="A440">
            <v>94517</v>
          </cell>
          <cell r="B440" t="str">
            <v>HENDERSONVILLE ABC BD</v>
          </cell>
          <cell r="C440">
            <v>4.7599999999999998E-5</v>
          </cell>
          <cell r="D440">
            <v>4.9599999999999999E-5</v>
          </cell>
          <cell r="E440">
            <v>31750</v>
          </cell>
          <cell r="F440">
            <v>105268</v>
          </cell>
          <cell r="G440">
            <v>72720</v>
          </cell>
          <cell r="H440"/>
          <cell r="I440">
            <v>4189</v>
          </cell>
          <cell r="J440">
            <v>17656</v>
          </cell>
          <cell r="K440">
            <v>10385</v>
          </cell>
          <cell r="L440">
            <v>18702</v>
          </cell>
          <cell r="M440"/>
          <cell r="N440">
            <v>2058</v>
          </cell>
          <cell r="O440">
            <v>0</v>
          </cell>
          <cell r="P440">
            <v>0</v>
          </cell>
          <cell r="Q440">
            <v>0</v>
          </cell>
          <cell r="R440"/>
          <cell r="S440">
            <v>24507</v>
          </cell>
          <cell r="T440">
            <v>9021</v>
          </cell>
          <cell r="U440">
            <v>33528</v>
          </cell>
        </row>
        <row r="441">
          <cell r="A441">
            <v>94521</v>
          </cell>
          <cell r="B441" t="str">
            <v>TOWN OF LAUREL PARK</v>
          </cell>
          <cell r="C441">
            <v>1.517E-4</v>
          </cell>
          <cell r="D441">
            <v>1.2410000000000001E-4</v>
          </cell>
          <cell r="E441">
            <v>61289</v>
          </cell>
          <cell r="F441">
            <v>263382</v>
          </cell>
          <cell r="G441">
            <v>231756</v>
          </cell>
          <cell r="H441"/>
          <cell r="I441">
            <v>13351</v>
          </cell>
          <cell r="J441">
            <v>56271</v>
          </cell>
          <cell r="K441">
            <v>33098</v>
          </cell>
          <cell r="L441">
            <v>15354</v>
          </cell>
          <cell r="M441"/>
          <cell r="N441">
            <v>6560</v>
          </cell>
          <cell r="O441">
            <v>0</v>
          </cell>
          <cell r="P441">
            <v>0</v>
          </cell>
          <cell r="Q441">
            <v>13856</v>
          </cell>
          <cell r="R441"/>
          <cell r="S441">
            <v>78102</v>
          </cell>
          <cell r="T441">
            <v>429</v>
          </cell>
          <cell r="U441">
            <v>78531</v>
          </cell>
        </row>
        <row r="442">
          <cell r="A442">
            <v>94527</v>
          </cell>
          <cell r="B442" t="str">
            <v>LAUREL PARK ABC BOARD</v>
          </cell>
          <cell r="C442">
            <v>5.4E-6</v>
          </cell>
          <cell r="D442">
            <v>6.3999999999999997E-6</v>
          </cell>
          <cell r="E442">
            <v>2382</v>
          </cell>
          <cell r="F442">
            <v>13583</v>
          </cell>
          <cell r="G442">
            <v>8250</v>
          </cell>
          <cell r="H442"/>
          <cell r="I442">
            <v>475</v>
          </cell>
          <cell r="J442">
            <v>2003</v>
          </cell>
          <cell r="K442">
            <v>1178</v>
          </cell>
          <cell r="L442">
            <v>308</v>
          </cell>
          <cell r="M442"/>
          <cell r="N442">
            <v>234</v>
          </cell>
          <cell r="O442">
            <v>0</v>
          </cell>
          <cell r="P442">
            <v>0</v>
          </cell>
          <cell r="Q442">
            <v>3369</v>
          </cell>
          <cell r="R442"/>
          <cell r="S442">
            <v>2780</v>
          </cell>
          <cell r="T442">
            <v>-953</v>
          </cell>
          <cell r="U442">
            <v>1827</v>
          </cell>
        </row>
        <row r="443">
          <cell r="A443">
            <v>94531</v>
          </cell>
          <cell r="B443" t="str">
            <v>THE VILLAGE OF FLAT ROCK</v>
          </cell>
          <cell r="C443">
            <v>1.5E-5</v>
          </cell>
          <cell r="D443">
            <v>1.5500000000000001E-5</v>
          </cell>
          <cell r="E443">
            <v>11396</v>
          </cell>
          <cell r="F443">
            <v>32896</v>
          </cell>
          <cell r="G443">
            <v>22916</v>
          </cell>
          <cell r="H443"/>
          <cell r="I443">
            <v>1320</v>
          </cell>
          <cell r="J443">
            <v>5564</v>
          </cell>
          <cell r="K443">
            <v>3273</v>
          </cell>
          <cell r="L443">
            <v>6665</v>
          </cell>
          <cell r="M443"/>
          <cell r="N443">
            <v>649</v>
          </cell>
          <cell r="O443">
            <v>0</v>
          </cell>
          <cell r="P443">
            <v>0</v>
          </cell>
          <cell r="Q443">
            <v>0</v>
          </cell>
          <cell r="R443"/>
          <cell r="S443">
            <v>7723</v>
          </cell>
          <cell r="T443">
            <v>2681</v>
          </cell>
          <cell r="U443">
            <v>10404</v>
          </cell>
        </row>
        <row r="444">
          <cell r="A444">
            <v>94532</v>
          </cell>
          <cell r="B444" t="str">
            <v>BLUE RIDGE FIRE DEPARTMENT</v>
          </cell>
          <cell r="C444">
            <v>8.7800000000000006E-5</v>
          </cell>
          <cell r="D444">
            <v>9.4099999999999997E-5</v>
          </cell>
          <cell r="E444">
            <v>45014</v>
          </cell>
          <cell r="F444">
            <v>199712</v>
          </cell>
          <cell r="G444">
            <v>134134</v>
          </cell>
          <cell r="H444"/>
          <cell r="I444">
            <v>7727</v>
          </cell>
          <cell r="J444">
            <v>32568</v>
          </cell>
          <cell r="K444">
            <v>19156</v>
          </cell>
          <cell r="L444">
            <v>0</v>
          </cell>
          <cell r="M444"/>
          <cell r="N444">
            <v>3797</v>
          </cell>
          <cell r="O444">
            <v>0</v>
          </cell>
          <cell r="P444">
            <v>0</v>
          </cell>
          <cell r="Q444">
            <v>10367</v>
          </cell>
          <cell r="R444"/>
          <cell r="S444">
            <v>45203</v>
          </cell>
          <cell r="T444">
            <v>-5525</v>
          </cell>
          <cell r="U444">
            <v>39678</v>
          </cell>
        </row>
        <row r="445">
          <cell r="A445">
            <v>94541</v>
          </cell>
          <cell r="B445" t="str">
            <v>TOWN OF FLETCHER</v>
          </cell>
          <cell r="C445">
            <v>2.9300000000000002E-4</v>
          </cell>
          <cell r="D445">
            <v>2.9839999999999999E-4</v>
          </cell>
          <cell r="E445">
            <v>124372</v>
          </cell>
          <cell r="F445">
            <v>633305</v>
          </cell>
          <cell r="G445">
            <v>447623</v>
          </cell>
          <cell r="H445"/>
          <cell r="I445">
            <v>25787</v>
          </cell>
          <cell r="J445">
            <v>108683</v>
          </cell>
          <cell r="K445">
            <v>63927</v>
          </cell>
          <cell r="L445">
            <v>0</v>
          </cell>
          <cell r="M445"/>
          <cell r="N445">
            <v>12671</v>
          </cell>
          <cell r="O445">
            <v>0</v>
          </cell>
          <cell r="P445">
            <v>0</v>
          </cell>
          <cell r="Q445">
            <v>27614</v>
          </cell>
          <cell r="R445"/>
          <cell r="S445">
            <v>150849</v>
          </cell>
          <cell r="T445">
            <v>-10625</v>
          </cell>
          <cell r="U445">
            <v>140224</v>
          </cell>
        </row>
        <row r="446">
          <cell r="A446">
            <v>94547</v>
          </cell>
          <cell r="B446" t="str">
            <v>FLETCHER ABC BOARD</v>
          </cell>
          <cell r="C446">
            <v>1.08E-5</v>
          </cell>
          <cell r="D446">
            <v>1.24E-5</v>
          </cell>
          <cell r="E446">
            <v>8019</v>
          </cell>
          <cell r="F446">
            <v>26317</v>
          </cell>
          <cell r="G446">
            <v>16499</v>
          </cell>
          <cell r="H446"/>
          <cell r="I446">
            <v>951</v>
          </cell>
          <cell r="J446">
            <v>4006</v>
          </cell>
          <cell r="K446">
            <v>2356</v>
          </cell>
          <cell r="L446">
            <v>2853</v>
          </cell>
          <cell r="M446"/>
          <cell r="N446">
            <v>467</v>
          </cell>
          <cell r="O446">
            <v>0</v>
          </cell>
          <cell r="P446">
            <v>0</v>
          </cell>
          <cell r="Q446">
            <v>0</v>
          </cell>
          <cell r="R446"/>
          <cell r="S446">
            <v>5560</v>
          </cell>
          <cell r="T446">
            <v>1000</v>
          </cell>
          <cell r="U446">
            <v>6560</v>
          </cell>
        </row>
        <row r="447">
          <cell r="A447">
            <v>94551</v>
          </cell>
          <cell r="B447" t="str">
            <v>TOWN OF MILLS RIVER</v>
          </cell>
          <cell r="C447">
            <v>4.1900000000000002E-5</v>
          </cell>
          <cell r="D447">
            <v>4.5899999999999998E-5</v>
          </cell>
          <cell r="E447">
            <v>24929</v>
          </cell>
          <cell r="F447">
            <v>97415</v>
          </cell>
          <cell r="G447">
            <v>64012</v>
          </cell>
          <cell r="H447"/>
          <cell r="I447">
            <v>3688</v>
          </cell>
          <cell r="J447">
            <v>15543</v>
          </cell>
          <cell r="K447">
            <v>9142</v>
          </cell>
          <cell r="L447">
            <v>11600</v>
          </cell>
          <cell r="M447"/>
          <cell r="N447">
            <v>1812</v>
          </cell>
          <cell r="O447">
            <v>0</v>
          </cell>
          <cell r="P447">
            <v>0</v>
          </cell>
          <cell r="Q447">
            <v>1576</v>
          </cell>
          <cell r="R447"/>
          <cell r="S447">
            <v>21572</v>
          </cell>
          <cell r="T447">
            <v>4116</v>
          </cell>
          <cell r="U447">
            <v>25688</v>
          </cell>
        </row>
        <row r="448">
          <cell r="A448">
            <v>94601</v>
          </cell>
          <cell r="B448" t="str">
            <v>HERTFORD COUNTY</v>
          </cell>
          <cell r="C448">
            <v>1.0602999999999999E-3</v>
          </cell>
          <cell r="D448">
            <v>1.0011E-3</v>
          </cell>
          <cell r="E448">
            <v>501425</v>
          </cell>
          <cell r="F448">
            <v>2124670</v>
          </cell>
          <cell r="G448">
            <v>1619845</v>
          </cell>
          <cell r="H448"/>
          <cell r="I448">
            <v>93318</v>
          </cell>
          <cell r="J448">
            <v>393300</v>
          </cell>
          <cell r="K448">
            <v>231336</v>
          </cell>
          <cell r="L448">
            <v>77480</v>
          </cell>
          <cell r="M448"/>
          <cell r="N448">
            <v>45853</v>
          </cell>
          <cell r="O448">
            <v>0</v>
          </cell>
          <cell r="P448">
            <v>0</v>
          </cell>
          <cell r="Q448">
            <v>2182</v>
          </cell>
          <cell r="R448"/>
          <cell r="S448">
            <v>545889</v>
          </cell>
          <cell r="T448">
            <v>21640</v>
          </cell>
          <cell r="U448">
            <v>567529</v>
          </cell>
        </row>
        <row r="449">
          <cell r="A449">
            <v>94604</v>
          </cell>
          <cell r="B449" t="str">
            <v>HERTFORD COUNTY ABC BOARD</v>
          </cell>
          <cell r="C449">
            <v>2.62E-5</v>
          </cell>
          <cell r="D449">
            <v>2.65E-5</v>
          </cell>
          <cell r="E449">
            <v>14408</v>
          </cell>
          <cell r="F449">
            <v>56242</v>
          </cell>
          <cell r="G449">
            <v>40026</v>
          </cell>
          <cell r="H449"/>
          <cell r="I449">
            <v>2306</v>
          </cell>
          <cell r="J449">
            <v>9718</v>
          </cell>
          <cell r="K449">
            <v>5716</v>
          </cell>
          <cell r="L449">
            <v>2471</v>
          </cell>
          <cell r="M449"/>
          <cell r="N449">
            <v>1133</v>
          </cell>
          <cell r="O449">
            <v>0</v>
          </cell>
          <cell r="P449">
            <v>0</v>
          </cell>
          <cell r="Q449">
            <v>26</v>
          </cell>
          <cell r="R449"/>
          <cell r="S449">
            <v>13489</v>
          </cell>
          <cell r="T449">
            <v>697</v>
          </cell>
          <cell r="U449">
            <v>14186</v>
          </cell>
        </row>
        <row r="450">
          <cell r="A450">
            <v>94606</v>
          </cell>
          <cell r="B450" t="str">
            <v>HERTFORD COUNTY PUBLIC HEALTH AUTHORITY</v>
          </cell>
          <cell r="C450">
            <v>2.3550000000000001E-4</v>
          </cell>
          <cell r="D450">
            <v>2.6229999999999998E-4</v>
          </cell>
          <cell r="E450">
            <v>106916</v>
          </cell>
          <cell r="F450">
            <v>556688</v>
          </cell>
          <cell r="G450">
            <v>359779</v>
          </cell>
          <cell r="H450"/>
          <cell r="I450">
            <v>20727</v>
          </cell>
          <cell r="J450">
            <v>87355</v>
          </cell>
          <cell r="K450">
            <v>51381</v>
          </cell>
          <cell r="L450">
            <v>0</v>
          </cell>
          <cell r="M450"/>
          <cell r="N450">
            <v>10184</v>
          </cell>
          <cell r="O450">
            <v>0</v>
          </cell>
          <cell r="P450">
            <v>0</v>
          </cell>
          <cell r="Q450">
            <v>51703</v>
          </cell>
          <cell r="R450"/>
          <cell r="S450">
            <v>121246</v>
          </cell>
          <cell r="T450">
            <v>-24169</v>
          </cell>
          <cell r="U450">
            <v>97077</v>
          </cell>
        </row>
        <row r="451">
          <cell r="A451">
            <v>94611</v>
          </cell>
          <cell r="B451" t="str">
            <v>TOWN OF AHOSKIE</v>
          </cell>
          <cell r="C451">
            <v>3.6850000000000001E-4</v>
          </cell>
          <cell r="D451">
            <v>4.4450000000000002E-4</v>
          </cell>
          <cell r="E451">
            <v>191641</v>
          </cell>
          <cell r="F451">
            <v>943378</v>
          </cell>
          <cell r="G451">
            <v>562966</v>
          </cell>
          <cell r="H451"/>
          <cell r="I451">
            <v>32432</v>
          </cell>
          <cell r="J451">
            <v>136689</v>
          </cell>
          <cell r="K451">
            <v>80399</v>
          </cell>
          <cell r="L451">
            <v>2567</v>
          </cell>
          <cell r="M451"/>
          <cell r="N451">
            <v>15936</v>
          </cell>
          <cell r="O451">
            <v>0</v>
          </cell>
          <cell r="P451">
            <v>0</v>
          </cell>
          <cell r="Q451">
            <v>35426</v>
          </cell>
          <cell r="R451"/>
          <cell r="S451">
            <v>189720</v>
          </cell>
          <cell r="T451">
            <v>-9323</v>
          </cell>
          <cell r="U451">
            <v>180397</v>
          </cell>
        </row>
        <row r="452">
          <cell r="A452">
            <v>94621</v>
          </cell>
          <cell r="B452" t="str">
            <v>TOWN OF MURFREESBORO</v>
          </cell>
          <cell r="C452">
            <v>9.7600000000000001E-5</v>
          </cell>
          <cell r="D452">
            <v>1.3119999999999999E-4</v>
          </cell>
          <cell r="E452">
            <v>66541</v>
          </cell>
          <cell r="F452">
            <v>278450</v>
          </cell>
          <cell r="G452">
            <v>149106</v>
          </cell>
          <cell r="H452"/>
          <cell r="I452">
            <v>8590</v>
          </cell>
          <cell r="J452">
            <v>36203</v>
          </cell>
          <cell r="K452">
            <v>21294</v>
          </cell>
          <cell r="L452">
            <v>6585</v>
          </cell>
          <cell r="M452"/>
          <cell r="N452">
            <v>4221</v>
          </cell>
          <cell r="O452">
            <v>0</v>
          </cell>
          <cell r="P452">
            <v>0</v>
          </cell>
          <cell r="Q452">
            <v>18055</v>
          </cell>
          <cell r="R452"/>
          <cell r="S452">
            <v>50249</v>
          </cell>
          <cell r="T452">
            <v>-1288</v>
          </cell>
          <cell r="U452">
            <v>48961</v>
          </cell>
        </row>
        <row r="453">
          <cell r="A453">
            <v>94631</v>
          </cell>
          <cell r="B453" t="str">
            <v>TOWN OF WINTON</v>
          </cell>
          <cell r="C453">
            <v>3.9100000000000002E-5</v>
          </cell>
          <cell r="D453">
            <v>3.9799999999999998E-5</v>
          </cell>
          <cell r="E453">
            <v>22453</v>
          </cell>
          <cell r="F453">
            <v>84469</v>
          </cell>
          <cell r="G453">
            <v>59734</v>
          </cell>
          <cell r="H453"/>
          <cell r="I453">
            <v>3441</v>
          </cell>
          <cell r="J453">
            <v>14504</v>
          </cell>
          <cell r="K453">
            <v>8531</v>
          </cell>
          <cell r="L453">
            <v>6569</v>
          </cell>
          <cell r="M453"/>
          <cell r="N453">
            <v>1691</v>
          </cell>
          <cell r="O453">
            <v>0</v>
          </cell>
          <cell r="P453">
            <v>0</v>
          </cell>
          <cell r="Q453">
            <v>0</v>
          </cell>
          <cell r="R453"/>
          <cell r="S453">
            <v>20130</v>
          </cell>
          <cell r="T453">
            <v>2517</v>
          </cell>
          <cell r="U453">
            <v>22647</v>
          </cell>
        </row>
        <row r="454">
          <cell r="A454">
            <v>94641</v>
          </cell>
          <cell r="B454" t="str">
            <v>TOWN OF COFIELD</v>
          </cell>
          <cell r="C454">
            <v>3.8999999999999999E-6</v>
          </cell>
          <cell r="D454">
            <v>4.6999999999999999E-6</v>
          </cell>
          <cell r="E454">
            <v>5004</v>
          </cell>
          <cell r="F454">
            <v>9975</v>
          </cell>
          <cell r="G454">
            <v>5958</v>
          </cell>
          <cell r="H454"/>
          <cell r="I454">
            <v>343</v>
          </cell>
          <cell r="J454">
            <v>1446</v>
          </cell>
          <cell r="K454">
            <v>851</v>
          </cell>
          <cell r="L454">
            <v>5156</v>
          </cell>
          <cell r="M454"/>
          <cell r="N454">
            <v>169</v>
          </cell>
          <cell r="O454">
            <v>0</v>
          </cell>
          <cell r="P454">
            <v>0</v>
          </cell>
          <cell r="Q454">
            <v>0</v>
          </cell>
          <cell r="R454"/>
          <cell r="S454">
            <v>2008</v>
          </cell>
          <cell r="T454">
            <v>2187</v>
          </cell>
          <cell r="U454">
            <v>4195</v>
          </cell>
        </row>
        <row r="455">
          <cell r="A455">
            <v>94701</v>
          </cell>
          <cell r="B455" t="str">
            <v>HOKE COUNTY</v>
          </cell>
          <cell r="C455">
            <v>2.5446000000000002E-3</v>
          </cell>
          <cell r="D455">
            <v>2.5636000000000001E-3</v>
          </cell>
          <cell r="E455">
            <v>1148600</v>
          </cell>
          <cell r="F455">
            <v>5440818</v>
          </cell>
          <cell r="G455">
            <v>3887444</v>
          </cell>
          <cell r="H455"/>
          <cell r="I455">
            <v>223953</v>
          </cell>
          <cell r="J455">
            <v>943877</v>
          </cell>
          <cell r="K455">
            <v>555181</v>
          </cell>
          <cell r="L455">
            <v>45251</v>
          </cell>
          <cell r="M455"/>
          <cell r="N455">
            <v>110041</v>
          </cell>
          <cell r="O455">
            <v>0</v>
          </cell>
          <cell r="P455">
            <v>0</v>
          </cell>
          <cell r="Q455">
            <v>103182</v>
          </cell>
          <cell r="R455"/>
          <cell r="S455">
            <v>1310072</v>
          </cell>
          <cell r="T455">
            <v>-2731</v>
          </cell>
          <cell r="U455">
            <v>1307341</v>
          </cell>
        </row>
        <row r="456">
          <cell r="A456">
            <v>94704</v>
          </cell>
          <cell r="B456" t="str">
            <v>HOKE COUNTY ABC BOARD</v>
          </cell>
          <cell r="C456">
            <v>9.5000000000000005E-6</v>
          </cell>
          <cell r="D456">
            <v>1.04E-5</v>
          </cell>
          <cell r="E456">
            <v>5070</v>
          </cell>
          <cell r="F456">
            <v>22072</v>
          </cell>
          <cell r="G456">
            <v>14513</v>
          </cell>
          <cell r="H456"/>
          <cell r="I456">
            <v>836</v>
          </cell>
          <cell r="J456">
            <v>3524</v>
          </cell>
          <cell r="K456">
            <v>2073</v>
          </cell>
          <cell r="L456">
            <v>77</v>
          </cell>
          <cell r="M456"/>
          <cell r="N456">
            <v>411</v>
          </cell>
          <cell r="O456">
            <v>0</v>
          </cell>
          <cell r="P456">
            <v>0</v>
          </cell>
          <cell r="Q456">
            <v>100</v>
          </cell>
          <cell r="R456"/>
          <cell r="S456">
            <v>4891</v>
          </cell>
          <cell r="T456">
            <v>38</v>
          </cell>
          <cell r="U456">
            <v>4929</v>
          </cell>
        </row>
        <row r="457">
          <cell r="A457">
            <v>94711</v>
          </cell>
          <cell r="B457" t="str">
            <v>TOWN OF RAEFORD</v>
          </cell>
          <cell r="C457">
            <v>3.3599999999999998E-4</v>
          </cell>
          <cell r="D457">
            <v>3.5110000000000002E-4</v>
          </cell>
          <cell r="E457">
            <v>165327</v>
          </cell>
          <cell r="F457">
            <v>745152</v>
          </cell>
          <cell r="G457">
            <v>513315</v>
          </cell>
          <cell r="H457"/>
          <cell r="I457">
            <v>29572</v>
          </cell>
          <cell r="J457">
            <v>124633</v>
          </cell>
          <cell r="K457">
            <v>73308</v>
          </cell>
          <cell r="L457">
            <v>9113</v>
          </cell>
          <cell r="M457"/>
          <cell r="N457">
            <v>14530</v>
          </cell>
          <cell r="O457">
            <v>0</v>
          </cell>
          <cell r="P457">
            <v>0</v>
          </cell>
          <cell r="Q457">
            <v>6693</v>
          </cell>
          <cell r="R457"/>
          <cell r="S457">
            <v>172988</v>
          </cell>
          <cell r="T457">
            <v>1163</v>
          </cell>
          <cell r="U457">
            <v>174151</v>
          </cell>
        </row>
        <row r="458">
          <cell r="A458">
            <v>94801</v>
          </cell>
          <cell r="B458" t="str">
            <v>HYDE COUNTY</v>
          </cell>
          <cell r="C458">
            <v>7.2440000000000004E-4</v>
          </cell>
          <cell r="D458">
            <v>7.6539999999999996E-4</v>
          </cell>
          <cell r="E458">
            <v>342416</v>
          </cell>
          <cell r="F458">
            <v>1624435</v>
          </cell>
          <cell r="G458">
            <v>1106683</v>
          </cell>
          <cell r="H458"/>
          <cell r="I458">
            <v>63755</v>
          </cell>
          <cell r="J458">
            <v>268704</v>
          </cell>
          <cell r="K458">
            <v>158050</v>
          </cell>
          <cell r="L458">
            <v>40380</v>
          </cell>
          <cell r="M458"/>
          <cell r="N458">
            <v>31327</v>
          </cell>
          <cell r="O458">
            <v>0</v>
          </cell>
          <cell r="P458">
            <v>0</v>
          </cell>
          <cell r="Q458">
            <v>19605</v>
          </cell>
          <cell r="R458"/>
          <cell r="S458">
            <v>372953</v>
          </cell>
          <cell r="T458">
            <v>17711</v>
          </cell>
          <cell r="U458">
            <v>390664</v>
          </cell>
        </row>
        <row r="459">
          <cell r="A459">
            <v>94804</v>
          </cell>
          <cell r="B459" t="str">
            <v>HYDE COUNTY ABC BOARD</v>
          </cell>
          <cell r="C459">
            <v>3.8E-6</v>
          </cell>
          <cell r="D459">
            <v>3.8E-6</v>
          </cell>
          <cell r="E459">
            <v>2740</v>
          </cell>
          <cell r="F459">
            <v>8065</v>
          </cell>
          <cell r="G459">
            <v>5805</v>
          </cell>
          <cell r="H459"/>
          <cell r="I459">
            <v>334</v>
          </cell>
          <cell r="J459">
            <v>1409</v>
          </cell>
          <cell r="K459">
            <v>829</v>
          </cell>
          <cell r="L459">
            <v>2556</v>
          </cell>
          <cell r="M459"/>
          <cell r="N459">
            <v>164</v>
          </cell>
          <cell r="O459">
            <v>0</v>
          </cell>
          <cell r="P459">
            <v>0</v>
          </cell>
          <cell r="Q459">
            <v>218</v>
          </cell>
          <cell r="R459"/>
          <cell r="S459">
            <v>1956</v>
          </cell>
          <cell r="T459">
            <v>1879</v>
          </cell>
          <cell r="U459">
            <v>3835</v>
          </cell>
        </row>
        <row r="460">
          <cell r="A460">
            <v>94812</v>
          </cell>
          <cell r="B460" t="str">
            <v>OCRACOKE SANITARY DIST</v>
          </cell>
          <cell r="C460">
            <v>3.3000000000000003E-5</v>
          </cell>
          <cell r="D460">
            <v>3.3500000000000001E-5</v>
          </cell>
          <cell r="E460">
            <v>19658</v>
          </cell>
          <cell r="F460">
            <v>71098</v>
          </cell>
          <cell r="G460">
            <v>50415</v>
          </cell>
          <cell r="H460"/>
          <cell r="I460">
            <v>2904</v>
          </cell>
          <cell r="J460">
            <v>12241</v>
          </cell>
          <cell r="K460">
            <v>7200</v>
          </cell>
          <cell r="L460">
            <v>10442</v>
          </cell>
          <cell r="M460"/>
          <cell r="N460">
            <v>1427</v>
          </cell>
          <cell r="O460">
            <v>0</v>
          </cell>
          <cell r="P460">
            <v>0</v>
          </cell>
          <cell r="Q460">
            <v>0</v>
          </cell>
          <cell r="R460"/>
          <cell r="S460">
            <v>16990</v>
          </cell>
          <cell r="T460">
            <v>4040</v>
          </cell>
          <cell r="U460">
            <v>21030</v>
          </cell>
        </row>
        <row r="461">
          <cell r="A461">
            <v>94901</v>
          </cell>
          <cell r="B461" t="str">
            <v>IREDELL COUNTY</v>
          </cell>
          <cell r="C461">
            <v>6.7841999999999998E-3</v>
          </cell>
          <cell r="D461">
            <v>7.0014999999999999E-3</v>
          </cell>
          <cell r="E461">
            <v>3201093</v>
          </cell>
          <cell r="F461">
            <v>14859529</v>
          </cell>
          <cell r="G461">
            <v>10364378</v>
          </cell>
          <cell r="H461"/>
          <cell r="I461">
            <v>597084</v>
          </cell>
          <cell r="J461">
            <v>2516484</v>
          </cell>
          <cell r="K461">
            <v>1480177</v>
          </cell>
          <cell r="L461">
            <v>16760</v>
          </cell>
          <cell r="M461"/>
          <cell r="N461">
            <v>293383</v>
          </cell>
          <cell r="O461">
            <v>0</v>
          </cell>
          <cell r="P461">
            <v>0</v>
          </cell>
          <cell r="Q461">
            <v>129476</v>
          </cell>
          <cell r="R461"/>
          <cell r="S461">
            <v>3492805</v>
          </cell>
          <cell r="T461">
            <v>-36324</v>
          </cell>
          <cell r="U461">
            <v>3456481</v>
          </cell>
        </row>
        <row r="462">
          <cell r="A462">
            <v>94908</v>
          </cell>
          <cell r="B462" t="str">
            <v>GREATER STATESVILLE DEVELOPMENT CORP</v>
          </cell>
          <cell r="C462">
            <v>7.7000000000000008E-6</v>
          </cell>
          <cell r="D462">
            <v>3.9799999999999998E-5</v>
          </cell>
          <cell r="E462">
            <v>7868</v>
          </cell>
          <cell r="F462">
            <v>84469</v>
          </cell>
          <cell r="G462">
            <v>11763</v>
          </cell>
          <cell r="H462"/>
          <cell r="I462">
            <v>678</v>
          </cell>
          <cell r="J462">
            <v>2857</v>
          </cell>
          <cell r="K462">
            <v>1680</v>
          </cell>
          <cell r="L462">
            <v>0</v>
          </cell>
          <cell r="M462"/>
          <cell r="N462">
            <v>333</v>
          </cell>
          <cell r="O462">
            <v>0</v>
          </cell>
          <cell r="P462">
            <v>0</v>
          </cell>
          <cell r="Q462">
            <v>21664</v>
          </cell>
          <cell r="R462"/>
          <cell r="S462">
            <v>3964</v>
          </cell>
          <cell r="T462">
            <v>-6783</v>
          </cell>
          <cell r="U462">
            <v>-2819</v>
          </cell>
        </row>
        <row r="463">
          <cell r="A463">
            <v>94911</v>
          </cell>
          <cell r="B463" t="str">
            <v>CITY OF STATESVILLE</v>
          </cell>
          <cell r="C463">
            <v>2.8311E-3</v>
          </cell>
          <cell r="D463">
            <v>2.7745999999999999E-3</v>
          </cell>
          <cell r="E463">
            <v>1295988</v>
          </cell>
          <cell r="F463">
            <v>5888631</v>
          </cell>
          <cell r="G463">
            <v>4325137</v>
          </cell>
          <cell r="H463"/>
          <cell r="I463">
            <v>249168</v>
          </cell>
          <cell r="J463">
            <v>1050149</v>
          </cell>
          <cell r="K463">
            <v>617689</v>
          </cell>
          <cell r="L463">
            <v>39747</v>
          </cell>
          <cell r="M463"/>
          <cell r="N463">
            <v>122431</v>
          </cell>
          <cell r="O463">
            <v>0</v>
          </cell>
          <cell r="P463">
            <v>0</v>
          </cell>
          <cell r="Q463">
            <v>40147</v>
          </cell>
          <cell r="R463"/>
          <cell r="S463">
            <v>1457575</v>
          </cell>
          <cell r="T463">
            <v>-7457</v>
          </cell>
          <cell r="U463">
            <v>1450118</v>
          </cell>
        </row>
        <row r="464">
          <cell r="A464">
            <v>94917</v>
          </cell>
          <cell r="B464" t="str">
            <v>STATESVILLE ABC BOARD</v>
          </cell>
          <cell r="C464">
            <v>3.5099999999999999E-5</v>
          </cell>
          <cell r="D464">
            <v>3.7400000000000001E-5</v>
          </cell>
          <cell r="E464">
            <v>27131</v>
          </cell>
          <cell r="F464">
            <v>79375</v>
          </cell>
          <cell r="G464">
            <v>53623</v>
          </cell>
          <cell r="H464"/>
          <cell r="I464">
            <v>3089</v>
          </cell>
          <cell r="J464">
            <v>13020</v>
          </cell>
          <cell r="K464">
            <v>7658</v>
          </cell>
          <cell r="L464">
            <v>16574</v>
          </cell>
          <cell r="M464"/>
          <cell r="N464">
            <v>1518</v>
          </cell>
          <cell r="O464">
            <v>0</v>
          </cell>
          <cell r="P464">
            <v>0</v>
          </cell>
          <cell r="Q464">
            <v>0</v>
          </cell>
          <cell r="R464"/>
          <cell r="S464">
            <v>18071</v>
          </cell>
          <cell r="T464">
            <v>7114</v>
          </cell>
          <cell r="U464">
            <v>25185</v>
          </cell>
        </row>
        <row r="465">
          <cell r="A465">
            <v>94921</v>
          </cell>
          <cell r="B465" t="str">
            <v>CITY OF MOORESVILLE</v>
          </cell>
          <cell r="C465">
            <v>3.9515000000000002E-3</v>
          </cell>
          <cell r="D465">
            <v>3.7063E-3</v>
          </cell>
          <cell r="E465">
            <v>1632572</v>
          </cell>
          <cell r="F465">
            <v>7866010</v>
          </cell>
          <cell r="G465">
            <v>6036797</v>
          </cell>
          <cell r="H465"/>
          <cell r="I465">
            <v>347775</v>
          </cell>
          <cell r="J465">
            <v>1465741</v>
          </cell>
          <cell r="K465">
            <v>862138</v>
          </cell>
          <cell r="L465">
            <v>19200</v>
          </cell>
          <cell r="M465"/>
          <cell r="N465">
            <v>170883</v>
          </cell>
          <cell r="O465">
            <v>0</v>
          </cell>
          <cell r="P465">
            <v>0</v>
          </cell>
          <cell r="Q465">
            <v>350239</v>
          </cell>
          <cell r="R465"/>
          <cell r="S465">
            <v>2034406</v>
          </cell>
          <cell r="T465">
            <v>-150626</v>
          </cell>
          <cell r="U465">
            <v>1883780</v>
          </cell>
        </row>
        <row r="466">
          <cell r="A466">
            <v>94923</v>
          </cell>
          <cell r="B466" t="str">
            <v>MOORESVILLE HOUSING AUTHORITY</v>
          </cell>
          <cell r="C466">
            <v>3.0700000000000001E-5</v>
          </cell>
          <cell r="D466">
            <v>2.4499999999999999E-5</v>
          </cell>
          <cell r="E466">
            <v>14810</v>
          </cell>
          <cell r="F466">
            <v>51997</v>
          </cell>
          <cell r="G466">
            <v>46901</v>
          </cell>
          <cell r="H466"/>
          <cell r="I466">
            <v>2702</v>
          </cell>
          <cell r="J466">
            <v>11387</v>
          </cell>
          <cell r="K466">
            <v>6698</v>
          </cell>
          <cell r="L466">
            <v>5727</v>
          </cell>
          <cell r="M466"/>
          <cell r="N466">
            <v>1328</v>
          </cell>
          <cell r="O466">
            <v>0</v>
          </cell>
          <cell r="P466">
            <v>0</v>
          </cell>
          <cell r="Q466">
            <v>86</v>
          </cell>
          <cell r="R466"/>
          <cell r="S466">
            <v>15806</v>
          </cell>
          <cell r="T466">
            <v>1556</v>
          </cell>
          <cell r="U466">
            <v>17362</v>
          </cell>
        </row>
        <row r="467">
          <cell r="A467">
            <v>94927</v>
          </cell>
          <cell r="B467" t="str">
            <v>MOORESVILLE ABC BOARD</v>
          </cell>
          <cell r="C467">
            <v>3.0599999999999998E-5</v>
          </cell>
          <cell r="D467">
            <v>3.3899999999999997E-5</v>
          </cell>
          <cell r="E467">
            <v>17353</v>
          </cell>
          <cell r="F467">
            <v>71947</v>
          </cell>
          <cell r="G467">
            <v>46748</v>
          </cell>
          <cell r="H467"/>
          <cell r="I467">
            <v>2693</v>
          </cell>
          <cell r="J467">
            <v>11350</v>
          </cell>
          <cell r="K467">
            <v>6676</v>
          </cell>
          <cell r="L467">
            <v>2683</v>
          </cell>
          <cell r="M467"/>
          <cell r="N467">
            <v>1323</v>
          </cell>
          <cell r="O467">
            <v>0</v>
          </cell>
          <cell r="P467">
            <v>0</v>
          </cell>
          <cell r="Q467">
            <v>26</v>
          </cell>
          <cell r="R467"/>
          <cell r="S467">
            <v>15754</v>
          </cell>
          <cell r="T467">
            <v>911</v>
          </cell>
          <cell r="U467">
            <v>16665</v>
          </cell>
        </row>
        <row r="468">
          <cell r="A468">
            <v>94931</v>
          </cell>
          <cell r="B468" t="str">
            <v>TOWN OF TROUTMAN</v>
          </cell>
          <cell r="C468">
            <v>2.163E-4</v>
          </cell>
          <cell r="D468">
            <v>2.1130000000000001E-4</v>
          </cell>
          <cell r="E468">
            <v>96302</v>
          </cell>
          <cell r="F468">
            <v>448449</v>
          </cell>
          <cell r="G468">
            <v>330446</v>
          </cell>
          <cell r="H468"/>
          <cell r="I468">
            <v>19037</v>
          </cell>
          <cell r="J468">
            <v>80233</v>
          </cell>
          <cell r="K468">
            <v>47192</v>
          </cell>
          <cell r="L468">
            <v>954</v>
          </cell>
          <cell r="M468"/>
          <cell r="N468">
            <v>9354</v>
          </cell>
          <cell r="O468">
            <v>0</v>
          </cell>
          <cell r="P468">
            <v>0</v>
          </cell>
          <cell r="Q468">
            <v>15740</v>
          </cell>
          <cell r="R468"/>
          <cell r="S468">
            <v>111361</v>
          </cell>
          <cell r="T468">
            <v>-7901</v>
          </cell>
          <cell r="U468">
            <v>103460</v>
          </cell>
        </row>
        <row r="469">
          <cell r="A469">
            <v>94941</v>
          </cell>
          <cell r="B469" t="str">
            <v>MI CONNECTION COMMUNICATIONS SYSTEM</v>
          </cell>
          <cell r="C469">
            <v>5.7879999999999997E-4</v>
          </cell>
          <cell r="D469">
            <v>5.2959999999999997E-4</v>
          </cell>
          <cell r="E469">
            <v>242954</v>
          </cell>
          <cell r="F469">
            <v>1123989</v>
          </cell>
          <cell r="G469">
            <v>884246</v>
          </cell>
          <cell r="H469"/>
          <cell r="I469">
            <v>50941</v>
          </cell>
          <cell r="J469">
            <v>214696</v>
          </cell>
          <cell r="K469">
            <v>126283</v>
          </cell>
          <cell r="L469">
            <v>68775</v>
          </cell>
          <cell r="M469"/>
          <cell r="N469">
            <v>25030</v>
          </cell>
          <cell r="O469">
            <v>0</v>
          </cell>
          <cell r="P469">
            <v>0</v>
          </cell>
          <cell r="Q469">
            <v>0</v>
          </cell>
          <cell r="R469"/>
          <cell r="S469">
            <v>297992</v>
          </cell>
          <cell r="T469">
            <v>46151</v>
          </cell>
          <cell r="U469">
            <v>344143</v>
          </cell>
        </row>
        <row r="470">
          <cell r="A470">
            <v>95001</v>
          </cell>
          <cell r="B470" t="str">
            <v>JACKSON COUNTY</v>
          </cell>
          <cell r="C470">
            <v>2.4867000000000001E-3</v>
          </cell>
          <cell r="D470">
            <v>2.3779000000000001E-3</v>
          </cell>
          <cell r="E470">
            <v>1196131</v>
          </cell>
          <cell r="F470">
            <v>5046700</v>
          </cell>
          <cell r="G470">
            <v>3798989</v>
          </cell>
          <cell r="H470"/>
          <cell r="I470">
            <v>218857</v>
          </cell>
          <cell r="J470">
            <v>922399</v>
          </cell>
          <cell r="K470">
            <v>542548</v>
          </cell>
          <cell r="L470">
            <v>176888</v>
          </cell>
          <cell r="M470"/>
          <cell r="N470">
            <v>107537</v>
          </cell>
          <cell r="O470">
            <v>0</v>
          </cell>
          <cell r="P470">
            <v>0</v>
          </cell>
          <cell r="Q470">
            <v>3991</v>
          </cell>
          <cell r="R470"/>
          <cell r="S470">
            <v>1280263</v>
          </cell>
          <cell r="T470">
            <v>51652</v>
          </cell>
          <cell r="U470">
            <v>1331915</v>
          </cell>
        </row>
        <row r="471">
          <cell r="A471">
            <v>95002</v>
          </cell>
          <cell r="B471" t="str">
            <v>TUCKASEIGEE WATER AUTHORITY</v>
          </cell>
          <cell r="C471">
            <v>1.907E-4</v>
          </cell>
          <cell r="D471">
            <v>2.0120000000000001E-4</v>
          </cell>
          <cell r="E471">
            <v>100854</v>
          </cell>
          <cell r="F471">
            <v>427014</v>
          </cell>
          <cell r="G471">
            <v>291337</v>
          </cell>
          <cell r="H471"/>
          <cell r="I471">
            <v>16784</v>
          </cell>
          <cell r="J471">
            <v>70737</v>
          </cell>
          <cell r="K471">
            <v>41607</v>
          </cell>
          <cell r="L471">
            <v>15647</v>
          </cell>
          <cell r="M471"/>
          <cell r="N471">
            <v>8247</v>
          </cell>
          <cell r="O471">
            <v>0</v>
          </cell>
          <cell r="P471">
            <v>0</v>
          </cell>
          <cell r="Q471">
            <v>0</v>
          </cell>
          <cell r="R471"/>
          <cell r="S471">
            <v>98181</v>
          </cell>
          <cell r="T471">
            <v>6293</v>
          </cell>
          <cell r="U471">
            <v>104474</v>
          </cell>
        </row>
        <row r="472">
          <cell r="A472">
            <v>95005</v>
          </cell>
          <cell r="B472" t="str">
            <v>FONTANA REGIONAL LIBRARY</v>
          </cell>
          <cell r="C472">
            <v>2.2949999999999999E-4</v>
          </cell>
          <cell r="D472">
            <v>2.3829999999999999E-4</v>
          </cell>
          <cell r="E472">
            <v>111067</v>
          </cell>
          <cell r="F472">
            <v>505752</v>
          </cell>
          <cell r="G472">
            <v>350612</v>
          </cell>
          <cell r="H472"/>
          <cell r="I472">
            <v>20199</v>
          </cell>
          <cell r="J472">
            <v>85129</v>
          </cell>
          <cell r="K472">
            <v>50072</v>
          </cell>
          <cell r="L472">
            <v>13727</v>
          </cell>
          <cell r="M472"/>
          <cell r="N472">
            <v>9925</v>
          </cell>
          <cell r="O472">
            <v>0</v>
          </cell>
          <cell r="P472">
            <v>0</v>
          </cell>
          <cell r="Q472">
            <v>1630</v>
          </cell>
          <cell r="R472"/>
          <cell r="S472">
            <v>118157</v>
          </cell>
          <cell r="T472">
            <v>9042</v>
          </cell>
          <cell r="U472">
            <v>127199</v>
          </cell>
        </row>
        <row r="473">
          <cell r="A473">
            <v>95008</v>
          </cell>
          <cell r="B473" t="str">
            <v>SOUTHWESTERN NC PLANNING &amp; ECON.DEV.COMMIS.</v>
          </cell>
          <cell r="C473">
            <v>1.1519999999999999E-4</v>
          </cell>
          <cell r="D473">
            <v>1.169E-4</v>
          </cell>
          <cell r="E473">
            <v>62834</v>
          </cell>
          <cell r="F473">
            <v>248101</v>
          </cell>
          <cell r="G473">
            <v>175994</v>
          </cell>
          <cell r="H473"/>
          <cell r="I473">
            <v>10139</v>
          </cell>
          <cell r="J473">
            <v>42731</v>
          </cell>
          <cell r="K473">
            <v>25134</v>
          </cell>
          <cell r="L473">
            <v>19189</v>
          </cell>
          <cell r="M473"/>
          <cell r="N473">
            <v>4982</v>
          </cell>
          <cell r="O473">
            <v>0</v>
          </cell>
          <cell r="P473">
            <v>0</v>
          </cell>
          <cell r="Q473">
            <v>6239</v>
          </cell>
          <cell r="R473"/>
          <cell r="S473">
            <v>59310</v>
          </cell>
          <cell r="T473">
            <v>9098</v>
          </cell>
          <cell r="U473">
            <v>68408</v>
          </cell>
        </row>
        <row r="474">
          <cell r="A474">
            <v>95009</v>
          </cell>
          <cell r="B474" t="str">
            <v>VAYA HEALTH</v>
          </cell>
          <cell r="C474">
            <v>4.2208999999999997E-3</v>
          </cell>
          <cell r="D474">
            <v>3.9902000000000002E-3</v>
          </cell>
          <cell r="E474">
            <v>1917856</v>
          </cell>
          <cell r="F474">
            <v>0</v>
          </cell>
          <cell r="G474">
            <v>6448366</v>
          </cell>
          <cell r="H474"/>
          <cell r="I474">
            <v>371486</v>
          </cell>
          <cell r="J474">
            <v>1565671</v>
          </cell>
          <cell r="K474">
            <v>920916</v>
          </cell>
          <cell r="L474">
            <v>897451</v>
          </cell>
          <cell r="M474"/>
          <cell r="N474">
            <v>182533</v>
          </cell>
          <cell r="O474">
            <v>0</v>
          </cell>
          <cell r="P474">
            <v>0</v>
          </cell>
          <cell r="Q474">
            <v>0</v>
          </cell>
          <cell r="R474"/>
          <cell r="S474">
            <v>2173105</v>
          </cell>
          <cell r="T474">
            <v>582135</v>
          </cell>
          <cell r="U474">
            <v>2755240</v>
          </cell>
        </row>
        <row r="475">
          <cell r="A475">
            <v>95011</v>
          </cell>
          <cell r="B475" t="str">
            <v>TOWN OF SYLVA</v>
          </cell>
          <cell r="C475">
            <v>1.8000000000000001E-4</v>
          </cell>
          <cell r="D475">
            <v>1.707E-4</v>
          </cell>
          <cell r="E475">
            <v>78934</v>
          </cell>
          <cell r="F475">
            <v>362283</v>
          </cell>
          <cell r="G475">
            <v>274990</v>
          </cell>
          <cell r="H475"/>
          <cell r="I475">
            <v>15842</v>
          </cell>
          <cell r="J475">
            <v>66768</v>
          </cell>
          <cell r="K475">
            <v>39272</v>
          </cell>
          <cell r="L475">
            <v>3275</v>
          </cell>
          <cell r="M475"/>
          <cell r="N475">
            <v>7784</v>
          </cell>
          <cell r="O475">
            <v>0</v>
          </cell>
          <cell r="P475">
            <v>0</v>
          </cell>
          <cell r="Q475">
            <v>8909</v>
          </cell>
          <cell r="R475"/>
          <cell r="S475">
            <v>92672</v>
          </cell>
          <cell r="T475">
            <v>-3840</v>
          </cell>
          <cell r="U475">
            <v>88832</v>
          </cell>
        </row>
        <row r="476">
          <cell r="A476">
            <v>95017</v>
          </cell>
          <cell r="B476" t="str">
            <v>JACKSON COUNTY ABC BOARD</v>
          </cell>
          <cell r="C476">
            <v>3.8800000000000001E-5</v>
          </cell>
          <cell r="D476">
            <v>3.5800000000000003E-5</v>
          </cell>
          <cell r="E476">
            <v>15330</v>
          </cell>
          <cell r="F476">
            <v>75980</v>
          </cell>
          <cell r="G476">
            <v>59276</v>
          </cell>
          <cell r="H476"/>
          <cell r="I476">
            <v>3415</v>
          </cell>
          <cell r="J476">
            <v>14392</v>
          </cell>
          <cell r="K476">
            <v>8465</v>
          </cell>
          <cell r="L476">
            <v>13339</v>
          </cell>
          <cell r="M476"/>
          <cell r="N476">
            <v>1678</v>
          </cell>
          <cell r="O476">
            <v>0</v>
          </cell>
          <cell r="P476">
            <v>0</v>
          </cell>
          <cell r="Q476">
            <v>0</v>
          </cell>
          <cell r="R476"/>
          <cell r="S476">
            <v>19976</v>
          </cell>
          <cell r="T476">
            <v>7635</v>
          </cell>
          <cell r="U476">
            <v>27611</v>
          </cell>
        </row>
        <row r="477">
          <cell r="A477">
            <v>95101</v>
          </cell>
          <cell r="B477" t="str">
            <v>JOHNSTON COUNTY</v>
          </cell>
          <cell r="C477">
            <v>8.3750999999999999E-3</v>
          </cell>
          <cell r="D477">
            <v>8.0955999999999997E-3</v>
          </cell>
          <cell r="E477">
            <v>3555097</v>
          </cell>
          <cell r="F477">
            <v>17181575</v>
          </cell>
          <cell r="G477">
            <v>12794833</v>
          </cell>
          <cell r="H477"/>
          <cell r="I477">
            <v>737101</v>
          </cell>
          <cell r="J477">
            <v>3106601</v>
          </cell>
          <cell r="K477">
            <v>1827279</v>
          </cell>
          <cell r="L477">
            <v>39562</v>
          </cell>
          <cell r="M477"/>
          <cell r="N477">
            <v>362181</v>
          </cell>
          <cell r="O477">
            <v>0</v>
          </cell>
          <cell r="P477">
            <v>0</v>
          </cell>
          <cell r="Q477">
            <v>114122</v>
          </cell>
          <cell r="R477"/>
          <cell r="S477">
            <v>4311870</v>
          </cell>
          <cell r="T477">
            <v>1978</v>
          </cell>
          <cell r="U477">
            <v>4313848</v>
          </cell>
        </row>
        <row r="478">
          <cell r="A478">
            <v>95103</v>
          </cell>
          <cell r="B478" t="str">
            <v>BENSON HOUSING AUTHORITY</v>
          </cell>
          <cell r="C478">
            <v>4.9100000000000001E-5</v>
          </cell>
          <cell r="D478">
            <v>6.02E-5</v>
          </cell>
          <cell r="E478">
            <v>33036</v>
          </cell>
          <cell r="F478">
            <v>127765</v>
          </cell>
          <cell r="G478">
            <v>75011</v>
          </cell>
          <cell r="H478"/>
          <cell r="I478">
            <v>4321</v>
          </cell>
          <cell r="J478">
            <v>18213</v>
          </cell>
          <cell r="K478">
            <v>10713</v>
          </cell>
          <cell r="L478">
            <v>24203</v>
          </cell>
          <cell r="M478"/>
          <cell r="N478">
            <v>2123</v>
          </cell>
          <cell r="O478">
            <v>0</v>
          </cell>
          <cell r="P478">
            <v>0</v>
          </cell>
          <cell r="Q478">
            <v>0</v>
          </cell>
          <cell r="R478"/>
          <cell r="S478">
            <v>25279</v>
          </cell>
          <cell r="T478">
            <v>18053</v>
          </cell>
          <cell r="U478">
            <v>43332</v>
          </cell>
        </row>
        <row r="479">
          <cell r="A479">
            <v>95104</v>
          </cell>
          <cell r="B479" t="str">
            <v>JOHNSTON COUNTY ABC BOARD</v>
          </cell>
          <cell r="C479">
            <v>1.02E-4</v>
          </cell>
          <cell r="D479">
            <v>1.011E-4</v>
          </cell>
          <cell r="E479">
            <v>55856</v>
          </cell>
          <cell r="F479">
            <v>214568</v>
          </cell>
          <cell r="G479">
            <v>155828</v>
          </cell>
          <cell r="H479"/>
          <cell r="I479">
            <v>8977</v>
          </cell>
          <cell r="J479">
            <v>37835</v>
          </cell>
          <cell r="K479">
            <v>22254</v>
          </cell>
          <cell r="L479">
            <v>19729</v>
          </cell>
          <cell r="M479"/>
          <cell r="N479">
            <v>4411</v>
          </cell>
          <cell r="O479">
            <v>0</v>
          </cell>
          <cell r="P479">
            <v>0</v>
          </cell>
          <cell r="Q479">
            <v>0</v>
          </cell>
          <cell r="R479"/>
          <cell r="S479">
            <v>52514</v>
          </cell>
          <cell r="T479">
            <v>8399</v>
          </cell>
          <cell r="U479">
            <v>60913</v>
          </cell>
        </row>
        <row r="480">
          <cell r="A480">
            <v>95105</v>
          </cell>
          <cell r="B480" t="str">
            <v>PUBLIC LIBRARY OF JOHNSTON CO AND SMITHFIELD</v>
          </cell>
          <cell r="C480">
            <v>6.1099999999999994E-5</v>
          </cell>
          <cell r="D480">
            <v>6.3700000000000003E-5</v>
          </cell>
          <cell r="E480">
            <v>33363</v>
          </cell>
          <cell r="F480">
            <v>135193</v>
          </cell>
          <cell r="G480">
            <v>93344</v>
          </cell>
          <cell r="H480"/>
          <cell r="I480">
            <v>5377</v>
          </cell>
          <cell r="J480">
            <v>22664</v>
          </cell>
          <cell r="K480">
            <v>13331</v>
          </cell>
          <cell r="L480">
            <v>8129</v>
          </cell>
          <cell r="M480"/>
          <cell r="N480">
            <v>2642</v>
          </cell>
          <cell r="O480">
            <v>0</v>
          </cell>
          <cell r="P480">
            <v>0</v>
          </cell>
          <cell r="Q480">
            <v>0</v>
          </cell>
          <cell r="R480"/>
          <cell r="S480">
            <v>31457</v>
          </cell>
          <cell r="T480">
            <v>4018</v>
          </cell>
          <cell r="U480">
            <v>35475</v>
          </cell>
        </row>
        <row r="481">
          <cell r="A481">
            <v>95106</v>
          </cell>
          <cell r="B481" t="str">
            <v>TOWN OF ARCHER LODGE</v>
          </cell>
          <cell r="C481">
            <v>1.2099999999999999E-5</v>
          </cell>
          <cell r="D481">
            <v>1.3900000000000001E-5</v>
          </cell>
          <cell r="E481">
            <v>5272</v>
          </cell>
          <cell r="F481">
            <v>29500</v>
          </cell>
          <cell r="G481">
            <v>18485</v>
          </cell>
          <cell r="H481"/>
          <cell r="I481">
            <v>1065</v>
          </cell>
          <cell r="J481">
            <v>4488</v>
          </cell>
          <cell r="K481">
            <v>2640</v>
          </cell>
          <cell r="L481">
            <v>4918</v>
          </cell>
          <cell r="M481"/>
          <cell r="N481">
            <v>523</v>
          </cell>
          <cell r="O481">
            <v>0</v>
          </cell>
          <cell r="P481">
            <v>0</v>
          </cell>
          <cell r="Q481">
            <v>1433</v>
          </cell>
          <cell r="R481"/>
          <cell r="S481">
            <v>6230</v>
          </cell>
          <cell r="T481">
            <v>2234</v>
          </cell>
          <cell r="U481">
            <v>8464</v>
          </cell>
        </row>
        <row r="482">
          <cell r="A482">
            <v>95110</v>
          </cell>
          <cell r="B482" t="str">
            <v>JOHNSTON HEALTH CENTER</v>
          </cell>
          <cell r="C482">
            <v>4.2902000000000001E-3</v>
          </cell>
          <cell r="D482">
            <v>4.4609000000000003E-3</v>
          </cell>
          <cell r="E482">
            <v>1965505</v>
          </cell>
          <cell r="F482">
            <v>9467524</v>
          </cell>
          <cell r="G482">
            <v>6554237</v>
          </cell>
          <cell r="H482"/>
          <cell r="I482">
            <v>377585</v>
          </cell>
          <cell r="J482">
            <v>1591377</v>
          </cell>
          <cell r="K482">
            <v>936036</v>
          </cell>
          <cell r="L482">
            <v>0</v>
          </cell>
          <cell r="M482"/>
          <cell r="N482">
            <v>185530</v>
          </cell>
          <cell r="O482">
            <v>0</v>
          </cell>
          <cell r="P482">
            <v>0</v>
          </cell>
          <cell r="Q482">
            <v>1097124</v>
          </cell>
          <cell r="R482"/>
          <cell r="S482">
            <v>2208784</v>
          </cell>
          <cell r="T482">
            <v>-636198</v>
          </cell>
          <cell r="U482">
            <v>1572586</v>
          </cell>
        </row>
        <row r="483">
          <cell r="A483">
            <v>95111</v>
          </cell>
          <cell r="B483" t="str">
            <v>TOWN OF SMITHFIELD</v>
          </cell>
          <cell r="C483">
            <v>1.0778999999999999E-3</v>
          </cell>
          <cell r="D483">
            <v>1.0709000000000001E-3</v>
          </cell>
          <cell r="E483">
            <v>470003</v>
          </cell>
          <cell r="F483">
            <v>2272809</v>
          </cell>
          <cell r="G483">
            <v>1646733</v>
          </cell>
          <cell r="H483"/>
          <cell r="I483">
            <v>94867</v>
          </cell>
          <cell r="J483">
            <v>399829</v>
          </cell>
          <cell r="K483">
            <v>235176</v>
          </cell>
          <cell r="L483">
            <v>0</v>
          </cell>
          <cell r="M483"/>
          <cell r="N483">
            <v>46614</v>
          </cell>
          <cell r="O483">
            <v>0</v>
          </cell>
          <cell r="P483">
            <v>0</v>
          </cell>
          <cell r="Q483">
            <v>120462</v>
          </cell>
          <cell r="R483"/>
          <cell r="S483">
            <v>554950</v>
          </cell>
          <cell r="T483">
            <v>-59518</v>
          </cell>
          <cell r="U483">
            <v>495432</v>
          </cell>
        </row>
        <row r="484">
          <cell r="A484">
            <v>95113</v>
          </cell>
          <cell r="B484" t="str">
            <v>SMITHFIELD HOUSING AUTHORITY</v>
          </cell>
          <cell r="C484">
            <v>4.6699999999999997E-5</v>
          </cell>
          <cell r="D484">
            <v>4.7500000000000003E-5</v>
          </cell>
          <cell r="E484">
            <v>66187</v>
          </cell>
          <cell r="F484">
            <v>100811</v>
          </cell>
          <cell r="G484">
            <v>71345</v>
          </cell>
          <cell r="H484"/>
          <cell r="I484">
            <v>4110</v>
          </cell>
          <cell r="J484">
            <v>17322</v>
          </cell>
          <cell r="K484">
            <v>10189</v>
          </cell>
          <cell r="L484">
            <v>82563</v>
          </cell>
          <cell r="M484"/>
          <cell r="N484">
            <v>2020</v>
          </cell>
          <cell r="O484">
            <v>0</v>
          </cell>
          <cell r="P484">
            <v>0</v>
          </cell>
          <cell r="Q484">
            <v>0</v>
          </cell>
          <cell r="R484"/>
          <cell r="S484">
            <v>24043</v>
          </cell>
          <cell r="T484">
            <v>31359</v>
          </cell>
          <cell r="U484">
            <v>55402</v>
          </cell>
        </row>
        <row r="485">
          <cell r="A485">
            <v>95121</v>
          </cell>
          <cell r="B485" t="str">
            <v>TOWN OF SELMA</v>
          </cell>
          <cell r="C485">
            <v>4.9770000000000001E-4</v>
          </cell>
          <cell r="D485">
            <v>4.9580000000000002E-4</v>
          </cell>
          <cell r="E485">
            <v>224754</v>
          </cell>
          <cell r="F485">
            <v>1052254</v>
          </cell>
          <cell r="G485">
            <v>760348</v>
          </cell>
          <cell r="H485"/>
          <cell r="I485">
            <v>43803</v>
          </cell>
          <cell r="J485">
            <v>184613</v>
          </cell>
          <cell r="K485">
            <v>108588</v>
          </cell>
          <cell r="L485">
            <v>12640</v>
          </cell>
          <cell r="M485"/>
          <cell r="N485">
            <v>21523</v>
          </cell>
          <cell r="O485">
            <v>0</v>
          </cell>
          <cell r="P485">
            <v>0</v>
          </cell>
          <cell r="Q485">
            <v>14371</v>
          </cell>
          <cell r="R485"/>
          <cell r="S485">
            <v>256238</v>
          </cell>
          <cell r="T485">
            <v>-7628</v>
          </cell>
          <cell r="U485">
            <v>248610</v>
          </cell>
        </row>
        <row r="486">
          <cell r="A486">
            <v>95122</v>
          </cell>
          <cell r="B486" t="str">
            <v>TOWN OF MICRO</v>
          </cell>
          <cell r="C486">
            <v>6.4999999999999996E-6</v>
          </cell>
          <cell r="D486">
            <v>2.7999999999999999E-6</v>
          </cell>
          <cell r="E486">
            <v>3103</v>
          </cell>
          <cell r="F486">
            <v>5943</v>
          </cell>
          <cell r="G486">
            <v>9930</v>
          </cell>
          <cell r="H486"/>
          <cell r="I486">
            <v>572</v>
          </cell>
          <cell r="J486">
            <v>2411</v>
          </cell>
          <cell r="K486">
            <v>1418</v>
          </cell>
          <cell r="L486">
            <v>3675</v>
          </cell>
          <cell r="M486"/>
          <cell r="N486">
            <v>281</v>
          </cell>
          <cell r="O486">
            <v>0</v>
          </cell>
          <cell r="P486">
            <v>0</v>
          </cell>
          <cell r="Q486">
            <v>0</v>
          </cell>
          <cell r="R486"/>
          <cell r="S486">
            <v>3346</v>
          </cell>
          <cell r="T486">
            <v>1103</v>
          </cell>
          <cell r="U486">
            <v>4449</v>
          </cell>
        </row>
        <row r="487">
          <cell r="A487">
            <v>95123</v>
          </cell>
          <cell r="B487" t="str">
            <v>SELMA HOUSING AUTHORITY</v>
          </cell>
          <cell r="C487">
            <v>5.7399999999999999E-5</v>
          </cell>
          <cell r="D487">
            <v>5.6700000000000003E-5</v>
          </cell>
          <cell r="E487">
            <v>29191</v>
          </cell>
          <cell r="F487">
            <v>120336</v>
          </cell>
          <cell r="G487">
            <v>87691</v>
          </cell>
          <cell r="H487"/>
          <cell r="I487">
            <v>5052</v>
          </cell>
          <cell r="J487">
            <v>21291</v>
          </cell>
          <cell r="K487">
            <v>12524</v>
          </cell>
          <cell r="L487">
            <v>8811</v>
          </cell>
          <cell r="M487"/>
          <cell r="N487">
            <v>2482</v>
          </cell>
          <cell r="O487">
            <v>0</v>
          </cell>
          <cell r="P487">
            <v>0</v>
          </cell>
          <cell r="Q487">
            <v>1459</v>
          </cell>
          <cell r="R487"/>
          <cell r="S487">
            <v>29552</v>
          </cell>
          <cell r="T487">
            <v>1830</v>
          </cell>
          <cell r="U487">
            <v>31382</v>
          </cell>
        </row>
        <row r="488">
          <cell r="A488">
            <v>95131</v>
          </cell>
          <cell r="B488" t="str">
            <v>TOWN OF CLAYTON</v>
          </cell>
          <cell r="C488">
            <v>1.6682999999999999E-3</v>
          </cell>
          <cell r="D488">
            <v>1.5451E-3</v>
          </cell>
          <cell r="E488">
            <v>749707</v>
          </cell>
          <cell r="F488">
            <v>3279220</v>
          </cell>
          <cell r="G488">
            <v>2548700</v>
          </cell>
          <cell r="H488"/>
          <cell r="I488">
            <v>146829</v>
          </cell>
          <cell r="J488">
            <v>618827</v>
          </cell>
          <cell r="K488">
            <v>363990</v>
          </cell>
          <cell r="L488">
            <v>105945</v>
          </cell>
          <cell r="M488"/>
          <cell r="N488">
            <v>72146</v>
          </cell>
          <cell r="O488">
            <v>0</v>
          </cell>
          <cell r="P488">
            <v>0</v>
          </cell>
          <cell r="Q488">
            <v>846</v>
          </cell>
          <cell r="R488"/>
          <cell r="S488">
            <v>858914</v>
          </cell>
          <cell r="T488">
            <v>33842</v>
          </cell>
          <cell r="U488">
            <v>892756</v>
          </cell>
        </row>
        <row r="489">
          <cell r="A489">
            <v>95141</v>
          </cell>
          <cell r="B489" t="str">
            <v>TOWN OF BENSON</v>
          </cell>
          <cell r="C489">
            <v>3.2220000000000003E-4</v>
          </cell>
          <cell r="D489">
            <v>3.1819999999999998E-4</v>
          </cell>
          <cell r="E489">
            <v>131053</v>
          </cell>
          <cell r="F489">
            <v>675327</v>
          </cell>
          <cell r="G489">
            <v>492232</v>
          </cell>
          <cell r="H489"/>
          <cell r="I489">
            <v>28357</v>
          </cell>
          <cell r="J489">
            <v>119515</v>
          </cell>
          <cell r="K489">
            <v>70298</v>
          </cell>
          <cell r="L489">
            <v>1251</v>
          </cell>
          <cell r="M489"/>
          <cell r="N489">
            <v>13934</v>
          </cell>
          <cell r="O489">
            <v>0</v>
          </cell>
          <cell r="P489">
            <v>0</v>
          </cell>
          <cell r="Q489">
            <v>29129</v>
          </cell>
          <cell r="R489"/>
          <cell r="S489">
            <v>165883</v>
          </cell>
          <cell r="T489">
            <v>-11233</v>
          </cell>
          <cell r="U489">
            <v>154650</v>
          </cell>
        </row>
        <row r="490">
          <cell r="A490">
            <v>95151</v>
          </cell>
          <cell r="B490" t="str">
            <v>TOWN OF FOUR OAKS</v>
          </cell>
          <cell r="C490">
            <v>1.092E-4</v>
          </cell>
          <cell r="D490">
            <v>1.158E-4</v>
          </cell>
          <cell r="E490">
            <v>46663</v>
          </cell>
          <cell r="F490">
            <v>245766</v>
          </cell>
          <cell r="G490">
            <v>166827</v>
          </cell>
          <cell r="H490"/>
          <cell r="I490">
            <v>9611</v>
          </cell>
          <cell r="J490">
            <v>40506</v>
          </cell>
          <cell r="K490">
            <v>23825</v>
          </cell>
          <cell r="L490">
            <v>364</v>
          </cell>
          <cell r="M490"/>
          <cell r="N490">
            <v>4722</v>
          </cell>
          <cell r="O490">
            <v>0</v>
          </cell>
          <cell r="P490">
            <v>0</v>
          </cell>
          <cell r="Q490">
            <v>10802</v>
          </cell>
          <cell r="R490"/>
          <cell r="S490">
            <v>56221</v>
          </cell>
          <cell r="T490">
            <v>-3332</v>
          </cell>
          <cell r="U490">
            <v>52889</v>
          </cell>
        </row>
        <row r="491">
          <cell r="A491">
            <v>95161</v>
          </cell>
          <cell r="B491" t="str">
            <v>TOWN OF PINE LEVEL</v>
          </cell>
          <cell r="C491">
            <v>6.8100000000000002E-5</v>
          </cell>
          <cell r="D491">
            <v>7.4800000000000002E-5</v>
          </cell>
          <cell r="E491">
            <v>38087</v>
          </cell>
          <cell r="F491">
            <v>158751</v>
          </cell>
          <cell r="G491">
            <v>104038</v>
          </cell>
          <cell r="H491"/>
          <cell r="I491">
            <v>5994</v>
          </cell>
          <cell r="J491">
            <v>25261</v>
          </cell>
          <cell r="K491">
            <v>14858</v>
          </cell>
          <cell r="L491">
            <v>5468</v>
          </cell>
          <cell r="M491"/>
          <cell r="N491">
            <v>2945</v>
          </cell>
          <cell r="O491">
            <v>0</v>
          </cell>
          <cell r="P491">
            <v>0</v>
          </cell>
          <cell r="Q491">
            <v>1353</v>
          </cell>
          <cell r="R491"/>
          <cell r="S491">
            <v>35061</v>
          </cell>
          <cell r="T491">
            <v>1287</v>
          </cell>
          <cell r="U491">
            <v>36348</v>
          </cell>
        </row>
        <row r="492">
          <cell r="A492">
            <v>95171</v>
          </cell>
          <cell r="B492" t="str">
            <v>TOWN OF KENLY</v>
          </cell>
          <cell r="C492">
            <v>1.0459999999999999E-4</v>
          </cell>
          <cell r="D492">
            <v>1.2300000000000001E-4</v>
          </cell>
          <cell r="E492">
            <v>53917</v>
          </cell>
          <cell r="F492">
            <v>261047</v>
          </cell>
          <cell r="G492">
            <v>159800</v>
          </cell>
          <cell r="H492"/>
          <cell r="I492">
            <v>9206</v>
          </cell>
          <cell r="J492">
            <v>38799</v>
          </cell>
          <cell r="K492">
            <v>22822</v>
          </cell>
          <cell r="L492">
            <v>6705</v>
          </cell>
          <cell r="M492"/>
          <cell r="N492">
            <v>4523</v>
          </cell>
          <cell r="O492">
            <v>0</v>
          </cell>
          <cell r="P492">
            <v>0</v>
          </cell>
          <cell r="Q492">
            <v>14987</v>
          </cell>
          <cell r="R492"/>
          <cell r="S492">
            <v>53853</v>
          </cell>
          <cell r="T492">
            <v>-3646</v>
          </cell>
          <cell r="U492">
            <v>50207</v>
          </cell>
        </row>
        <row r="493">
          <cell r="A493">
            <v>95181</v>
          </cell>
          <cell r="B493" t="str">
            <v>TOWN OF PRINCETON</v>
          </cell>
          <cell r="C493">
            <v>7.7100000000000004E-5</v>
          </cell>
          <cell r="D493">
            <v>7.7899999999999996E-5</v>
          </cell>
          <cell r="E493">
            <v>30099</v>
          </cell>
          <cell r="F493">
            <v>165330</v>
          </cell>
          <cell r="G493">
            <v>117787</v>
          </cell>
          <cell r="H493"/>
          <cell r="I493">
            <v>6786</v>
          </cell>
          <cell r="J493">
            <v>28599</v>
          </cell>
          <cell r="K493">
            <v>16822</v>
          </cell>
          <cell r="L493">
            <v>1069</v>
          </cell>
          <cell r="M493"/>
          <cell r="N493">
            <v>3334</v>
          </cell>
          <cell r="O493">
            <v>0</v>
          </cell>
          <cell r="P493">
            <v>0</v>
          </cell>
          <cell r="Q493">
            <v>9474</v>
          </cell>
          <cell r="R493"/>
          <cell r="S493">
            <v>39694</v>
          </cell>
          <cell r="T493">
            <v>-2444</v>
          </cell>
          <cell r="U493">
            <v>37250</v>
          </cell>
        </row>
        <row r="494">
          <cell r="A494">
            <v>95191</v>
          </cell>
          <cell r="B494" t="str">
            <v>TOWN OF WILSON'S MILLS</v>
          </cell>
          <cell r="C494">
            <v>5.3999999999999998E-5</v>
          </cell>
          <cell r="D494">
            <v>5.3999999999999998E-5</v>
          </cell>
          <cell r="E494">
            <v>31311</v>
          </cell>
          <cell r="F494">
            <v>114606</v>
          </cell>
          <cell r="G494">
            <v>82497</v>
          </cell>
          <cell r="H494"/>
          <cell r="I494">
            <v>4753</v>
          </cell>
          <cell r="J494">
            <v>20031</v>
          </cell>
          <cell r="K494">
            <v>11782</v>
          </cell>
          <cell r="L494">
            <v>12522</v>
          </cell>
          <cell r="M494"/>
          <cell r="N494">
            <v>2335</v>
          </cell>
          <cell r="O494">
            <v>0</v>
          </cell>
          <cell r="P494">
            <v>0</v>
          </cell>
          <cell r="Q494">
            <v>5293</v>
          </cell>
          <cell r="R494"/>
          <cell r="S494">
            <v>27802</v>
          </cell>
          <cell r="T494">
            <v>4438</v>
          </cell>
          <cell r="U494">
            <v>32240</v>
          </cell>
        </row>
        <row r="495">
          <cell r="A495">
            <v>95201</v>
          </cell>
          <cell r="B495" t="str">
            <v>JONES COUNTY</v>
          </cell>
          <cell r="C495">
            <v>7.0969999999999996E-4</v>
          </cell>
          <cell r="D495">
            <v>6.8329999999999997E-4</v>
          </cell>
          <cell r="E495">
            <v>303949</v>
          </cell>
          <cell r="F495">
            <v>1450192</v>
          </cell>
          <cell r="G495">
            <v>1084225</v>
          </cell>
          <cell r="H495"/>
          <cell r="I495">
            <v>62461</v>
          </cell>
          <cell r="J495">
            <v>263252</v>
          </cell>
          <cell r="K495">
            <v>154842</v>
          </cell>
          <cell r="L495">
            <v>6474</v>
          </cell>
          <cell r="M495"/>
          <cell r="N495">
            <v>30691</v>
          </cell>
          <cell r="O495">
            <v>0</v>
          </cell>
          <cell r="P495">
            <v>0</v>
          </cell>
          <cell r="Q495">
            <v>21158</v>
          </cell>
          <cell r="R495"/>
          <cell r="S495">
            <v>365385</v>
          </cell>
          <cell r="T495">
            <v>-9663</v>
          </cell>
          <cell r="U495">
            <v>355722</v>
          </cell>
        </row>
        <row r="496">
          <cell r="A496">
            <v>95204</v>
          </cell>
          <cell r="B496" t="str">
            <v>JONES COUNTY ABC BOARD</v>
          </cell>
          <cell r="C496">
            <v>1.26E-5</v>
          </cell>
          <cell r="D496">
            <v>1.1600000000000001E-5</v>
          </cell>
          <cell r="E496">
            <v>7226</v>
          </cell>
          <cell r="F496">
            <v>24619</v>
          </cell>
          <cell r="G496">
            <v>19249</v>
          </cell>
          <cell r="H496"/>
          <cell r="I496">
            <v>1109</v>
          </cell>
          <cell r="J496">
            <v>4674</v>
          </cell>
          <cell r="K496">
            <v>2749</v>
          </cell>
          <cell r="L496">
            <v>1824</v>
          </cell>
          <cell r="M496"/>
          <cell r="N496">
            <v>545</v>
          </cell>
          <cell r="O496">
            <v>0</v>
          </cell>
          <cell r="P496">
            <v>0</v>
          </cell>
          <cell r="Q496">
            <v>1143</v>
          </cell>
          <cell r="R496"/>
          <cell r="S496">
            <v>6487</v>
          </cell>
          <cell r="T496">
            <v>-195</v>
          </cell>
          <cell r="U496">
            <v>6292</v>
          </cell>
        </row>
        <row r="497">
          <cell r="A497">
            <v>95205</v>
          </cell>
          <cell r="B497" t="str">
            <v>NEUSE REGIONAL LIBRARY-JONES COUNTY</v>
          </cell>
          <cell r="C497">
            <v>4.5000000000000001E-6</v>
          </cell>
          <cell r="D497">
            <v>4.7999999999999998E-6</v>
          </cell>
          <cell r="E497">
            <v>2455</v>
          </cell>
          <cell r="F497">
            <v>10187</v>
          </cell>
          <cell r="G497">
            <v>6875</v>
          </cell>
          <cell r="H497"/>
          <cell r="I497">
            <v>396</v>
          </cell>
          <cell r="J497">
            <v>1669</v>
          </cell>
          <cell r="K497">
            <v>982</v>
          </cell>
          <cell r="L497">
            <v>605</v>
          </cell>
          <cell r="M497"/>
          <cell r="N497">
            <v>195</v>
          </cell>
          <cell r="O497">
            <v>0</v>
          </cell>
          <cell r="P497">
            <v>0</v>
          </cell>
          <cell r="Q497">
            <v>0</v>
          </cell>
          <cell r="R497"/>
          <cell r="S497">
            <v>2317</v>
          </cell>
          <cell r="T497">
            <v>311</v>
          </cell>
          <cell r="U497">
            <v>2628</v>
          </cell>
        </row>
        <row r="498">
          <cell r="A498">
            <v>95211</v>
          </cell>
          <cell r="B498" t="str">
            <v>TOWN OF POLLOCKSVILLE</v>
          </cell>
          <cell r="C498">
            <v>8.3999999999999992E-6</v>
          </cell>
          <cell r="D498">
            <v>9.2E-6</v>
          </cell>
          <cell r="E498">
            <v>4222</v>
          </cell>
          <cell r="F498">
            <v>19525</v>
          </cell>
          <cell r="G498">
            <v>12833</v>
          </cell>
          <cell r="H498"/>
          <cell r="I498">
            <v>739</v>
          </cell>
          <cell r="J498">
            <v>3115</v>
          </cell>
          <cell r="K498">
            <v>1833</v>
          </cell>
          <cell r="L498">
            <v>1455</v>
          </cell>
          <cell r="M498"/>
          <cell r="N498">
            <v>363</v>
          </cell>
          <cell r="O498">
            <v>0</v>
          </cell>
          <cell r="P498">
            <v>0</v>
          </cell>
          <cell r="Q498">
            <v>1231</v>
          </cell>
          <cell r="R498"/>
          <cell r="S498">
            <v>4325</v>
          </cell>
          <cell r="T498">
            <v>-523</v>
          </cell>
          <cell r="U498">
            <v>3802</v>
          </cell>
        </row>
        <row r="499">
          <cell r="A499">
            <v>95221</v>
          </cell>
          <cell r="B499" t="str">
            <v>TOWN OF MAYSVILLE</v>
          </cell>
          <cell r="C499">
            <v>4.4100000000000001E-5</v>
          </cell>
          <cell r="D499">
            <v>1.6900000000000001E-5</v>
          </cell>
          <cell r="E499">
            <v>20361</v>
          </cell>
          <cell r="F499">
            <v>35867</v>
          </cell>
          <cell r="G499">
            <v>67373</v>
          </cell>
          <cell r="H499"/>
          <cell r="I499">
            <v>3881</v>
          </cell>
          <cell r="J499">
            <v>16358</v>
          </cell>
          <cell r="K499">
            <v>9622</v>
          </cell>
          <cell r="L499">
            <v>21037</v>
          </cell>
          <cell r="M499"/>
          <cell r="N499">
            <v>1907</v>
          </cell>
          <cell r="O499">
            <v>0</v>
          </cell>
          <cell r="P499">
            <v>0</v>
          </cell>
          <cell r="Q499">
            <v>11299</v>
          </cell>
          <cell r="R499"/>
          <cell r="S499">
            <v>22705</v>
          </cell>
          <cell r="T499">
            <v>2535</v>
          </cell>
          <cell r="U499">
            <v>25240</v>
          </cell>
        </row>
        <row r="500">
          <cell r="A500">
            <v>95301</v>
          </cell>
          <cell r="B500" t="str">
            <v>LEE COUNTY</v>
          </cell>
          <cell r="C500">
            <v>2.3917999999999999E-3</v>
          </cell>
          <cell r="D500">
            <v>2.4063999999999999E-3</v>
          </cell>
          <cell r="E500">
            <v>1141657</v>
          </cell>
          <cell r="F500">
            <v>5107187</v>
          </cell>
          <cell r="G500">
            <v>3654008</v>
          </cell>
          <cell r="H500"/>
          <cell r="I500">
            <v>210505</v>
          </cell>
          <cell r="J500">
            <v>887197</v>
          </cell>
          <cell r="K500">
            <v>521843</v>
          </cell>
          <cell r="L500">
            <v>73478</v>
          </cell>
          <cell r="M500"/>
          <cell r="N500">
            <v>103433</v>
          </cell>
          <cell r="O500">
            <v>0</v>
          </cell>
          <cell r="P500">
            <v>0</v>
          </cell>
          <cell r="Q500">
            <v>11228</v>
          </cell>
          <cell r="R500"/>
          <cell r="S500">
            <v>1231404</v>
          </cell>
          <cell r="T500">
            <v>19362</v>
          </cell>
          <cell r="U500">
            <v>1250766</v>
          </cell>
        </row>
        <row r="501">
          <cell r="A501">
            <v>95311</v>
          </cell>
          <cell r="B501" t="str">
            <v>CITY OF SANFORD</v>
          </cell>
          <cell r="C501">
            <v>2.6873999999999999E-3</v>
          </cell>
          <cell r="D501">
            <v>2.6841999999999999E-3</v>
          </cell>
          <cell r="E501">
            <v>1275634</v>
          </cell>
          <cell r="F501">
            <v>5696772</v>
          </cell>
          <cell r="G501">
            <v>4105603</v>
          </cell>
          <cell r="H501"/>
          <cell r="I501">
            <v>236521</v>
          </cell>
          <cell r="J501">
            <v>996846</v>
          </cell>
          <cell r="K501">
            <v>586337</v>
          </cell>
          <cell r="L501">
            <v>41083</v>
          </cell>
          <cell r="M501"/>
          <cell r="N501">
            <v>116217</v>
          </cell>
          <cell r="O501">
            <v>0</v>
          </cell>
          <cell r="P501">
            <v>0</v>
          </cell>
          <cell r="Q501">
            <v>117171</v>
          </cell>
          <cell r="R501"/>
          <cell r="S501">
            <v>1383592</v>
          </cell>
          <cell r="T501">
            <v>-46704</v>
          </cell>
          <cell r="U501">
            <v>1336888</v>
          </cell>
        </row>
        <row r="502">
          <cell r="A502">
            <v>95317</v>
          </cell>
          <cell r="B502" t="str">
            <v>SANFORD ABC BOARD</v>
          </cell>
          <cell r="C502">
            <v>4.8900000000000003E-5</v>
          </cell>
          <cell r="D502">
            <v>5.1400000000000003E-5</v>
          </cell>
          <cell r="E502">
            <v>27511</v>
          </cell>
          <cell r="F502">
            <v>109088</v>
          </cell>
          <cell r="G502">
            <v>74706</v>
          </cell>
          <cell r="H502"/>
          <cell r="I502">
            <v>4304</v>
          </cell>
          <cell r="J502">
            <v>18138</v>
          </cell>
          <cell r="K502">
            <v>10669</v>
          </cell>
          <cell r="L502">
            <v>6328</v>
          </cell>
          <cell r="M502"/>
          <cell r="N502">
            <v>2115</v>
          </cell>
          <cell r="O502">
            <v>0</v>
          </cell>
          <cell r="P502">
            <v>0</v>
          </cell>
          <cell r="Q502">
            <v>38</v>
          </cell>
          <cell r="R502"/>
          <cell r="S502">
            <v>25176</v>
          </cell>
          <cell r="T502">
            <v>2474</v>
          </cell>
          <cell r="U502">
            <v>27650</v>
          </cell>
        </row>
        <row r="503">
          <cell r="A503">
            <v>95321</v>
          </cell>
          <cell r="B503" t="str">
            <v>TOWN OF BROADWAY</v>
          </cell>
          <cell r="C503">
            <v>4.71E-5</v>
          </cell>
          <cell r="D503">
            <v>5.7000000000000003E-5</v>
          </cell>
          <cell r="E503">
            <v>27222</v>
          </cell>
          <cell r="F503">
            <v>120973</v>
          </cell>
          <cell r="G503">
            <v>71956</v>
          </cell>
          <cell r="H503"/>
          <cell r="I503">
            <v>4145</v>
          </cell>
          <cell r="J503">
            <v>17471</v>
          </cell>
          <cell r="K503">
            <v>10276</v>
          </cell>
          <cell r="L503">
            <v>3087</v>
          </cell>
          <cell r="M503"/>
          <cell r="N503">
            <v>2037</v>
          </cell>
          <cell r="O503">
            <v>0</v>
          </cell>
          <cell r="P503">
            <v>0</v>
          </cell>
          <cell r="Q503">
            <v>2158</v>
          </cell>
          <cell r="R503"/>
          <cell r="S503">
            <v>24249</v>
          </cell>
          <cell r="T503">
            <v>1089</v>
          </cell>
          <cell r="U503">
            <v>25338</v>
          </cell>
        </row>
        <row r="504">
          <cell r="A504">
            <v>95401</v>
          </cell>
          <cell r="B504" t="str">
            <v>LENOIR COUNTY</v>
          </cell>
          <cell r="C504">
            <v>2.9992E-3</v>
          </cell>
          <cell r="D504">
            <v>2.9979999999999998E-3</v>
          </cell>
          <cell r="E504">
            <v>1351002</v>
          </cell>
          <cell r="F504">
            <v>6362760</v>
          </cell>
          <cell r="G504">
            <v>4581947</v>
          </cell>
          <cell r="H504"/>
          <cell r="I504">
            <v>263963</v>
          </cell>
          <cell r="J504">
            <v>1112502</v>
          </cell>
          <cell r="K504">
            <v>654365</v>
          </cell>
          <cell r="L504">
            <v>27695</v>
          </cell>
          <cell r="M504"/>
          <cell r="N504">
            <v>129700</v>
          </cell>
          <cell r="O504">
            <v>0</v>
          </cell>
          <cell r="P504">
            <v>0</v>
          </cell>
          <cell r="Q504">
            <v>19902</v>
          </cell>
          <cell r="R504"/>
          <cell r="S504">
            <v>1544120</v>
          </cell>
          <cell r="T504">
            <v>10089</v>
          </cell>
          <cell r="U504">
            <v>1554209</v>
          </cell>
        </row>
        <row r="505">
          <cell r="A505">
            <v>95404</v>
          </cell>
          <cell r="B505" t="str">
            <v>LENOIR COUNTY ABC BOARD</v>
          </cell>
          <cell r="C505">
            <v>5.3100000000000003E-5</v>
          </cell>
          <cell r="D505">
            <v>4.9799999999999998E-5</v>
          </cell>
          <cell r="E505">
            <v>22123</v>
          </cell>
          <cell r="F505">
            <v>105692</v>
          </cell>
          <cell r="G505">
            <v>81122</v>
          </cell>
          <cell r="H505"/>
          <cell r="I505">
            <v>4673</v>
          </cell>
          <cell r="J505">
            <v>19697</v>
          </cell>
          <cell r="K505">
            <v>11585</v>
          </cell>
          <cell r="L505">
            <v>5158</v>
          </cell>
          <cell r="M505"/>
          <cell r="N505">
            <v>2296</v>
          </cell>
          <cell r="O505">
            <v>0</v>
          </cell>
          <cell r="P505">
            <v>0</v>
          </cell>
          <cell r="Q505">
            <v>0</v>
          </cell>
          <cell r="R505"/>
          <cell r="S505">
            <v>27338</v>
          </cell>
          <cell r="T505">
            <v>1949</v>
          </cell>
          <cell r="U505">
            <v>29287</v>
          </cell>
        </row>
        <row r="506">
          <cell r="A506">
            <v>95405</v>
          </cell>
          <cell r="B506" t="str">
            <v>NEUSE REGIONAL LIBRARY</v>
          </cell>
          <cell r="C506">
            <v>1.84E-5</v>
          </cell>
          <cell r="D506">
            <v>1.84E-5</v>
          </cell>
          <cell r="E506">
            <v>17053</v>
          </cell>
          <cell r="F506">
            <v>39051</v>
          </cell>
          <cell r="G506">
            <v>28110</v>
          </cell>
          <cell r="H506"/>
          <cell r="I506">
            <v>1619</v>
          </cell>
          <cell r="J506">
            <v>6826</v>
          </cell>
          <cell r="K506">
            <v>4015</v>
          </cell>
          <cell r="L506">
            <v>15544</v>
          </cell>
          <cell r="M506"/>
          <cell r="N506">
            <v>796</v>
          </cell>
          <cell r="O506">
            <v>0</v>
          </cell>
          <cell r="P506">
            <v>0</v>
          </cell>
          <cell r="Q506">
            <v>0</v>
          </cell>
          <cell r="R506"/>
          <cell r="S506">
            <v>9473</v>
          </cell>
          <cell r="T506">
            <v>5475</v>
          </cell>
          <cell r="U506">
            <v>14948</v>
          </cell>
        </row>
        <row r="507">
          <cell r="A507">
            <v>95411</v>
          </cell>
          <cell r="B507" t="str">
            <v>CITY OF KINSTON</v>
          </cell>
          <cell r="C507">
            <v>2.2173000000000002E-3</v>
          </cell>
          <cell r="D507">
            <v>2.3272000000000002E-3</v>
          </cell>
          <cell r="E507">
            <v>1058017</v>
          </cell>
          <cell r="F507">
            <v>4939098</v>
          </cell>
          <cell r="G507">
            <v>3387420</v>
          </cell>
          <cell r="H507"/>
          <cell r="I507">
            <v>195147</v>
          </cell>
          <cell r="J507">
            <v>822470</v>
          </cell>
          <cell r="K507">
            <v>483771</v>
          </cell>
          <cell r="L507">
            <v>14015</v>
          </cell>
          <cell r="M507"/>
          <cell r="N507">
            <v>95887</v>
          </cell>
          <cell r="O507">
            <v>0</v>
          </cell>
          <cell r="P507">
            <v>0</v>
          </cell>
          <cell r="Q507">
            <v>60237</v>
          </cell>
          <cell r="R507"/>
          <cell r="S507">
            <v>1141564</v>
          </cell>
          <cell r="T507">
            <v>-23907</v>
          </cell>
          <cell r="U507">
            <v>1117657</v>
          </cell>
        </row>
        <row r="508">
          <cell r="A508">
            <v>95412</v>
          </cell>
          <cell r="B508" t="str">
            <v>GLOBAL TRANSPARK DEVELOPMENT COMM</v>
          </cell>
          <cell r="C508">
            <v>0</v>
          </cell>
          <cell r="D508">
            <v>0</v>
          </cell>
          <cell r="E508">
            <v>0</v>
          </cell>
          <cell r="F508">
            <v>0</v>
          </cell>
          <cell r="G508">
            <v>0</v>
          </cell>
          <cell r="H508"/>
          <cell r="I508">
            <v>0</v>
          </cell>
          <cell r="J508">
            <v>0</v>
          </cell>
          <cell r="K508">
            <v>0</v>
          </cell>
          <cell r="L508">
            <v>0</v>
          </cell>
          <cell r="M508"/>
          <cell r="N508">
            <v>0</v>
          </cell>
          <cell r="O508">
            <v>0</v>
          </cell>
          <cell r="P508">
            <v>0</v>
          </cell>
          <cell r="Q508">
            <v>27831</v>
          </cell>
          <cell r="R508"/>
          <cell r="S508">
            <v>0</v>
          </cell>
          <cell r="T508">
            <v>-18518</v>
          </cell>
          <cell r="U508">
            <v>-18518</v>
          </cell>
        </row>
        <row r="509">
          <cell r="A509">
            <v>95413</v>
          </cell>
          <cell r="B509" t="str">
            <v>HOUSING AUTH FOR THE CTY OF KINSTON</v>
          </cell>
          <cell r="C509">
            <v>2.5809999999999999E-4</v>
          </cell>
          <cell r="D509">
            <v>2.945E-4</v>
          </cell>
          <cell r="E509">
            <v>285392</v>
          </cell>
          <cell r="F509">
            <v>625028</v>
          </cell>
          <cell r="G509">
            <v>394305</v>
          </cell>
          <cell r="H509"/>
          <cell r="I509">
            <v>22716</v>
          </cell>
          <cell r="J509">
            <v>95737</v>
          </cell>
          <cell r="K509">
            <v>56312</v>
          </cell>
          <cell r="L509">
            <v>247679</v>
          </cell>
          <cell r="M509"/>
          <cell r="N509">
            <v>11162</v>
          </cell>
          <cell r="O509">
            <v>0</v>
          </cell>
          <cell r="P509">
            <v>0</v>
          </cell>
          <cell r="Q509">
            <v>9401</v>
          </cell>
          <cell r="R509"/>
          <cell r="S509">
            <v>132881</v>
          </cell>
          <cell r="T509">
            <v>77340</v>
          </cell>
          <cell r="U509">
            <v>210221</v>
          </cell>
        </row>
        <row r="510">
          <cell r="A510">
            <v>95415</v>
          </cell>
          <cell r="B510" t="str">
            <v>KINSTON-LENOIR CO PUB LIBRARY</v>
          </cell>
          <cell r="C510">
            <v>6.2899999999999997E-5</v>
          </cell>
          <cell r="D510">
            <v>7.9499999999999994E-5</v>
          </cell>
          <cell r="E510">
            <v>28158</v>
          </cell>
          <cell r="F510">
            <v>168726</v>
          </cell>
          <cell r="G510">
            <v>96094</v>
          </cell>
          <cell r="H510"/>
          <cell r="I510">
            <v>5536</v>
          </cell>
          <cell r="J510">
            <v>23331</v>
          </cell>
          <cell r="K510">
            <v>13724</v>
          </cell>
          <cell r="L510">
            <v>5301</v>
          </cell>
          <cell r="M510"/>
          <cell r="N510">
            <v>2720</v>
          </cell>
          <cell r="O510">
            <v>0</v>
          </cell>
          <cell r="P510">
            <v>0</v>
          </cell>
          <cell r="Q510">
            <v>16874</v>
          </cell>
          <cell r="R510"/>
          <cell r="S510">
            <v>32384</v>
          </cell>
          <cell r="T510">
            <v>-165</v>
          </cell>
          <cell r="U510">
            <v>32219</v>
          </cell>
        </row>
        <row r="511">
          <cell r="A511">
            <v>95421</v>
          </cell>
          <cell r="B511" t="str">
            <v>TOWN OF PINK HILL</v>
          </cell>
          <cell r="C511">
            <v>3.8699999999999999E-5</v>
          </cell>
          <cell r="D511">
            <v>3.9100000000000002E-5</v>
          </cell>
          <cell r="E511">
            <v>18385</v>
          </cell>
          <cell r="F511">
            <v>82983</v>
          </cell>
          <cell r="G511">
            <v>59123</v>
          </cell>
          <cell r="H511"/>
          <cell r="I511">
            <v>3406</v>
          </cell>
          <cell r="J511">
            <v>14355</v>
          </cell>
          <cell r="K511">
            <v>8444</v>
          </cell>
          <cell r="L511">
            <v>226</v>
          </cell>
          <cell r="M511"/>
          <cell r="N511">
            <v>1674</v>
          </cell>
          <cell r="O511">
            <v>0</v>
          </cell>
          <cell r="P511">
            <v>0</v>
          </cell>
          <cell r="Q511">
            <v>9353</v>
          </cell>
          <cell r="R511"/>
          <cell r="S511">
            <v>19924</v>
          </cell>
          <cell r="T511">
            <v>-4913</v>
          </cell>
          <cell r="U511">
            <v>15011</v>
          </cell>
        </row>
        <row r="512">
          <cell r="A512">
            <v>95431</v>
          </cell>
          <cell r="B512" t="str">
            <v>TOWN OF LAGRANGE</v>
          </cell>
          <cell r="C512">
            <v>1.5300000000000001E-4</v>
          </cell>
          <cell r="D512">
            <v>1.8009999999999999E-4</v>
          </cell>
          <cell r="E512">
            <v>61885</v>
          </cell>
          <cell r="F512">
            <v>382233</v>
          </cell>
          <cell r="G512">
            <v>233742</v>
          </cell>
          <cell r="H512"/>
          <cell r="I512">
            <v>13466</v>
          </cell>
          <cell r="J512">
            <v>56753</v>
          </cell>
          <cell r="K512">
            <v>33382</v>
          </cell>
          <cell r="L512">
            <v>224</v>
          </cell>
          <cell r="M512"/>
          <cell r="N512">
            <v>6616</v>
          </cell>
          <cell r="O512">
            <v>0</v>
          </cell>
          <cell r="P512">
            <v>0</v>
          </cell>
          <cell r="Q512">
            <v>34003</v>
          </cell>
          <cell r="R512"/>
          <cell r="S512">
            <v>78771</v>
          </cell>
          <cell r="T512">
            <v>-9919</v>
          </cell>
          <cell r="U512">
            <v>68852</v>
          </cell>
        </row>
        <row r="513">
          <cell r="A513">
            <v>95501</v>
          </cell>
          <cell r="B513" t="str">
            <v>LINCOLN COUNTY</v>
          </cell>
          <cell r="C513">
            <v>4.8764999999999998E-3</v>
          </cell>
          <cell r="D513">
            <v>4.7917999999999997E-3</v>
          </cell>
          <cell r="E513">
            <v>2104813</v>
          </cell>
          <cell r="F513">
            <v>10169805</v>
          </cell>
          <cell r="G513">
            <v>7449941</v>
          </cell>
          <cell r="H513"/>
          <cell r="I513">
            <v>429186</v>
          </cell>
          <cell r="J513">
            <v>1808855</v>
          </cell>
          <cell r="K513">
            <v>1063955</v>
          </cell>
          <cell r="L513">
            <v>31695</v>
          </cell>
          <cell r="M513"/>
          <cell r="N513">
            <v>210884</v>
          </cell>
          <cell r="O513">
            <v>0</v>
          </cell>
          <cell r="P513">
            <v>0</v>
          </cell>
          <cell r="Q513">
            <v>124610</v>
          </cell>
          <cell r="R513"/>
          <cell r="S513">
            <v>2510637</v>
          </cell>
          <cell r="T513">
            <v>-8646</v>
          </cell>
          <cell r="U513">
            <v>2501991</v>
          </cell>
        </row>
        <row r="514">
          <cell r="A514">
            <v>95504</v>
          </cell>
          <cell r="B514" t="str">
            <v>LINCOLN COUNTY ABC BOARD</v>
          </cell>
          <cell r="C514">
            <v>9.3999999999999998E-6</v>
          </cell>
          <cell r="D514">
            <v>8.8999999999999995E-6</v>
          </cell>
          <cell r="E514">
            <v>9297</v>
          </cell>
          <cell r="F514">
            <v>18889</v>
          </cell>
          <cell r="G514">
            <v>14361</v>
          </cell>
          <cell r="H514"/>
          <cell r="I514">
            <v>827</v>
          </cell>
          <cell r="J514">
            <v>3487</v>
          </cell>
          <cell r="K514">
            <v>2051</v>
          </cell>
          <cell r="L514">
            <v>7912</v>
          </cell>
          <cell r="M514"/>
          <cell r="N514">
            <v>407</v>
          </cell>
          <cell r="O514">
            <v>0</v>
          </cell>
          <cell r="P514">
            <v>0</v>
          </cell>
          <cell r="Q514">
            <v>0</v>
          </cell>
          <cell r="R514"/>
          <cell r="S514">
            <v>4840</v>
          </cell>
          <cell r="T514">
            <v>2952</v>
          </cell>
          <cell r="U514">
            <v>7792</v>
          </cell>
        </row>
        <row r="515">
          <cell r="A515">
            <v>95511</v>
          </cell>
          <cell r="B515" t="str">
            <v>CITY OF LINCOLNTON</v>
          </cell>
          <cell r="C515">
            <v>9.7460000000000005E-4</v>
          </cell>
          <cell r="D515">
            <v>9.6049999999999998E-4</v>
          </cell>
          <cell r="E515">
            <v>484188</v>
          </cell>
          <cell r="F515">
            <v>2038503</v>
          </cell>
          <cell r="G515">
            <v>1488919</v>
          </cell>
          <cell r="H515"/>
          <cell r="I515">
            <v>85776</v>
          </cell>
          <cell r="J515">
            <v>361511</v>
          </cell>
          <cell r="K515">
            <v>212638</v>
          </cell>
          <cell r="L515">
            <v>44242</v>
          </cell>
          <cell r="M515"/>
          <cell r="N515">
            <v>42147</v>
          </cell>
          <cell r="O515">
            <v>0</v>
          </cell>
          <cell r="P515">
            <v>0</v>
          </cell>
          <cell r="Q515">
            <v>52155</v>
          </cell>
          <cell r="R515"/>
          <cell r="S515">
            <v>501767</v>
          </cell>
          <cell r="T515">
            <v>-4607</v>
          </cell>
          <cell r="U515">
            <v>497160</v>
          </cell>
        </row>
        <row r="516">
          <cell r="A516">
            <v>95513</v>
          </cell>
          <cell r="B516" t="str">
            <v>LINCOLNTON HOUSING AUTHORITY</v>
          </cell>
          <cell r="C516">
            <v>4.6699999999999997E-5</v>
          </cell>
          <cell r="D516">
            <v>4.5500000000000001E-5</v>
          </cell>
          <cell r="E516">
            <v>31793</v>
          </cell>
          <cell r="F516">
            <v>96566</v>
          </cell>
          <cell r="G516">
            <v>71345</v>
          </cell>
          <cell r="H516"/>
          <cell r="I516">
            <v>4110</v>
          </cell>
          <cell r="J516">
            <v>17322</v>
          </cell>
          <cell r="K516">
            <v>10189</v>
          </cell>
          <cell r="L516">
            <v>21773</v>
          </cell>
          <cell r="M516"/>
          <cell r="N516">
            <v>2020</v>
          </cell>
          <cell r="O516">
            <v>0</v>
          </cell>
          <cell r="P516">
            <v>0</v>
          </cell>
          <cell r="Q516">
            <v>0</v>
          </cell>
          <cell r="R516"/>
          <cell r="S516">
            <v>24043</v>
          </cell>
          <cell r="T516">
            <v>9103</v>
          </cell>
          <cell r="U516">
            <v>33146</v>
          </cell>
        </row>
        <row r="517">
          <cell r="A517">
            <v>95517</v>
          </cell>
          <cell r="B517" t="str">
            <v>TOWN OF LINCOLNTON ABC BOARD</v>
          </cell>
          <cell r="C517">
            <v>2.4499999999999999E-5</v>
          </cell>
          <cell r="D517">
            <v>1.66E-5</v>
          </cell>
          <cell r="E517">
            <v>15695</v>
          </cell>
          <cell r="F517">
            <v>35231</v>
          </cell>
          <cell r="G517">
            <v>37429</v>
          </cell>
          <cell r="H517"/>
          <cell r="I517">
            <v>2156</v>
          </cell>
          <cell r="J517">
            <v>9087</v>
          </cell>
          <cell r="K517">
            <v>5345</v>
          </cell>
          <cell r="L517">
            <v>17989</v>
          </cell>
          <cell r="M517"/>
          <cell r="N517">
            <v>1060</v>
          </cell>
          <cell r="O517">
            <v>0</v>
          </cell>
          <cell r="P517">
            <v>0</v>
          </cell>
          <cell r="Q517">
            <v>0</v>
          </cell>
          <cell r="R517"/>
          <cell r="S517">
            <v>12614</v>
          </cell>
          <cell r="T517">
            <v>6544</v>
          </cell>
          <cell r="U517">
            <v>19158</v>
          </cell>
        </row>
        <row r="518">
          <cell r="A518">
            <v>95601</v>
          </cell>
          <cell r="B518" t="str">
            <v>MACON COUNTY</v>
          </cell>
          <cell r="C518">
            <v>2.6280000000000001E-3</v>
          </cell>
          <cell r="D518">
            <v>2.6592999999999999E-3</v>
          </cell>
          <cell r="E518">
            <v>1208853</v>
          </cell>
          <cell r="F518">
            <v>5643925</v>
          </cell>
          <cell r="G518">
            <v>4014856</v>
          </cell>
          <cell r="H518"/>
          <cell r="I518">
            <v>231293</v>
          </cell>
          <cell r="J518">
            <v>974812</v>
          </cell>
          <cell r="K518">
            <v>573377</v>
          </cell>
          <cell r="L518">
            <v>85590</v>
          </cell>
          <cell r="M518"/>
          <cell r="N518">
            <v>113648</v>
          </cell>
          <cell r="O518">
            <v>0</v>
          </cell>
          <cell r="P518">
            <v>0</v>
          </cell>
          <cell r="Q518">
            <v>19082</v>
          </cell>
          <cell r="R518"/>
          <cell r="S518">
            <v>1353010</v>
          </cell>
          <cell r="T518">
            <v>47697</v>
          </cell>
          <cell r="U518">
            <v>1400707</v>
          </cell>
        </row>
        <row r="519">
          <cell r="A519">
            <v>95611</v>
          </cell>
          <cell r="B519" t="str">
            <v>TOWN OF FRANKLIN</v>
          </cell>
          <cell r="C519">
            <v>4.0660000000000002E-4</v>
          </cell>
          <cell r="D519">
            <v>3.9540000000000002E-4</v>
          </cell>
          <cell r="E519">
            <v>186384</v>
          </cell>
          <cell r="F519">
            <v>839171</v>
          </cell>
          <cell r="G519">
            <v>621172</v>
          </cell>
          <cell r="H519"/>
          <cell r="I519">
            <v>35785</v>
          </cell>
          <cell r="J519">
            <v>150821</v>
          </cell>
          <cell r="K519">
            <v>88712</v>
          </cell>
          <cell r="L519">
            <v>8653</v>
          </cell>
          <cell r="M519"/>
          <cell r="N519">
            <v>17583</v>
          </cell>
          <cell r="O519">
            <v>0</v>
          </cell>
          <cell r="P519">
            <v>0</v>
          </cell>
          <cell r="Q519">
            <v>3649</v>
          </cell>
          <cell r="R519"/>
          <cell r="S519">
            <v>209336</v>
          </cell>
          <cell r="T519">
            <v>1212</v>
          </cell>
          <cell r="U519">
            <v>210548</v>
          </cell>
        </row>
        <row r="520">
          <cell r="A520">
            <v>95617</v>
          </cell>
          <cell r="B520" t="str">
            <v>HIGHLANDS ABC BOARD</v>
          </cell>
          <cell r="C520">
            <v>1.6399999999999999E-5</v>
          </cell>
          <cell r="D520">
            <v>1.6500000000000001E-5</v>
          </cell>
          <cell r="E520">
            <v>8201</v>
          </cell>
          <cell r="F520">
            <v>35019</v>
          </cell>
          <cell r="G520">
            <v>25055</v>
          </cell>
          <cell r="H520"/>
          <cell r="I520">
            <v>1443</v>
          </cell>
          <cell r="J520">
            <v>6084</v>
          </cell>
          <cell r="K520">
            <v>3578</v>
          </cell>
          <cell r="L520">
            <v>722</v>
          </cell>
          <cell r="M520"/>
          <cell r="N520">
            <v>709</v>
          </cell>
          <cell r="O520">
            <v>0</v>
          </cell>
          <cell r="P520">
            <v>0</v>
          </cell>
          <cell r="Q520">
            <v>1277</v>
          </cell>
          <cell r="R520"/>
          <cell r="S520">
            <v>8443</v>
          </cell>
          <cell r="T520">
            <v>-659</v>
          </cell>
          <cell r="U520">
            <v>7784</v>
          </cell>
        </row>
        <row r="521">
          <cell r="A521">
            <v>95621</v>
          </cell>
          <cell r="B521" t="str">
            <v>TOWN OF HIGHLANDS</v>
          </cell>
          <cell r="C521">
            <v>4.5360000000000002E-4</v>
          </cell>
          <cell r="D521">
            <v>4.8020000000000002E-4</v>
          </cell>
          <cell r="E521">
            <v>227836</v>
          </cell>
          <cell r="F521">
            <v>1019145</v>
          </cell>
          <cell r="G521">
            <v>692975</v>
          </cell>
          <cell r="H521"/>
          <cell r="I521">
            <v>39922</v>
          </cell>
          <cell r="J521">
            <v>168255</v>
          </cell>
          <cell r="K521">
            <v>98966</v>
          </cell>
          <cell r="L521">
            <v>3166</v>
          </cell>
          <cell r="M521"/>
          <cell r="N521">
            <v>19616</v>
          </cell>
          <cell r="O521">
            <v>0</v>
          </cell>
          <cell r="P521">
            <v>0</v>
          </cell>
          <cell r="Q521">
            <v>4423</v>
          </cell>
          <cell r="R521"/>
          <cell r="S521">
            <v>233533</v>
          </cell>
          <cell r="T521">
            <v>1481</v>
          </cell>
          <cell r="U521">
            <v>235014</v>
          </cell>
        </row>
        <row r="522">
          <cell r="A522">
            <v>95701</v>
          </cell>
          <cell r="B522" t="str">
            <v>MADISON COUNTY</v>
          </cell>
          <cell r="C522">
            <v>1.3747E-3</v>
          </cell>
          <cell r="D522">
            <v>1.291E-3</v>
          </cell>
          <cell r="E522">
            <v>600622</v>
          </cell>
          <cell r="F522">
            <v>2739934</v>
          </cell>
          <cell r="G522">
            <v>2100161</v>
          </cell>
          <cell r="H522"/>
          <cell r="I522">
            <v>120989</v>
          </cell>
          <cell r="J522">
            <v>509922</v>
          </cell>
          <cell r="K522">
            <v>299932</v>
          </cell>
          <cell r="L522">
            <v>62898</v>
          </cell>
          <cell r="M522"/>
          <cell r="N522">
            <v>59449</v>
          </cell>
          <cell r="O522">
            <v>0</v>
          </cell>
          <cell r="P522">
            <v>0</v>
          </cell>
          <cell r="Q522">
            <v>0</v>
          </cell>
          <cell r="R522"/>
          <cell r="S522">
            <v>707756</v>
          </cell>
          <cell r="T522">
            <v>28646</v>
          </cell>
          <cell r="U522">
            <v>736402</v>
          </cell>
        </row>
        <row r="523">
          <cell r="A523">
            <v>95711</v>
          </cell>
          <cell r="B523" t="str">
            <v>TOWN OF MARS HILL</v>
          </cell>
          <cell r="C523">
            <v>1.394E-4</v>
          </cell>
          <cell r="D523">
            <v>1.382E-4</v>
          </cell>
          <cell r="E523">
            <v>55785</v>
          </cell>
          <cell r="F523">
            <v>293307</v>
          </cell>
          <cell r="G523">
            <v>212965</v>
          </cell>
          <cell r="H523"/>
          <cell r="I523">
            <v>12269</v>
          </cell>
          <cell r="J523">
            <v>51708</v>
          </cell>
          <cell r="K523">
            <v>30414</v>
          </cell>
          <cell r="L523">
            <v>6056</v>
          </cell>
          <cell r="M523"/>
          <cell r="N523">
            <v>6028</v>
          </cell>
          <cell r="O523">
            <v>0</v>
          </cell>
          <cell r="P523">
            <v>0</v>
          </cell>
          <cell r="Q523">
            <v>5836</v>
          </cell>
          <cell r="R523"/>
          <cell r="S523">
            <v>71769</v>
          </cell>
          <cell r="T523">
            <v>1663</v>
          </cell>
          <cell r="U523">
            <v>73432</v>
          </cell>
        </row>
        <row r="524">
          <cell r="A524">
            <v>95721</v>
          </cell>
          <cell r="B524" t="str">
            <v>TOWN OF MARSHALL</v>
          </cell>
          <cell r="C524">
            <v>6.7600000000000003E-5</v>
          </cell>
          <cell r="D524">
            <v>6.6199999999999996E-5</v>
          </cell>
          <cell r="E524">
            <v>25093</v>
          </cell>
          <cell r="F524">
            <v>140499</v>
          </cell>
          <cell r="G524">
            <v>103274</v>
          </cell>
          <cell r="H524"/>
          <cell r="I524">
            <v>5950</v>
          </cell>
          <cell r="J524">
            <v>25075</v>
          </cell>
          <cell r="K524">
            <v>14749</v>
          </cell>
          <cell r="L524">
            <v>0</v>
          </cell>
          <cell r="M524"/>
          <cell r="N524">
            <v>2923</v>
          </cell>
          <cell r="O524">
            <v>0</v>
          </cell>
          <cell r="P524">
            <v>0</v>
          </cell>
          <cell r="Q524">
            <v>9622</v>
          </cell>
          <cell r="R524"/>
          <cell r="S524">
            <v>34803</v>
          </cell>
          <cell r="T524">
            <v>-4619</v>
          </cell>
          <cell r="U524">
            <v>30184</v>
          </cell>
        </row>
        <row r="525">
          <cell r="A525">
            <v>95733</v>
          </cell>
          <cell r="B525" t="str">
            <v>HOT SPRINGS HOUSING AUTHORITY</v>
          </cell>
          <cell r="C525">
            <v>1.5400000000000002E-5</v>
          </cell>
          <cell r="D525">
            <v>1.56E-5</v>
          </cell>
          <cell r="E525">
            <v>6898</v>
          </cell>
          <cell r="F525">
            <v>33108</v>
          </cell>
          <cell r="G525">
            <v>23527</v>
          </cell>
          <cell r="H525"/>
          <cell r="I525">
            <v>1355</v>
          </cell>
          <cell r="J525">
            <v>5712</v>
          </cell>
          <cell r="K525">
            <v>3360</v>
          </cell>
          <cell r="L525">
            <v>581</v>
          </cell>
          <cell r="M525"/>
          <cell r="N525">
            <v>666</v>
          </cell>
          <cell r="O525">
            <v>0</v>
          </cell>
          <cell r="P525">
            <v>0</v>
          </cell>
          <cell r="Q525">
            <v>464</v>
          </cell>
          <cell r="R525"/>
          <cell r="S525">
            <v>7929</v>
          </cell>
          <cell r="T525">
            <v>209</v>
          </cell>
          <cell r="U525">
            <v>8138</v>
          </cell>
        </row>
        <row r="526">
          <cell r="A526">
            <v>95801</v>
          </cell>
          <cell r="B526" t="str">
            <v>MARTIN COUNTY</v>
          </cell>
          <cell r="C526">
            <v>9.6310000000000005E-4</v>
          </cell>
          <cell r="D526">
            <v>8.9349999999999998E-4</v>
          </cell>
          <cell r="E526">
            <v>449779</v>
          </cell>
          <cell r="F526">
            <v>1896306</v>
          </cell>
          <cell r="G526">
            <v>1471350</v>
          </cell>
          <cell r="H526"/>
          <cell r="I526">
            <v>84763</v>
          </cell>
          <cell r="J526">
            <v>357246</v>
          </cell>
          <cell r="K526">
            <v>210129</v>
          </cell>
          <cell r="L526">
            <v>62205</v>
          </cell>
          <cell r="M526"/>
          <cell r="N526">
            <v>41649</v>
          </cell>
          <cell r="O526">
            <v>0</v>
          </cell>
          <cell r="P526">
            <v>0</v>
          </cell>
          <cell r="Q526">
            <v>4103</v>
          </cell>
          <cell r="R526"/>
          <cell r="S526">
            <v>495846</v>
          </cell>
          <cell r="T526">
            <v>14399</v>
          </cell>
          <cell r="U526">
            <v>510245</v>
          </cell>
        </row>
        <row r="527">
          <cell r="A527">
            <v>95802</v>
          </cell>
          <cell r="B527" t="str">
            <v>MARTIN CO TRAVEL &amp; TOURISM AUTH</v>
          </cell>
          <cell r="C527">
            <v>6.1E-6</v>
          </cell>
          <cell r="D527">
            <v>6.8000000000000001E-6</v>
          </cell>
          <cell r="E527">
            <v>5124</v>
          </cell>
          <cell r="F527">
            <v>14432</v>
          </cell>
          <cell r="G527">
            <v>9319</v>
          </cell>
          <cell r="H527"/>
          <cell r="I527">
            <v>537</v>
          </cell>
          <cell r="J527">
            <v>2263</v>
          </cell>
          <cell r="K527">
            <v>1331</v>
          </cell>
          <cell r="L527">
            <v>3297</v>
          </cell>
          <cell r="M527"/>
          <cell r="N527">
            <v>264</v>
          </cell>
          <cell r="O527">
            <v>0</v>
          </cell>
          <cell r="P527">
            <v>0</v>
          </cell>
          <cell r="Q527">
            <v>1248</v>
          </cell>
          <cell r="R527"/>
          <cell r="S527">
            <v>3141</v>
          </cell>
          <cell r="T527">
            <v>-81</v>
          </cell>
          <cell r="U527">
            <v>3060</v>
          </cell>
        </row>
        <row r="528">
          <cell r="A528">
            <v>95804</v>
          </cell>
          <cell r="B528" t="str">
            <v>MARTIN COUNTY ABC BOARD</v>
          </cell>
          <cell r="C528">
            <v>2.19E-5</v>
          </cell>
          <cell r="D528">
            <v>1.63E-5</v>
          </cell>
          <cell r="E528">
            <v>7566</v>
          </cell>
          <cell r="F528">
            <v>34594</v>
          </cell>
          <cell r="G528">
            <v>33457</v>
          </cell>
          <cell r="H528"/>
          <cell r="I528">
            <v>1927</v>
          </cell>
          <cell r="J528">
            <v>8123</v>
          </cell>
          <cell r="K528">
            <v>4778</v>
          </cell>
          <cell r="L528">
            <v>3631</v>
          </cell>
          <cell r="M528"/>
          <cell r="N528">
            <v>947</v>
          </cell>
          <cell r="O528">
            <v>0</v>
          </cell>
          <cell r="P528">
            <v>0</v>
          </cell>
          <cell r="Q528">
            <v>0</v>
          </cell>
          <cell r="R528"/>
          <cell r="S528">
            <v>11275</v>
          </cell>
          <cell r="T528">
            <v>1628</v>
          </cell>
          <cell r="U528">
            <v>12903</v>
          </cell>
        </row>
        <row r="529">
          <cell r="A529">
            <v>95811</v>
          </cell>
          <cell r="B529" t="str">
            <v>TOWN OF WILLIAMSTON</v>
          </cell>
          <cell r="C529">
            <v>5.3129999999999996E-4</v>
          </cell>
          <cell r="D529">
            <v>5.3410000000000003E-4</v>
          </cell>
          <cell r="E529">
            <v>243909</v>
          </cell>
          <cell r="F529">
            <v>1133539</v>
          </cell>
          <cell r="G529">
            <v>811679</v>
          </cell>
          <cell r="H529"/>
          <cell r="I529">
            <v>46760</v>
          </cell>
          <cell r="J529">
            <v>197076</v>
          </cell>
          <cell r="K529">
            <v>115919</v>
          </cell>
          <cell r="L529">
            <v>1678</v>
          </cell>
          <cell r="M529"/>
          <cell r="N529">
            <v>22976</v>
          </cell>
          <cell r="O529">
            <v>0</v>
          </cell>
          <cell r="P529">
            <v>0</v>
          </cell>
          <cell r="Q529">
            <v>5329</v>
          </cell>
          <cell r="R529"/>
          <cell r="S529">
            <v>273537</v>
          </cell>
          <cell r="T529">
            <v>-1501</v>
          </cell>
          <cell r="U529">
            <v>272036</v>
          </cell>
        </row>
        <row r="530">
          <cell r="A530">
            <v>95813</v>
          </cell>
          <cell r="B530" t="str">
            <v>WILLIAMSTON HOUSING AUTHORITY</v>
          </cell>
          <cell r="C530">
            <v>4.88E-5</v>
          </cell>
          <cell r="D530">
            <v>4.4400000000000002E-5</v>
          </cell>
          <cell r="E530">
            <v>63299</v>
          </cell>
          <cell r="F530">
            <v>94232</v>
          </cell>
          <cell r="G530">
            <v>74553</v>
          </cell>
          <cell r="H530"/>
          <cell r="I530">
            <v>4295</v>
          </cell>
          <cell r="J530">
            <v>18101</v>
          </cell>
          <cell r="K530">
            <v>10647</v>
          </cell>
          <cell r="L530">
            <v>72000</v>
          </cell>
          <cell r="M530"/>
          <cell r="N530">
            <v>2110</v>
          </cell>
          <cell r="O530">
            <v>0</v>
          </cell>
          <cell r="P530">
            <v>0</v>
          </cell>
          <cell r="Q530">
            <v>0</v>
          </cell>
          <cell r="R530"/>
          <cell r="S530">
            <v>25124</v>
          </cell>
          <cell r="T530">
            <v>24457</v>
          </cell>
          <cell r="U530">
            <v>49581</v>
          </cell>
        </row>
        <row r="531">
          <cell r="A531">
            <v>95821</v>
          </cell>
          <cell r="B531" t="str">
            <v>TOWN OF OAK CITY</v>
          </cell>
          <cell r="C531">
            <v>0</v>
          </cell>
          <cell r="D531">
            <v>1.7E-6</v>
          </cell>
          <cell r="E531">
            <v>610</v>
          </cell>
          <cell r="F531">
            <v>3608</v>
          </cell>
          <cell r="G531">
            <v>0</v>
          </cell>
          <cell r="H531"/>
          <cell r="I531">
            <v>0</v>
          </cell>
          <cell r="J531">
            <v>0</v>
          </cell>
          <cell r="K531">
            <v>0</v>
          </cell>
          <cell r="L531">
            <v>1293</v>
          </cell>
          <cell r="M531"/>
          <cell r="N531">
            <v>0</v>
          </cell>
          <cell r="O531">
            <v>0</v>
          </cell>
          <cell r="P531">
            <v>0</v>
          </cell>
          <cell r="Q531">
            <v>652</v>
          </cell>
          <cell r="R531"/>
          <cell r="S531">
            <v>0</v>
          </cell>
          <cell r="T531">
            <v>460</v>
          </cell>
          <cell r="U531">
            <v>460</v>
          </cell>
        </row>
        <row r="532">
          <cell r="A532">
            <v>95831</v>
          </cell>
          <cell r="B532" t="str">
            <v>TOWN OF HAMILTON</v>
          </cell>
          <cell r="C532">
            <v>1.6799999999999998E-5</v>
          </cell>
          <cell r="D532">
            <v>1.36E-5</v>
          </cell>
          <cell r="E532">
            <v>22034</v>
          </cell>
          <cell r="F532">
            <v>28864</v>
          </cell>
          <cell r="G532">
            <v>25666</v>
          </cell>
          <cell r="H532"/>
          <cell r="I532">
            <v>1479</v>
          </cell>
          <cell r="J532">
            <v>6232</v>
          </cell>
          <cell r="K532">
            <v>3665</v>
          </cell>
          <cell r="L532">
            <v>23962</v>
          </cell>
          <cell r="M532"/>
          <cell r="N532">
            <v>727</v>
          </cell>
          <cell r="O532">
            <v>0</v>
          </cell>
          <cell r="P532">
            <v>0</v>
          </cell>
          <cell r="Q532">
            <v>0</v>
          </cell>
          <cell r="R532"/>
          <cell r="S532">
            <v>8649</v>
          </cell>
          <cell r="T532">
            <v>8068</v>
          </cell>
          <cell r="U532">
            <v>16717</v>
          </cell>
        </row>
        <row r="533">
          <cell r="A533">
            <v>95841</v>
          </cell>
          <cell r="B533" t="str">
            <v>TOWN OF JAMESVILLE</v>
          </cell>
          <cell r="C533">
            <v>2.0999999999999999E-5</v>
          </cell>
          <cell r="D533">
            <v>2.1100000000000001E-5</v>
          </cell>
          <cell r="E533">
            <v>10805</v>
          </cell>
          <cell r="F533">
            <v>44781</v>
          </cell>
          <cell r="G533">
            <v>32082</v>
          </cell>
          <cell r="H533"/>
          <cell r="I533">
            <v>1848</v>
          </cell>
          <cell r="J533">
            <v>7790</v>
          </cell>
          <cell r="K533">
            <v>4582</v>
          </cell>
          <cell r="L533">
            <v>2103</v>
          </cell>
          <cell r="M533"/>
          <cell r="N533">
            <v>908</v>
          </cell>
          <cell r="O533">
            <v>0</v>
          </cell>
          <cell r="P533">
            <v>0</v>
          </cell>
          <cell r="Q533">
            <v>0</v>
          </cell>
          <cell r="R533"/>
          <cell r="S533">
            <v>10812</v>
          </cell>
          <cell r="T533">
            <v>817</v>
          </cell>
          <cell r="U533">
            <v>11629</v>
          </cell>
        </row>
        <row r="534">
          <cell r="A534">
            <v>95851</v>
          </cell>
          <cell r="B534" t="str">
            <v>TOWN OF ROBERSONVILLE</v>
          </cell>
          <cell r="C534">
            <v>1.327E-4</v>
          </cell>
          <cell r="D534">
            <v>1.3009999999999999E-4</v>
          </cell>
          <cell r="E534">
            <v>142459</v>
          </cell>
          <cell r="F534">
            <v>276116</v>
          </cell>
          <cell r="G534">
            <v>202729</v>
          </cell>
          <cell r="H534"/>
          <cell r="I534">
            <v>11679</v>
          </cell>
          <cell r="J534">
            <v>49223</v>
          </cell>
          <cell r="K534">
            <v>28952</v>
          </cell>
          <cell r="L534">
            <v>130637</v>
          </cell>
          <cell r="M534"/>
          <cell r="N534">
            <v>5739</v>
          </cell>
          <cell r="O534">
            <v>0</v>
          </cell>
          <cell r="P534">
            <v>0</v>
          </cell>
          <cell r="Q534">
            <v>4180</v>
          </cell>
          <cell r="R534"/>
          <cell r="S534">
            <v>68320</v>
          </cell>
          <cell r="T534">
            <v>39831</v>
          </cell>
          <cell r="U534">
            <v>108151</v>
          </cell>
        </row>
        <row r="535">
          <cell r="A535">
            <v>95853</v>
          </cell>
          <cell r="B535" t="str">
            <v>ROBERSONVILLE HOUSING AUTHORITY</v>
          </cell>
          <cell r="C535">
            <v>2.69E-5</v>
          </cell>
          <cell r="D535">
            <v>2.4000000000000001E-5</v>
          </cell>
          <cell r="E535">
            <v>14344</v>
          </cell>
          <cell r="F535">
            <v>50936</v>
          </cell>
          <cell r="G535">
            <v>41096</v>
          </cell>
          <cell r="H535"/>
          <cell r="I535">
            <v>2367</v>
          </cell>
          <cell r="J535">
            <v>9978</v>
          </cell>
          <cell r="K535">
            <v>5869</v>
          </cell>
          <cell r="L535">
            <v>8793</v>
          </cell>
          <cell r="M535"/>
          <cell r="N535">
            <v>1163</v>
          </cell>
          <cell r="O535">
            <v>0</v>
          </cell>
          <cell r="P535">
            <v>0</v>
          </cell>
          <cell r="Q535">
            <v>0</v>
          </cell>
          <cell r="R535"/>
          <cell r="S535">
            <v>13849</v>
          </cell>
          <cell r="T535">
            <v>3675</v>
          </cell>
          <cell r="U535">
            <v>17524</v>
          </cell>
        </row>
        <row r="536">
          <cell r="A536">
            <v>95901</v>
          </cell>
          <cell r="B536" t="str">
            <v>MCDOWELL COUNTY</v>
          </cell>
          <cell r="C536">
            <v>1.8714999999999999E-3</v>
          </cell>
          <cell r="D536">
            <v>1.8266999999999999E-3</v>
          </cell>
          <cell r="E536">
            <v>815702</v>
          </cell>
          <cell r="F536">
            <v>3876869</v>
          </cell>
          <cell r="G536">
            <v>2859134</v>
          </cell>
          <cell r="H536"/>
          <cell r="I536">
            <v>164713</v>
          </cell>
          <cell r="J536">
            <v>694201</v>
          </cell>
          <cell r="K536">
            <v>408324</v>
          </cell>
          <cell r="L536">
            <v>36652</v>
          </cell>
          <cell r="M536"/>
          <cell r="N536">
            <v>80933</v>
          </cell>
          <cell r="O536">
            <v>0</v>
          </cell>
          <cell r="P536">
            <v>0</v>
          </cell>
          <cell r="Q536">
            <v>13191</v>
          </cell>
          <cell r="R536"/>
          <cell r="S536">
            <v>963531</v>
          </cell>
          <cell r="T536">
            <v>28466</v>
          </cell>
          <cell r="U536">
            <v>991997</v>
          </cell>
        </row>
        <row r="537">
          <cell r="A537">
            <v>95908</v>
          </cell>
          <cell r="B537" t="str">
            <v>PLEASANT GARDEN FIRE DEPT</v>
          </cell>
          <cell r="C537">
            <v>7.2200000000000007E-5</v>
          </cell>
          <cell r="D537">
            <v>7.2000000000000002E-5</v>
          </cell>
          <cell r="E537">
            <v>24598</v>
          </cell>
          <cell r="F537">
            <v>152808</v>
          </cell>
          <cell r="G537">
            <v>110302</v>
          </cell>
          <cell r="H537"/>
          <cell r="I537">
            <v>6354</v>
          </cell>
          <cell r="J537">
            <v>26781</v>
          </cell>
          <cell r="K537">
            <v>15753</v>
          </cell>
          <cell r="L537">
            <v>0</v>
          </cell>
          <cell r="M537"/>
          <cell r="N537">
            <v>3122</v>
          </cell>
          <cell r="O537">
            <v>0</v>
          </cell>
          <cell r="P537">
            <v>0</v>
          </cell>
          <cell r="Q537">
            <v>22164</v>
          </cell>
          <cell r="R537"/>
          <cell r="S537">
            <v>37172</v>
          </cell>
          <cell r="T537">
            <v>-10736</v>
          </cell>
          <cell r="U537">
            <v>26436</v>
          </cell>
        </row>
        <row r="538">
          <cell r="A538">
            <v>95911</v>
          </cell>
          <cell r="B538" t="str">
            <v>TOWN OF MARION</v>
          </cell>
          <cell r="C538">
            <v>5.7450000000000003E-4</v>
          </cell>
          <cell r="D538">
            <v>5.6979999999999997E-4</v>
          </cell>
          <cell r="E538">
            <v>244845</v>
          </cell>
          <cell r="F538">
            <v>1209306</v>
          </cell>
          <cell r="G538">
            <v>877677</v>
          </cell>
          <cell r="H538"/>
          <cell r="I538">
            <v>50562</v>
          </cell>
          <cell r="J538">
            <v>213101</v>
          </cell>
          <cell r="K538">
            <v>125344</v>
          </cell>
          <cell r="L538">
            <v>2898</v>
          </cell>
          <cell r="M538"/>
          <cell r="N538">
            <v>24844</v>
          </cell>
          <cell r="O538">
            <v>0</v>
          </cell>
          <cell r="P538">
            <v>0</v>
          </cell>
          <cell r="Q538">
            <v>40952</v>
          </cell>
          <cell r="R538"/>
          <cell r="S538">
            <v>295778</v>
          </cell>
          <cell r="T538">
            <v>-14076</v>
          </cell>
          <cell r="U538">
            <v>281702</v>
          </cell>
        </row>
        <row r="539">
          <cell r="A539">
            <v>95917</v>
          </cell>
          <cell r="B539" t="str">
            <v>MARION ABC BOARD</v>
          </cell>
          <cell r="C539">
            <v>2.6699999999999998E-5</v>
          </cell>
          <cell r="D539">
            <v>2.2399999999999999E-5</v>
          </cell>
          <cell r="E539">
            <v>11001</v>
          </cell>
          <cell r="F539">
            <v>47540</v>
          </cell>
          <cell r="G539">
            <v>40790</v>
          </cell>
          <cell r="H539"/>
          <cell r="I539">
            <v>2350</v>
          </cell>
          <cell r="J539">
            <v>9904</v>
          </cell>
          <cell r="K539">
            <v>5825</v>
          </cell>
          <cell r="L539">
            <v>4378</v>
          </cell>
          <cell r="M539"/>
          <cell r="N539">
            <v>1155</v>
          </cell>
          <cell r="O539">
            <v>0</v>
          </cell>
          <cell r="P539">
            <v>0</v>
          </cell>
          <cell r="Q539">
            <v>501</v>
          </cell>
          <cell r="R539"/>
          <cell r="S539">
            <v>13746</v>
          </cell>
          <cell r="T539">
            <v>2216</v>
          </cell>
          <cell r="U539">
            <v>15962</v>
          </cell>
        </row>
        <row r="540">
          <cell r="A540">
            <v>95921</v>
          </cell>
          <cell r="B540" t="str">
            <v>TOWN OF OLD FORT</v>
          </cell>
          <cell r="C540">
            <v>4.7500000000000003E-5</v>
          </cell>
          <cell r="D540">
            <v>4.4700000000000002E-5</v>
          </cell>
          <cell r="E540">
            <v>19772</v>
          </cell>
          <cell r="F540">
            <v>94868</v>
          </cell>
          <cell r="G540">
            <v>72567</v>
          </cell>
          <cell r="H540"/>
          <cell r="I540">
            <v>4181</v>
          </cell>
          <cell r="J540">
            <v>17619</v>
          </cell>
          <cell r="K540">
            <v>10364</v>
          </cell>
          <cell r="L540">
            <v>3925</v>
          </cell>
          <cell r="M540"/>
          <cell r="N540">
            <v>2054</v>
          </cell>
          <cell r="O540">
            <v>0</v>
          </cell>
          <cell r="P540">
            <v>0</v>
          </cell>
          <cell r="Q540">
            <v>948</v>
          </cell>
          <cell r="R540"/>
          <cell r="S540">
            <v>24455</v>
          </cell>
          <cell r="T540">
            <v>526</v>
          </cell>
          <cell r="U540">
            <v>24981</v>
          </cell>
        </row>
        <row r="541">
          <cell r="A541">
            <v>96001</v>
          </cell>
          <cell r="B541" t="str">
            <v>MECKLENBURG COUNTY</v>
          </cell>
          <cell r="C541">
            <v>4.4386399999999999E-2</v>
          </cell>
          <cell r="D541">
            <v>4.43519E-2</v>
          </cell>
          <cell r="E541">
            <v>20012605</v>
          </cell>
          <cell r="F541">
            <v>94129590</v>
          </cell>
          <cell r="G541">
            <v>67810124</v>
          </cell>
          <cell r="H541"/>
          <cell r="I541">
            <v>3906491</v>
          </cell>
          <cell r="J541">
            <v>16464380</v>
          </cell>
          <cell r="K541">
            <v>9684225</v>
          </cell>
          <cell r="L541">
            <v>1457342</v>
          </cell>
          <cell r="M541"/>
          <cell r="N541">
            <v>1919490</v>
          </cell>
          <cell r="O541">
            <v>0</v>
          </cell>
          <cell r="P541">
            <v>0</v>
          </cell>
          <cell r="Q541">
            <v>477903</v>
          </cell>
          <cell r="R541"/>
          <cell r="S541">
            <v>22852072</v>
          </cell>
          <cell r="T541">
            <v>1208760</v>
          </cell>
          <cell r="U541">
            <v>24060832</v>
          </cell>
        </row>
        <row r="542">
          <cell r="A542">
            <v>96003</v>
          </cell>
          <cell r="B542" t="str">
            <v>CHARLOTTE HOUSING AUTHORITY</v>
          </cell>
          <cell r="C542">
            <v>1.6523E-3</v>
          </cell>
          <cell r="D542">
            <v>1.7309000000000001E-3</v>
          </cell>
          <cell r="E542">
            <v>743373</v>
          </cell>
          <cell r="F542">
            <v>3673550</v>
          </cell>
          <cell r="G542">
            <v>2524257</v>
          </cell>
          <cell r="H542"/>
          <cell r="I542">
            <v>145421</v>
          </cell>
          <cell r="J542">
            <v>612893</v>
          </cell>
          <cell r="K542">
            <v>360499</v>
          </cell>
          <cell r="L542">
            <v>3089</v>
          </cell>
          <cell r="M542"/>
          <cell r="N542">
            <v>71454</v>
          </cell>
          <cell r="O542">
            <v>0</v>
          </cell>
          <cell r="P542">
            <v>0</v>
          </cell>
          <cell r="Q542">
            <v>135978</v>
          </cell>
          <cell r="R542"/>
          <cell r="S542">
            <v>850677</v>
          </cell>
          <cell r="T542">
            <v>-56030</v>
          </cell>
          <cell r="U542">
            <v>794647</v>
          </cell>
        </row>
        <row r="543">
          <cell r="A543">
            <v>96004</v>
          </cell>
          <cell r="B543" t="str">
            <v>MECKLENBURG COUNTY ABC BOARD</v>
          </cell>
          <cell r="C543">
            <v>8.9439999999999995E-4</v>
          </cell>
          <cell r="D543">
            <v>8.7699999999999996E-4</v>
          </cell>
          <cell r="E543">
            <v>462352</v>
          </cell>
          <cell r="F543">
            <v>1861288</v>
          </cell>
          <cell r="G543">
            <v>1366395</v>
          </cell>
          <cell r="H543"/>
          <cell r="I543">
            <v>78717</v>
          </cell>
          <cell r="J543">
            <v>331762</v>
          </cell>
          <cell r="K543">
            <v>195140</v>
          </cell>
          <cell r="L543">
            <v>149546</v>
          </cell>
          <cell r="M543"/>
          <cell r="N543">
            <v>38678</v>
          </cell>
          <cell r="O543">
            <v>0</v>
          </cell>
          <cell r="P543">
            <v>0</v>
          </cell>
          <cell r="Q543">
            <v>0</v>
          </cell>
          <cell r="R543"/>
          <cell r="S543">
            <v>460476</v>
          </cell>
          <cell r="T543">
            <v>65505</v>
          </cell>
          <cell r="U543">
            <v>525981</v>
          </cell>
        </row>
        <row r="544">
          <cell r="A544">
            <v>96005</v>
          </cell>
          <cell r="B544" t="str">
            <v>CHARLOTTE MECKLENBURG PUBLIC LIBRARY</v>
          </cell>
          <cell r="C544">
            <v>2.6733999999999998E-3</v>
          </cell>
          <cell r="D544">
            <v>2.6457E-3</v>
          </cell>
          <cell r="E544">
            <v>1240290</v>
          </cell>
          <cell r="F544">
            <v>5615062</v>
          </cell>
          <cell r="G544">
            <v>4084215</v>
          </cell>
          <cell r="H544"/>
          <cell r="I544">
            <v>235289</v>
          </cell>
          <cell r="J544">
            <v>991653</v>
          </cell>
          <cell r="K544">
            <v>583282</v>
          </cell>
          <cell r="L544">
            <v>222285</v>
          </cell>
          <cell r="M544"/>
          <cell r="N544">
            <v>115611</v>
          </cell>
          <cell r="O544">
            <v>0</v>
          </cell>
          <cell r="P544">
            <v>0</v>
          </cell>
          <cell r="Q544">
            <v>0</v>
          </cell>
          <cell r="R544"/>
          <cell r="S544">
            <v>1376384</v>
          </cell>
          <cell r="T544">
            <v>159087</v>
          </cell>
          <cell r="U544">
            <v>1535471</v>
          </cell>
        </row>
        <row r="545">
          <cell r="A545">
            <v>96008</v>
          </cell>
          <cell r="B545" t="str">
            <v>MECKLENBURG EMER MED SVCS AGCY</v>
          </cell>
          <cell r="C545">
            <v>5.9955E-3</v>
          </cell>
          <cell r="D545">
            <v>5.9388000000000002E-3</v>
          </cell>
          <cell r="E545">
            <v>2075076</v>
          </cell>
          <cell r="F545">
            <v>12604123</v>
          </cell>
          <cell r="G545">
            <v>9159463</v>
          </cell>
          <cell r="H545"/>
          <cell r="I545">
            <v>527670</v>
          </cell>
          <cell r="J545">
            <v>2223929</v>
          </cell>
          <cell r="K545">
            <v>1308098</v>
          </cell>
          <cell r="L545">
            <v>0</v>
          </cell>
          <cell r="M545"/>
          <cell r="N545">
            <v>259275</v>
          </cell>
          <cell r="O545">
            <v>0</v>
          </cell>
          <cell r="P545">
            <v>0</v>
          </cell>
          <cell r="Q545">
            <v>767021</v>
          </cell>
          <cell r="R545"/>
          <cell r="S545">
            <v>3086747</v>
          </cell>
          <cell r="T545">
            <v>-274630</v>
          </cell>
          <cell r="U545">
            <v>2812117</v>
          </cell>
        </row>
        <row r="546">
          <cell r="A546">
            <v>96009</v>
          </cell>
          <cell r="B546" t="str">
            <v>CENTRALINA COUNCIL OF GOVERNMENTS</v>
          </cell>
          <cell r="C546">
            <v>3.7609999999999998E-4</v>
          </cell>
          <cell r="D546">
            <v>3.5980000000000002E-4</v>
          </cell>
          <cell r="E546">
            <v>192063</v>
          </cell>
          <cell r="F546">
            <v>763616</v>
          </cell>
          <cell r="G546">
            <v>574577</v>
          </cell>
          <cell r="H546"/>
          <cell r="I546">
            <v>33101</v>
          </cell>
          <cell r="J546">
            <v>139508</v>
          </cell>
          <cell r="K546">
            <v>82057</v>
          </cell>
          <cell r="L546">
            <v>33181</v>
          </cell>
          <cell r="M546"/>
          <cell r="N546">
            <v>16264</v>
          </cell>
          <cell r="O546">
            <v>0</v>
          </cell>
          <cell r="P546">
            <v>0</v>
          </cell>
          <cell r="Q546">
            <v>2595</v>
          </cell>
          <cell r="R546"/>
          <cell r="S546">
            <v>193633</v>
          </cell>
          <cell r="T546">
            <v>11508</v>
          </cell>
          <cell r="U546">
            <v>205141</v>
          </cell>
        </row>
        <row r="547">
          <cell r="A547">
            <v>96011</v>
          </cell>
          <cell r="B547" t="str">
            <v>CITY OF CHARLOTTE</v>
          </cell>
          <cell r="C547">
            <v>6.1150400000000001E-2</v>
          </cell>
          <cell r="D547">
            <v>6.0489000000000001E-2</v>
          </cell>
          <cell r="E547">
            <v>28379211</v>
          </cell>
          <cell r="F547">
            <v>128377922</v>
          </cell>
          <cell r="G547">
            <v>93420873</v>
          </cell>
          <cell r="H547"/>
          <cell r="I547">
            <v>5381908</v>
          </cell>
          <cell r="J547">
            <v>22682701</v>
          </cell>
          <cell r="K547">
            <v>13341794</v>
          </cell>
          <cell r="L547">
            <v>796221</v>
          </cell>
          <cell r="M547"/>
          <cell r="N547">
            <v>2644449</v>
          </cell>
          <cell r="O547">
            <v>0</v>
          </cell>
          <cell r="P547">
            <v>0</v>
          </cell>
          <cell r="Q547">
            <v>51460</v>
          </cell>
          <cell r="R547"/>
          <cell r="S547">
            <v>31482917</v>
          </cell>
          <cell r="T547">
            <v>212508</v>
          </cell>
          <cell r="U547">
            <v>31695425</v>
          </cell>
        </row>
        <row r="548">
          <cell r="A548">
            <v>96012</v>
          </cell>
          <cell r="B548" t="str">
            <v>CHARLOTTE REGIONAL VISITORS AUTHORITY</v>
          </cell>
          <cell r="C548">
            <v>2.4417000000000002E-3</v>
          </cell>
          <cell r="D548">
            <v>2.4095000000000002E-3</v>
          </cell>
          <cell r="E548">
            <v>1092788</v>
          </cell>
          <cell r="F548">
            <v>5113766</v>
          </cell>
          <cell r="G548">
            <v>3730241</v>
          </cell>
          <cell r="H548"/>
          <cell r="I548">
            <v>214896</v>
          </cell>
          <cell r="J548">
            <v>905707</v>
          </cell>
          <cell r="K548">
            <v>532730</v>
          </cell>
          <cell r="L548">
            <v>77080</v>
          </cell>
          <cell r="M548"/>
          <cell r="N548">
            <v>105591</v>
          </cell>
          <cell r="O548">
            <v>0</v>
          </cell>
          <cell r="P548">
            <v>0</v>
          </cell>
          <cell r="Q548">
            <v>937</v>
          </cell>
          <cell r="R548"/>
          <cell r="S548">
            <v>1257095</v>
          </cell>
          <cell r="T548">
            <v>35595</v>
          </cell>
          <cell r="U548">
            <v>1292690</v>
          </cell>
        </row>
        <row r="549">
          <cell r="A549">
            <v>96018</v>
          </cell>
          <cell r="B549" t="str">
            <v>CHARLOTTE FIREMEN'S RET SYS</v>
          </cell>
          <cell r="C549">
            <v>4.3600000000000003E-5</v>
          </cell>
          <cell r="D549">
            <v>3.6199999999999999E-5</v>
          </cell>
          <cell r="E549">
            <v>18035</v>
          </cell>
          <cell r="F549">
            <v>76829</v>
          </cell>
          <cell r="G549">
            <v>66609</v>
          </cell>
          <cell r="H549"/>
          <cell r="I549">
            <v>3837</v>
          </cell>
          <cell r="J549">
            <v>16173</v>
          </cell>
          <cell r="K549">
            <v>9513</v>
          </cell>
          <cell r="L549">
            <v>9704</v>
          </cell>
          <cell r="M549"/>
          <cell r="N549">
            <v>1885</v>
          </cell>
          <cell r="O549">
            <v>0</v>
          </cell>
          <cell r="P549">
            <v>0</v>
          </cell>
          <cell r="Q549">
            <v>0</v>
          </cell>
          <cell r="R549"/>
          <cell r="S549">
            <v>22447</v>
          </cell>
          <cell r="T549">
            <v>5913</v>
          </cell>
          <cell r="U549">
            <v>28360</v>
          </cell>
        </row>
        <row r="550">
          <cell r="A550">
            <v>96021</v>
          </cell>
          <cell r="B550" t="str">
            <v>TOWN OF PINEVILLE</v>
          </cell>
          <cell r="C550">
            <v>7.2090000000000001E-4</v>
          </cell>
          <cell r="D550">
            <v>8.5829999999999999E-4</v>
          </cell>
          <cell r="E550">
            <v>327690</v>
          </cell>
          <cell r="F550">
            <v>1821600</v>
          </cell>
          <cell r="G550">
            <v>1101336</v>
          </cell>
          <cell r="H550"/>
          <cell r="I550">
            <v>63447</v>
          </cell>
          <cell r="J550">
            <v>267406</v>
          </cell>
          <cell r="K550">
            <v>157286</v>
          </cell>
          <cell r="L550">
            <v>31959</v>
          </cell>
          <cell r="M550"/>
          <cell r="N550">
            <v>31175</v>
          </cell>
          <cell r="O550">
            <v>0</v>
          </cell>
          <cell r="P550">
            <v>0</v>
          </cell>
          <cell r="Q550">
            <v>119309</v>
          </cell>
          <cell r="R550"/>
          <cell r="S550">
            <v>371151</v>
          </cell>
          <cell r="T550">
            <v>-13869</v>
          </cell>
          <cell r="U550">
            <v>357282</v>
          </cell>
        </row>
        <row r="551">
          <cell r="A551">
            <v>96031</v>
          </cell>
          <cell r="B551" t="str">
            <v>TOWN OF MINT HILL</v>
          </cell>
          <cell r="C551">
            <v>8.2580000000000001E-4</v>
          </cell>
          <cell r="D551">
            <v>9.0189999999999997E-4</v>
          </cell>
          <cell r="E551">
            <v>325476</v>
          </cell>
          <cell r="F551">
            <v>1914134</v>
          </cell>
          <cell r="G551">
            <v>1261594</v>
          </cell>
          <cell r="H551"/>
          <cell r="I551">
            <v>72679</v>
          </cell>
          <cell r="J551">
            <v>306317</v>
          </cell>
          <cell r="K551">
            <v>180173</v>
          </cell>
          <cell r="L551">
            <v>0</v>
          </cell>
          <cell r="M551"/>
          <cell r="N551">
            <v>35712</v>
          </cell>
          <cell r="O551">
            <v>0</v>
          </cell>
          <cell r="P551">
            <v>0</v>
          </cell>
          <cell r="Q551">
            <v>179263</v>
          </cell>
          <cell r="R551"/>
          <cell r="S551">
            <v>425158</v>
          </cell>
          <cell r="T551">
            <v>-74461</v>
          </cell>
          <cell r="U551">
            <v>350697</v>
          </cell>
        </row>
        <row r="552">
          <cell r="A552">
            <v>96041</v>
          </cell>
          <cell r="B552" t="str">
            <v>TOWN OF HUNTERSVILLE</v>
          </cell>
          <cell r="C552">
            <v>1.7361E-3</v>
          </cell>
          <cell r="D552">
            <v>1.7323E-3</v>
          </cell>
          <cell r="E552">
            <v>721544</v>
          </cell>
          <cell r="F552">
            <v>3676521</v>
          </cell>
          <cell r="G552">
            <v>2652280</v>
          </cell>
          <cell r="H552"/>
          <cell r="I552">
            <v>152796</v>
          </cell>
          <cell r="J552">
            <v>643977</v>
          </cell>
          <cell r="K552">
            <v>378782</v>
          </cell>
          <cell r="L552">
            <v>0</v>
          </cell>
          <cell r="M552"/>
          <cell r="N552">
            <v>75078</v>
          </cell>
          <cell r="O552">
            <v>0</v>
          </cell>
          <cell r="P552">
            <v>0</v>
          </cell>
          <cell r="Q552">
            <v>139404</v>
          </cell>
          <cell r="R552"/>
          <cell r="S552">
            <v>893821</v>
          </cell>
          <cell r="T552">
            <v>-60075</v>
          </cell>
          <cell r="U552">
            <v>833746</v>
          </cell>
        </row>
        <row r="553">
          <cell r="A553">
            <v>96051</v>
          </cell>
          <cell r="B553" t="str">
            <v>TOWN OF CORNELIUS</v>
          </cell>
          <cell r="C553">
            <v>1.0062000000000001E-3</v>
          </cell>
          <cell r="D553">
            <v>1.0258000000000001E-3</v>
          </cell>
          <cell r="E553">
            <v>418346</v>
          </cell>
          <cell r="F553">
            <v>2177091</v>
          </cell>
          <cell r="G553">
            <v>1537195</v>
          </cell>
          <cell r="H553"/>
          <cell r="I553">
            <v>88557</v>
          </cell>
          <cell r="J553">
            <v>373233</v>
          </cell>
          <cell r="K553">
            <v>219533</v>
          </cell>
          <cell r="L553">
            <v>0</v>
          </cell>
          <cell r="M553"/>
          <cell r="N553">
            <v>43513</v>
          </cell>
          <cell r="O553">
            <v>0</v>
          </cell>
          <cell r="P553">
            <v>0</v>
          </cell>
          <cell r="Q553">
            <v>109605</v>
          </cell>
          <cell r="R553"/>
          <cell r="S553">
            <v>518036</v>
          </cell>
          <cell r="T553">
            <v>-44751</v>
          </cell>
          <cell r="U553">
            <v>473285</v>
          </cell>
        </row>
        <row r="554">
          <cell r="A554">
            <v>96061</v>
          </cell>
          <cell r="B554" t="str">
            <v>TOWN OF STALLINGS</v>
          </cell>
          <cell r="C554">
            <v>3.3950000000000001E-4</v>
          </cell>
          <cell r="D554">
            <v>3.0800000000000001E-4</v>
          </cell>
          <cell r="E554">
            <v>154988</v>
          </cell>
          <cell r="F554">
            <v>653679</v>
          </cell>
          <cell r="G554">
            <v>518662</v>
          </cell>
          <cell r="H554"/>
          <cell r="I554">
            <v>29880</v>
          </cell>
          <cell r="J554">
            <v>125932</v>
          </cell>
          <cell r="K554">
            <v>74072</v>
          </cell>
          <cell r="L554">
            <v>21868</v>
          </cell>
          <cell r="M554"/>
          <cell r="N554">
            <v>14682</v>
          </cell>
          <cell r="O554">
            <v>0</v>
          </cell>
          <cell r="P554">
            <v>0</v>
          </cell>
          <cell r="Q554">
            <v>7447</v>
          </cell>
          <cell r="R554"/>
          <cell r="S554">
            <v>174790</v>
          </cell>
          <cell r="T554">
            <v>2241</v>
          </cell>
          <cell r="U554">
            <v>177031</v>
          </cell>
        </row>
        <row r="555">
          <cell r="A555">
            <v>96071</v>
          </cell>
          <cell r="B555" t="str">
            <v>TOWN OF MATTHEWS</v>
          </cell>
          <cell r="C555">
            <v>1.1367E-3</v>
          </cell>
          <cell r="D555">
            <v>1.1280999999999999E-3</v>
          </cell>
          <cell r="E555">
            <v>554009</v>
          </cell>
          <cell r="F555">
            <v>2394206</v>
          </cell>
          <cell r="G555">
            <v>1736563</v>
          </cell>
          <cell r="H555"/>
          <cell r="I555">
            <v>100042</v>
          </cell>
          <cell r="J555">
            <v>421639</v>
          </cell>
          <cell r="K555">
            <v>248005</v>
          </cell>
          <cell r="L555">
            <v>72999</v>
          </cell>
          <cell r="M555"/>
          <cell r="N555">
            <v>49157</v>
          </cell>
          <cell r="O555">
            <v>0</v>
          </cell>
          <cell r="P555">
            <v>0</v>
          </cell>
          <cell r="Q555">
            <v>71715</v>
          </cell>
          <cell r="R555"/>
          <cell r="S555">
            <v>585223</v>
          </cell>
          <cell r="T555">
            <v>-1282</v>
          </cell>
          <cell r="U555">
            <v>583941</v>
          </cell>
        </row>
        <row r="556">
          <cell r="A556">
            <v>96081</v>
          </cell>
          <cell r="B556" t="str">
            <v>TOWN OF DAVIDSON</v>
          </cell>
          <cell r="C556">
            <v>5.0900000000000001E-4</v>
          </cell>
          <cell r="D556">
            <v>4.7820000000000002E-4</v>
          </cell>
          <cell r="E556">
            <v>211520</v>
          </cell>
          <cell r="F556">
            <v>1014901</v>
          </cell>
          <cell r="G556">
            <v>777611</v>
          </cell>
          <cell r="H556"/>
          <cell r="I556">
            <v>44798</v>
          </cell>
          <cell r="J556">
            <v>188805</v>
          </cell>
          <cell r="K556">
            <v>111054</v>
          </cell>
          <cell r="L556">
            <v>10640</v>
          </cell>
          <cell r="M556"/>
          <cell r="N556">
            <v>22012</v>
          </cell>
          <cell r="O556">
            <v>0</v>
          </cell>
          <cell r="P556">
            <v>0</v>
          </cell>
          <cell r="Q556">
            <v>4115</v>
          </cell>
          <cell r="R556"/>
          <cell r="S556">
            <v>262056</v>
          </cell>
          <cell r="T556">
            <v>5137</v>
          </cell>
          <cell r="U556">
            <v>267193</v>
          </cell>
        </row>
        <row r="557">
          <cell r="A557">
            <v>96101</v>
          </cell>
          <cell r="B557" t="str">
            <v>MITCHELL COUNTY</v>
          </cell>
          <cell r="C557">
            <v>7.6749999999999995E-4</v>
          </cell>
          <cell r="D557">
            <v>7.5860000000000001E-4</v>
          </cell>
          <cell r="E557">
            <v>371541</v>
          </cell>
          <cell r="F557">
            <v>1610003</v>
          </cell>
          <cell r="G557">
            <v>1172527</v>
          </cell>
          <cell r="H557"/>
          <cell r="I557">
            <v>67548</v>
          </cell>
          <cell r="J557">
            <v>284691</v>
          </cell>
          <cell r="K557">
            <v>167453</v>
          </cell>
          <cell r="L557">
            <v>39221</v>
          </cell>
          <cell r="M557"/>
          <cell r="N557">
            <v>33191</v>
          </cell>
          <cell r="O557">
            <v>0</v>
          </cell>
          <cell r="P557">
            <v>0</v>
          </cell>
          <cell r="Q557">
            <v>3498</v>
          </cell>
          <cell r="R557"/>
          <cell r="S557">
            <v>395143</v>
          </cell>
          <cell r="T557">
            <v>17230</v>
          </cell>
          <cell r="U557">
            <v>412373</v>
          </cell>
        </row>
        <row r="558">
          <cell r="A558">
            <v>96102</v>
          </cell>
          <cell r="B558" t="str">
            <v>MITCHELL SOIL &amp; WATER CONSERVATION DIST</v>
          </cell>
          <cell r="C558">
            <v>1.36E-5</v>
          </cell>
          <cell r="D558">
            <v>1.42E-5</v>
          </cell>
          <cell r="E558">
            <v>5078</v>
          </cell>
          <cell r="F558">
            <v>30137</v>
          </cell>
          <cell r="G558">
            <v>20777</v>
          </cell>
          <cell r="H558"/>
          <cell r="I558">
            <v>1197</v>
          </cell>
          <cell r="J558">
            <v>5045</v>
          </cell>
          <cell r="K558">
            <v>2967</v>
          </cell>
          <cell r="L558">
            <v>0</v>
          </cell>
          <cell r="M558"/>
          <cell r="N558">
            <v>588</v>
          </cell>
          <cell r="O558">
            <v>0</v>
          </cell>
          <cell r="P558">
            <v>0</v>
          </cell>
          <cell r="Q558">
            <v>3137</v>
          </cell>
          <cell r="R558"/>
          <cell r="S558">
            <v>7002</v>
          </cell>
          <cell r="T558">
            <v>-1435</v>
          </cell>
          <cell r="U558">
            <v>5567</v>
          </cell>
        </row>
        <row r="559">
          <cell r="A559">
            <v>96111</v>
          </cell>
          <cell r="B559" t="str">
            <v>TOWN OF SPRUCE PINE</v>
          </cell>
          <cell r="C559">
            <v>1.5349999999999999E-4</v>
          </cell>
          <cell r="D559">
            <v>1.6119999999999999E-4</v>
          </cell>
          <cell r="E559">
            <v>74819</v>
          </cell>
          <cell r="F559">
            <v>342120</v>
          </cell>
          <cell r="G559">
            <v>234505</v>
          </cell>
          <cell r="H559"/>
          <cell r="I559">
            <v>13510</v>
          </cell>
          <cell r="J559">
            <v>56938</v>
          </cell>
          <cell r="K559">
            <v>33491</v>
          </cell>
          <cell r="L559">
            <v>9403</v>
          </cell>
          <cell r="M559"/>
          <cell r="N559">
            <v>6638</v>
          </cell>
          <cell r="O559">
            <v>0</v>
          </cell>
          <cell r="P559">
            <v>0</v>
          </cell>
          <cell r="Q559">
            <v>1683</v>
          </cell>
          <cell r="R559"/>
          <cell r="S559">
            <v>79029</v>
          </cell>
          <cell r="T559">
            <v>6754</v>
          </cell>
          <cell r="U559">
            <v>85783</v>
          </cell>
        </row>
        <row r="560">
          <cell r="A560">
            <v>96121</v>
          </cell>
          <cell r="B560" t="str">
            <v>TOWN OF BAKERSVILLE</v>
          </cell>
          <cell r="C560">
            <v>2.2500000000000001E-5</v>
          </cell>
          <cell r="D560">
            <v>2.2099999999999998E-5</v>
          </cell>
          <cell r="E560">
            <v>9052</v>
          </cell>
          <cell r="F560">
            <v>46904</v>
          </cell>
          <cell r="G560">
            <v>34374</v>
          </cell>
          <cell r="H560"/>
          <cell r="I560">
            <v>1980</v>
          </cell>
          <cell r="J560">
            <v>8346</v>
          </cell>
          <cell r="K560">
            <v>4909</v>
          </cell>
          <cell r="L560">
            <v>397</v>
          </cell>
          <cell r="M560"/>
          <cell r="N560">
            <v>973</v>
          </cell>
          <cell r="O560">
            <v>0</v>
          </cell>
          <cell r="P560">
            <v>0</v>
          </cell>
          <cell r="Q560">
            <v>1764</v>
          </cell>
          <cell r="R560"/>
          <cell r="S560">
            <v>11584</v>
          </cell>
          <cell r="T560">
            <v>-946</v>
          </cell>
          <cell r="U560">
            <v>10638</v>
          </cell>
        </row>
        <row r="561">
          <cell r="A561">
            <v>96201</v>
          </cell>
          <cell r="B561" t="str">
            <v>MONTGOMERY COUNTY</v>
          </cell>
          <cell r="C561">
            <v>1.1788E-3</v>
          </cell>
          <cell r="D561">
            <v>1.2302999999999999E-3</v>
          </cell>
          <cell r="E561">
            <v>527645</v>
          </cell>
          <cell r="F561">
            <v>2611109</v>
          </cell>
          <cell r="G561">
            <v>1800880</v>
          </cell>
          <cell r="H561"/>
          <cell r="I561">
            <v>103747</v>
          </cell>
          <cell r="J561">
            <v>437256</v>
          </cell>
          <cell r="K561">
            <v>257191</v>
          </cell>
          <cell r="L561">
            <v>0</v>
          </cell>
          <cell r="M561"/>
          <cell r="N561">
            <v>50977</v>
          </cell>
          <cell r="O561">
            <v>0</v>
          </cell>
          <cell r="P561">
            <v>0</v>
          </cell>
          <cell r="Q561">
            <v>73119</v>
          </cell>
          <cell r="R561"/>
          <cell r="S561">
            <v>606898</v>
          </cell>
          <cell r="T561">
            <v>-23257</v>
          </cell>
          <cell r="U561">
            <v>583641</v>
          </cell>
        </row>
        <row r="562">
          <cell r="A562">
            <v>96204</v>
          </cell>
          <cell r="B562" t="str">
            <v>MONTGOMERY-MUNICIPAL ABC BOARD</v>
          </cell>
          <cell r="C562">
            <v>1.5099999999999999E-5</v>
          </cell>
          <cell r="D562">
            <v>1.5400000000000002E-5</v>
          </cell>
          <cell r="E562">
            <v>8503</v>
          </cell>
          <cell r="F562">
            <v>32684</v>
          </cell>
          <cell r="G562">
            <v>23069</v>
          </cell>
          <cell r="H562"/>
          <cell r="I562">
            <v>1329</v>
          </cell>
          <cell r="J562">
            <v>5602</v>
          </cell>
          <cell r="K562">
            <v>3295</v>
          </cell>
          <cell r="L562">
            <v>3517</v>
          </cell>
          <cell r="M562"/>
          <cell r="N562">
            <v>653</v>
          </cell>
          <cell r="O562">
            <v>0</v>
          </cell>
          <cell r="P562">
            <v>0</v>
          </cell>
          <cell r="Q562">
            <v>0</v>
          </cell>
          <cell r="R562"/>
          <cell r="S562">
            <v>7774</v>
          </cell>
          <cell r="T562">
            <v>1655</v>
          </cell>
          <cell r="U562">
            <v>9429</v>
          </cell>
        </row>
        <row r="563">
          <cell r="A563">
            <v>96211</v>
          </cell>
          <cell r="B563" t="str">
            <v>TOWN OF STAR</v>
          </cell>
          <cell r="C563">
            <v>2.62E-5</v>
          </cell>
          <cell r="D563">
            <v>3.0700000000000001E-5</v>
          </cell>
          <cell r="E563">
            <v>16678</v>
          </cell>
          <cell r="F563">
            <v>65156</v>
          </cell>
          <cell r="G563">
            <v>40026</v>
          </cell>
          <cell r="H563"/>
          <cell r="I563">
            <v>2306</v>
          </cell>
          <cell r="J563">
            <v>9718</v>
          </cell>
          <cell r="K563">
            <v>5716</v>
          </cell>
          <cell r="L563">
            <v>4494</v>
          </cell>
          <cell r="M563"/>
          <cell r="N563">
            <v>1133</v>
          </cell>
          <cell r="O563">
            <v>0</v>
          </cell>
          <cell r="P563">
            <v>0</v>
          </cell>
          <cell r="Q563">
            <v>4462</v>
          </cell>
          <cell r="R563"/>
          <cell r="S563">
            <v>13489</v>
          </cell>
          <cell r="T563">
            <v>-2681</v>
          </cell>
          <cell r="U563">
            <v>10808</v>
          </cell>
        </row>
        <row r="564">
          <cell r="A564">
            <v>96221</v>
          </cell>
          <cell r="B564" t="str">
            <v>TOWN OF TROY</v>
          </cell>
          <cell r="C564">
            <v>2.3350000000000001E-4</v>
          </cell>
          <cell r="D564">
            <v>2.287E-4</v>
          </cell>
          <cell r="E564">
            <v>98415</v>
          </cell>
          <cell r="F564">
            <v>485378</v>
          </cell>
          <cell r="G564">
            <v>356723</v>
          </cell>
          <cell r="H564"/>
          <cell r="I564">
            <v>20551</v>
          </cell>
          <cell r="J564">
            <v>86613</v>
          </cell>
          <cell r="K564">
            <v>50945</v>
          </cell>
          <cell r="L564">
            <v>2439</v>
          </cell>
          <cell r="M564"/>
          <cell r="N564">
            <v>10098</v>
          </cell>
          <cell r="O564">
            <v>0</v>
          </cell>
          <cell r="P564">
            <v>0</v>
          </cell>
          <cell r="Q564">
            <v>15042</v>
          </cell>
          <cell r="R564"/>
          <cell r="S564">
            <v>120216</v>
          </cell>
          <cell r="T564">
            <v>-3357</v>
          </cell>
          <cell r="U564">
            <v>116859</v>
          </cell>
        </row>
        <row r="565">
          <cell r="A565">
            <v>96231</v>
          </cell>
          <cell r="B565" t="str">
            <v>TOWN OF BISCOE</v>
          </cell>
          <cell r="C565">
            <v>1.3339999999999999E-4</v>
          </cell>
          <cell r="D565">
            <v>1.145E-4</v>
          </cell>
          <cell r="E565">
            <v>48595</v>
          </cell>
          <cell r="F565">
            <v>243007</v>
          </cell>
          <cell r="G565">
            <v>203798</v>
          </cell>
          <cell r="H565"/>
          <cell r="I565">
            <v>11741</v>
          </cell>
          <cell r="J565">
            <v>49482</v>
          </cell>
          <cell r="K565">
            <v>29105</v>
          </cell>
          <cell r="L565">
            <v>2554</v>
          </cell>
          <cell r="M565"/>
          <cell r="N565">
            <v>5769</v>
          </cell>
          <cell r="O565">
            <v>0</v>
          </cell>
          <cell r="P565">
            <v>0</v>
          </cell>
          <cell r="Q565">
            <v>14959</v>
          </cell>
          <cell r="R565"/>
          <cell r="S565">
            <v>68680</v>
          </cell>
          <cell r="T565">
            <v>-7094</v>
          </cell>
          <cell r="U565">
            <v>61586</v>
          </cell>
        </row>
        <row r="566">
          <cell r="A566">
            <v>96241</v>
          </cell>
          <cell r="B566" t="str">
            <v>TOWN OF CANDOR</v>
          </cell>
          <cell r="C566">
            <v>4.4700000000000002E-5</v>
          </cell>
          <cell r="D566">
            <v>4.6100000000000002E-5</v>
          </cell>
          <cell r="E566">
            <v>22791</v>
          </cell>
          <cell r="F566">
            <v>97840</v>
          </cell>
          <cell r="G566">
            <v>68289</v>
          </cell>
          <cell r="H566"/>
          <cell r="I566">
            <v>3934</v>
          </cell>
          <cell r="J566">
            <v>16580</v>
          </cell>
          <cell r="K566">
            <v>9753</v>
          </cell>
          <cell r="L566">
            <v>5027</v>
          </cell>
          <cell r="M566"/>
          <cell r="N566">
            <v>1933</v>
          </cell>
          <cell r="O566">
            <v>0</v>
          </cell>
          <cell r="P566">
            <v>0</v>
          </cell>
          <cell r="Q566">
            <v>4371</v>
          </cell>
          <cell r="R566"/>
          <cell r="S566">
            <v>23014</v>
          </cell>
          <cell r="T566">
            <v>2407</v>
          </cell>
          <cell r="U566">
            <v>25421</v>
          </cell>
        </row>
        <row r="567">
          <cell r="A567">
            <v>96251</v>
          </cell>
          <cell r="B567" t="str">
            <v>TOWN OF MOUNT GILEAD</v>
          </cell>
          <cell r="C567">
            <v>9.3999999999999994E-5</v>
          </cell>
          <cell r="D567">
            <v>7.7100000000000004E-5</v>
          </cell>
          <cell r="E567">
            <v>36737</v>
          </cell>
          <cell r="F567">
            <v>163632</v>
          </cell>
          <cell r="G567">
            <v>143606</v>
          </cell>
          <cell r="H567"/>
          <cell r="I567">
            <v>8273</v>
          </cell>
          <cell r="J567">
            <v>34868</v>
          </cell>
          <cell r="K567">
            <v>20509</v>
          </cell>
          <cell r="L567">
            <v>6198</v>
          </cell>
          <cell r="M567"/>
          <cell r="N567">
            <v>4065</v>
          </cell>
          <cell r="O567">
            <v>0</v>
          </cell>
          <cell r="P567">
            <v>0</v>
          </cell>
          <cell r="Q567">
            <v>16886</v>
          </cell>
          <cell r="R567"/>
          <cell r="S567">
            <v>48395</v>
          </cell>
          <cell r="T567">
            <v>-7102</v>
          </cell>
          <cell r="U567">
            <v>41293</v>
          </cell>
        </row>
        <row r="568">
          <cell r="A568">
            <v>96301</v>
          </cell>
          <cell r="B568" t="str">
            <v>MOORE COUNTY</v>
          </cell>
          <cell r="C568">
            <v>4.3712999999999998E-3</v>
          </cell>
          <cell r="D568">
            <v>4.3785999999999999E-3</v>
          </cell>
          <cell r="E568">
            <v>1938350</v>
          </cell>
          <cell r="F568">
            <v>9292856</v>
          </cell>
          <cell r="G568">
            <v>6678136</v>
          </cell>
          <cell r="H568"/>
          <cell r="I568">
            <v>384722</v>
          </cell>
          <cell r="J568">
            <v>1621460</v>
          </cell>
          <cell r="K568">
            <v>953730</v>
          </cell>
          <cell r="L568">
            <v>60786</v>
          </cell>
          <cell r="M568"/>
          <cell r="N568">
            <v>189037</v>
          </cell>
          <cell r="O568">
            <v>0</v>
          </cell>
          <cell r="P568">
            <v>0</v>
          </cell>
          <cell r="Q568">
            <v>160488</v>
          </cell>
          <cell r="R568"/>
          <cell r="S568">
            <v>2250538</v>
          </cell>
          <cell r="T568">
            <v>-27776</v>
          </cell>
          <cell r="U568">
            <v>2222762</v>
          </cell>
        </row>
        <row r="569">
          <cell r="A569">
            <v>96302</v>
          </cell>
          <cell r="B569" t="str">
            <v>TOWN OF TAYLORTOWN</v>
          </cell>
          <cell r="C569">
            <v>2.5199999999999999E-5</v>
          </cell>
          <cell r="D569">
            <v>1.9199999999999999E-5</v>
          </cell>
          <cell r="E569">
            <v>12121</v>
          </cell>
          <cell r="F569">
            <v>40749</v>
          </cell>
          <cell r="G569">
            <v>38499</v>
          </cell>
          <cell r="H569"/>
          <cell r="I569">
            <v>2218</v>
          </cell>
          <cell r="J569">
            <v>9347</v>
          </cell>
          <cell r="K569">
            <v>5498</v>
          </cell>
          <cell r="L569">
            <v>7399</v>
          </cell>
          <cell r="M569"/>
          <cell r="N569">
            <v>1090</v>
          </cell>
          <cell r="O569">
            <v>0</v>
          </cell>
          <cell r="P569">
            <v>0</v>
          </cell>
          <cell r="Q569">
            <v>0</v>
          </cell>
          <cell r="R569"/>
          <cell r="S569">
            <v>12974</v>
          </cell>
          <cell r="T569">
            <v>2631</v>
          </cell>
          <cell r="U569">
            <v>15605</v>
          </cell>
        </row>
        <row r="570">
          <cell r="A570">
            <v>96304</v>
          </cell>
          <cell r="B570" t="str">
            <v>MOORE COUNTY ABC BOARD</v>
          </cell>
          <cell r="C570">
            <v>4.5500000000000001E-5</v>
          </cell>
          <cell r="D570">
            <v>5.4599999999999999E-5</v>
          </cell>
          <cell r="E570">
            <v>27294</v>
          </cell>
          <cell r="F570">
            <v>115879</v>
          </cell>
          <cell r="G570">
            <v>69511</v>
          </cell>
          <cell r="H570"/>
          <cell r="I570">
            <v>4005</v>
          </cell>
          <cell r="J570">
            <v>16877</v>
          </cell>
          <cell r="K570">
            <v>9927</v>
          </cell>
          <cell r="L570">
            <v>5469</v>
          </cell>
          <cell r="M570"/>
          <cell r="N570">
            <v>1968</v>
          </cell>
          <cell r="O570">
            <v>0</v>
          </cell>
          <cell r="P570">
            <v>0</v>
          </cell>
          <cell r="Q570">
            <v>1092</v>
          </cell>
          <cell r="R570"/>
          <cell r="S570">
            <v>23425</v>
          </cell>
          <cell r="T570">
            <v>2085</v>
          </cell>
          <cell r="U570">
            <v>25510</v>
          </cell>
        </row>
        <row r="571">
          <cell r="A571">
            <v>96305</v>
          </cell>
          <cell r="B571" t="str">
            <v>MOORE COUNTY TOURISM DEVELOPMENT AUTHORITY</v>
          </cell>
          <cell r="C571">
            <v>4.5500000000000001E-5</v>
          </cell>
          <cell r="D571">
            <v>4.8199999999999999E-5</v>
          </cell>
          <cell r="E571">
            <v>30520</v>
          </cell>
          <cell r="F571">
            <v>102297</v>
          </cell>
          <cell r="G571">
            <v>69511</v>
          </cell>
          <cell r="H571"/>
          <cell r="I571">
            <v>4005</v>
          </cell>
          <cell r="J571">
            <v>16877</v>
          </cell>
          <cell r="K571">
            <v>9927</v>
          </cell>
          <cell r="L571">
            <v>13328</v>
          </cell>
          <cell r="M571"/>
          <cell r="N571">
            <v>1968</v>
          </cell>
          <cell r="O571">
            <v>0</v>
          </cell>
          <cell r="P571">
            <v>0</v>
          </cell>
          <cell r="Q571">
            <v>0</v>
          </cell>
          <cell r="R571"/>
          <cell r="S571">
            <v>23425</v>
          </cell>
          <cell r="T571">
            <v>4752</v>
          </cell>
          <cell r="U571">
            <v>28177</v>
          </cell>
        </row>
        <row r="572">
          <cell r="A572">
            <v>96310</v>
          </cell>
          <cell r="B572" t="str">
            <v>MOORE COUNTY AIRPORT AUTHORITY</v>
          </cell>
          <cell r="C572">
            <v>6.1099999999999994E-5</v>
          </cell>
          <cell r="D572">
            <v>4.88E-5</v>
          </cell>
          <cell r="E572">
            <v>26767</v>
          </cell>
          <cell r="F572">
            <v>103570</v>
          </cell>
          <cell r="G572">
            <v>93344</v>
          </cell>
          <cell r="H572"/>
          <cell r="I572">
            <v>5377</v>
          </cell>
          <cell r="J572">
            <v>22664</v>
          </cell>
          <cell r="K572">
            <v>13331</v>
          </cell>
          <cell r="L572">
            <v>10507</v>
          </cell>
          <cell r="M572"/>
          <cell r="N572">
            <v>2642</v>
          </cell>
          <cell r="O572">
            <v>0</v>
          </cell>
          <cell r="P572">
            <v>0</v>
          </cell>
          <cell r="Q572">
            <v>3055</v>
          </cell>
          <cell r="R572"/>
          <cell r="S572">
            <v>31457</v>
          </cell>
          <cell r="T572">
            <v>3506</v>
          </cell>
          <cell r="U572">
            <v>34963</v>
          </cell>
        </row>
        <row r="573">
          <cell r="A573">
            <v>96311</v>
          </cell>
          <cell r="B573" t="str">
            <v>TOWN OF SOUTHERN PINES</v>
          </cell>
          <cell r="C573">
            <v>1.3113000000000001E-3</v>
          </cell>
          <cell r="D573">
            <v>1.4082999999999999E-3</v>
          </cell>
          <cell r="E573">
            <v>595124</v>
          </cell>
          <cell r="F573">
            <v>2988884</v>
          </cell>
          <cell r="G573">
            <v>2003303</v>
          </cell>
          <cell r="H573"/>
          <cell r="I573">
            <v>115409</v>
          </cell>
          <cell r="J573">
            <v>486404</v>
          </cell>
          <cell r="K573">
            <v>286099</v>
          </cell>
          <cell r="L573">
            <v>11041</v>
          </cell>
          <cell r="M573"/>
          <cell r="N573">
            <v>56707</v>
          </cell>
          <cell r="O573">
            <v>0</v>
          </cell>
          <cell r="P573">
            <v>0</v>
          </cell>
          <cell r="Q573">
            <v>139297</v>
          </cell>
          <cell r="R573"/>
          <cell r="S573">
            <v>675115</v>
          </cell>
          <cell r="T573">
            <v>-33999</v>
          </cell>
          <cell r="U573">
            <v>641116</v>
          </cell>
        </row>
        <row r="574">
          <cell r="A574">
            <v>96312</v>
          </cell>
          <cell r="B574" t="str">
            <v>TOWN OF CAMERON</v>
          </cell>
          <cell r="C574">
            <v>1.5999999999999999E-5</v>
          </cell>
          <cell r="D574">
            <v>1.5999999999999999E-6</v>
          </cell>
          <cell r="E574">
            <v>4820</v>
          </cell>
          <cell r="F574">
            <v>3396</v>
          </cell>
          <cell r="G574">
            <v>24444</v>
          </cell>
          <cell r="H574"/>
          <cell r="I574">
            <v>1408</v>
          </cell>
          <cell r="J574">
            <v>5935</v>
          </cell>
          <cell r="K574">
            <v>3491</v>
          </cell>
          <cell r="L574">
            <v>7668</v>
          </cell>
          <cell r="M574"/>
          <cell r="N574">
            <v>692</v>
          </cell>
          <cell r="O574">
            <v>0</v>
          </cell>
          <cell r="P574">
            <v>0</v>
          </cell>
          <cell r="Q574">
            <v>1864</v>
          </cell>
          <cell r="R574"/>
          <cell r="S574">
            <v>8238</v>
          </cell>
          <cell r="T574">
            <v>374</v>
          </cell>
          <cell r="U574">
            <v>8612</v>
          </cell>
        </row>
        <row r="575">
          <cell r="A575">
            <v>96318</v>
          </cell>
          <cell r="B575" t="str">
            <v>SANDHILLS CENTER</v>
          </cell>
          <cell r="C575">
            <v>2.1684999999999999E-3</v>
          </cell>
          <cell r="D575">
            <v>1.7782E-3</v>
          </cell>
          <cell r="E575">
            <v>1061238</v>
          </cell>
          <cell r="F575">
            <v>3773936</v>
          </cell>
          <cell r="G575">
            <v>3312867</v>
          </cell>
          <cell r="H575"/>
          <cell r="I575">
            <v>190852</v>
          </cell>
          <cell r="J575">
            <v>804368</v>
          </cell>
          <cell r="K575">
            <v>473123</v>
          </cell>
          <cell r="L575">
            <v>7711758</v>
          </cell>
          <cell r="M575"/>
          <cell r="N575">
            <v>93777</v>
          </cell>
          <cell r="O575">
            <v>0</v>
          </cell>
          <cell r="P575">
            <v>0</v>
          </cell>
          <cell r="Q575">
            <v>0</v>
          </cell>
          <cell r="R575"/>
          <cell r="S575">
            <v>1116439</v>
          </cell>
          <cell r="T575">
            <v>2665103</v>
          </cell>
          <cell r="U575">
            <v>3781542</v>
          </cell>
        </row>
        <row r="576">
          <cell r="A576">
            <v>96321</v>
          </cell>
          <cell r="B576" t="str">
            <v>TOWN OF VASS</v>
          </cell>
          <cell r="C576">
            <v>3.6900000000000002E-5</v>
          </cell>
          <cell r="D576">
            <v>3.7400000000000001E-5</v>
          </cell>
          <cell r="E576">
            <v>18737</v>
          </cell>
          <cell r="F576">
            <v>79375</v>
          </cell>
          <cell r="G576">
            <v>56373</v>
          </cell>
          <cell r="H576"/>
          <cell r="I576">
            <v>3248</v>
          </cell>
          <cell r="J576">
            <v>13687</v>
          </cell>
          <cell r="K576">
            <v>8051</v>
          </cell>
          <cell r="L576">
            <v>1642</v>
          </cell>
          <cell r="M576"/>
          <cell r="N576">
            <v>1596</v>
          </cell>
          <cell r="O576">
            <v>0</v>
          </cell>
          <cell r="P576">
            <v>0</v>
          </cell>
          <cell r="Q576">
            <v>2449</v>
          </cell>
          <cell r="R576"/>
          <cell r="S576">
            <v>18998</v>
          </cell>
          <cell r="T576">
            <v>-489</v>
          </cell>
          <cell r="U576">
            <v>18509</v>
          </cell>
        </row>
        <row r="577">
          <cell r="A577">
            <v>96331</v>
          </cell>
          <cell r="B577" t="str">
            <v>TOWN OF ABERDEEN</v>
          </cell>
          <cell r="C577">
            <v>7.0850000000000004E-4</v>
          </cell>
          <cell r="D577">
            <v>7.1699999999999997E-4</v>
          </cell>
          <cell r="E577">
            <v>321182</v>
          </cell>
          <cell r="F577">
            <v>1521714</v>
          </cell>
          <cell r="G577">
            <v>1082392</v>
          </cell>
          <cell r="H577"/>
          <cell r="I577">
            <v>62356</v>
          </cell>
          <cell r="J577">
            <v>262806</v>
          </cell>
          <cell r="K577">
            <v>154581</v>
          </cell>
          <cell r="L577">
            <v>3107</v>
          </cell>
          <cell r="M577"/>
          <cell r="N577">
            <v>30639</v>
          </cell>
          <cell r="O577">
            <v>0</v>
          </cell>
          <cell r="P577">
            <v>0</v>
          </cell>
          <cell r="Q577">
            <v>53524</v>
          </cell>
          <cell r="R577"/>
          <cell r="S577">
            <v>364767</v>
          </cell>
          <cell r="T577">
            <v>-22322</v>
          </cell>
          <cell r="U577">
            <v>342445</v>
          </cell>
        </row>
        <row r="578">
          <cell r="A578">
            <v>96341</v>
          </cell>
          <cell r="B578" t="str">
            <v>TOWN OF ROBBINS</v>
          </cell>
          <cell r="C578">
            <v>8.3800000000000004E-5</v>
          </cell>
          <cell r="D578">
            <v>9.1600000000000004E-5</v>
          </cell>
          <cell r="E578">
            <v>35036</v>
          </cell>
          <cell r="F578">
            <v>194406</v>
          </cell>
          <cell r="G578">
            <v>128023</v>
          </cell>
          <cell r="H578"/>
          <cell r="I578">
            <v>7375</v>
          </cell>
          <cell r="J578">
            <v>31084</v>
          </cell>
          <cell r="K578">
            <v>18283</v>
          </cell>
          <cell r="L578">
            <v>8694</v>
          </cell>
          <cell r="M578"/>
          <cell r="N578">
            <v>3624</v>
          </cell>
          <cell r="O578">
            <v>0</v>
          </cell>
          <cell r="P578">
            <v>0</v>
          </cell>
          <cell r="Q578">
            <v>13544</v>
          </cell>
          <cell r="R578"/>
          <cell r="S578">
            <v>43144</v>
          </cell>
          <cell r="T578">
            <v>-3090</v>
          </cell>
          <cell r="U578">
            <v>40054</v>
          </cell>
        </row>
        <row r="579">
          <cell r="A579">
            <v>96351</v>
          </cell>
          <cell r="B579" t="str">
            <v>VILLAGE OF PINEHURST</v>
          </cell>
          <cell r="C579">
            <v>1.0616E-3</v>
          </cell>
          <cell r="D579">
            <v>1.0736000000000001E-3</v>
          </cell>
          <cell r="E579">
            <v>488441</v>
          </cell>
          <cell r="F579">
            <v>2278539</v>
          </cell>
          <cell r="G579">
            <v>1621831</v>
          </cell>
          <cell r="H579"/>
          <cell r="I579">
            <v>93432</v>
          </cell>
          <cell r="J579">
            <v>393782</v>
          </cell>
          <cell r="K579">
            <v>231620</v>
          </cell>
          <cell r="L579">
            <v>5421</v>
          </cell>
          <cell r="M579"/>
          <cell r="N579">
            <v>45909</v>
          </cell>
          <cell r="O579">
            <v>0</v>
          </cell>
          <cell r="P579">
            <v>0</v>
          </cell>
          <cell r="Q579">
            <v>28542</v>
          </cell>
          <cell r="R579"/>
          <cell r="S579">
            <v>546558</v>
          </cell>
          <cell r="T579">
            <v>-5218</v>
          </cell>
          <cell r="U579">
            <v>541340</v>
          </cell>
        </row>
        <row r="580">
          <cell r="A580">
            <v>96361</v>
          </cell>
          <cell r="B580" t="str">
            <v>TOWN OF PINEBLUFF</v>
          </cell>
          <cell r="C580">
            <v>5.5699999999999999E-5</v>
          </cell>
          <cell r="D580">
            <v>5.8900000000000002E-5</v>
          </cell>
          <cell r="E580">
            <v>24289</v>
          </cell>
          <cell r="F580">
            <v>125006</v>
          </cell>
          <cell r="G580">
            <v>85094</v>
          </cell>
          <cell r="H580"/>
          <cell r="I580">
            <v>4902</v>
          </cell>
          <cell r="J580">
            <v>20661</v>
          </cell>
          <cell r="K580">
            <v>12153</v>
          </cell>
          <cell r="L580">
            <v>3403</v>
          </cell>
          <cell r="M580"/>
          <cell r="N580">
            <v>2409</v>
          </cell>
          <cell r="O580">
            <v>0</v>
          </cell>
          <cell r="P580">
            <v>0</v>
          </cell>
          <cell r="Q580">
            <v>3423</v>
          </cell>
          <cell r="R580"/>
          <cell r="S580">
            <v>28677</v>
          </cell>
          <cell r="T580">
            <v>936</v>
          </cell>
          <cell r="U580">
            <v>29613</v>
          </cell>
        </row>
        <row r="581">
          <cell r="A581">
            <v>96371</v>
          </cell>
          <cell r="B581" t="str">
            <v>VILLAGE OF WHISPERING PINES</v>
          </cell>
          <cell r="C581">
            <v>1.5249999999999999E-4</v>
          </cell>
          <cell r="D581">
            <v>1.6359999999999999E-4</v>
          </cell>
          <cell r="E581">
            <v>67276</v>
          </cell>
          <cell r="F581">
            <v>347214</v>
          </cell>
          <cell r="G581">
            <v>232978</v>
          </cell>
          <cell r="H581"/>
          <cell r="I581">
            <v>13422</v>
          </cell>
          <cell r="J581">
            <v>56568</v>
          </cell>
          <cell r="K581">
            <v>33272</v>
          </cell>
          <cell r="L581">
            <v>1335</v>
          </cell>
          <cell r="M581"/>
          <cell r="N581">
            <v>6595</v>
          </cell>
          <cell r="O581">
            <v>0</v>
          </cell>
          <cell r="P581">
            <v>0</v>
          </cell>
          <cell r="Q581">
            <v>14966</v>
          </cell>
          <cell r="R581"/>
          <cell r="S581">
            <v>78514</v>
          </cell>
          <cell r="T581">
            <v>-3158</v>
          </cell>
          <cell r="U581">
            <v>75356</v>
          </cell>
        </row>
        <row r="582">
          <cell r="A582">
            <v>96381</v>
          </cell>
          <cell r="B582" t="str">
            <v>FOXFIRE VILLAGE</v>
          </cell>
          <cell r="C582">
            <v>3.2100000000000001E-5</v>
          </cell>
          <cell r="D582">
            <v>3.26E-5</v>
          </cell>
          <cell r="E582">
            <v>15357</v>
          </cell>
          <cell r="F582">
            <v>69188</v>
          </cell>
          <cell r="G582">
            <v>49040</v>
          </cell>
          <cell r="H582"/>
          <cell r="I582">
            <v>2825</v>
          </cell>
          <cell r="J582">
            <v>11907</v>
          </cell>
          <cell r="K582">
            <v>7004</v>
          </cell>
          <cell r="L582">
            <v>235</v>
          </cell>
          <cell r="M582"/>
          <cell r="N582">
            <v>1388</v>
          </cell>
          <cell r="O582">
            <v>0</v>
          </cell>
          <cell r="P582">
            <v>0</v>
          </cell>
          <cell r="Q582">
            <v>1858</v>
          </cell>
          <cell r="R582"/>
          <cell r="S582">
            <v>16526</v>
          </cell>
          <cell r="T582">
            <v>-1164</v>
          </cell>
          <cell r="U582">
            <v>15362</v>
          </cell>
        </row>
        <row r="583">
          <cell r="A583">
            <v>96391</v>
          </cell>
          <cell r="B583" t="str">
            <v>TOWN OF CARTHAGE</v>
          </cell>
          <cell r="C583">
            <v>2.029E-4</v>
          </cell>
          <cell r="D583">
            <v>1.807E-4</v>
          </cell>
          <cell r="E583">
            <v>74519</v>
          </cell>
          <cell r="F583">
            <v>383506</v>
          </cell>
          <cell r="G583">
            <v>309975</v>
          </cell>
          <cell r="H583"/>
          <cell r="I583">
            <v>17857</v>
          </cell>
          <cell r="J583">
            <v>75263</v>
          </cell>
          <cell r="K583">
            <v>44269</v>
          </cell>
          <cell r="L583">
            <v>9831</v>
          </cell>
          <cell r="M583"/>
          <cell r="N583">
            <v>8774</v>
          </cell>
          <cell r="O583">
            <v>0</v>
          </cell>
          <cell r="P583">
            <v>0</v>
          </cell>
          <cell r="Q583">
            <v>18208</v>
          </cell>
          <cell r="R583"/>
          <cell r="S583">
            <v>104462</v>
          </cell>
          <cell r="T583">
            <v>2008</v>
          </cell>
          <cell r="U583">
            <v>106470</v>
          </cell>
        </row>
        <row r="584">
          <cell r="A584">
            <v>96401</v>
          </cell>
          <cell r="B584" t="str">
            <v>NASH COUNTY</v>
          </cell>
          <cell r="C584">
            <v>4.5672000000000004E-3</v>
          </cell>
          <cell r="D584">
            <v>4.5900000000000003E-3</v>
          </cell>
          <cell r="E584">
            <v>2040109</v>
          </cell>
          <cell r="F584">
            <v>9741518</v>
          </cell>
          <cell r="G584">
            <v>6977416</v>
          </cell>
          <cell r="H584"/>
          <cell r="I584">
            <v>401964</v>
          </cell>
          <cell r="J584">
            <v>1694125</v>
          </cell>
          <cell r="K584">
            <v>996472</v>
          </cell>
          <cell r="L584">
            <v>15869</v>
          </cell>
          <cell r="M584"/>
          <cell r="N584">
            <v>197509</v>
          </cell>
          <cell r="O584">
            <v>0</v>
          </cell>
          <cell r="P584">
            <v>0</v>
          </cell>
          <cell r="Q584">
            <v>86285</v>
          </cell>
          <cell r="R584"/>
          <cell r="S584">
            <v>2351396</v>
          </cell>
          <cell r="T584">
            <v>-10848</v>
          </cell>
          <cell r="U584">
            <v>2340548</v>
          </cell>
        </row>
        <row r="585">
          <cell r="A585">
            <v>96404</v>
          </cell>
          <cell r="B585" t="str">
            <v>NASH COUNTY ABC BOARD</v>
          </cell>
          <cell r="C585">
            <v>1.026E-4</v>
          </cell>
          <cell r="D585">
            <v>9.8800000000000003E-5</v>
          </cell>
          <cell r="E585">
            <v>57855</v>
          </cell>
          <cell r="F585">
            <v>209687</v>
          </cell>
          <cell r="G585">
            <v>156744</v>
          </cell>
          <cell r="H585"/>
          <cell r="I585">
            <v>9030</v>
          </cell>
          <cell r="J585">
            <v>38058</v>
          </cell>
          <cell r="K585">
            <v>22385</v>
          </cell>
          <cell r="L585">
            <v>26983</v>
          </cell>
          <cell r="M585"/>
          <cell r="N585">
            <v>4437</v>
          </cell>
          <cell r="O585">
            <v>0</v>
          </cell>
          <cell r="P585">
            <v>0</v>
          </cell>
          <cell r="Q585">
            <v>0</v>
          </cell>
          <cell r="R585"/>
          <cell r="S585">
            <v>52823</v>
          </cell>
          <cell r="T585">
            <v>10540</v>
          </cell>
          <cell r="U585">
            <v>63363</v>
          </cell>
        </row>
        <row r="586">
          <cell r="A586">
            <v>96405</v>
          </cell>
          <cell r="B586" t="str">
            <v>BRASWELL MEMORIAL LIBRARY</v>
          </cell>
          <cell r="C586">
            <v>1.6139999999999999E-4</v>
          </cell>
          <cell r="D586">
            <v>1.7760000000000001E-4</v>
          </cell>
          <cell r="E586">
            <v>86618</v>
          </cell>
          <cell r="F586">
            <v>376927</v>
          </cell>
          <cell r="G586">
            <v>246574</v>
          </cell>
          <cell r="H586"/>
          <cell r="I586">
            <v>14205</v>
          </cell>
          <cell r="J586">
            <v>59869</v>
          </cell>
          <cell r="K586">
            <v>35214</v>
          </cell>
          <cell r="L586">
            <v>10221</v>
          </cell>
          <cell r="M586"/>
          <cell r="N586">
            <v>6980</v>
          </cell>
          <cell r="O586">
            <v>0</v>
          </cell>
          <cell r="P586">
            <v>0</v>
          </cell>
          <cell r="Q586">
            <v>2204</v>
          </cell>
          <cell r="R586"/>
          <cell r="S586">
            <v>83096</v>
          </cell>
          <cell r="T586">
            <v>4354</v>
          </cell>
          <cell r="U586">
            <v>87450</v>
          </cell>
        </row>
        <row r="587">
          <cell r="A587">
            <v>96411</v>
          </cell>
          <cell r="B587" t="str">
            <v>TOWN OF SPRING HOPE</v>
          </cell>
          <cell r="C587">
            <v>7.2299999999999996E-5</v>
          </cell>
          <cell r="D587">
            <v>5.66E-5</v>
          </cell>
          <cell r="E587">
            <v>28784</v>
          </cell>
          <cell r="F587">
            <v>120124</v>
          </cell>
          <cell r="G587">
            <v>110454</v>
          </cell>
          <cell r="H587"/>
          <cell r="I587">
            <v>6363</v>
          </cell>
          <cell r="J587">
            <v>26818</v>
          </cell>
          <cell r="K587">
            <v>15774</v>
          </cell>
          <cell r="L587">
            <v>12280</v>
          </cell>
          <cell r="M587"/>
          <cell r="N587">
            <v>3127</v>
          </cell>
          <cell r="O587">
            <v>0</v>
          </cell>
          <cell r="P587">
            <v>0</v>
          </cell>
          <cell r="Q587">
            <v>4004</v>
          </cell>
          <cell r="R587"/>
          <cell r="S587">
            <v>37223</v>
          </cell>
          <cell r="T587">
            <v>2528</v>
          </cell>
          <cell r="U587">
            <v>39751</v>
          </cell>
        </row>
        <row r="588">
          <cell r="A588">
            <v>96421</v>
          </cell>
          <cell r="B588" t="str">
            <v>TOWN OF NASHVILLE</v>
          </cell>
          <cell r="C588">
            <v>4.2529999999999998E-4</v>
          </cell>
          <cell r="D588">
            <v>4.2860000000000001E-4</v>
          </cell>
          <cell r="E588">
            <v>170404</v>
          </cell>
          <cell r="F588">
            <v>909633</v>
          </cell>
          <cell r="G588">
            <v>649741</v>
          </cell>
          <cell r="H588"/>
          <cell r="I588">
            <v>37431</v>
          </cell>
          <cell r="J588">
            <v>157758</v>
          </cell>
          <cell r="K588">
            <v>92792</v>
          </cell>
          <cell r="L588">
            <v>0</v>
          </cell>
          <cell r="M588"/>
          <cell r="N588">
            <v>18392</v>
          </cell>
          <cell r="O588">
            <v>0</v>
          </cell>
          <cell r="P588">
            <v>0</v>
          </cell>
          <cell r="Q588">
            <v>78762</v>
          </cell>
          <cell r="R588"/>
          <cell r="S588">
            <v>218963</v>
          </cell>
          <cell r="T588">
            <v>-35149</v>
          </cell>
          <cell r="U588">
            <v>183814</v>
          </cell>
        </row>
        <row r="589">
          <cell r="A589">
            <v>96431</v>
          </cell>
          <cell r="B589" t="str">
            <v>TOWN OF MIDDLESEX</v>
          </cell>
          <cell r="C589">
            <v>4.2799999999999997E-5</v>
          </cell>
          <cell r="D589">
            <v>5.6100000000000002E-5</v>
          </cell>
          <cell r="E589">
            <v>21290</v>
          </cell>
          <cell r="F589">
            <v>119063</v>
          </cell>
          <cell r="G589">
            <v>65387</v>
          </cell>
          <cell r="H589"/>
          <cell r="I589">
            <v>3767</v>
          </cell>
          <cell r="J589">
            <v>15876</v>
          </cell>
          <cell r="K589">
            <v>9338</v>
          </cell>
          <cell r="L589">
            <v>6277</v>
          </cell>
          <cell r="M589"/>
          <cell r="N589">
            <v>1851</v>
          </cell>
          <cell r="O589">
            <v>0</v>
          </cell>
          <cell r="P589">
            <v>0</v>
          </cell>
          <cell r="Q589">
            <v>10135</v>
          </cell>
          <cell r="R589"/>
          <cell r="S589">
            <v>22035</v>
          </cell>
          <cell r="T589">
            <v>-1596</v>
          </cell>
          <cell r="U589">
            <v>20439</v>
          </cell>
        </row>
        <row r="590">
          <cell r="A590">
            <v>96441</v>
          </cell>
          <cell r="B590" t="str">
            <v>TOWN OF WHITAKERS</v>
          </cell>
          <cell r="C590">
            <v>2.97E-5</v>
          </cell>
          <cell r="D590">
            <v>3.1199999999999999E-5</v>
          </cell>
          <cell r="E590">
            <v>18707</v>
          </cell>
          <cell r="F590">
            <v>66217</v>
          </cell>
          <cell r="G590">
            <v>45373</v>
          </cell>
          <cell r="H590"/>
          <cell r="I590">
            <v>2614</v>
          </cell>
          <cell r="J590">
            <v>11017</v>
          </cell>
          <cell r="K590">
            <v>6480</v>
          </cell>
          <cell r="L590">
            <v>7489</v>
          </cell>
          <cell r="M590"/>
          <cell r="N590">
            <v>1284</v>
          </cell>
          <cell r="O590">
            <v>0</v>
          </cell>
          <cell r="P590">
            <v>0</v>
          </cell>
          <cell r="Q590">
            <v>440</v>
          </cell>
          <cell r="R590"/>
          <cell r="S590">
            <v>15291</v>
          </cell>
          <cell r="T590">
            <v>2815</v>
          </cell>
          <cell r="U590">
            <v>18106</v>
          </cell>
        </row>
        <row r="591">
          <cell r="A591">
            <v>96451</v>
          </cell>
          <cell r="B591" t="str">
            <v>TOWN OF BAILEY</v>
          </cell>
          <cell r="C591">
            <v>2.0299999999999999E-5</v>
          </cell>
          <cell r="D591">
            <v>1.38E-5</v>
          </cell>
          <cell r="E591">
            <v>8566</v>
          </cell>
          <cell r="F591">
            <v>29288</v>
          </cell>
          <cell r="G591">
            <v>31013</v>
          </cell>
          <cell r="H591"/>
          <cell r="I591">
            <v>1787</v>
          </cell>
          <cell r="J591">
            <v>7530</v>
          </cell>
          <cell r="K591">
            <v>4429</v>
          </cell>
          <cell r="L591">
            <v>6431</v>
          </cell>
          <cell r="M591"/>
          <cell r="N591">
            <v>878</v>
          </cell>
          <cell r="O591">
            <v>0</v>
          </cell>
          <cell r="P591">
            <v>0</v>
          </cell>
          <cell r="Q591">
            <v>1319</v>
          </cell>
          <cell r="R591"/>
          <cell r="S591">
            <v>10451</v>
          </cell>
          <cell r="T591">
            <v>994</v>
          </cell>
          <cell r="U591">
            <v>11445</v>
          </cell>
        </row>
        <row r="592">
          <cell r="A592">
            <v>96461</v>
          </cell>
          <cell r="B592" t="str">
            <v>TOWN OF SHARPSBURG</v>
          </cell>
          <cell r="C592">
            <v>1.361E-4</v>
          </cell>
          <cell r="D592">
            <v>1.3410000000000001E-4</v>
          </cell>
          <cell r="E592">
            <v>63932</v>
          </cell>
          <cell r="F592">
            <v>284605</v>
          </cell>
          <cell r="G592">
            <v>207923</v>
          </cell>
          <cell r="H592"/>
          <cell r="I592">
            <v>11978</v>
          </cell>
          <cell r="J592">
            <v>50484</v>
          </cell>
          <cell r="K592">
            <v>29694</v>
          </cell>
          <cell r="L592">
            <v>6504</v>
          </cell>
          <cell r="M592"/>
          <cell r="N592">
            <v>5886</v>
          </cell>
          <cell r="O592">
            <v>0</v>
          </cell>
          <cell r="P592">
            <v>0</v>
          </cell>
          <cell r="Q592">
            <v>18452</v>
          </cell>
          <cell r="R592"/>
          <cell r="S592">
            <v>70070</v>
          </cell>
          <cell r="T592">
            <v>-3923</v>
          </cell>
          <cell r="U592">
            <v>66147</v>
          </cell>
        </row>
        <row r="593">
          <cell r="A593">
            <v>96501</v>
          </cell>
          <cell r="B593" t="str">
            <v>NEW HANOVER COUNTY</v>
          </cell>
          <cell r="C593">
            <v>1.44739E-2</v>
          </cell>
          <cell r="D593">
            <v>1.4156999999999999E-2</v>
          </cell>
          <cell r="E593">
            <v>6399556</v>
          </cell>
          <cell r="F593">
            <v>30045897</v>
          </cell>
          <cell r="G593">
            <v>22112110</v>
          </cell>
          <cell r="H593"/>
          <cell r="I593">
            <v>1273862</v>
          </cell>
          <cell r="J593">
            <v>5368847</v>
          </cell>
          <cell r="K593">
            <v>3157916</v>
          </cell>
          <cell r="L593">
            <v>365065</v>
          </cell>
          <cell r="M593"/>
          <cell r="N593">
            <v>625924</v>
          </cell>
          <cell r="O593">
            <v>0</v>
          </cell>
          <cell r="P593">
            <v>0</v>
          </cell>
          <cell r="Q593">
            <v>292930</v>
          </cell>
          <cell r="R593"/>
          <cell r="S593">
            <v>7451801</v>
          </cell>
          <cell r="T593">
            <v>150498</v>
          </cell>
          <cell r="U593">
            <v>7602299</v>
          </cell>
        </row>
        <row r="594">
          <cell r="A594">
            <v>96502</v>
          </cell>
          <cell r="B594" t="str">
            <v>NEW HANOVER AIRPORT AUTH</v>
          </cell>
          <cell r="C594">
            <v>4.2440000000000002E-4</v>
          </cell>
          <cell r="D594">
            <v>4.2309999999999998E-4</v>
          </cell>
          <cell r="E594">
            <v>198105</v>
          </cell>
          <cell r="F594">
            <v>897960</v>
          </cell>
          <cell r="G594">
            <v>648366</v>
          </cell>
          <cell r="H594"/>
          <cell r="I594">
            <v>37352</v>
          </cell>
          <cell r="J594">
            <v>157424</v>
          </cell>
          <cell r="K594">
            <v>92596</v>
          </cell>
          <cell r="L594">
            <v>39317</v>
          </cell>
          <cell r="M594"/>
          <cell r="N594">
            <v>18353</v>
          </cell>
          <cell r="O594">
            <v>0</v>
          </cell>
          <cell r="P594">
            <v>0</v>
          </cell>
          <cell r="Q594">
            <v>0</v>
          </cell>
          <cell r="R594"/>
          <cell r="S594">
            <v>218500</v>
          </cell>
          <cell r="T594">
            <v>23185</v>
          </cell>
          <cell r="U594">
            <v>241685</v>
          </cell>
        </row>
        <row r="595">
          <cell r="A595">
            <v>96503</v>
          </cell>
          <cell r="B595" t="str">
            <v>WILMINGTON HOUSING AUTHORITY</v>
          </cell>
          <cell r="C595">
            <v>3.0039999999999998E-4</v>
          </cell>
          <cell r="D595">
            <v>3.3700000000000001E-4</v>
          </cell>
          <cell r="E595">
            <v>293863</v>
          </cell>
          <cell r="F595">
            <v>0</v>
          </cell>
          <cell r="G595">
            <v>458928</v>
          </cell>
          <cell r="H595"/>
          <cell r="I595">
            <v>26439</v>
          </cell>
          <cell r="J595">
            <v>111428</v>
          </cell>
          <cell r="K595">
            <v>65541</v>
          </cell>
          <cell r="L595">
            <v>240013</v>
          </cell>
          <cell r="M595"/>
          <cell r="N595">
            <v>12991</v>
          </cell>
          <cell r="O595">
            <v>0</v>
          </cell>
          <cell r="P595">
            <v>0</v>
          </cell>
          <cell r="Q595">
            <v>14874</v>
          </cell>
          <cell r="R595"/>
          <cell r="S595">
            <v>154659</v>
          </cell>
          <cell r="T595">
            <v>71167</v>
          </cell>
          <cell r="U595">
            <v>225826</v>
          </cell>
        </row>
        <row r="596">
          <cell r="A596">
            <v>96504</v>
          </cell>
          <cell r="B596" t="str">
            <v>NEW HANOVER COUNTY ABC BOARD</v>
          </cell>
          <cell r="C596">
            <v>4.1760000000000001E-4</v>
          </cell>
          <cell r="D596">
            <v>3.6039999999999998E-4</v>
          </cell>
          <cell r="E596">
            <v>189892</v>
          </cell>
          <cell r="F596">
            <v>764890</v>
          </cell>
          <cell r="G596">
            <v>637977</v>
          </cell>
          <cell r="H596"/>
          <cell r="I596">
            <v>36753</v>
          </cell>
          <cell r="J596">
            <v>154902</v>
          </cell>
          <cell r="K596">
            <v>91112</v>
          </cell>
          <cell r="L596">
            <v>44166</v>
          </cell>
          <cell r="M596"/>
          <cell r="N596">
            <v>18059</v>
          </cell>
          <cell r="O596">
            <v>0</v>
          </cell>
          <cell r="P596">
            <v>0</v>
          </cell>
          <cell r="Q596">
            <v>4428</v>
          </cell>
          <cell r="R596"/>
          <cell r="S596">
            <v>214999</v>
          </cell>
          <cell r="T596">
            <v>11523</v>
          </cell>
          <cell r="U596">
            <v>226522</v>
          </cell>
        </row>
        <row r="597">
          <cell r="A597">
            <v>96507</v>
          </cell>
          <cell r="B597" t="str">
            <v>CAPE FEAR PUBLIC UTILITY AUTHORITY</v>
          </cell>
          <cell r="C597">
            <v>2.2147E-3</v>
          </cell>
          <cell r="D597">
            <v>2.2604999999999999E-3</v>
          </cell>
          <cell r="E597">
            <v>1026624</v>
          </cell>
          <cell r="F597">
            <v>4797538</v>
          </cell>
          <cell r="G597">
            <v>3383448</v>
          </cell>
          <cell r="H597"/>
          <cell r="I597">
            <v>194918</v>
          </cell>
          <cell r="J597">
            <v>821505</v>
          </cell>
          <cell r="K597">
            <v>483203</v>
          </cell>
          <cell r="L597">
            <v>115759</v>
          </cell>
          <cell r="M597"/>
          <cell r="N597">
            <v>95775</v>
          </cell>
          <cell r="O597">
            <v>0</v>
          </cell>
          <cell r="P597">
            <v>0</v>
          </cell>
          <cell r="Q597">
            <v>22795</v>
          </cell>
          <cell r="R597"/>
          <cell r="S597">
            <v>1140225</v>
          </cell>
          <cell r="T597">
            <v>58867</v>
          </cell>
          <cell r="U597">
            <v>1199092</v>
          </cell>
        </row>
        <row r="598">
          <cell r="A598">
            <v>96508</v>
          </cell>
          <cell r="B598" t="str">
            <v>LOWER CAPE FEAR WATER &amp; SEWER AUTH</v>
          </cell>
          <cell r="C598">
            <v>8.6000000000000007E-6</v>
          </cell>
          <cell r="D598">
            <v>9.7999999999999993E-6</v>
          </cell>
          <cell r="E598">
            <v>11086</v>
          </cell>
          <cell r="F598">
            <v>20799</v>
          </cell>
          <cell r="G598">
            <v>13138</v>
          </cell>
          <cell r="H598"/>
          <cell r="I598">
            <v>757</v>
          </cell>
          <cell r="J598">
            <v>3190</v>
          </cell>
          <cell r="K598">
            <v>1876</v>
          </cell>
          <cell r="L598">
            <v>11113</v>
          </cell>
          <cell r="M598"/>
          <cell r="N598">
            <v>372</v>
          </cell>
          <cell r="O598">
            <v>0</v>
          </cell>
          <cell r="P598">
            <v>0</v>
          </cell>
          <cell r="Q598">
            <v>0</v>
          </cell>
          <cell r="R598"/>
          <cell r="S598">
            <v>4428</v>
          </cell>
          <cell r="T598">
            <v>4402</v>
          </cell>
          <cell r="U598">
            <v>8830</v>
          </cell>
        </row>
        <row r="599">
          <cell r="A599">
            <v>96511</v>
          </cell>
          <cell r="B599" t="str">
            <v>TOWN OF WRIGHTSVILLE BEACH</v>
          </cell>
          <cell r="C599">
            <v>6.2069999999999996E-4</v>
          </cell>
          <cell r="D599">
            <v>6.221E-4</v>
          </cell>
          <cell r="E599">
            <v>276057</v>
          </cell>
          <cell r="F599">
            <v>1320305</v>
          </cell>
          <cell r="G599">
            <v>948258</v>
          </cell>
          <cell r="H599"/>
          <cell r="I599">
            <v>54628</v>
          </cell>
          <cell r="J599">
            <v>230238</v>
          </cell>
          <cell r="K599">
            <v>135424</v>
          </cell>
          <cell r="L599">
            <v>0</v>
          </cell>
          <cell r="M599"/>
          <cell r="N599">
            <v>26842</v>
          </cell>
          <cell r="O599">
            <v>0</v>
          </cell>
          <cell r="P599">
            <v>0</v>
          </cell>
          <cell r="Q599">
            <v>95843</v>
          </cell>
          <cell r="R599"/>
          <cell r="S599">
            <v>319564</v>
          </cell>
          <cell r="T599">
            <v>-49396</v>
          </cell>
          <cell r="U599">
            <v>270168</v>
          </cell>
        </row>
        <row r="600">
          <cell r="A600">
            <v>96512</v>
          </cell>
          <cell r="B600" t="str">
            <v>CAPE FEAR PUBLIC TRANSPORTATION AUTHORITY</v>
          </cell>
          <cell r="C600">
            <v>1.5119999999999999E-4</v>
          </cell>
          <cell r="D600">
            <v>1.7000000000000001E-4</v>
          </cell>
          <cell r="E600">
            <v>72715</v>
          </cell>
          <cell r="F600">
            <v>360797</v>
          </cell>
          <cell r="G600">
            <v>230992</v>
          </cell>
          <cell r="H600"/>
          <cell r="I600">
            <v>13307</v>
          </cell>
          <cell r="J600">
            <v>56085</v>
          </cell>
          <cell r="K600">
            <v>32989</v>
          </cell>
          <cell r="L600">
            <v>5578</v>
          </cell>
          <cell r="M600"/>
          <cell r="N600">
            <v>6539</v>
          </cell>
          <cell r="O600">
            <v>0</v>
          </cell>
          <cell r="P600">
            <v>0</v>
          </cell>
          <cell r="Q600">
            <v>9964</v>
          </cell>
          <cell r="R600"/>
          <cell r="S600">
            <v>77844</v>
          </cell>
          <cell r="T600">
            <v>198</v>
          </cell>
          <cell r="U600">
            <v>78042</v>
          </cell>
        </row>
        <row r="601">
          <cell r="A601">
            <v>96521</v>
          </cell>
          <cell r="B601" t="str">
            <v>TOWN OF CAROLINA BEACH</v>
          </cell>
          <cell r="C601">
            <v>9.881E-4</v>
          </cell>
          <cell r="D601">
            <v>9.4240000000000003E-4</v>
          </cell>
          <cell r="E601">
            <v>408178</v>
          </cell>
          <cell r="F601">
            <v>2000089</v>
          </cell>
          <cell r="G601">
            <v>1509543</v>
          </cell>
          <cell r="H601"/>
          <cell r="I601">
            <v>86964</v>
          </cell>
          <cell r="J601">
            <v>366519</v>
          </cell>
          <cell r="K601">
            <v>215584</v>
          </cell>
          <cell r="L601">
            <v>30024</v>
          </cell>
          <cell r="M601"/>
          <cell r="N601">
            <v>42730</v>
          </cell>
          <cell r="O601">
            <v>0</v>
          </cell>
          <cell r="P601">
            <v>0</v>
          </cell>
          <cell r="Q601">
            <v>25241</v>
          </cell>
          <cell r="R601"/>
          <cell r="S601">
            <v>508717</v>
          </cell>
          <cell r="T601">
            <v>6710</v>
          </cell>
          <cell r="U601">
            <v>515427</v>
          </cell>
        </row>
        <row r="602">
          <cell r="A602">
            <v>96531</v>
          </cell>
          <cell r="B602" t="str">
            <v>CITY OF WILMINGTON</v>
          </cell>
          <cell r="C602">
            <v>8.5845000000000001E-3</v>
          </cell>
          <cell r="D602">
            <v>8.6088999999999992E-3</v>
          </cell>
          <cell r="E602">
            <v>3779881</v>
          </cell>
          <cell r="F602">
            <v>18270970</v>
          </cell>
          <cell r="G602">
            <v>13114738</v>
          </cell>
          <cell r="H602"/>
          <cell r="I602">
            <v>755530</v>
          </cell>
          <cell r="J602">
            <v>3184274</v>
          </cell>
          <cell r="K602">
            <v>1872966</v>
          </cell>
          <cell r="L602">
            <v>48765</v>
          </cell>
          <cell r="M602"/>
          <cell r="N602">
            <v>371237</v>
          </cell>
          <cell r="O602">
            <v>0</v>
          </cell>
          <cell r="P602">
            <v>0</v>
          </cell>
          <cell r="Q602">
            <v>418860</v>
          </cell>
          <cell r="R602"/>
          <cell r="S602">
            <v>4419678</v>
          </cell>
          <cell r="T602">
            <v>-117601</v>
          </cell>
          <cell r="U602">
            <v>4302077</v>
          </cell>
        </row>
        <row r="603">
          <cell r="A603">
            <v>96541</v>
          </cell>
          <cell r="B603" t="str">
            <v>TOWN OF KURE BEACH</v>
          </cell>
          <cell r="C603">
            <v>3.5950000000000001E-4</v>
          </cell>
          <cell r="D603">
            <v>3.3169999999999999E-4</v>
          </cell>
          <cell r="E603">
            <v>156792</v>
          </cell>
          <cell r="F603">
            <v>703979</v>
          </cell>
          <cell r="G603">
            <v>549216</v>
          </cell>
          <cell r="H603"/>
          <cell r="I603">
            <v>31640</v>
          </cell>
          <cell r="J603">
            <v>133350</v>
          </cell>
          <cell r="K603">
            <v>78436</v>
          </cell>
          <cell r="L603">
            <v>24801</v>
          </cell>
          <cell r="M603"/>
          <cell r="N603">
            <v>15547</v>
          </cell>
          <cell r="O603">
            <v>0</v>
          </cell>
          <cell r="P603">
            <v>0</v>
          </cell>
          <cell r="Q603">
            <v>0</v>
          </cell>
          <cell r="R603"/>
          <cell r="S603">
            <v>185086</v>
          </cell>
          <cell r="T603">
            <v>13028</v>
          </cell>
          <cell r="U603">
            <v>198114</v>
          </cell>
        </row>
        <row r="604">
          <cell r="A604">
            <v>96601</v>
          </cell>
          <cell r="B604" t="str">
            <v>NORTHAMPTON COUNTY</v>
          </cell>
          <cell r="C604">
            <v>1.8169E-3</v>
          </cell>
          <cell r="D604">
            <v>1.8416000000000001E-3</v>
          </cell>
          <cell r="E604">
            <v>878872</v>
          </cell>
          <cell r="F604">
            <v>3908492</v>
          </cell>
          <cell r="G604">
            <v>2775720</v>
          </cell>
          <cell r="H604"/>
          <cell r="I604">
            <v>159907</v>
          </cell>
          <cell r="J604">
            <v>673948</v>
          </cell>
          <cell r="K604">
            <v>396411</v>
          </cell>
          <cell r="L604">
            <v>50154</v>
          </cell>
          <cell r="M604"/>
          <cell r="N604">
            <v>78572</v>
          </cell>
          <cell r="O604">
            <v>0</v>
          </cell>
          <cell r="P604">
            <v>0</v>
          </cell>
          <cell r="Q604">
            <v>4139</v>
          </cell>
          <cell r="R604"/>
          <cell r="S604">
            <v>935420</v>
          </cell>
          <cell r="T604">
            <v>30132</v>
          </cell>
          <cell r="U604">
            <v>965552</v>
          </cell>
        </row>
        <row r="605">
          <cell r="A605">
            <v>96604</v>
          </cell>
          <cell r="B605" t="str">
            <v>NORTHAMPTON COUNTY ABC BOARD</v>
          </cell>
          <cell r="C605">
            <v>7.6000000000000001E-6</v>
          </cell>
          <cell r="D605">
            <v>7.9000000000000006E-6</v>
          </cell>
          <cell r="E605">
            <v>5011</v>
          </cell>
          <cell r="F605">
            <v>16766</v>
          </cell>
          <cell r="G605">
            <v>11611</v>
          </cell>
          <cell r="H605"/>
          <cell r="I605">
            <v>669</v>
          </cell>
          <cell r="J605">
            <v>2819</v>
          </cell>
          <cell r="K605">
            <v>1658</v>
          </cell>
          <cell r="L605">
            <v>2027</v>
          </cell>
          <cell r="M605"/>
          <cell r="N605">
            <v>329</v>
          </cell>
          <cell r="O605">
            <v>0</v>
          </cell>
          <cell r="P605">
            <v>0</v>
          </cell>
          <cell r="Q605">
            <v>70</v>
          </cell>
          <cell r="R605"/>
          <cell r="S605">
            <v>3913</v>
          </cell>
          <cell r="T605">
            <v>799</v>
          </cell>
          <cell r="U605">
            <v>4712</v>
          </cell>
        </row>
        <row r="606">
          <cell r="A606">
            <v>96611</v>
          </cell>
          <cell r="B606" t="str">
            <v>TOWN OF RICH SQUARE</v>
          </cell>
          <cell r="C606">
            <v>2.83E-5</v>
          </cell>
          <cell r="D606">
            <v>3.29E-5</v>
          </cell>
          <cell r="E606">
            <v>12016</v>
          </cell>
          <cell r="F606">
            <v>69825</v>
          </cell>
          <cell r="G606">
            <v>43235</v>
          </cell>
          <cell r="H606"/>
          <cell r="I606">
            <v>2491</v>
          </cell>
          <cell r="J606">
            <v>10498</v>
          </cell>
          <cell r="K606">
            <v>6174</v>
          </cell>
          <cell r="L606">
            <v>1561</v>
          </cell>
          <cell r="M606"/>
          <cell r="N606">
            <v>1224</v>
          </cell>
          <cell r="O606">
            <v>0</v>
          </cell>
          <cell r="P606">
            <v>0</v>
          </cell>
          <cell r="Q606">
            <v>4284</v>
          </cell>
          <cell r="R606"/>
          <cell r="S606">
            <v>14570</v>
          </cell>
          <cell r="T606">
            <v>112</v>
          </cell>
          <cell r="U606">
            <v>14682</v>
          </cell>
        </row>
        <row r="607">
          <cell r="A607">
            <v>96612</v>
          </cell>
          <cell r="B607" t="str">
            <v>CHOANOKE PUBLIC TRANSPORTATION AUTH</v>
          </cell>
          <cell r="C607">
            <v>6.3299999999999994E-5</v>
          </cell>
          <cell r="D607">
            <v>6.3899999999999995E-5</v>
          </cell>
          <cell r="E607">
            <v>32834</v>
          </cell>
          <cell r="F607">
            <v>135617</v>
          </cell>
          <cell r="G607">
            <v>96705</v>
          </cell>
          <cell r="H607"/>
          <cell r="I607">
            <v>5571</v>
          </cell>
          <cell r="J607">
            <v>23480</v>
          </cell>
          <cell r="K607">
            <v>13811</v>
          </cell>
          <cell r="L607">
            <v>7699</v>
          </cell>
          <cell r="M607"/>
          <cell r="N607">
            <v>2737</v>
          </cell>
          <cell r="O607">
            <v>0</v>
          </cell>
          <cell r="P607">
            <v>0</v>
          </cell>
          <cell r="Q607">
            <v>658</v>
          </cell>
          <cell r="R607"/>
          <cell r="S607">
            <v>32590</v>
          </cell>
          <cell r="T607">
            <v>2270</v>
          </cell>
          <cell r="U607">
            <v>34860</v>
          </cell>
        </row>
        <row r="608">
          <cell r="A608">
            <v>96621</v>
          </cell>
          <cell r="B608" t="str">
            <v>TOWN OF WOODLAND</v>
          </cell>
          <cell r="C608">
            <v>2.5999999999999998E-5</v>
          </cell>
          <cell r="D608">
            <v>2.65E-5</v>
          </cell>
          <cell r="E608">
            <v>13235</v>
          </cell>
          <cell r="F608">
            <v>56242</v>
          </cell>
          <cell r="G608">
            <v>39721</v>
          </cell>
          <cell r="H608"/>
          <cell r="I608">
            <v>2288</v>
          </cell>
          <cell r="J608">
            <v>9644</v>
          </cell>
          <cell r="K608">
            <v>5673</v>
          </cell>
          <cell r="L608">
            <v>1435</v>
          </cell>
          <cell r="M608"/>
          <cell r="N608">
            <v>1124</v>
          </cell>
          <cell r="O608">
            <v>0</v>
          </cell>
          <cell r="P608">
            <v>0</v>
          </cell>
          <cell r="Q608">
            <v>4828</v>
          </cell>
          <cell r="R608"/>
          <cell r="S608">
            <v>13386</v>
          </cell>
          <cell r="T608">
            <v>-2281</v>
          </cell>
          <cell r="U608">
            <v>11105</v>
          </cell>
        </row>
        <row r="609">
          <cell r="A609">
            <v>96631</v>
          </cell>
          <cell r="B609" t="str">
            <v>TOWN OF GARYSBURG</v>
          </cell>
          <cell r="C609">
            <v>2.51E-5</v>
          </cell>
          <cell r="D609">
            <v>2.5899999999999999E-5</v>
          </cell>
          <cell r="E609">
            <v>11905</v>
          </cell>
          <cell r="F609">
            <v>54968</v>
          </cell>
          <cell r="G609">
            <v>38346</v>
          </cell>
          <cell r="H609"/>
          <cell r="I609">
            <v>2209</v>
          </cell>
          <cell r="J609">
            <v>9311</v>
          </cell>
          <cell r="K609">
            <v>5476</v>
          </cell>
          <cell r="L609">
            <v>3375</v>
          </cell>
          <cell r="M609"/>
          <cell r="N609">
            <v>1085</v>
          </cell>
          <cell r="O609">
            <v>0</v>
          </cell>
          <cell r="P609">
            <v>0</v>
          </cell>
          <cell r="Q609">
            <v>345</v>
          </cell>
          <cell r="R609"/>
          <cell r="S609">
            <v>12923</v>
          </cell>
          <cell r="T609">
            <v>2192</v>
          </cell>
          <cell r="U609">
            <v>15115</v>
          </cell>
        </row>
        <row r="610">
          <cell r="A610">
            <v>96641</v>
          </cell>
          <cell r="B610" t="str">
            <v>TOWN OF CONWAY</v>
          </cell>
          <cell r="C610">
            <v>3.2199999999999997E-5</v>
          </cell>
          <cell r="D610">
            <v>2.6999999999999999E-5</v>
          </cell>
          <cell r="E610">
            <v>20865</v>
          </cell>
          <cell r="F610">
            <v>57303</v>
          </cell>
          <cell r="G610">
            <v>49193</v>
          </cell>
          <cell r="H610"/>
          <cell r="I610">
            <v>2834</v>
          </cell>
          <cell r="J610">
            <v>11944</v>
          </cell>
          <cell r="K610">
            <v>7025</v>
          </cell>
          <cell r="L610">
            <v>15380</v>
          </cell>
          <cell r="M610"/>
          <cell r="N610">
            <v>1392</v>
          </cell>
          <cell r="O610">
            <v>0</v>
          </cell>
          <cell r="P610">
            <v>0</v>
          </cell>
          <cell r="Q610">
            <v>0</v>
          </cell>
          <cell r="R610"/>
          <cell r="S610">
            <v>16578</v>
          </cell>
          <cell r="T610">
            <v>5934</v>
          </cell>
          <cell r="U610">
            <v>22512</v>
          </cell>
        </row>
        <row r="611">
          <cell r="A611">
            <v>96651</v>
          </cell>
          <cell r="B611" t="str">
            <v>TOWN OF GASTON</v>
          </cell>
          <cell r="C611">
            <v>1.7399999999999999E-5</v>
          </cell>
          <cell r="D611">
            <v>1.9400000000000001E-5</v>
          </cell>
          <cell r="E611">
            <v>11419</v>
          </cell>
          <cell r="F611">
            <v>41173</v>
          </cell>
          <cell r="G611">
            <v>26582</v>
          </cell>
          <cell r="H611"/>
          <cell r="I611">
            <v>1531</v>
          </cell>
          <cell r="J611">
            <v>6454</v>
          </cell>
          <cell r="K611">
            <v>3796</v>
          </cell>
          <cell r="L611">
            <v>1983</v>
          </cell>
          <cell r="M611"/>
          <cell r="N611">
            <v>752</v>
          </cell>
          <cell r="O611">
            <v>0</v>
          </cell>
          <cell r="P611">
            <v>0</v>
          </cell>
          <cell r="Q611">
            <v>1305</v>
          </cell>
          <cell r="R611"/>
          <cell r="S611">
            <v>8958</v>
          </cell>
          <cell r="T611">
            <v>-364</v>
          </cell>
          <cell r="U611">
            <v>8594</v>
          </cell>
        </row>
        <row r="612">
          <cell r="A612">
            <v>96661</v>
          </cell>
          <cell r="B612" t="str">
            <v>TOWN OF JACKSON</v>
          </cell>
          <cell r="C612">
            <v>1.9700000000000001E-5</v>
          </cell>
          <cell r="D612">
            <v>1.9000000000000001E-5</v>
          </cell>
          <cell r="E612">
            <v>10400</v>
          </cell>
          <cell r="F612">
            <v>40324</v>
          </cell>
          <cell r="G612">
            <v>30096</v>
          </cell>
          <cell r="H612"/>
          <cell r="I612">
            <v>1734</v>
          </cell>
          <cell r="J612">
            <v>7308</v>
          </cell>
          <cell r="K612">
            <v>4298</v>
          </cell>
          <cell r="L612">
            <v>5449</v>
          </cell>
          <cell r="M612"/>
          <cell r="N612">
            <v>852</v>
          </cell>
          <cell r="O612">
            <v>0</v>
          </cell>
          <cell r="P612">
            <v>0</v>
          </cell>
          <cell r="Q612">
            <v>0</v>
          </cell>
          <cell r="R612"/>
          <cell r="S612">
            <v>10142</v>
          </cell>
          <cell r="T612">
            <v>2525</v>
          </cell>
          <cell r="U612">
            <v>12667</v>
          </cell>
        </row>
        <row r="613">
          <cell r="A613">
            <v>96671</v>
          </cell>
          <cell r="B613" t="str">
            <v>TOWN OF SEVERN</v>
          </cell>
          <cell r="C613">
            <v>1.49E-5</v>
          </cell>
          <cell r="D613">
            <v>1.5500000000000001E-5</v>
          </cell>
          <cell r="E613">
            <v>8400</v>
          </cell>
          <cell r="F613">
            <v>32896</v>
          </cell>
          <cell r="G613">
            <v>22763</v>
          </cell>
          <cell r="H613"/>
          <cell r="I613">
            <v>1311</v>
          </cell>
          <cell r="J613">
            <v>5527</v>
          </cell>
          <cell r="K613">
            <v>3251</v>
          </cell>
          <cell r="L613">
            <v>8612</v>
          </cell>
          <cell r="M613"/>
          <cell r="N613">
            <v>644</v>
          </cell>
          <cell r="O613">
            <v>0</v>
          </cell>
          <cell r="P613">
            <v>0</v>
          </cell>
          <cell r="Q613">
            <v>208</v>
          </cell>
          <cell r="R613"/>
          <cell r="S613">
            <v>7671</v>
          </cell>
          <cell r="T613">
            <v>3620</v>
          </cell>
          <cell r="U613">
            <v>11291</v>
          </cell>
        </row>
        <row r="614">
          <cell r="A614">
            <v>96681</v>
          </cell>
          <cell r="B614" t="str">
            <v>TOWN OF SEABOARD</v>
          </cell>
          <cell r="C614">
            <v>1.7499999999999998E-5</v>
          </cell>
          <cell r="D614">
            <v>3.4799999999999999E-5</v>
          </cell>
          <cell r="E614">
            <v>12179</v>
          </cell>
          <cell r="F614">
            <v>73857</v>
          </cell>
          <cell r="G614">
            <v>26735</v>
          </cell>
          <cell r="H614"/>
          <cell r="I614">
            <v>1540</v>
          </cell>
          <cell r="J614">
            <v>6491</v>
          </cell>
          <cell r="K614">
            <v>3818</v>
          </cell>
          <cell r="L614">
            <v>12682</v>
          </cell>
          <cell r="M614"/>
          <cell r="N614">
            <v>757</v>
          </cell>
          <cell r="O614">
            <v>0</v>
          </cell>
          <cell r="P614">
            <v>0</v>
          </cell>
          <cell r="Q614">
            <v>9027</v>
          </cell>
          <cell r="R614"/>
          <cell r="S614">
            <v>9010</v>
          </cell>
          <cell r="T614">
            <v>3129</v>
          </cell>
          <cell r="U614">
            <v>12139</v>
          </cell>
        </row>
        <row r="615">
          <cell r="A615">
            <v>96701</v>
          </cell>
          <cell r="B615" t="str">
            <v>ONSLOW COUNTY</v>
          </cell>
          <cell r="C615">
            <v>8.4206000000000003E-3</v>
          </cell>
          <cell r="D615">
            <v>7.7850000000000003E-3</v>
          </cell>
          <cell r="E615">
            <v>3657208</v>
          </cell>
          <cell r="F615">
            <v>16522378</v>
          </cell>
          <cell r="G615">
            <v>12864344</v>
          </cell>
          <cell r="H615"/>
          <cell r="I615">
            <v>741105</v>
          </cell>
          <cell r="J615">
            <v>3123478</v>
          </cell>
          <cell r="K615">
            <v>1837207</v>
          </cell>
          <cell r="L615">
            <v>445953</v>
          </cell>
          <cell r="M615"/>
          <cell r="N615">
            <v>364149</v>
          </cell>
          <cell r="O615">
            <v>0</v>
          </cell>
          <cell r="P615">
            <v>0</v>
          </cell>
          <cell r="Q615">
            <v>51464</v>
          </cell>
          <cell r="R615"/>
          <cell r="S615">
            <v>4335295</v>
          </cell>
          <cell r="T615">
            <v>139565</v>
          </cell>
          <cell r="U615">
            <v>4474860</v>
          </cell>
        </row>
        <row r="616">
          <cell r="A616">
            <v>96704</v>
          </cell>
          <cell r="B616" t="str">
            <v>ONSLOW COUNTY ABC BOARD</v>
          </cell>
          <cell r="C616">
            <v>1.7259999999999999E-4</v>
          </cell>
          <cell r="D616">
            <v>1.5330000000000001E-4</v>
          </cell>
          <cell r="E616">
            <v>92320</v>
          </cell>
          <cell r="F616">
            <v>325354</v>
          </cell>
          <cell r="G616">
            <v>263685</v>
          </cell>
          <cell r="H616"/>
          <cell r="I616">
            <v>15191</v>
          </cell>
          <cell r="J616">
            <v>64023</v>
          </cell>
          <cell r="K616">
            <v>37658</v>
          </cell>
          <cell r="L616">
            <v>28813</v>
          </cell>
          <cell r="M616"/>
          <cell r="N616">
            <v>7464</v>
          </cell>
          <cell r="O616">
            <v>0</v>
          </cell>
          <cell r="P616">
            <v>0</v>
          </cell>
          <cell r="Q616">
            <v>0</v>
          </cell>
          <cell r="R616"/>
          <cell r="S616">
            <v>88862</v>
          </cell>
          <cell r="T616">
            <v>9625</v>
          </cell>
          <cell r="U616">
            <v>98487</v>
          </cell>
        </row>
        <row r="617">
          <cell r="A617">
            <v>96708</v>
          </cell>
          <cell r="B617" t="str">
            <v>ONSLOW WATER &amp; SEWER AUTHORITY</v>
          </cell>
          <cell r="C617">
            <v>9.031E-4</v>
          </cell>
          <cell r="D617">
            <v>8.4590000000000002E-4</v>
          </cell>
          <cell r="E617">
            <v>441727</v>
          </cell>
          <cell r="F617">
            <v>1795283</v>
          </cell>
          <cell r="G617">
            <v>1379687</v>
          </cell>
          <cell r="H617"/>
          <cell r="I617">
            <v>79483</v>
          </cell>
          <cell r="J617">
            <v>334989</v>
          </cell>
          <cell r="K617">
            <v>197038</v>
          </cell>
          <cell r="L617">
            <v>93931</v>
          </cell>
          <cell r="M617"/>
          <cell r="N617">
            <v>39055</v>
          </cell>
          <cell r="O617">
            <v>0</v>
          </cell>
          <cell r="P617">
            <v>0</v>
          </cell>
          <cell r="Q617">
            <v>19895</v>
          </cell>
          <cell r="R617"/>
          <cell r="S617">
            <v>464956</v>
          </cell>
          <cell r="T617">
            <v>29117</v>
          </cell>
          <cell r="U617">
            <v>494073</v>
          </cell>
        </row>
        <row r="618">
          <cell r="A618">
            <v>96711</v>
          </cell>
          <cell r="B618" t="str">
            <v>CITY OF JACKSONVILLE</v>
          </cell>
          <cell r="C618">
            <v>4.0464000000000003E-3</v>
          </cell>
          <cell r="D618">
            <v>4.4140000000000004E-3</v>
          </cell>
          <cell r="E618">
            <v>1869918</v>
          </cell>
          <cell r="F618">
            <v>9367987</v>
          </cell>
          <cell r="G618">
            <v>6181778</v>
          </cell>
          <cell r="H618"/>
          <cell r="I618">
            <v>356128</v>
          </cell>
          <cell r="J618">
            <v>1500943</v>
          </cell>
          <cell r="K618">
            <v>882844</v>
          </cell>
          <cell r="L618">
            <v>10323</v>
          </cell>
          <cell r="M618"/>
          <cell r="N618">
            <v>174987</v>
          </cell>
          <cell r="O618">
            <v>0</v>
          </cell>
          <cell r="P618">
            <v>0</v>
          </cell>
          <cell r="Q618">
            <v>468550</v>
          </cell>
          <cell r="R618"/>
          <cell r="S618">
            <v>2083265</v>
          </cell>
          <cell r="T618">
            <v>-165088</v>
          </cell>
          <cell r="U618">
            <v>1918177</v>
          </cell>
        </row>
        <row r="619">
          <cell r="A619">
            <v>96721</v>
          </cell>
          <cell r="B619" t="str">
            <v>TOWN OF SWANSBORO</v>
          </cell>
          <cell r="C619">
            <v>2.1379999999999999E-4</v>
          </cell>
          <cell r="D619">
            <v>1.9780000000000001E-4</v>
          </cell>
          <cell r="E619">
            <v>96163</v>
          </cell>
          <cell r="F619">
            <v>419798</v>
          </cell>
          <cell r="G619">
            <v>326627</v>
          </cell>
          <cell r="H619"/>
          <cell r="I619">
            <v>18817</v>
          </cell>
          <cell r="J619">
            <v>79305</v>
          </cell>
          <cell r="K619">
            <v>46647</v>
          </cell>
          <cell r="L619">
            <v>14615</v>
          </cell>
          <cell r="M619"/>
          <cell r="N619">
            <v>9246</v>
          </cell>
          <cell r="O619">
            <v>0</v>
          </cell>
          <cell r="P619">
            <v>0</v>
          </cell>
          <cell r="Q619">
            <v>25539</v>
          </cell>
          <cell r="R619"/>
          <cell r="S619">
            <v>110074</v>
          </cell>
          <cell r="T619">
            <v>-1269</v>
          </cell>
          <cell r="U619">
            <v>108805</v>
          </cell>
        </row>
        <row r="620">
          <cell r="A620">
            <v>96731</v>
          </cell>
          <cell r="B620" t="str">
            <v>TOWN OF HOLLY RIDGE</v>
          </cell>
          <cell r="C620">
            <v>1.697E-4</v>
          </cell>
          <cell r="D620">
            <v>1.5090000000000001E-4</v>
          </cell>
          <cell r="E620">
            <v>72356</v>
          </cell>
          <cell r="F620">
            <v>320260</v>
          </cell>
          <cell r="G620">
            <v>259255</v>
          </cell>
          <cell r="H620"/>
          <cell r="I620">
            <v>14935</v>
          </cell>
          <cell r="J620">
            <v>62947</v>
          </cell>
          <cell r="K620">
            <v>37025</v>
          </cell>
          <cell r="L620">
            <v>20951</v>
          </cell>
          <cell r="M620"/>
          <cell r="N620">
            <v>7339</v>
          </cell>
          <cell r="O620">
            <v>0</v>
          </cell>
          <cell r="P620">
            <v>0</v>
          </cell>
          <cell r="Q620">
            <v>6</v>
          </cell>
          <cell r="R620"/>
          <cell r="S620">
            <v>87369</v>
          </cell>
          <cell r="T620">
            <v>7300</v>
          </cell>
          <cell r="U620">
            <v>94669</v>
          </cell>
        </row>
        <row r="621">
          <cell r="A621">
            <v>96733</v>
          </cell>
          <cell r="B621" t="str">
            <v>HOLLY RIDGE HOUSING AUTHORITY</v>
          </cell>
          <cell r="C621">
            <v>7.3000000000000004E-6</v>
          </cell>
          <cell r="D621">
            <v>9.2E-6</v>
          </cell>
          <cell r="E621">
            <v>4279</v>
          </cell>
          <cell r="F621">
            <v>19525</v>
          </cell>
          <cell r="G621">
            <v>11152</v>
          </cell>
          <cell r="H621"/>
          <cell r="I621">
            <v>642</v>
          </cell>
          <cell r="J621">
            <v>2708</v>
          </cell>
          <cell r="K621">
            <v>1593</v>
          </cell>
          <cell r="L621">
            <v>3988</v>
          </cell>
          <cell r="M621"/>
          <cell r="N621">
            <v>316</v>
          </cell>
          <cell r="O621">
            <v>0</v>
          </cell>
          <cell r="P621">
            <v>0</v>
          </cell>
          <cell r="Q621">
            <v>1209</v>
          </cell>
          <cell r="R621"/>
          <cell r="S621">
            <v>3758</v>
          </cell>
          <cell r="T621">
            <v>1574</v>
          </cell>
          <cell r="U621">
            <v>5332</v>
          </cell>
        </row>
        <row r="622">
          <cell r="A622">
            <v>96741</v>
          </cell>
          <cell r="B622" t="str">
            <v>TOWN OF RICHLANDS</v>
          </cell>
          <cell r="C622">
            <v>9.0799999999999998E-5</v>
          </cell>
          <cell r="D622">
            <v>9.2399999999999996E-5</v>
          </cell>
          <cell r="E622">
            <v>41448</v>
          </cell>
          <cell r="F622">
            <v>196104</v>
          </cell>
          <cell r="G622">
            <v>138717</v>
          </cell>
          <cell r="H622"/>
          <cell r="I622">
            <v>7991</v>
          </cell>
          <cell r="J622">
            <v>33681</v>
          </cell>
          <cell r="K622">
            <v>19811</v>
          </cell>
          <cell r="L622">
            <v>4204</v>
          </cell>
          <cell r="M622"/>
          <cell r="N622">
            <v>3927</v>
          </cell>
          <cell r="O622">
            <v>0</v>
          </cell>
          <cell r="P622">
            <v>0</v>
          </cell>
          <cell r="Q622">
            <v>2410</v>
          </cell>
          <cell r="R622"/>
          <cell r="S622">
            <v>46748</v>
          </cell>
          <cell r="T622">
            <v>2215</v>
          </cell>
          <cell r="U622">
            <v>48963</v>
          </cell>
        </row>
        <row r="623">
          <cell r="A623">
            <v>96751</v>
          </cell>
          <cell r="B623" t="str">
            <v>TOWN OF N TOPSAIL BEACH</v>
          </cell>
          <cell r="C623">
            <v>2.5809999999999999E-4</v>
          </cell>
          <cell r="D623">
            <v>2.6120000000000001E-4</v>
          </cell>
          <cell r="E623">
            <v>115660</v>
          </cell>
          <cell r="F623">
            <v>554354</v>
          </cell>
          <cell r="G623">
            <v>394305</v>
          </cell>
          <cell r="H623"/>
          <cell r="I623">
            <v>22716</v>
          </cell>
          <cell r="J623">
            <v>95737</v>
          </cell>
          <cell r="K623">
            <v>56312</v>
          </cell>
          <cell r="L623">
            <v>10810</v>
          </cell>
          <cell r="M623"/>
          <cell r="N623">
            <v>11162</v>
          </cell>
          <cell r="O623">
            <v>0</v>
          </cell>
          <cell r="P623">
            <v>0</v>
          </cell>
          <cell r="Q623">
            <v>31380</v>
          </cell>
          <cell r="R623"/>
          <cell r="S623">
            <v>132881</v>
          </cell>
          <cell r="T623">
            <v>-737</v>
          </cell>
          <cell r="U623">
            <v>132144</v>
          </cell>
        </row>
        <row r="624">
          <cell r="A624">
            <v>96801</v>
          </cell>
          <cell r="B624" t="str">
            <v>ORANGE COUNTY</v>
          </cell>
          <cell r="C624">
            <v>7.5814000000000003E-3</v>
          </cell>
          <cell r="D624">
            <v>7.8463999999999999E-3</v>
          </cell>
          <cell r="E624">
            <v>3611120</v>
          </cell>
          <cell r="F624">
            <v>16652689</v>
          </cell>
          <cell r="G624">
            <v>11582279</v>
          </cell>
          <cell r="H624"/>
          <cell r="I624">
            <v>667247</v>
          </cell>
          <cell r="J624">
            <v>2812192</v>
          </cell>
          <cell r="K624">
            <v>1654110</v>
          </cell>
          <cell r="L624">
            <v>406857</v>
          </cell>
          <cell r="M624"/>
          <cell r="N624">
            <v>327858</v>
          </cell>
          <cell r="O624">
            <v>0</v>
          </cell>
          <cell r="P624">
            <v>0</v>
          </cell>
          <cell r="Q624">
            <v>73178</v>
          </cell>
          <cell r="R624"/>
          <cell r="S624">
            <v>3903238</v>
          </cell>
          <cell r="T624">
            <v>217480</v>
          </cell>
          <cell r="U624">
            <v>4120718</v>
          </cell>
        </row>
        <row r="625">
          <cell r="A625">
            <v>96804</v>
          </cell>
          <cell r="B625" t="str">
            <v>ORANGE COUNTY ABC BOARD</v>
          </cell>
          <cell r="C625">
            <v>2.654E-4</v>
          </cell>
          <cell r="D625">
            <v>2.4230000000000001E-4</v>
          </cell>
          <cell r="E625">
            <v>109175</v>
          </cell>
          <cell r="F625">
            <v>514242</v>
          </cell>
          <cell r="G625">
            <v>405458</v>
          </cell>
          <cell r="H625"/>
          <cell r="I625">
            <v>23358</v>
          </cell>
          <cell r="J625">
            <v>98446</v>
          </cell>
          <cell r="K625">
            <v>57905</v>
          </cell>
          <cell r="L625">
            <v>7601</v>
          </cell>
          <cell r="M625"/>
          <cell r="N625">
            <v>11477</v>
          </cell>
          <cell r="O625">
            <v>0</v>
          </cell>
          <cell r="P625">
            <v>0</v>
          </cell>
          <cell r="Q625">
            <v>2044</v>
          </cell>
          <cell r="R625"/>
          <cell r="S625">
            <v>136640</v>
          </cell>
          <cell r="T625">
            <v>2424</v>
          </cell>
          <cell r="U625">
            <v>139064</v>
          </cell>
        </row>
        <row r="626">
          <cell r="A626">
            <v>96808</v>
          </cell>
          <cell r="B626" t="str">
            <v>ORANGE WATER AND SEWER AUTHORITY</v>
          </cell>
          <cell r="C626">
            <v>1.2711000000000001E-3</v>
          </cell>
          <cell r="D626">
            <v>1.2882E-3</v>
          </cell>
          <cell r="E626">
            <v>593249</v>
          </cell>
          <cell r="F626">
            <v>2733992</v>
          </cell>
          <cell r="G626">
            <v>1941889</v>
          </cell>
          <cell r="H626"/>
          <cell r="I626">
            <v>111871</v>
          </cell>
          <cell r="J626">
            <v>471493</v>
          </cell>
          <cell r="K626">
            <v>277329</v>
          </cell>
          <cell r="L626">
            <v>42529</v>
          </cell>
          <cell r="M626"/>
          <cell r="N626">
            <v>54969</v>
          </cell>
          <cell r="O626">
            <v>0</v>
          </cell>
          <cell r="P626">
            <v>0</v>
          </cell>
          <cell r="Q626">
            <v>3699</v>
          </cell>
          <cell r="R626"/>
          <cell r="S626">
            <v>654418</v>
          </cell>
          <cell r="T626">
            <v>23633</v>
          </cell>
          <cell r="U626">
            <v>678051</v>
          </cell>
        </row>
        <row r="627">
          <cell r="A627">
            <v>96811</v>
          </cell>
          <cell r="B627" t="str">
            <v>TOWN OF CHAPEL HILL</v>
          </cell>
          <cell r="C627">
            <v>6.0096999999999998E-3</v>
          </cell>
          <cell r="D627">
            <v>5.9861999999999997E-3</v>
          </cell>
          <cell r="E627">
            <v>2786025</v>
          </cell>
          <cell r="F627">
            <v>12704722</v>
          </cell>
          <cell r="G627">
            <v>9181157</v>
          </cell>
          <cell r="H627"/>
          <cell r="I627">
            <v>528920</v>
          </cell>
          <cell r="J627">
            <v>2229197</v>
          </cell>
          <cell r="K627">
            <v>1311196</v>
          </cell>
          <cell r="L627">
            <v>37410</v>
          </cell>
          <cell r="M627"/>
          <cell r="N627">
            <v>259889</v>
          </cell>
          <cell r="O627">
            <v>0</v>
          </cell>
          <cell r="P627">
            <v>0</v>
          </cell>
          <cell r="Q627">
            <v>53500</v>
          </cell>
          <cell r="R627"/>
          <cell r="S627">
            <v>3094058</v>
          </cell>
          <cell r="T627">
            <v>-23369</v>
          </cell>
          <cell r="U627">
            <v>3070689</v>
          </cell>
        </row>
        <row r="628">
          <cell r="A628">
            <v>96821</v>
          </cell>
          <cell r="B628" t="str">
            <v>TOWN OF CARRBORO</v>
          </cell>
          <cell r="C628">
            <v>1.3247000000000001E-3</v>
          </cell>
          <cell r="D628">
            <v>1.3630999999999999E-3</v>
          </cell>
          <cell r="E628">
            <v>603956</v>
          </cell>
          <cell r="F628">
            <v>2892955</v>
          </cell>
          <cell r="G628">
            <v>2023775</v>
          </cell>
          <cell r="H628"/>
          <cell r="I628">
            <v>116588</v>
          </cell>
          <cell r="J628">
            <v>491375</v>
          </cell>
          <cell r="K628">
            <v>289023</v>
          </cell>
          <cell r="L628">
            <v>0</v>
          </cell>
          <cell r="M628"/>
          <cell r="N628">
            <v>57287</v>
          </cell>
          <cell r="O628">
            <v>0</v>
          </cell>
          <cell r="P628">
            <v>0</v>
          </cell>
          <cell r="Q628">
            <v>134629</v>
          </cell>
          <cell r="R628"/>
          <cell r="S628">
            <v>682014</v>
          </cell>
          <cell r="T628">
            <v>-54878</v>
          </cell>
          <cell r="U628">
            <v>627136</v>
          </cell>
        </row>
        <row r="629">
          <cell r="A629">
            <v>96831</v>
          </cell>
          <cell r="B629" t="str">
            <v>TOWN OF HILLSBOROUGH</v>
          </cell>
          <cell r="C629">
            <v>9.1929999999999996E-4</v>
          </cell>
          <cell r="D629">
            <v>9.2400000000000002E-4</v>
          </cell>
          <cell r="E629">
            <v>426593</v>
          </cell>
          <cell r="F629">
            <v>1961038</v>
          </cell>
          <cell r="G629">
            <v>1404436</v>
          </cell>
          <cell r="H629"/>
          <cell r="I629">
            <v>80909</v>
          </cell>
          <cell r="J629">
            <v>340998</v>
          </cell>
          <cell r="K629">
            <v>200573</v>
          </cell>
          <cell r="L629">
            <v>37726</v>
          </cell>
          <cell r="M629"/>
          <cell r="N629">
            <v>39755</v>
          </cell>
          <cell r="O629">
            <v>0</v>
          </cell>
          <cell r="P629">
            <v>0</v>
          </cell>
          <cell r="Q629">
            <v>0</v>
          </cell>
          <cell r="R629"/>
          <cell r="S629">
            <v>473296</v>
          </cell>
          <cell r="T629">
            <v>19380</v>
          </cell>
          <cell r="U629">
            <v>492676</v>
          </cell>
        </row>
        <row r="630">
          <cell r="A630">
            <v>96901</v>
          </cell>
          <cell r="B630" t="str">
            <v>PAMLICO COUNTY</v>
          </cell>
          <cell r="C630">
            <v>8.9820000000000004E-4</v>
          </cell>
          <cell r="D630">
            <v>8.1610000000000005E-4</v>
          </cell>
          <cell r="E630">
            <v>411770</v>
          </cell>
          <cell r="F630">
            <v>1732038</v>
          </cell>
          <cell r="G630">
            <v>1372201</v>
          </cell>
          <cell r="H630"/>
          <cell r="I630">
            <v>79051</v>
          </cell>
          <cell r="J630">
            <v>333172</v>
          </cell>
          <cell r="K630">
            <v>195969</v>
          </cell>
          <cell r="L630">
            <v>85745</v>
          </cell>
          <cell r="M630"/>
          <cell r="N630">
            <v>38843</v>
          </cell>
          <cell r="O630">
            <v>0</v>
          </cell>
          <cell r="P630">
            <v>0</v>
          </cell>
          <cell r="Q630">
            <v>0</v>
          </cell>
          <cell r="R630"/>
          <cell r="S630">
            <v>462433</v>
          </cell>
          <cell r="T630">
            <v>28927</v>
          </cell>
          <cell r="U630">
            <v>491360</v>
          </cell>
        </row>
        <row r="631">
          <cell r="A631">
            <v>96911</v>
          </cell>
          <cell r="B631" t="str">
            <v>TOWN OF BAYBORO</v>
          </cell>
          <cell r="C631">
            <v>2.3999999999999999E-6</v>
          </cell>
          <cell r="D631">
            <v>3.7000000000000002E-6</v>
          </cell>
          <cell r="E631">
            <v>1942</v>
          </cell>
          <cell r="F631">
            <v>7853</v>
          </cell>
          <cell r="G631">
            <v>3667</v>
          </cell>
          <cell r="H631"/>
          <cell r="I631">
            <v>211</v>
          </cell>
          <cell r="J631">
            <v>890</v>
          </cell>
          <cell r="K631">
            <v>524</v>
          </cell>
          <cell r="L631">
            <v>2464</v>
          </cell>
          <cell r="M631"/>
          <cell r="N631">
            <v>104</v>
          </cell>
          <cell r="O631">
            <v>0</v>
          </cell>
          <cell r="P631">
            <v>0</v>
          </cell>
          <cell r="Q631">
            <v>2953</v>
          </cell>
          <cell r="R631"/>
          <cell r="S631">
            <v>1236</v>
          </cell>
          <cell r="T631">
            <v>521</v>
          </cell>
          <cell r="U631">
            <v>1757</v>
          </cell>
        </row>
        <row r="632">
          <cell r="A632">
            <v>96912</v>
          </cell>
          <cell r="B632" t="str">
            <v>TOWN OF ORIENTAL</v>
          </cell>
          <cell r="C632">
            <v>6.0099999999999997E-5</v>
          </cell>
          <cell r="D632">
            <v>6.0999999999999999E-5</v>
          </cell>
          <cell r="E632">
            <v>24610</v>
          </cell>
          <cell r="F632">
            <v>129462</v>
          </cell>
          <cell r="G632">
            <v>91816</v>
          </cell>
          <cell r="H632"/>
          <cell r="I632">
            <v>5289</v>
          </cell>
          <cell r="J632">
            <v>22293</v>
          </cell>
          <cell r="K632">
            <v>13113</v>
          </cell>
          <cell r="L632">
            <v>4325</v>
          </cell>
          <cell r="M632"/>
          <cell r="N632">
            <v>2599</v>
          </cell>
          <cell r="O632">
            <v>0</v>
          </cell>
          <cell r="P632">
            <v>0</v>
          </cell>
          <cell r="Q632">
            <v>3739</v>
          </cell>
          <cell r="R632"/>
          <cell r="S632">
            <v>30942</v>
          </cell>
          <cell r="T632">
            <v>2307</v>
          </cell>
          <cell r="U632">
            <v>33249</v>
          </cell>
        </row>
        <row r="633">
          <cell r="A633">
            <v>96918</v>
          </cell>
          <cell r="B633" t="str">
            <v>BAY RIVER METRO SEWERAGE DISTRICT</v>
          </cell>
          <cell r="C633">
            <v>3.8000000000000002E-5</v>
          </cell>
          <cell r="D633">
            <v>4.0500000000000002E-5</v>
          </cell>
          <cell r="E633">
            <v>20289</v>
          </cell>
          <cell r="F633">
            <v>85955</v>
          </cell>
          <cell r="G633">
            <v>58053</v>
          </cell>
          <cell r="H633"/>
          <cell r="I633">
            <v>3344</v>
          </cell>
          <cell r="J633">
            <v>14095</v>
          </cell>
          <cell r="K633">
            <v>8291</v>
          </cell>
          <cell r="L633">
            <v>7713</v>
          </cell>
          <cell r="M633"/>
          <cell r="N633">
            <v>1643</v>
          </cell>
          <cell r="O633">
            <v>0</v>
          </cell>
          <cell r="P633">
            <v>0</v>
          </cell>
          <cell r="Q633">
            <v>884</v>
          </cell>
          <cell r="R633"/>
          <cell r="S633">
            <v>19564</v>
          </cell>
          <cell r="T633">
            <v>5648</v>
          </cell>
          <cell r="U633">
            <v>25212</v>
          </cell>
        </row>
        <row r="634">
          <cell r="A634">
            <v>97001</v>
          </cell>
          <cell r="B634" t="str">
            <v>PASQUOTANK COUNTY</v>
          </cell>
          <cell r="C634">
            <v>1.3778E-3</v>
          </cell>
          <cell r="D634">
            <v>1.3641E-3</v>
          </cell>
          <cell r="E634">
            <v>710694</v>
          </cell>
          <cell r="F634">
            <v>2895077</v>
          </cell>
          <cell r="G634">
            <v>2104897</v>
          </cell>
          <cell r="H634"/>
          <cell r="I634">
            <v>121262</v>
          </cell>
          <cell r="J634">
            <v>511071</v>
          </cell>
          <cell r="K634">
            <v>300608</v>
          </cell>
          <cell r="L634">
            <v>148744</v>
          </cell>
          <cell r="M634"/>
          <cell r="N634">
            <v>59583</v>
          </cell>
          <cell r="O634">
            <v>0</v>
          </cell>
          <cell r="P634">
            <v>0</v>
          </cell>
          <cell r="Q634">
            <v>11523</v>
          </cell>
          <cell r="R634"/>
          <cell r="S634">
            <v>709352</v>
          </cell>
          <cell r="T634">
            <v>36360</v>
          </cell>
          <cell r="U634">
            <v>745712</v>
          </cell>
        </row>
        <row r="635">
          <cell r="A635">
            <v>97002</v>
          </cell>
          <cell r="B635" t="str">
            <v>PASQUOTANK-CAMDEN AMBULANCE SERVICE</v>
          </cell>
          <cell r="C635">
            <v>5.2610000000000005E-4</v>
          </cell>
          <cell r="D635">
            <v>4.6589999999999999E-4</v>
          </cell>
          <cell r="E635">
            <v>182319</v>
          </cell>
          <cell r="F635">
            <v>988796</v>
          </cell>
          <cell r="G635">
            <v>803735</v>
          </cell>
          <cell r="H635"/>
          <cell r="I635">
            <v>46303</v>
          </cell>
          <cell r="J635">
            <v>195148</v>
          </cell>
          <cell r="K635">
            <v>114784</v>
          </cell>
          <cell r="L635">
            <v>16832</v>
          </cell>
          <cell r="M635"/>
          <cell r="N635">
            <v>22751</v>
          </cell>
          <cell r="O635">
            <v>0</v>
          </cell>
          <cell r="P635">
            <v>0</v>
          </cell>
          <cell r="Q635">
            <v>7002</v>
          </cell>
          <cell r="R635"/>
          <cell r="S635">
            <v>270859</v>
          </cell>
          <cell r="T635">
            <v>10025</v>
          </cell>
          <cell r="U635">
            <v>280884</v>
          </cell>
        </row>
        <row r="636">
          <cell r="A636">
            <v>97004</v>
          </cell>
          <cell r="B636" t="str">
            <v>PASQUOTANK CO ABC BOARD</v>
          </cell>
          <cell r="C636">
            <v>9.7999999999999993E-6</v>
          </cell>
          <cell r="D636">
            <v>1.0900000000000001E-5</v>
          </cell>
          <cell r="E636">
            <v>8257</v>
          </cell>
          <cell r="F636">
            <v>23133</v>
          </cell>
          <cell r="G636">
            <v>14972</v>
          </cell>
          <cell r="H636"/>
          <cell r="I636">
            <v>863</v>
          </cell>
          <cell r="J636">
            <v>3635</v>
          </cell>
          <cell r="K636">
            <v>2138</v>
          </cell>
          <cell r="L636">
            <v>4225</v>
          </cell>
          <cell r="M636"/>
          <cell r="N636">
            <v>424</v>
          </cell>
          <cell r="O636">
            <v>0</v>
          </cell>
          <cell r="P636">
            <v>0</v>
          </cell>
          <cell r="Q636">
            <v>0</v>
          </cell>
          <cell r="R636"/>
          <cell r="S636">
            <v>5045</v>
          </cell>
          <cell r="T636">
            <v>1862</v>
          </cell>
          <cell r="U636">
            <v>6907</v>
          </cell>
        </row>
        <row r="637">
          <cell r="A637">
            <v>97005</v>
          </cell>
          <cell r="B637" t="str">
            <v>EAST ALBEMARLE REGIONAL LIBRARY</v>
          </cell>
          <cell r="C637">
            <v>2.83E-5</v>
          </cell>
          <cell r="D637">
            <v>1.42E-5</v>
          </cell>
          <cell r="E637">
            <v>15092</v>
          </cell>
          <cell r="F637">
            <v>30137</v>
          </cell>
          <cell r="G637">
            <v>43235</v>
          </cell>
          <cell r="H637"/>
          <cell r="I637">
            <v>2491</v>
          </cell>
          <cell r="J637">
            <v>10498</v>
          </cell>
          <cell r="K637">
            <v>6174</v>
          </cell>
          <cell r="L637">
            <v>13129</v>
          </cell>
          <cell r="M637"/>
          <cell r="N637">
            <v>1224</v>
          </cell>
          <cell r="O637">
            <v>0</v>
          </cell>
          <cell r="P637">
            <v>0</v>
          </cell>
          <cell r="Q637">
            <v>1368</v>
          </cell>
          <cell r="R637"/>
          <cell r="S637">
            <v>14570</v>
          </cell>
          <cell r="T637">
            <v>3211</v>
          </cell>
          <cell r="U637">
            <v>17781</v>
          </cell>
        </row>
        <row r="638">
          <cell r="A638">
            <v>97008</v>
          </cell>
          <cell r="B638" t="str">
            <v>ALBEMARLE DISTRICT JAIL COMMISSION</v>
          </cell>
          <cell r="C638">
            <v>2.8659999999999997E-4</v>
          </cell>
          <cell r="D638">
            <v>2.7530000000000002E-4</v>
          </cell>
          <cell r="E638">
            <v>128453</v>
          </cell>
          <cell r="F638">
            <v>584279</v>
          </cell>
          <cell r="G638">
            <v>437845</v>
          </cell>
          <cell r="H638"/>
          <cell r="I638">
            <v>25224</v>
          </cell>
          <cell r="J638">
            <v>106309</v>
          </cell>
          <cell r="K638">
            <v>62530</v>
          </cell>
          <cell r="L638">
            <v>12387</v>
          </cell>
          <cell r="M638"/>
          <cell r="N638">
            <v>12394</v>
          </cell>
          <cell r="O638">
            <v>0</v>
          </cell>
          <cell r="P638">
            <v>0</v>
          </cell>
          <cell r="Q638">
            <v>3127</v>
          </cell>
          <cell r="R638"/>
          <cell r="S638">
            <v>147554</v>
          </cell>
          <cell r="T638">
            <v>7175</v>
          </cell>
          <cell r="U638">
            <v>154729</v>
          </cell>
        </row>
        <row r="639">
          <cell r="A639">
            <v>97010</v>
          </cell>
          <cell r="B639" t="str">
            <v>ALBEMARLE HOSPITAL AUTHORITY</v>
          </cell>
          <cell r="C639">
            <v>0</v>
          </cell>
          <cell r="D639">
            <v>0</v>
          </cell>
          <cell r="E639">
            <v>0</v>
          </cell>
          <cell r="F639">
            <v>0</v>
          </cell>
          <cell r="G639">
            <v>0</v>
          </cell>
          <cell r="H639"/>
          <cell r="I639">
            <v>0</v>
          </cell>
          <cell r="J639">
            <v>0</v>
          </cell>
          <cell r="K639">
            <v>0</v>
          </cell>
          <cell r="L639">
            <v>0</v>
          </cell>
          <cell r="M639"/>
          <cell r="N639">
            <v>0</v>
          </cell>
          <cell r="O639">
            <v>0</v>
          </cell>
          <cell r="P639">
            <v>0</v>
          </cell>
          <cell r="Q639">
            <v>2056902</v>
          </cell>
          <cell r="R639"/>
          <cell r="S639">
            <v>0</v>
          </cell>
          <cell r="T639">
            <v>-1282454</v>
          </cell>
          <cell r="U639">
            <v>-1282454</v>
          </cell>
        </row>
        <row r="640">
          <cell r="A640">
            <v>97011</v>
          </cell>
          <cell r="B640" t="str">
            <v>ELIZABETH CITY</v>
          </cell>
          <cell r="C640">
            <v>1.9166999999999999E-3</v>
          </cell>
          <cell r="D640">
            <v>1.9522999999999999E-3</v>
          </cell>
          <cell r="E640">
            <v>907458</v>
          </cell>
          <cell r="F640">
            <v>4143435</v>
          </cell>
          <cell r="G640">
            <v>2928187</v>
          </cell>
          <cell r="H640"/>
          <cell r="I640">
            <v>168691</v>
          </cell>
          <cell r="J640">
            <v>710967</v>
          </cell>
          <cell r="K640">
            <v>418186</v>
          </cell>
          <cell r="L640">
            <v>0</v>
          </cell>
          <cell r="M640"/>
          <cell r="N640">
            <v>82888</v>
          </cell>
          <cell r="O640">
            <v>0</v>
          </cell>
          <cell r="P640">
            <v>0</v>
          </cell>
          <cell r="Q640">
            <v>92552</v>
          </cell>
          <cell r="R640"/>
          <cell r="S640">
            <v>986801</v>
          </cell>
          <cell r="T640">
            <v>-38711</v>
          </cell>
          <cell r="U640">
            <v>948090</v>
          </cell>
        </row>
        <row r="641">
          <cell r="A641">
            <v>97012</v>
          </cell>
          <cell r="B641" t="str">
            <v>ELIZABETH CITY-PASQUOTANK CO AIRPORT AUTH</v>
          </cell>
          <cell r="C641">
            <v>2.9499999999999999E-5</v>
          </cell>
          <cell r="D641">
            <v>2.4499999999999999E-5</v>
          </cell>
          <cell r="E641">
            <v>12375</v>
          </cell>
          <cell r="F641">
            <v>51997</v>
          </cell>
          <cell r="G641">
            <v>45068</v>
          </cell>
          <cell r="H641"/>
          <cell r="I641">
            <v>2596</v>
          </cell>
          <cell r="J641">
            <v>10942</v>
          </cell>
          <cell r="K641">
            <v>6436</v>
          </cell>
          <cell r="L641">
            <v>4949</v>
          </cell>
          <cell r="M641"/>
          <cell r="N641">
            <v>1276</v>
          </cell>
          <cell r="O641">
            <v>0</v>
          </cell>
          <cell r="P641">
            <v>0</v>
          </cell>
          <cell r="Q641">
            <v>1149</v>
          </cell>
          <cell r="R641"/>
          <cell r="S641">
            <v>15188</v>
          </cell>
          <cell r="T641">
            <v>752</v>
          </cell>
          <cell r="U641">
            <v>15940</v>
          </cell>
        </row>
        <row r="642">
          <cell r="A642">
            <v>97013</v>
          </cell>
          <cell r="B642" t="str">
            <v>ELIZABETH CITY PASQUOTANK COUNTY TDA</v>
          </cell>
          <cell r="C642">
            <v>1.8199999999999999E-5</v>
          </cell>
          <cell r="D642">
            <v>2.0699999999999998E-5</v>
          </cell>
          <cell r="E642">
            <v>11433</v>
          </cell>
          <cell r="F642">
            <v>43932</v>
          </cell>
          <cell r="G642">
            <v>27805</v>
          </cell>
          <cell r="H642"/>
          <cell r="I642">
            <v>1602</v>
          </cell>
          <cell r="J642">
            <v>6751</v>
          </cell>
          <cell r="K642">
            <v>3971</v>
          </cell>
          <cell r="L642">
            <v>6233</v>
          </cell>
          <cell r="M642"/>
          <cell r="N642">
            <v>787</v>
          </cell>
          <cell r="O642">
            <v>0</v>
          </cell>
          <cell r="P642">
            <v>0</v>
          </cell>
          <cell r="Q642">
            <v>431</v>
          </cell>
          <cell r="R642"/>
          <cell r="S642">
            <v>9370</v>
          </cell>
          <cell r="T642">
            <v>2046</v>
          </cell>
          <cell r="U642">
            <v>11416</v>
          </cell>
        </row>
        <row r="643">
          <cell r="A643">
            <v>97015</v>
          </cell>
          <cell r="B643" t="str">
            <v>PASQUOTANK-CAMDEN LIBRARY</v>
          </cell>
          <cell r="C643">
            <v>4.1499999999999999E-5</v>
          </cell>
          <cell r="D643">
            <v>5.3699999999999997E-5</v>
          </cell>
          <cell r="E643">
            <v>23036</v>
          </cell>
          <cell r="F643">
            <v>113969</v>
          </cell>
          <cell r="G643">
            <v>63401</v>
          </cell>
          <cell r="H643"/>
          <cell r="I643">
            <v>3652</v>
          </cell>
          <cell r="J643">
            <v>15394</v>
          </cell>
          <cell r="K643">
            <v>9054</v>
          </cell>
          <cell r="L643">
            <v>4608</v>
          </cell>
          <cell r="M643"/>
          <cell r="N643">
            <v>1795</v>
          </cell>
          <cell r="O643">
            <v>0</v>
          </cell>
          <cell r="P643">
            <v>0</v>
          </cell>
          <cell r="Q643">
            <v>5783</v>
          </cell>
          <cell r="R643"/>
          <cell r="S643">
            <v>21366</v>
          </cell>
          <cell r="T643">
            <v>26</v>
          </cell>
          <cell r="U643">
            <v>21392</v>
          </cell>
        </row>
        <row r="644">
          <cell r="A644">
            <v>97018</v>
          </cell>
          <cell r="B644" t="str">
            <v>ELIZABETH CTY-PASQUOTANK CO INDUSTRL DEVELOPMENT C</v>
          </cell>
          <cell r="C644">
            <v>8.6000000000000007E-6</v>
          </cell>
          <cell r="D644">
            <v>9.3999999999999998E-6</v>
          </cell>
          <cell r="E644">
            <v>8135</v>
          </cell>
          <cell r="F644">
            <v>19950</v>
          </cell>
          <cell r="G644">
            <v>13138</v>
          </cell>
          <cell r="H644"/>
          <cell r="I644">
            <v>757</v>
          </cell>
          <cell r="J644">
            <v>3190</v>
          </cell>
          <cell r="K644">
            <v>1876</v>
          </cell>
          <cell r="L644">
            <v>6833</v>
          </cell>
          <cell r="M644"/>
          <cell r="N644">
            <v>372</v>
          </cell>
          <cell r="O644">
            <v>0</v>
          </cell>
          <cell r="P644">
            <v>0</v>
          </cell>
          <cell r="Q644">
            <v>0</v>
          </cell>
          <cell r="R644"/>
          <cell r="S644">
            <v>4428</v>
          </cell>
          <cell r="T644">
            <v>2806</v>
          </cell>
          <cell r="U644">
            <v>7234</v>
          </cell>
        </row>
        <row r="645">
          <cell r="A645">
            <v>97101</v>
          </cell>
          <cell r="B645" t="str">
            <v>PENDER COUNTY</v>
          </cell>
          <cell r="C645">
            <v>2.5790000000000001E-3</v>
          </cell>
          <cell r="D645">
            <v>2.6029E-3</v>
          </cell>
          <cell r="E645">
            <v>1208500</v>
          </cell>
          <cell r="F645">
            <v>5524226</v>
          </cell>
          <cell r="G645">
            <v>3939998</v>
          </cell>
          <cell r="H645"/>
          <cell r="I645">
            <v>226980</v>
          </cell>
          <cell r="J645">
            <v>956636</v>
          </cell>
          <cell r="K645">
            <v>562686</v>
          </cell>
          <cell r="L645">
            <v>22549</v>
          </cell>
          <cell r="M645"/>
          <cell r="N645">
            <v>111529</v>
          </cell>
          <cell r="O645">
            <v>0</v>
          </cell>
          <cell r="P645">
            <v>0</v>
          </cell>
          <cell r="Q645">
            <v>6937</v>
          </cell>
          <cell r="R645"/>
          <cell r="S645">
            <v>1327783</v>
          </cell>
          <cell r="T645">
            <v>3541</v>
          </cell>
          <cell r="U645">
            <v>1331324</v>
          </cell>
        </row>
        <row r="646">
          <cell r="A646">
            <v>97104</v>
          </cell>
          <cell r="B646" t="str">
            <v>PENDER COUNTY ABC BOARD</v>
          </cell>
          <cell r="C646">
            <v>5.4299999999999998E-5</v>
          </cell>
          <cell r="D646">
            <v>5.6799999999999998E-5</v>
          </cell>
          <cell r="E646">
            <v>29147</v>
          </cell>
          <cell r="F646">
            <v>120549</v>
          </cell>
          <cell r="G646">
            <v>82955</v>
          </cell>
          <cell r="H646"/>
          <cell r="I646">
            <v>4779</v>
          </cell>
          <cell r="J646">
            <v>20142</v>
          </cell>
          <cell r="K646">
            <v>11847</v>
          </cell>
          <cell r="L646">
            <v>11700</v>
          </cell>
          <cell r="M646"/>
          <cell r="N646">
            <v>2348</v>
          </cell>
          <cell r="O646">
            <v>0</v>
          </cell>
          <cell r="P646">
            <v>0</v>
          </cell>
          <cell r="Q646">
            <v>0</v>
          </cell>
          <cell r="R646"/>
          <cell r="S646">
            <v>27956</v>
          </cell>
          <cell r="T646">
            <v>6133</v>
          </cell>
          <cell r="U646">
            <v>34089</v>
          </cell>
        </row>
        <row r="647">
          <cell r="A647">
            <v>97111</v>
          </cell>
          <cell r="B647" t="str">
            <v>TOWN OF BURGAW</v>
          </cell>
          <cell r="C647">
            <v>2.8200000000000002E-4</v>
          </cell>
          <cell r="D647">
            <v>2.7099999999999997E-4</v>
          </cell>
          <cell r="E647">
            <v>108871</v>
          </cell>
          <cell r="F647">
            <v>575153</v>
          </cell>
          <cell r="G647">
            <v>430818</v>
          </cell>
          <cell r="H647"/>
          <cell r="I647">
            <v>24819</v>
          </cell>
          <cell r="J647">
            <v>104603</v>
          </cell>
          <cell r="K647">
            <v>61527</v>
          </cell>
          <cell r="L647">
            <v>7621</v>
          </cell>
          <cell r="M647"/>
          <cell r="N647">
            <v>12195</v>
          </cell>
          <cell r="O647">
            <v>0</v>
          </cell>
          <cell r="P647">
            <v>0</v>
          </cell>
          <cell r="Q647">
            <v>20335</v>
          </cell>
          <cell r="R647"/>
          <cell r="S647">
            <v>145186</v>
          </cell>
          <cell r="T647">
            <v>-1416</v>
          </cell>
          <cell r="U647">
            <v>143770</v>
          </cell>
        </row>
        <row r="648">
          <cell r="A648">
            <v>97121</v>
          </cell>
          <cell r="B648" t="str">
            <v>TOWN OF TOPSAIL BEACH</v>
          </cell>
          <cell r="C648">
            <v>1.3640000000000001E-4</v>
          </cell>
          <cell r="D648">
            <v>1.2070000000000001E-4</v>
          </cell>
          <cell r="E648">
            <v>66522</v>
          </cell>
          <cell r="F648">
            <v>256166</v>
          </cell>
          <cell r="G648">
            <v>208381</v>
          </cell>
          <cell r="H648"/>
          <cell r="I648">
            <v>12005</v>
          </cell>
          <cell r="J648">
            <v>50595</v>
          </cell>
          <cell r="K648">
            <v>29760</v>
          </cell>
          <cell r="L648">
            <v>13649</v>
          </cell>
          <cell r="M648"/>
          <cell r="N648">
            <v>5899</v>
          </cell>
          <cell r="O648">
            <v>0</v>
          </cell>
          <cell r="P648">
            <v>0</v>
          </cell>
          <cell r="Q648">
            <v>10026</v>
          </cell>
          <cell r="R648"/>
          <cell r="S648">
            <v>70225</v>
          </cell>
          <cell r="T648">
            <v>-1103</v>
          </cell>
          <cell r="U648">
            <v>69122</v>
          </cell>
        </row>
        <row r="649">
          <cell r="A649">
            <v>97131</v>
          </cell>
          <cell r="B649" t="str">
            <v>TOWN OF SURF CITY</v>
          </cell>
          <cell r="C649">
            <v>7.358E-4</v>
          </cell>
          <cell r="D649">
            <v>6.2969999999999996E-4</v>
          </cell>
          <cell r="E649">
            <v>280483</v>
          </cell>
          <cell r="F649">
            <v>1336434</v>
          </cell>
          <cell r="G649">
            <v>1124099</v>
          </cell>
          <cell r="H649"/>
          <cell r="I649">
            <v>64758</v>
          </cell>
          <cell r="J649">
            <v>272933</v>
          </cell>
          <cell r="K649">
            <v>160537</v>
          </cell>
          <cell r="L649">
            <v>29703</v>
          </cell>
          <cell r="M649"/>
          <cell r="N649">
            <v>31820</v>
          </cell>
          <cell r="O649">
            <v>0</v>
          </cell>
          <cell r="P649">
            <v>0</v>
          </cell>
          <cell r="Q649">
            <v>2383</v>
          </cell>
          <cell r="R649"/>
          <cell r="S649">
            <v>378822</v>
          </cell>
          <cell r="T649">
            <v>7857</v>
          </cell>
          <cell r="U649">
            <v>386679</v>
          </cell>
        </row>
        <row r="650">
          <cell r="A650">
            <v>97201</v>
          </cell>
          <cell r="B650" t="str">
            <v>PERQUIMANS COUNTY</v>
          </cell>
          <cell r="C650">
            <v>5.2689999999999996E-4</v>
          </cell>
          <cell r="D650">
            <v>4.9439999999999998E-4</v>
          </cell>
          <cell r="E650">
            <v>248232</v>
          </cell>
          <cell r="F650">
            <v>1049282</v>
          </cell>
          <cell r="G650">
            <v>804957</v>
          </cell>
          <cell r="H650"/>
          <cell r="I650">
            <v>46373</v>
          </cell>
          <cell r="J650">
            <v>195445</v>
          </cell>
          <cell r="K650">
            <v>114959</v>
          </cell>
          <cell r="L650">
            <v>43529</v>
          </cell>
          <cell r="M650"/>
          <cell r="N650">
            <v>22786</v>
          </cell>
          <cell r="O650">
            <v>0</v>
          </cell>
          <cell r="P650">
            <v>0</v>
          </cell>
          <cell r="Q650">
            <v>1877</v>
          </cell>
          <cell r="R650"/>
          <cell r="S650">
            <v>271271</v>
          </cell>
          <cell r="T650">
            <v>10950</v>
          </cell>
          <cell r="U650">
            <v>282221</v>
          </cell>
        </row>
        <row r="651">
          <cell r="A651">
            <v>97211</v>
          </cell>
          <cell r="B651" t="str">
            <v>TOWN OF HERTFORD</v>
          </cell>
          <cell r="C651">
            <v>1.5980000000000001E-4</v>
          </cell>
          <cell r="D651">
            <v>1.4119999999999999E-4</v>
          </cell>
          <cell r="E651">
            <v>74902</v>
          </cell>
          <cell r="F651">
            <v>299674</v>
          </cell>
          <cell r="G651">
            <v>244130</v>
          </cell>
          <cell r="H651"/>
          <cell r="I651">
            <v>14064</v>
          </cell>
          <cell r="J651">
            <v>59275</v>
          </cell>
          <cell r="K651">
            <v>34865</v>
          </cell>
          <cell r="L651">
            <v>16009</v>
          </cell>
          <cell r="M651"/>
          <cell r="N651">
            <v>6911</v>
          </cell>
          <cell r="O651">
            <v>0</v>
          </cell>
          <cell r="P651">
            <v>0</v>
          </cell>
          <cell r="Q651">
            <v>12120</v>
          </cell>
          <cell r="R651"/>
          <cell r="S651">
            <v>82272</v>
          </cell>
          <cell r="T651">
            <v>347</v>
          </cell>
          <cell r="U651">
            <v>82619</v>
          </cell>
        </row>
        <row r="652">
          <cell r="A652">
            <v>97213</v>
          </cell>
          <cell r="B652" t="str">
            <v>HERTFORD HOUSING AUTH</v>
          </cell>
          <cell r="C652">
            <v>3.9100000000000002E-5</v>
          </cell>
          <cell r="D652">
            <v>3.8300000000000003E-5</v>
          </cell>
          <cell r="E652">
            <v>24680</v>
          </cell>
          <cell r="F652">
            <v>81285</v>
          </cell>
          <cell r="G652">
            <v>59734</v>
          </cell>
          <cell r="H652"/>
          <cell r="I652">
            <v>3441</v>
          </cell>
          <cell r="J652">
            <v>14504</v>
          </cell>
          <cell r="K652">
            <v>8531</v>
          </cell>
          <cell r="L652">
            <v>6715</v>
          </cell>
          <cell r="M652"/>
          <cell r="N652">
            <v>1691</v>
          </cell>
          <cell r="O652">
            <v>0</v>
          </cell>
          <cell r="P652">
            <v>0</v>
          </cell>
          <cell r="Q652">
            <v>495</v>
          </cell>
          <cell r="R652"/>
          <cell r="S652">
            <v>20130</v>
          </cell>
          <cell r="T652">
            <v>2057</v>
          </cell>
          <cell r="U652">
            <v>22187</v>
          </cell>
        </row>
        <row r="653">
          <cell r="A653">
            <v>97217</v>
          </cell>
          <cell r="B653" t="str">
            <v>TOWN OF HERTFORD ABC BOARD</v>
          </cell>
          <cell r="C653">
            <v>4.6E-6</v>
          </cell>
          <cell r="D653">
            <v>4.8999999999999997E-6</v>
          </cell>
          <cell r="E653">
            <v>6890</v>
          </cell>
          <cell r="F653">
            <v>10399</v>
          </cell>
          <cell r="G653">
            <v>7028</v>
          </cell>
          <cell r="H653"/>
          <cell r="I653">
            <v>405</v>
          </cell>
          <cell r="J653">
            <v>1706</v>
          </cell>
          <cell r="K653">
            <v>1004</v>
          </cell>
          <cell r="L653">
            <v>8215</v>
          </cell>
          <cell r="M653"/>
          <cell r="N653">
            <v>199</v>
          </cell>
          <cell r="O653">
            <v>0</v>
          </cell>
          <cell r="P653">
            <v>0</v>
          </cell>
          <cell r="Q653">
            <v>0</v>
          </cell>
          <cell r="R653"/>
          <cell r="S653">
            <v>2368</v>
          </cell>
          <cell r="T653">
            <v>3286</v>
          </cell>
          <cell r="U653">
            <v>5654</v>
          </cell>
        </row>
        <row r="654">
          <cell r="A654">
            <v>97221</v>
          </cell>
          <cell r="B654" t="str">
            <v>TOWN OF WINFALL</v>
          </cell>
          <cell r="C654">
            <v>7.1999999999999997E-6</v>
          </cell>
          <cell r="D654">
            <v>6.1999999999999999E-6</v>
          </cell>
          <cell r="E654">
            <v>7778</v>
          </cell>
          <cell r="F654">
            <v>13158</v>
          </cell>
          <cell r="G654">
            <v>11000</v>
          </cell>
          <cell r="H654"/>
          <cell r="I654">
            <v>634</v>
          </cell>
          <cell r="J654">
            <v>2670</v>
          </cell>
          <cell r="K654">
            <v>1571</v>
          </cell>
          <cell r="L654">
            <v>8086</v>
          </cell>
          <cell r="M654"/>
          <cell r="N654">
            <v>311</v>
          </cell>
          <cell r="O654">
            <v>0</v>
          </cell>
          <cell r="P654">
            <v>0</v>
          </cell>
          <cell r="Q654">
            <v>0</v>
          </cell>
          <cell r="R654"/>
          <cell r="S654">
            <v>3707</v>
          </cell>
          <cell r="T654">
            <v>3119</v>
          </cell>
          <cell r="U654">
            <v>6826</v>
          </cell>
        </row>
        <row r="655">
          <cell r="A655">
            <v>97301</v>
          </cell>
          <cell r="B655" t="str">
            <v>PERSON COUNTY</v>
          </cell>
          <cell r="C655">
            <v>2.5135999999999999E-3</v>
          </cell>
          <cell r="D655">
            <v>2.5742E-3</v>
          </cell>
          <cell r="E655">
            <v>1186932</v>
          </cell>
          <cell r="F655">
            <v>5463315</v>
          </cell>
          <cell r="G655">
            <v>3840085</v>
          </cell>
          <cell r="H655"/>
          <cell r="I655">
            <v>221224</v>
          </cell>
          <cell r="J655">
            <v>932377</v>
          </cell>
          <cell r="K655">
            <v>548417</v>
          </cell>
          <cell r="L655">
            <v>23710</v>
          </cell>
          <cell r="M655"/>
          <cell r="N655">
            <v>108701</v>
          </cell>
          <cell r="O655">
            <v>0</v>
          </cell>
          <cell r="P655">
            <v>0</v>
          </cell>
          <cell r="Q655">
            <v>56463</v>
          </cell>
          <cell r="R655"/>
          <cell r="S655">
            <v>1294112</v>
          </cell>
          <cell r="T655">
            <v>-10667</v>
          </cell>
          <cell r="U655">
            <v>1283445</v>
          </cell>
        </row>
        <row r="656">
          <cell r="A656">
            <v>97304</v>
          </cell>
          <cell r="B656" t="str">
            <v>PERSON CO ABC BD</v>
          </cell>
          <cell r="C656">
            <v>1.6799999999999998E-5</v>
          </cell>
          <cell r="D656">
            <v>1.7600000000000001E-5</v>
          </cell>
          <cell r="E656">
            <v>13382</v>
          </cell>
          <cell r="F656">
            <v>37353</v>
          </cell>
          <cell r="G656">
            <v>25666</v>
          </cell>
          <cell r="H656"/>
          <cell r="I656">
            <v>1479</v>
          </cell>
          <cell r="J656">
            <v>6232</v>
          </cell>
          <cell r="K656">
            <v>3665</v>
          </cell>
          <cell r="L656">
            <v>8739</v>
          </cell>
          <cell r="M656"/>
          <cell r="N656">
            <v>727</v>
          </cell>
          <cell r="O656">
            <v>0</v>
          </cell>
          <cell r="P656">
            <v>0</v>
          </cell>
          <cell r="Q656">
            <v>0</v>
          </cell>
          <cell r="R656"/>
          <cell r="S656">
            <v>8649</v>
          </cell>
          <cell r="T656">
            <v>3503</v>
          </cell>
          <cell r="U656">
            <v>12152</v>
          </cell>
        </row>
        <row r="657">
          <cell r="A657">
            <v>97311</v>
          </cell>
          <cell r="B657" t="str">
            <v>CITY OF ROXBORO</v>
          </cell>
          <cell r="C657">
            <v>9.1799999999999998E-4</v>
          </cell>
          <cell r="D657">
            <v>9.5E-4</v>
          </cell>
          <cell r="E657">
            <v>407124</v>
          </cell>
          <cell r="F657">
            <v>2016218</v>
          </cell>
          <cell r="G657">
            <v>1402450</v>
          </cell>
          <cell r="H657"/>
          <cell r="I657">
            <v>80794</v>
          </cell>
          <cell r="J657">
            <v>340516</v>
          </cell>
          <cell r="K657">
            <v>200289</v>
          </cell>
          <cell r="L657">
            <v>0</v>
          </cell>
          <cell r="M657"/>
          <cell r="N657">
            <v>39699</v>
          </cell>
          <cell r="O657">
            <v>0</v>
          </cell>
          <cell r="P657">
            <v>0</v>
          </cell>
          <cell r="Q657">
            <v>96844</v>
          </cell>
          <cell r="R657"/>
          <cell r="S657">
            <v>472627</v>
          </cell>
          <cell r="T657">
            <v>-42048</v>
          </cell>
          <cell r="U657">
            <v>430579</v>
          </cell>
        </row>
        <row r="658">
          <cell r="A658">
            <v>97401</v>
          </cell>
          <cell r="B658" t="str">
            <v>PITT COUNTY</v>
          </cell>
          <cell r="C658">
            <v>7.1303E-3</v>
          </cell>
          <cell r="D658">
            <v>6.9633000000000004E-3</v>
          </cell>
          <cell r="E658">
            <v>3322669</v>
          </cell>
          <cell r="F658">
            <v>14778455</v>
          </cell>
          <cell r="G658">
            <v>10893123</v>
          </cell>
          <cell r="H658"/>
          <cell r="I658">
            <v>627545</v>
          </cell>
          <cell r="J658">
            <v>2644864</v>
          </cell>
          <cell r="K658">
            <v>1555689</v>
          </cell>
          <cell r="L658">
            <v>151378</v>
          </cell>
          <cell r="M658"/>
          <cell r="N658">
            <v>308350</v>
          </cell>
          <cell r="O658">
            <v>0</v>
          </cell>
          <cell r="P658">
            <v>0</v>
          </cell>
          <cell r="Q658">
            <v>83194</v>
          </cell>
          <cell r="R658"/>
          <cell r="S658">
            <v>3670992</v>
          </cell>
          <cell r="T658">
            <v>-21617</v>
          </cell>
          <cell r="U658">
            <v>3649375</v>
          </cell>
        </row>
        <row r="659">
          <cell r="A659">
            <v>97402</v>
          </cell>
          <cell r="B659" t="str">
            <v>PITT-GREENVILLE CONV &amp; VISTORS</v>
          </cell>
          <cell r="C659">
            <v>4.8000000000000001E-5</v>
          </cell>
          <cell r="D659">
            <v>4.4700000000000002E-5</v>
          </cell>
          <cell r="E659">
            <v>25207</v>
          </cell>
          <cell r="F659">
            <v>94868</v>
          </cell>
          <cell r="G659">
            <v>73331</v>
          </cell>
          <cell r="H659"/>
          <cell r="I659">
            <v>4225</v>
          </cell>
          <cell r="J659">
            <v>17804</v>
          </cell>
          <cell r="K659">
            <v>10473</v>
          </cell>
          <cell r="L659">
            <v>15704</v>
          </cell>
          <cell r="M659"/>
          <cell r="N659">
            <v>2076</v>
          </cell>
          <cell r="O659">
            <v>0</v>
          </cell>
          <cell r="P659">
            <v>0</v>
          </cell>
          <cell r="Q659">
            <v>0</v>
          </cell>
          <cell r="R659"/>
          <cell r="S659">
            <v>24713</v>
          </cell>
          <cell r="T659">
            <v>5283</v>
          </cell>
          <cell r="U659">
            <v>29996</v>
          </cell>
        </row>
        <row r="660">
          <cell r="A660">
            <v>97404</v>
          </cell>
          <cell r="B660" t="str">
            <v>PITT COUNTY ABC BOARD</v>
          </cell>
          <cell r="C660">
            <v>2.1010000000000001E-4</v>
          </cell>
          <cell r="D660">
            <v>2.1049999999999999E-4</v>
          </cell>
          <cell r="E660">
            <v>84649</v>
          </cell>
          <cell r="F660">
            <v>446752</v>
          </cell>
          <cell r="G660">
            <v>320975</v>
          </cell>
          <cell r="H660"/>
          <cell r="I660">
            <v>18491</v>
          </cell>
          <cell r="J660">
            <v>77933</v>
          </cell>
          <cell r="K660">
            <v>45840</v>
          </cell>
          <cell r="L660">
            <v>983</v>
          </cell>
          <cell r="M660"/>
          <cell r="N660">
            <v>9086</v>
          </cell>
          <cell r="O660">
            <v>0</v>
          </cell>
          <cell r="P660">
            <v>0</v>
          </cell>
          <cell r="Q660">
            <v>21173</v>
          </cell>
          <cell r="R660"/>
          <cell r="S660">
            <v>108169</v>
          </cell>
          <cell r="T660">
            <v>-6084</v>
          </cell>
          <cell r="U660">
            <v>102085</v>
          </cell>
        </row>
        <row r="661">
          <cell r="A661">
            <v>97405</v>
          </cell>
          <cell r="B661" t="str">
            <v>SHEPPARD MEMORIAL LIBRARY</v>
          </cell>
          <cell r="C661">
            <v>1.091E-4</v>
          </cell>
          <cell r="D661">
            <v>1.087E-4</v>
          </cell>
          <cell r="E661">
            <v>65706</v>
          </cell>
          <cell r="F661">
            <v>230698</v>
          </cell>
          <cell r="G661">
            <v>166675</v>
          </cell>
          <cell r="H661"/>
          <cell r="I661">
            <v>9602</v>
          </cell>
          <cell r="J661">
            <v>40468</v>
          </cell>
          <cell r="K661">
            <v>23803</v>
          </cell>
          <cell r="L661">
            <v>26973</v>
          </cell>
          <cell r="M661"/>
          <cell r="N661">
            <v>4718</v>
          </cell>
          <cell r="O661">
            <v>0</v>
          </cell>
          <cell r="P661">
            <v>0</v>
          </cell>
          <cell r="Q661">
            <v>4890</v>
          </cell>
          <cell r="R661"/>
          <cell r="S661">
            <v>56169</v>
          </cell>
          <cell r="T661">
            <v>4747</v>
          </cell>
          <cell r="U661">
            <v>60916</v>
          </cell>
        </row>
        <row r="662">
          <cell r="A662">
            <v>97408</v>
          </cell>
          <cell r="B662" t="str">
            <v>CONTENNEA METROPOLITAN SEWERAGE DIST</v>
          </cell>
          <cell r="C662">
            <v>4.4499999999999997E-5</v>
          </cell>
          <cell r="D662">
            <v>4.9299999999999999E-5</v>
          </cell>
          <cell r="E662">
            <v>27499</v>
          </cell>
          <cell r="F662">
            <v>104631</v>
          </cell>
          <cell r="G662">
            <v>67984</v>
          </cell>
          <cell r="H662"/>
          <cell r="I662">
            <v>3916</v>
          </cell>
          <cell r="J662">
            <v>16507</v>
          </cell>
          <cell r="K662">
            <v>9709</v>
          </cell>
          <cell r="L662">
            <v>7648</v>
          </cell>
          <cell r="M662"/>
          <cell r="N662">
            <v>1924</v>
          </cell>
          <cell r="O662">
            <v>0</v>
          </cell>
          <cell r="P662">
            <v>0</v>
          </cell>
          <cell r="Q662">
            <v>0</v>
          </cell>
          <cell r="R662"/>
          <cell r="S662">
            <v>22911</v>
          </cell>
          <cell r="T662">
            <v>2984</v>
          </cell>
          <cell r="U662">
            <v>25895</v>
          </cell>
        </row>
        <row r="663">
          <cell r="A663">
            <v>97411</v>
          </cell>
          <cell r="B663" t="str">
            <v>CITY OF GREENVILLE</v>
          </cell>
          <cell r="C663">
            <v>6.6379000000000004E-3</v>
          </cell>
          <cell r="D663">
            <v>6.7269000000000001E-3</v>
          </cell>
          <cell r="E663">
            <v>2979173</v>
          </cell>
          <cell r="F663">
            <v>14276735</v>
          </cell>
          <cell r="G663">
            <v>10140873</v>
          </cell>
          <cell r="H663"/>
          <cell r="I663">
            <v>584208</v>
          </cell>
          <cell r="J663">
            <v>2462217</v>
          </cell>
          <cell r="K663">
            <v>1448257</v>
          </cell>
          <cell r="L663">
            <v>0</v>
          </cell>
          <cell r="M663"/>
          <cell r="N663">
            <v>287056</v>
          </cell>
          <cell r="O663">
            <v>0</v>
          </cell>
          <cell r="P663">
            <v>0</v>
          </cell>
          <cell r="Q663">
            <v>679489</v>
          </cell>
          <cell r="R663"/>
          <cell r="S663">
            <v>3417483</v>
          </cell>
          <cell r="T663">
            <v>-317873</v>
          </cell>
          <cell r="U663">
            <v>3099610</v>
          </cell>
        </row>
        <row r="664">
          <cell r="A664">
            <v>97412</v>
          </cell>
          <cell r="B664" t="str">
            <v>GREENVILLE UTILITIES COMMISSION</v>
          </cell>
          <cell r="C664">
            <v>4.5082000000000004E-3</v>
          </cell>
          <cell r="D664">
            <v>4.424E-3</v>
          </cell>
          <cell r="E664">
            <v>2155644</v>
          </cell>
          <cell r="F664">
            <v>9389210</v>
          </cell>
          <cell r="G664">
            <v>6887281</v>
          </cell>
          <cell r="H664"/>
          <cell r="I664">
            <v>396771</v>
          </cell>
          <cell r="J664">
            <v>1672240</v>
          </cell>
          <cell r="K664">
            <v>983599</v>
          </cell>
          <cell r="L664">
            <v>229685</v>
          </cell>
          <cell r="M664"/>
          <cell r="N664">
            <v>194957</v>
          </cell>
          <cell r="O664">
            <v>0</v>
          </cell>
          <cell r="P664">
            <v>0</v>
          </cell>
          <cell r="Q664">
            <v>0</v>
          </cell>
          <cell r="R664"/>
          <cell r="S664">
            <v>2321020</v>
          </cell>
          <cell r="T664">
            <v>85525</v>
          </cell>
          <cell r="U664">
            <v>2406545</v>
          </cell>
        </row>
        <row r="665">
          <cell r="A665">
            <v>97413</v>
          </cell>
          <cell r="B665" t="str">
            <v>GREENVILLE HOUSING AUTHORITY</v>
          </cell>
          <cell r="C665">
            <v>2.6570000000000001E-4</v>
          </cell>
          <cell r="D665">
            <v>2.7910000000000001E-4</v>
          </cell>
          <cell r="E665">
            <v>140809</v>
          </cell>
          <cell r="F665">
            <v>592344</v>
          </cell>
          <cell r="G665">
            <v>405916</v>
          </cell>
          <cell r="H665"/>
          <cell r="I665">
            <v>23385</v>
          </cell>
          <cell r="J665">
            <v>98557</v>
          </cell>
          <cell r="K665">
            <v>57970</v>
          </cell>
          <cell r="L665">
            <v>7437</v>
          </cell>
          <cell r="M665"/>
          <cell r="N665">
            <v>11490</v>
          </cell>
          <cell r="O665">
            <v>0</v>
          </cell>
          <cell r="P665">
            <v>0</v>
          </cell>
          <cell r="Q665">
            <v>5304</v>
          </cell>
          <cell r="R665"/>
          <cell r="S665">
            <v>136794</v>
          </cell>
          <cell r="T665">
            <v>-2913</v>
          </cell>
          <cell r="U665">
            <v>133881</v>
          </cell>
        </row>
        <row r="666">
          <cell r="A666">
            <v>97421</v>
          </cell>
          <cell r="B666" t="str">
            <v>TOWN OF FARMVILLE</v>
          </cell>
          <cell r="C666">
            <v>4.2890000000000002E-4</v>
          </cell>
          <cell r="D666">
            <v>4.1120000000000002E-4</v>
          </cell>
          <cell r="E666">
            <v>192261</v>
          </cell>
          <cell r="F666">
            <v>872704</v>
          </cell>
          <cell r="G666">
            <v>655240</v>
          </cell>
          <cell r="H666"/>
          <cell r="I666">
            <v>37748</v>
          </cell>
          <cell r="J666">
            <v>159093</v>
          </cell>
          <cell r="K666">
            <v>93577</v>
          </cell>
          <cell r="L666">
            <v>8155</v>
          </cell>
          <cell r="M666"/>
          <cell r="N666">
            <v>18548</v>
          </cell>
          <cell r="O666">
            <v>0</v>
          </cell>
          <cell r="P666">
            <v>0</v>
          </cell>
          <cell r="Q666">
            <v>24127</v>
          </cell>
          <cell r="R666"/>
          <cell r="S666">
            <v>220817</v>
          </cell>
          <cell r="T666">
            <v>-14066</v>
          </cell>
          <cell r="U666">
            <v>206751</v>
          </cell>
        </row>
        <row r="667">
          <cell r="A667">
            <v>97423</v>
          </cell>
          <cell r="B667" t="str">
            <v>FARMVILLE HOUSING AUTHORITY</v>
          </cell>
          <cell r="C667">
            <v>4.3600000000000003E-5</v>
          </cell>
          <cell r="D667">
            <v>4.5800000000000002E-5</v>
          </cell>
          <cell r="E667">
            <v>42976</v>
          </cell>
          <cell r="F667">
            <v>97203</v>
          </cell>
          <cell r="G667">
            <v>66609</v>
          </cell>
          <cell r="H667"/>
          <cell r="I667">
            <v>3837</v>
          </cell>
          <cell r="J667">
            <v>16173</v>
          </cell>
          <cell r="K667">
            <v>9513</v>
          </cell>
          <cell r="L667">
            <v>35421</v>
          </cell>
          <cell r="M667"/>
          <cell r="N667">
            <v>1885</v>
          </cell>
          <cell r="O667">
            <v>0</v>
          </cell>
          <cell r="P667">
            <v>0</v>
          </cell>
          <cell r="Q667">
            <v>0</v>
          </cell>
          <cell r="R667"/>
          <cell r="S667">
            <v>22447</v>
          </cell>
          <cell r="T667">
            <v>12225</v>
          </cell>
          <cell r="U667">
            <v>34672</v>
          </cell>
        </row>
        <row r="668">
          <cell r="A668">
            <v>97431</v>
          </cell>
          <cell r="B668" t="str">
            <v>TOWN OF GRIFTON</v>
          </cell>
          <cell r="C668">
            <v>8.5599999999999994E-5</v>
          </cell>
          <cell r="D668">
            <v>8.5199999999999997E-5</v>
          </cell>
          <cell r="E668">
            <v>44546</v>
          </cell>
          <cell r="F668">
            <v>180823</v>
          </cell>
          <cell r="G668">
            <v>130773</v>
          </cell>
          <cell r="H668"/>
          <cell r="I668">
            <v>7534</v>
          </cell>
          <cell r="J668">
            <v>31751</v>
          </cell>
          <cell r="K668">
            <v>18676</v>
          </cell>
          <cell r="L668">
            <v>6440</v>
          </cell>
          <cell r="M668"/>
          <cell r="N668">
            <v>3702</v>
          </cell>
          <cell r="O668">
            <v>0</v>
          </cell>
          <cell r="P668">
            <v>0</v>
          </cell>
          <cell r="Q668">
            <v>0</v>
          </cell>
          <cell r="R668"/>
          <cell r="S668">
            <v>44071</v>
          </cell>
          <cell r="T668">
            <v>2026</v>
          </cell>
          <cell r="U668">
            <v>46097</v>
          </cell>
        </row>
        <row r="669">
          <cell r="A669">
            <v>97441</v>
          </cell>
          <cell r="B669" t="str">
            <v>TOWN OF BETHEL</v>
          </cell>
          <cell r="C669">
            <v>7.5799999999999999E-5</v>
          </cell>
          <cell r="D669">
            <v>7.0500000000000006E-5</v>
          </cell>
          <cell r="E669">
            <v>25244</v>
          </cell>
          <cell r="F669">
            <v>149625</v>
          </cell>
          <cell r="G669">
            <v>115801</v>
          </cell>
          <cell r="H669"/>
          <cell r="I669">
            <v>6671</v>
          </cell>
          <cell r="J669">
            <v>28117</v>
          </cell>
          <cell r="K669">
            <v>16538</v>
          </cell>
          <cell r="L669">
            <v>202</v>
          </cell>
          <cell r="M669"/>
          <cell r="N669">
            <v>3278</v>
          </cell>
          <cell r="O669">
            <v>0</v>
          </cell>
          <cell r="P669">
            <v>0</v>
          </cell>
          <cell r="Q669">
            <v>7671</v>
          </cell>
          <cell r="R669"/>
          <cell r="S669">
            <v>39025</v>
          </cell>
          <cell r="T669">
            <v>-2235</v>
          </cell>
          <cell r="U669">
            <v>36790</v>
          </cell>
        </row>
        <row r="670">
          <cell r="A670">
            <v>97451</v>
          </cell>
          <cell r="B670" t="str">
            <v>TOWN OF WINTERVILLE</v>
          </cell>
          <cell r="C670">
            <v>5.5820000000000002E-4</v>
          </cell>
          <cell r="D670">
            <v>6.1039999999999998E-4</v>
          </cell>
          <cell r="E670">
            <v>245214</v>
          </cell>
          <cell r="F670">
            <v>1295473</v>
          </cell>
          <cell r="G670">
            <v>852775</v>
          </cell>
          <cell r="H670"/>
          <cell r="I670">
            <v>49128</v>
          </cell>
          <cell r="J670">
            <v>207055</v>
          </cell>
          <cell r="K670">
            <v>121788</v>
          </cell>
          <cell r="L670">
            <v>19770</v>
          </cell>
          <cell r="M670"/>
          <cell r="N670">
            <v>24139</v>
          </cell>
          <cell r="O670">
            <v>0</v>
          </cell>
          <cell r="P670">
            <v>0</v>
          </cell>
          <cell r="Q670">
            <v>47630</v>
          </cell>
          <cell r="R670"/>
          <cell r="S670">
            <v>287386</v>
          </cell>
          <cell r="T670">
            <v>-2772</v>
          </cell>
          <cell r="U670">
            <v>284614</v>
          </cell>
        </row>
        <row r="671">
          <cell r="A671">
            <v>97461</v>
          </cell>
          <cell r="B671" t="str">
            <v>TOWN OF AYDEN</v>
          </cell>
          <cell r="C671">
            <v>5.5650000000000003E-4</v>
          </cell>
          <cell r="D671">
            <v>5.1869999999999998E-4</v>
          </cell>
          <cell r="E671">
            <v>228350</v>
          </cell>
          <cell r="F671">
            <v>1100855</v>
          </cell>
          <cell r="G671">
            <v>850178</v>
          </cell>
          <cell r="H671"/>
          <cell r="I671">
            <v>48978</v>
          </cell>
          <cell r="J671">
            <v>206424</v>
          </cell>
          <cell r="K671">
            <v>121417</v>
          </cell>
          <cell r="L671">
            <v>5855</v>
          </cell>
          <cell r="M671"/>
          <cell r="N671">
            <v>24066</v>
          </cell>
          <cell r="O671">
            <v>0</v>
          </cell>
          <cell r="P671">
            <v>0</v>
          </cell>
          <cell r="Q671">
            <v>31609</v>
          </cell>
          <cell r="R671"/>
          <cell r="S671">
            <v>286511</v>
          </cell>
          <cell r="T671">
            <v>-11321</v>
          </cell>
          <cell r="U671">
            <v>275190</v>
          </cell>
        </row>
        <row r="672">
          <cell r="A672">
            <v>97463</v>
          </cell>
          <cell r="B672" t="str">
            <v>AYDEN HOUSING AUTHORITY</v>
          </cell>
          <cell r="C672">
            <v>4.1100000000000003E-5</v>
          </cell>
          <cell r="D672">
            <v>5.0099999999999998E-5</v>
          </cell>
          <cell r="E672">
            <v>16312</v>
          </cell>
          <cell r="F672">
            <v>106329</v>
          </cell>
          <cell r="G672">
            <v>62789</v>
          </cell>
          <cell r="H672"/>
          <cell r="I672">
            <v>3617</v>
          </cell>
          <cell r="J672">
            <v>15246</v>
          </cell>
          <cell r="K672">
            <v>8967</v>
          </cell>
          <cell r="L672">
            <v>1420</v>
          </cell>
          <cell r="M672"/>
          <cell r="N672">
            <v>1777</v>
          </cell>
          <cell r="O672">
            <v>0</v>
          </cell>
          <cell r="P672">
            <v>0</v>
          </cell>
          <cell r="Q672">
            <v>12499</v>
          </cell>
          <cell r="R672"/>
          <cell r="S672">
            <v>21160</v>
          </cell>
          <cell r="T672">
            <v>-2447</v>
          </cell>
          <cell r="U672">
            <v>18713</v>
          </cell>
        </row>
        <row r="673">
          <cell r="A673">
            <v>97471</v>
          </cell>
          <cell r="B673" t="str">
            <v>TOWN OF GRIMESLAND</v>
          </cell>
          <cell r="C673">
            <v>1.22E-5</v>
          </cell>
          <cell r="D673">
            <v>1.27E-5</v>
          </cell>
          <cell r="E673">
            <v>10247</v>
          </cell>
          <cell r="F673">
            <v>26954</v>
          </cell>
          <cell r="G673">
            <v>18638</v>
          </cell>
          <cell r="H673"/>
          <cell r="I673">
            <v>1074</v>
          </cell>
          <cell r="J673">
            <v>4526</v>
          </cell>
          <cell r="K673">
            <v>2662</v>
          </cell>
          <cell r="L673">
            <v>6770</v>
          </cell>
          <cell r="M673"/>
          <cell r="N673">
            <v>528</v>
          </cell>
          <cell r="O673">
            <v>0</v>
          </cell>
          <cell r="P673">
            <v>0</v>
          </cell>
          <cell r="Q673">
            <v>0</v>
          </cell>
          <cell r="R673"/>
          <cell r="S673">
            <v>6281</v>
          </cell>
          <cell r="T673">
            <v>2621</v>
          </cell>
          <cell r="U673">
            <v>8902</v>
          </cell>
        </row>
        <row r="674">
          <cell r="A674">
            <v>97481</v>
          </cell>
          <cell r="B674" t="str">
            <v>VILLAGE OF SIMPSON</v>
          </cell>
          <cell r="C674">
            <v>9.9000000000000001E-6</v>
          </cell>
          <cell r="D674">
            <v>1.63E-5</v>
          </cell>
          <cell r="E674">
            <v>6015</v>
          </cell>
          <cell r="F674">
            <v>34594</v>
          </cell>
          <cell r="G674">
            <v>15124</v>
          </cell>
          <cell r="H674"/>
          <cell r="I674">
            <v>871</v>
          </cell>
          <cell r="J674">
            <v>3672</v>
          </cell>
          <cell r="K674">
            <v>2160</v>
          </cell>
          <cell r="L674">
            <v>3592</v>
          </cell>
          <cell r="M674"/>
          <cell r="N674">
            <v>428</v>
          </cell>
          <cell r="O674">
            <v>0</v>
          </cell>
          <cell r="P674">
            <v>0</v>
          </cell>
          <cell r="Q674">
            <v>3115</v>
          </cell>
          <cell r="R674"/>
          <cell r="S674">
            <v>5097</v>
          </cell>
          <cell r="T674">
            <v>1594</v>
          </cell>
          <cell r="U674">
            <v>6691</v>
          </cell>
        </row>
        <row r="675">
          <cell r="A675">
            <v>97491</v>
          </cell>
          <cell r="B675" t="str">
            <v>FOUNTAIN, TOWN OF</v>
          </cell>
          <cell r="C675">
            <v>0</v>
          </cell>
          <cell r="D675">
            <v>0</v>
          </cell>
          <cell r="E675">
            <v>0</v>
          </cell>
          <cell r="F675">
            <v>0</v>
          </cell>
          <cell r="G675">
            <v>0</v>
          </cell>
          <cell r="H675"/>
          <cell r="I675">
            <v>0</v>
          </cell>
          <cell r="J675">
            <v>0</v>
          </cell>
          <cell r="K675">
            <v>0</v>
          </cell>
          <cell r="L675">
            <v>0</v>
          </cell>
          <cell r="M675"/>
          <cell r="N675">
            <v>0</v>
          </cell>
          <cell r="O675">
            <v>0</v>
          </cell>
          <cell r="P675">
            <v>0</v>
          </cell>
          <cell r="Q675">
            <v>7849</v>
          </cell>
          <cell r="R675"/>
          <cell r="S675">
            <v>0</v>
          </cell>
          <cell r="T675">
            <v>-4941</v>
          </cell>
          <cell r="U675">
            <v>-4941</v>
          </cell>
        </row>
        <row r="676">
          <cell r="A676">
            <v>97501</v>
          </cell>
          <cell r="B676" t="str">
            <v>POLK COUNTY</v>
          </cell>
          <cell r="C676">
            <v>1.1000999999999999E-3</v>
          </cell>
          <cell r="D676">
            <v>9.6730000000000004E-4</v>
          </cell>
          <cell r="E676">
            <v>517522</v>
          </cell>
          <cell r="F676">
            <v>2052935</v>
          </cell>
          <cell r="G676">
            <v>1680648</v>
          </cell>
          <cell r="H676"/>
          <cell r="I676">
            <v>96821</v>
          </cell>
          <cell r="J676">
            <v>408064</v>
          </cell>
          <cell r="K676">
            <v>240020</v>
          </cell>
          <cell r="L676">
            <v>125050</v>
          </cell>
          <cell r="M676"/>
          <cell r="N676">
            <v>47574</v>
          </cell>
          <cell r="O676">
            <v>0</v>
          </cell>
          <cell r="P676">
            <v>0</v>
          </cell>
          <cell r="Q676">
            <v>0</v>
          </cell>
          <cell r="R676"/>
          <cell r="S676">
            <v>566380</v>
          </cell>
          <cell r="T676">
            <v>44629</v>
          </cell>
          <cell r="U676">
            <v>611009</v>
          </cell>
        </row>
        <row r="677">
          <cell r="A677">
            <v>97511</v>
          </cell>
          <cell r="B677" t="str">
            <v>TOWN OF TRYON</v>
          </cell>
          <cell r="C677">
            <v>2.3450000000000001E-4</v>
          </cell>
          <cell r="D677">
            <v>2.3220000000000001E-4</v>
          </cell>
          <cell r="E677">
            <v>112044</v>
          </cell>
          <cell r="F677">
            <v>492806</v>
          </cell>
          <cell r="G677">
            <v>358251</v>
          </cell>
          <cell r="H677"/>
          <cell r="I677">
            <v>20639</v>
          </cell>
          <cell r="J677">
            <v>86984</v>
          </cell>
          <cell r="K677">
            <v>51163</v>
          </cell>
          <cell r="L677">
            <v>12835</v>
          </cell>
          <cell r="M677"/>
          <cell r="N677">
            <v>10141</v>
          </cell>
          <cell r="O677">
            <v>0</v>
          </cell>
          <cell r="P677">
            <v>0</v>
          </cell>
          <cell r="Q677">
            <v>844</v>
          </cell>
          <cell r="R677"/>
          <cell r="S677">
            <v>120731</v>
          </cell>
          <cell r="T677">
            <v>3795</v>
          </cell>
          <cell r="U677">
            <v>124526</v>
          </cell>
        </row>
        <row r="678">
          <cell r="A678">
            <v>97521</v>
          </cell>
          <cell r="B678" t="str">
            <v>TOWN OF COLUMBUS</v>
          </cell>
          <cell r="C678">
            <v>1.2870000000000001E-4</v>
          </cell>
          <cell r="D678">
            <v>1.293E-4</v>
          </cell>
          <cell r="E678">
            <v>56688</v>
          </cell>
          <cell r="F678">
            <v>274418</v>
          </cell>
          <cell r="G678">
            <v>196618</v>
          </cell>
          <cell r="H678"/>
          <cell r="I678">
            <v>11327</v>
          </cell>
          <cell r="J678">
            <v>47739</v>
          </cell>
          <cell r="K678">
            <v>28080</v>
          </cell>
          <cell r="L678">
            <v>2190</v>
          </cell>
          <cell r="M678"/>
          <cell r="N678">
            <v>5566</v>
          </cell>
          <cell r="O678">
            <v>0</v>
          </cell>
          <cell r="P678">
            <v>0</v>
          </cell>
          <cell r="Q678">
            <v>14589</v>
          </cell>
          <cell r="R678"/>
          <cell r="S678">
            <v>66260</v>
          </cell>
          <cell r="T678">
            <v>-3628</v>
          </cell>
          <cell r="U678">
            <v>62632</v>
          </cell>
        </row>
        <row r="679">
          <cell r="A679">
            <v>97531</v>
          </cell>
          <cell r="B679" t="str">
            <v>CITY OF SALUDA</v>
          </cell>
          <cell r="C679">
            <v>4.32E-5</v>
          </cell>
          <cell r="D679">
            <v>3.6300000000000001E-5</v>
          </cell>
          <cell r="E679">
            <v>25035</v>
          </cell>
          <cell r="F679">
            <v>77041</v>
          </cell>
          <cell r="G679">
            <v>65998</v>
          </cell>
          <cell r="H679"/>
          <cell r="I679">
            <v>3802</v>
          </cell>
          <cell r="J679">
            <v>16025</v>
          </cell>
          <cell r="K679">
            <v>9425</v>
          </cell>
          <cell r="L679">
            <v>11185</v>
          </cell>
          <cell r="M679"/>
          <cell r="N679">
            <v>1868</v>
          </cell>
          <cell r="O679">
            <v>0</v>
          </cell>
          <cell r="P679">
            <v>0</v>
          </cell>
          <cell r="Q679">
            <v>9052</v>
          </cell>
          <cell r="R679"/>
          <cell r="S679">
            <v>22241</v>
          </cell>
          <cell r="T679">
            <v>-2508</v>
          </cell>
          <cell r="U679">
            <v>19733</v>
          </cell>
        </row>
        <row r="680">
          <cell r="A680">
            <v>97601</v>
          </cell>
          <cell r="B680" t="str">
            <v>RANDOLPH COUNTY</v>
          </cell>
          <cell r="C680">
            <v>5.1672000000000003E-3</v>
          </cell>
          <cell r="D680">
            <v>4.7808E-3</v>
          </cell>
          <cell r="E680">
            <v>2287000</v>
          </cell>
          <cell r="F680">
            <v>10146459</v>
          </cell>
          <cell r="G680">
            <v>7894050</v>
          </cell>
          <cell r="H680"/>
          <cell r="I680">
            <v>454770</v>
          </cell>
          <cell r="J680">
            <v>1916685</v>
          </cell>
          <cell r="K680">
            <v>1127380</v>
          </cell>
          <cell r="L680">
            <v>190925</v>
          </cell>
          <cell r="M680"/>
          <cell r="N680">
            <v>223456</v>
          </cell>
          <cell r="O680">
            <v>0</v>
          </cell>
          <cell r="P680">
            <v>0</v>
          </cell>
          <cell r="Q680">
            <v>91443</v>
          </cell>
          <cell r="R680"/>
          <cell r="S680">
            <v>2660302</v>
          </cell>
          <cell r="T680">
            <v>1665</v>
          </cell>
          <cell r="U680">
            <v>2661967</v>
          </cell>
        </row>
        <row r="681">
          <cell r="A681">
            <v>97607</v>
          </cell>
          <cell r="B681" t="str">
            <v>ASHEBORO ABC BOARD</v>
          </cell>
          <cell r="C681">
            <v>2.3200000000000001E-5</v>
          </cell>
          <cell r="D681">
            <v>1.9199999999999999E-5</v>
          </cell>
          <cell r="E681">
            <v>17255</v>
          </cell>
          <cell r="F681">
            <v>40749</v>
          </cell>
          <cell r="G681">
            <v>35443</v>
          </cell>
          <cell r="H681"/>
          <cell r="I681">
            <v>2042</v>
          </cell>
          <cell r="J681">
            <v>8605</v>
          </cell>
          <cell r="K681">
            <v>5062</v>
          </cell>
          <cell r="L681">
            <v>13349</v>
          </cell>
          <cell r="M681"/>
          <cell r="N681">
            <v>1003</v>
          </cell>
          <cell r="O681">
            <v>0</v>
          </cell>
          <cell r="P681">
            <v>0</v>
          </cell>
          <cell r="Q681">
            <v>0</v>
          </cell>
          <cell r="R681"/>
          <cell r="S681">
            <v>11944</v>
          </cell>
          <cell r="T681">
            <v>5427</v>
          </cell>
          <cell r="U681">
            <v>17371</v>
          </cell>
        </row>
        <row r="682">
          <cell r="A682">
            <v>97611</v>
          </cell>
          <cell r="B682" t="str">
            <v>CITY OF ASHEBORO</v>
          </cell>
          <cell r="C682">
            <v>2.4767999999999999E-3</v>
          </cell>
          <cell r="D682">
            <v>2.5750999999999999E-3</v>
          </cell>
          <cell r="E682">
            <v>1108488</v>
          </cell>
          <cell r="F682">
            <v>5465225</v>
          </cell>
          <cell r="G682">
            <v>3783864</v>
          </cell>
          <cell r="H682"/>
          <cell r="I682">
            <v>217986</v>
          </cell>
          <cell r="J682">
            <v>918727</v>
          </cell>
          <cell r="K682">
            <v>540388</v>
          </cell>
          <cell r="L682">
            <v>0</v>
          </cell>
          <cell r="M682"/>
          <cell r="N682">
            <v>107109</v>
          </cell>
          <cell r="O682">
            <v>0</v>
          </cell>
          <cell r="P682">
            <v>0</v>
          </cell>
          <cell r="Q682">
            <v>276084</v>
          </cell>
          <cell r="R682"/>
          <cell r="S682">
            <v>1275166</v>
          </cell>
          <cell r="T682">
            <v>-116051</v>
          </cell>
          <cell r="U682">
            <v>1159115</v>
          </cell>
        </row>
        <row r="683">
          <cell r="A683">
            <v>97613</v>
          </cell>
          <cell r="B683" t="str">
            <v>ASHEBORO HOUSING AUTH</v>
          </cell>
          <cell r="C683">
            <v>1.1629999999999999E-4</v>
          </cell>
          <cell r="D683">
            <v>1.2459999999999999E-4</v>
          </cell>
          <cell r="E683">
            <v>60157</v>
          </cell>
          <cell r="F683">
            <v>264443</v>
          </cell>
          <cell r="G683">
            <v>177674</v>
          </cell>
          <cell r="H683"/>
          <cell r="I683">
            <v>10236</v>
          </cell>
          <cell r="J683">
            <v>43140</v>
          </cell>
          <cell r="K683">
            <v>25374</v>
          </cell>
          <cell r="L683">
            <v>3969</v>
          </cell>
          <cell r="M683"/>
          <cell r="N683">
            <v>5029</v>
          </cell>
          <cell r="O683">
            <v>0</v>
          </cell>
          <cell r="P683">
            <v>0</v>
          </cell>
          <cell r="Q683">
            <v>3579</v>
          </cell>
          <cell r="R683"/>
          <cell r="S683">
            <v>59876</v>
          </cell>
          <cell r="T683">
            <v>-543</v>
          </cell>
          <cell r="U683">
            <v>59333</v>
          </cell>
        </row>
        <row r="684">
          <cell r="A684">
            <v>97621</v>
          </cell>
          <cell r="B684" t="str">
            <v>CITY OF RANDLEMAN</v>
          </cell>
          <cell r="C684">
            <v>4.5179999999999998E-4</v>
          </cell>
          <cell r="D684">
            <v>4.7429999999999998E-4</v>
          </cell>
          <cell r="E684">
            <v>179047</v>
          </cell>
          <cell r="F684">
            <v>1006623</v>
          </cell>
          <cell r="G684">
            <v>690225</v>
          </cell>
          <cell r="H684"/>
          <cell r="I684">
            <v>39763</v>
          </cell>
          <cell r="J684">
            <v>167588</v>
          </cell>
          <cell r="K684">
            <v>98574</v>
          </cell>
          <cell r="L684">
            <v>15836</v>
          </cell>
          <cell r="M684"/>
          <cell r="N684">
            <v>19538</v>
          </cell>
          <cell r="O684">
            <v>0</v>
          </cell>
          <cell r="P684">
            <v>0</v>
          </cell>
          <cell r="Q684">
            <v>70017</v>
          </cell>
          <cell r="R684"/>
          <cell r="S684">
            <v>232607</v>
          </cell>
          <cell r="T684">
            <v>-11992</v>
          </cell>
          <cell r="U684">
            <v>220615</v>
          </cell>
        </row>
        <row r="685">
          <cell r="A685">
            <v>97623</v>
          </cell>
          <cell r="B685" t="str">
            <v>CITY OF RANDLEMAN HOUSING AUTHORITY</v>
          </cell>
          <cell r="C685">
            <v>2.9499999999999999E-5</v>
          </cell>
          <cell r="D685">
            <v>2.9200000000000002E-5</v>
          </cell>
          <cell r="E685">
            <v>11113</v>
          </cell>
          <cell r="F685">
            <v>61972</v>
          </cell>
          <cell r="G685">
            <v>45068</v>
          </cell>
          <cell r="H685"/>
          <cell r="I685">
            <v>2596</v>
          </cell>
          <cell r="J685">
            <v>10942</v>
          </cell>
          <cell r="K685">
            <v>6436</v>
          </cell>
          <cell r="L685">
            <v>6505</v>
          </cell>
          <cell r="M685"/>
          <cell r="N685">
            <v>1276</v>
          </cell>
          <cell r="O685">
            <v>0</v>
          </cell>
          <cell r="P685">
            <v>0</v>
          </cell>
          <cell r="Q685">
            <v>1742</v>
          </cell>
          <cell r="R685"/>
          <cell r="S685">
            <v>15188</v>
          </cell>
          <cell r="T685">
            <v>3252</v>
          </cell>
          <cell r="U685">
            <v>18440</v>
          </cell>
        </row>
        <row r="686">
          <cell r="A686">
            <v>97627</v>
          </cell>
          <cell r="B686" t="str">
            <v>CITY OF RANDLEMAN ABC BOARD</v>
          </cell>
          <cell r="C686">
            <v>9.7000000000000003E-6</v>
          </cell>
          <cell r="D686">
            <v>1.0200000000000001E-5</v>
          </cell>
          <cell r="E686">
            <v>5008</v>
          </cell>
          <cell r="F686">
            <v>21648</v>
          </cell>
          <cell r="G686">
            <v>14819</v>
          </cell>
          <cell r="H686"/>
          <cell r="I686">
            <v>854</v>
          </cell>
          <cell r="J686">
            <v>3599</v>
          </cell>
          <cell r="K686">
            <v>2116</v>
          </cell>
          <cell r="L686">
            <v>714</v>
          </cell>
          <cell r="M686"/>
          <cell r="N686">
            <v>419</v>
          </cell>
          <cell r="O686">
            <v>0</v>
          </cell>
          <cell r="P686">
            <v>0</v>
          </cell>
          <cell r="Q686">
            <v>1008</v>
          </cell>
          <cell r="R686"/>
          <cell r="S686">
            <v>4994</v>
          </cell>
          <cell r="T686">
            <v>-190</v>
          </cell>
          <cell r="U686">
            <v>4804</v>
          </cell>
        </row>
        <row r="687">
          <cell r="A687">
            <v>97631</v>
          </cell>
          <cell r="B687" t="str">
            <v>TOWN OF LIBERTY</v>
          </cell>
          <cell r="C687">
            <v>2.051E-4</v>
          </cell>
          <cell r="D687">
            <v>2.009E-4</v>
          </cell>
          <cell r="E687">
            <v>85999</v>
          </cell>
          <cell r="F687">
            <v>426377</v>
          </cell>
          <cell r="G687">
            <v>313336</v>
          </cell>
          <cell r="H687"/>
          <cell r="I687">
            <v>18051</v>
          </cell>
          <cell r="J687">
            <v>76078</v>
          </cell>
          <cell r="K687">
            <v>44749</v>
          </cell>
          <cell r="L687">
            <v>9311</v>
          </cell>
          <cell r="M687"/>
          <cell r="N687">
            <v>8870</v>
          </cell>
          <cell r="O687">
            <v>0</v>
          </cell>
          <cell r="P687">
            <v>0</v>
          </cell>
          <cell r="Q687">
            <v>3711</v>
          </cell>
          <cell r="R687"/>
          <cell r="S687">
            <v>105595</v>
          </cell>
          <cell r="T687">
            <v>4564</v>
          </cell>
          <cell r="U687">
            <v>110159</v>
          </cell>
        </row>
        <row r="688">
          <cell r="A688">
            <v>97637</v>
          </cell>
          <cell r="B688" t="str">
            <v>LIBERTY ABC BOARD</v>
          </cell>
          <cell r="C688">
            <v>4.3000000000000003E-6</v>
          </cell>
          <cell r="D688">
            <v>4.7999999999999998E-6</v>
          </cell>
          <cell r="E688">
            <v>3072</v>
          </cell>
          <cell r="F688">
            <v>10187</v>
          </cell>
          <cell r="G688">
            <v>6569</v>
          </cell>
          <cell r="H688"/>
          <cell r="I688">
            <v>378</v>
          </cell>
          <cell r="J688">
            <v>1595</v>
          </cell>
          <cell r="K688">
            <v>938</v>
          </cell>
          <cell r="L688">
            <v>944</v>
          </cell>
          <cell r="M688"/>
          <cell r="N688">
            <v>186</v>
          </cell>
          <cell r="O688">
            <v>0</v>
          </cell>
          <cell r="P688">
            <v>0</v>
          </cell>
          <cell r="Q688">
            <v>30</v>
          </cell>
          <cell r="R688"/>
          <cell r="S688">
            <v>2214</v>
          </cell>
          <cell r="T688">
            <v>380</v>
          </cell>
          <cell r="U688">
            <v>2594</v>
          </cell>
        </row>
        <row r="689">
          <cell r="A689">
            <v>97641</v>
          </cell>
          <cell r="B689" t="str">
            <v>TOWN OF RAMSEUR</v>
          </cell>
          <cell r="C689">
            <v>6.8899999999999994E-5</v>
          </cell>
          <cell r="D689">
            <v>6.9999999999999994E-5</v>
          </cell>
          <cell r="E689">
            <v>35027</v>
          </cell>
          <cell r="F689">
            <v>148563</v>
          </cell>
          <cell r="G689">
            <v>105260</v>
          </cell>
          <cell r="H689"/>
          <cell r="I689">
            <v>6064</v>
          </cell>
          <cell r="J689">
            <v>25557</v>
          </cell>
          <cell r="K689">
            <v>15033</v>
          </cell>
          <cell r="L689">
            <v>13063</v>
          </cell>
          <cell r="M689"/>
          <cell r="N689">
            <v>2980</v>
          </cell>
          <cell r="O689">
            <v>0</v>
          </cell>
          <cell r="P689">
            <v>0</v>
          </cell>
          <cell r="Q689">
            <v>2889</v>
          </cell>
          <cell r="R689"/>
          <cell r="S689">
            <v>35473</v>
          </cell>
          <cell r="T689">
            <v>2041</v>
          </cell>
          <cell r="U689">
            <v>37514</v>
          </cell>
        </row>
        <row r="690">
          <cell r="A690">
            <v>97651</v>
          </cell>
          <cell r="B690" t="str">
            <v>CITY OF ARCHDALE</v>
          </cell>
          <cell r="C690">
            <v>5.1979999999999995E-4</v>
          </cell>
          <cell r="D690">
            <v>5.1579999999999996E-4</v>
          </cell>
          <cell r="E690">
            <v>222466</v>
          </cell>
          <cell r="F690">
            <v>1094700</v>
          </cell>
          <cell r="G690">
            <v>794110</v>
          </cell>
          <cell r="H690"/>
          <cell r="I690">
            <v>45748</v>
          </cell>
          <cell r="J690">
            <v>192810</v>
          </cell>
          <cell r="K690">
            <v>113410</v>
          </cell>
          <cell r="L690">
            <v>2621</v>
          </cell>
          <cell r="M690"/>
          <cell r="N690">
            <v>22479</v>
          </cell>
          <cell r="O690">
            <v>0</v>
          </cell>
          <cell r="P690">
            <v>0</v>
          </cell>
          <cell r="Q690">
            <v>43572</v>
          </cell>
          <cell r="R690"/>
          <cell r="S690">
            <v>267616</v>
          </cell>
          <cell r="T690">
            <v>-19628</v>
          </cell>
          <cell r="U690">
            <v>247988</v>
          </cell>
        </row>
        <row r="691">
          <cell r="A691">
            <v>97661</v>
          </cell>
          <cell r="B691" t="str">
            <v>CITY OF TRINITY</v>
          </cell>
          <cell r="C691">
            <v>5.1600000000000001E-5</v>
          </cell>
          <cell r="D691">
            <v>4.3900000000000003E-5</v>
          </cell>
          <cell r="E691">
            <v>24366</v>
          </cell>
          <cell r="F691">
            <v>93171</v>
          </cell>
          <cell r="G691">
            <v>78831</v>
          </cell>
          <cell r="H691"/>
          <cell r="I691">
            <v>4541</v>
          </cell>
          <cell r="J691">
            <v>19140</v>
          </cell>
          <cell r="K691">
            <v>11258</v>
          </cell>
          <cell r="L691">
            <v>13582</v>
          </cell>
          <cell r="M691"/>
          <cell r="N691">
            <v>2231</v>
          </cell>
          <cell r="O691">
            <v>0</v>
          </cell>
          <cell r="P691">
            <v>0</v>
          </cell>
          <cell r="Q691">
            <v>1913</v>
          </cell>
          <cell r="R691"/>
          <cell r="S691">
            <v>26566</v>
          </cell>
          <cell r="T691">
            <v>4861</v>
          </cell>
          <cell r="U691">
            <v>31427</v>
          </cell>
        </row>
        <row r="692">
          <cell r="A692">
            <v>97701</v>
          </cell>
          <cell r="B692" t="str">
            <v>RICHMOND COUNTY</v>
          </cell>
          <cell r="C692">
            <v>2.4975000000000002E-3</v>
          </cell>
          <cell r="D692">
            <v>2.5081000000000001E-3</v>
          </cell>
          <cell r="E692">
            <v>1156152</v>
          </cell>
          <cell r="F692">
            <v>5323028</v>
          </cell>
          <cell r="G692">
            <v>3815488</v>
          </cell>
          <cell r="H692"/>
          <cell r="I692">
            <v>219807</v>
          </cell>
          <cell r="J692">
            <v>926405</v>
          </cell>
          <cell r="K692">
            <v>544905</v>
          </cell>
          <cell r="L692">
            <v>22724</v>
          </cell>
          <cell r="M692"/>
          <cell r="N692">
            <v>108004</v>
          </cell>
          <cell r="O692">
            <v>0</v>
          </cell>
          <cell r="P692">
            <v>0</v>
          </cell>
          <cell r="Q692">
            <v>8673</v>
          </cell>
          <cell r="R692"/>
          <cell r="S692">
            <v>1285823</v>
          </cell>
          <cell r="T692">
            <v>670</v>
          </cell>
          <cell r="U692">
            <v>1286493</v>
          </cell>
        </row>
        <row r="693">
          <cell r="A693">
            <v>97705</v>
          </cell>
          <cell r="B693" t="str">
            <v>SANDHILL REGIONAL LIBRARY</v>
          </cell>
          <cell r="C693">
            <v>4.7700000000000001E-5</v>
          </cell>
          <cell r="D693">
            <v>6.41E-5</v>
          </cell>
          <cell r="E693">
            <v>22209</v>
          </cell>
          <cell r="F693">
            <v>136042</v>
          </cell>
          <cell r="G693">
            <v>72872</v>
          </cell>
          <cell r="H693"/>
          <cell r="I693">
            <v>4198</v>
          </cell>
          <cell r="J693">
            <v>17694</v>
          </cell>
          <cell r="K693">
            <v>10407</v>
          </cell>
          <cell r="L693">
            <v>5558</v>
          </cell>
          <cell r="M693"/>
          <cell r="N693">
            <v>2063</v>
          </cell>
          <cell r="O693">
            <v>0</v>
          </cell>
          <cell r="P693">
            <v>0</v>
          </cell>
          <cell r="Q693">
            <v>13023</v>
          </cell>
          <cell r="R693"/>
          <cell r="S693">
            <v>24558</v>
          </cell>
          <cell r="T693">
            <v>105</v>
          </cell>
          <cell r="U693">
            <v>24663</v>
          </cell>
        </row>
        <row r="694">
          <cell r="A694">
            <v>97711</v>
          </cell>
          <cell r="B694" t="str">
            <v>CITY OF ROCKINGHAM</v>
          </cell>
          <cell r="C694">
            <v>9.0879999999999997E-4</v>
          </cell>
          <cell r="D694">
            <v>9.3789999999999998E-4</v>
          </cell>
          <cell r="E694">
            <v>424324</v>
          </cell>
          <cell r="F694">
            <v>1990538</v>
          </cell>
          <cell r="G694">
            <v>1388395</v>
          </cell>
          <cell r="H694"/>
          <cell r="I694">
            <v>79984</v>
          </cell>
          <cell r="J694">
            <v>337104</v>
          </cell>
          <cell r="K694">
            <v>198282</v>
          </cell>
          <cell r="L694">
            <v>9966</v>
          </cell>
          <cell r="M694"/>
          <cell r="N694">
            <v>39301</v>
          </cell>
          <cell r="O694">
            <v>0</v>
          </cell>
          <cell r="P694">
            <v>0</v>
          </cell>
          <cell r="Q694">
            <v>31902</v>
          </cell>
          <cell r="R694"/>
          <cell r="S694">
            <v>467890</v>
          </cell>
          <cell r="T694">
            <v>-1258</v>
          </cell>
          <cell r="U694">
            <v>466632</v>
          </cell>
        </row>
        <row r="695">
          <cell r="A695">
            <v>97713</v>
          </cell>
          <cell r="B695" t="str">
            <v>ROCKINGHAM HOUSING AUTHORITY</v>
          </cell>
          <cell r="C695">
            <v>4.1199999999999999E-5</v>
          </cell>
          <cell r="D695">
            <v>5.3699999999999997E-5</v>
          </cell>
          <cell r="E695">
            <v>17328</v>
          </cell>
          <cell r="F695">
            <v>113969</v>
          </cell>
          <cell r="G695">
            <v>62942</v>
          </cell>
          <cell r="H695"/>
          <cell r="I695">
            <v>3626</v>
          </cell>
          <cell r="J695">
            <v>15283</v>
          </cell>
          <cell r="K695">
            <v>8989</v>
          </cell>
          <cell r="L695">
            <v>927</v>
          </cell>
          <cell r="M695"/>
          <cell r="N695">
            <v>1782</v>
          </cell>
          <cell r="O695">
            <v>0</v>
          </cell>
          <cell r="P695">
            <v>0</v>
          </cell>
          <cell r="Q695">
            <v>16932</v>
          </cell>
          <cell r="R695"/>
          <cell r="S695">
            <v>21212</v>
          </cell>
          <cell r="T695">
            <v>-4802</v>
          </cell>
          <cell r="U695">
            <v>16410</v>
          </cell>
        </row>
        <row r="696">
          <cell r="A696">
            <v>97717</v>
          </cell>
          <cell r="B696" t="str">
            <v>HAMLET ABC BOARD</v>
          </cell>
          <cell r="C696">
            <v>4.6999999999999999E-6</v>
          </cell>
          <cell r="D696">
            <v>7.5000000000000002E-6</v>
          </cell>
          <cell r="E696">
            <v>2478</v>
          </cell>
          <cell r="F696">
            <v>15918</v>
          </cell>
          <cell r="G696">
            <v>7180</v>
          </cell>
          <cell r="H696"/>
          <cell r="I696">
            <v>414</v>
          </cell>
          <cell r="J696">
            <v>1743</v>
          </cell>
          <cell r="K696">
            <v>1025</v>
          </cell>
          <cell r="L696">
            <v>1078</v>
          </cell>
          <cell r="M696"/>
          <cell r="N696">
            <v>203</v>
          </cell>
          <cell r="O696">
            <v>0</v>
          </cell>
          <cell r="P696">
            <v>0</v>
          </cell>
          <cell r="Q696">
            <v>3394</v>
          </cell>
          <cell r="R696"/>
          <cell r="S696">
            <v>2420</v>
          </cell>
          <cell r="T696">
            <v>-1550</v>
          </cell>
          <cell r="U696">
            <v>870</v>
          </cell>
        </row>
        <row r="697">
          <cell r="A697">
            <v>97721</v>
          </cell>
          <cell r="B697" t="str">
            <v>CITY OF HAMLET</v>
          </cell>
          <cell r="C697">
            <v>5.6599999999999999E-4</v>
          </cell>
          <cell r="D697">
            <v>5.7249999999999998E-4</v>
          </cell>
          <cell r="E697">
            <v>255785</v>
          </cell>
          <cell r="F697">
            <v>1215037</v>
          </cell>
          <cell r="G697">
            <v>864691</v>
          </cell>
          <cell r="H697"/>
          <cell r="I697">
            <v>49814</v>
          </cell>
          <cell r="J697">
            <v>209948</v>
          </cell>
          <cell r="K697">
            <v>123490</v>
          </cell>
          <cell r="L697">
            <v>13608</v>
          </cell>
          <cell r="M697"/>
          <cell r="N697">
            <v>24477</v>
          </cell>
          <cell r="O697">
            <v>0</v>
          </cell>
          <cell r="P697">
            <v>0</v>
          </cell>
          <cell r="Q697">
            <v>31303</v>
          </cell>
          <cell r="R697"/>
          <cell r="S697">
            <v>291402</v>
          </cell>
          <cell r="T697">
            <v>-9026</v>
          </cell>
          <cell r="U697">
            <v>282376</v>
          </cell>
        </row>
        <row r="698">
          <cell r="A698">
            <v>97727</v>
          </cell>
          <cell r="B698" t="str">
            <v>CITY OF ROCKINGHAM ABC BOARD</v>
          </cell>
          <cell r="C698">
            <v>2.27E-5</v>
          </cell>
          <cell r="D698">
            <v>2.37E-5</v>
          </cell>
          <cell r="E698">
            <v>10992</v>
          </cell>
          <cell r="F698">
            <v>50299</v>
          </cell>
          <cell r="G698">
            <v>34679</v>
          </cell>
          <cell r="H698"/>
          <cell r="I698">
            <v>1998</v>
          </cell>
          <cell r="J698">
            <v>8420</v>
          </cell>
          <cell r="K698">
            <v>4953</v>
          </cell>
          <cell r="L698">
            <v>0</v>
          </cell>
          <cell r="M698"/>
          <cell r="N698">
            <v>982</v>
          </cell>
          <cell r="O698">
            <v>0</v>
          </cell>
          <cell r="P698">
            <v>0</v>
          </cell>
          <cell r="Q698">
            <v>2260</v>
          </cell>
          <cell r="R698"/>
          <cell r="S698">
            <v>11687</v>
          </cell>
          <cell r="T698">
            <v>-1260</v>
          </cell>
          <cell r="U698">
            <v>10427</v>
          </cell>
        </row>
        <row r="699">
          <cell r="A699">
            <v>97731</v>
          </cell>
          <cell r="B699" t="str">
            <v>TOWN OF ELLERBE</v>
          </cell>
          <cell r="C699">
            <v>3.5500000000000002E-5</v>
          </cell>
          <cell r="D699">
            <v>3.7100000000000001E-5</v>
          </cell>
          <cell r="E699">
            <v>18460</v>
          </cell>
          <cell r="F699">
            <v>78739</v>
          </cell>
          <cell r="G699">
            <v>54234</v>
          </cell>
          <cell r="H699"/>
          <cell r="I699">
            <v>3124</v>
          </cell>
          <cell r="J699">
            <v>13168</v>
          </cell>
          <cell r="K699">
            <v>7745</v>
          </cell>
          <cell r="L699">
            <v>6361</v>
          </cell>
          <cell r="M699"/>
          <cell r="N699">
            <v>1535</v>
          </cell>
          <cell r="O699">
            <v>0</v>
          </cell>
          <cell r="P699">
            <v>0</v>
          </cell>
          <cell r="Q699">
            <v>0</v>
          </cell>
          <cell r="R699"/>
          <cell r="S699">
            <v>18277</v>
          </cell>
          <cell r="T699">
            <v>2961</v>
          </cell>
          <cell r="U699">
            <v>21238</v>
          </cell>
        </row>
        <row r="700">
          <cell r="A700">
            <v>97801</v>
          </cell>
          <cell r="B700" t="str">
            <v>ROBESON COUNTY</v>
          </cell>
          <cell r="C700">
            <v>6.9303000000000003E-3</v>
          </cell>
          <cell r="D700">
            <v>7.3343000000000002E-3</v>
          </cell>
          <cell r="E700">
            <v>3179609</v>
          </cell>
          <cell r="F700">
            <v>0</v>
          </cell>
          <cell r="G700">
            <v>10587579</v>
          </cell>
          <cell r="H700"/>
          <cell r="I700">
            <v>609943</v>
          </cell>
          <cell r="J700">
            <v>2570677</v>
          </cell>
          <cell r="K700">
            <v>1512053</v>
          </cell>
          <cell r="L700">
            <v>27764</v>
          </cell>
          <cell r="M700"/>
          <cell r="N700">
            <v>299701</v>
          </cell>
          <cell r="O700">
            <v>0</v>
          </cell>
          <cell r="P700">
            <v>0</v>
          </cell>
          <cell r="Q700">
            <v>406805</v>
          </cell>
          <cell r="R700"/>
          <cell r="S700">
            <v>3568023</v>
          </cell>
          <cell r="T700">
            <v>-97576</v>
          </cell>
          <cell r="U700">
            <v>3470447</v>
          </cell>
        </row>
        <row r="701">
          <cell r="A701">
            <v>97802</v>
          </cell>
          <cell r="B701" t="str">
            <v>LUMBER RIVER COUNCIL OF GOVERNMENTS</v>
          </cell>
          <cell r="C701">
            <v>1.5300000000000001E-4</v>
          </cell>
          <cell r="D701">
            <v>1.8120000000000001E-4</v>
          </cell>
          <cell r="E701">
            <v>76715</v>
          </cell>
          <cell r="F701">
            <v>384567</v>
          </cell>
          <cell r="G701">
            <v>233742</v>
          </cell>
          <cell r="H701"/>
          <cell r="I701">
            <v>13466</v>
          </cell>
          <cell r="J701">
            <v>56753</v>
          </cell>
          <cell r="K701">
            <v>33382</v>
          </cell>
          <cell r="L701">
            <v>9696</v>
          </cell>
          <cell r="M701"/>
          <cell r="N701">
            <v>6616</v>
          </cell>
          <cell r="O701">
            <v>0</v>
          </cell>
          <cell r="P701">
            <v>0</v>
          </cell>
          <cell r="Q701">
            <v>28235</v>
          </cell>
          <cell r="R701"/>
          <cell r="S701">
            <v>78771</v>
          </cell>
          <cell r="T701">
            <v>-1176</v>
          </cell>
          <cell r="U701">
            <v>77595</v>
          </cell>
        </row>
        <row r="702">
          <cell r="A702">
            <v>97803</v>
          </cell>
          <cell r="B702" t="str">
            <v>ROBESON COUNTY HOUSING AUTHORITY</v>
          </cell>
          <cell r="C702">
            <v>7.5300000000000001E-5</v>
          </cell>
          <cell r="D702">
            <v>7.9099999999999998E-5</v>
          </cell>
          <cell r="E702">
            <v>38231</v>
          </cell>
          <cell r="F702">
            <v>167877</v>
          </cell>
          <cell r="G702">
            <v>115038</v>
          </cell>
          <cell r="H702"/>
          <cell r="I702">
            <v>6627</v>
          </cell>
          <cell r="J702">
            <v>27931</v>
          </cell>
          <cell r="K702">
            <v>16429</v>
          </cell>
          <cell r="L702">
            <v>5581</v>
          </cell>
          <cell r="M702"/>
          <cell r="N702">
            <v>3256</v>
          </cell>
          <cell r="O702">
            <v>0</v>
          </cell>
          <cell r="P702">
            <v>0</v>
          </cell>
          <cell r="Q702">
            <v>1522</v>
          </cell>
          <cell r="R702"/>
          <cell r="S702">
            <v>38768</v>
          </cell>
          <cell r="T702">
            <v>3424</v>
          </cell>
          <cell r="U702">
            <v>42192</v>
          </cell>
        </row>
        <row r="703">
          <cell r="A703">
            <v>97805</v>
          </cell>
          <cell r="B703" t="str">
            <v>ROBESON COUNTY PUBLIC LIBRARY</v>
          </cell>
          <cell r="C703">
            <v>7.9400000000000006E-5</v>
          </cell>
          <cell r="D703">
            <v>8.2600000000000002E-5</v>
          </cell>
          <cell r="E703">
            <v>39471</v>
          </cell>
          <cell r="F703">
            <v>175305</v>
          </cell>
          <cell r="G703">
            <v>121301</v>
          </cell>
          <cell r="H703"/>
          <cell r="I703">
            <v>6988</v>
          </cell>
          <cell r="J703">
            <v>29452</v>
          </cell>
          <cell r="K703">
            <v>17323</v>
          </cell>
          <cell r="L703">
            <v>9711</v>
          </cell>
          <cell r="M703"/>
          <cell r="N703">
            <v>3434</v>
          </cell>
          <cell r="O703">
            <v>0</v>
          </cell>
          <cell r="P703">
            <v>0</v>
          </cell>
          <cell r="Q703">
            <v>226</v>
          </cell>
          <cell r="R703"/>
          <cell r="S703">
            <v>40879</v>
          </cell>
          <cell r="T703">
            <v>3824</v>
          </cell>
          <cell r="U703">
            <v>44703</v>
          </cell>
        </row>
        <row r="704">
          <cell r="A704">
            <v>97811</v>
          </cell>
          <cell r="B704" t="str">
            <v>CITY OF LUMBERTON</v>
          </cell>
          <cell r="C704">
            <v>2.4172E-3</v>
          </cell>
          <cell r="D704">
            <v>2.4088E-3</v>
          </cell>
          <cell r="E704">
            <v>1101270</v>
          </cell>
          <cell r="F704">
            <v>5112281</v>
          </cell>
          <cell r="G704">
            <v>3692812</v>
          </cell>
          <cell r="H704"/>
          <cell r="I704">
            <v>212740</v>
          </cell>
          <cell r="J704">
            <v>896619</v>
          </cell>
          <cell r="K704">
            <v>527385</v>
          </cell>
          <cell r="L704">
            <v>0</v>
          </cell>
          <cell r="M704"/>
          <cell r="N704">
            <v>104532</v>
          </cell>
          <cell r="O704">
            <v>0</v>
          </cell>
          <cell r="P704">
            <v>0</v>
          </cell>
          <cell r="Q704">
            <v>164062</v>
          </cell>
          <cell r="R704"/>
          <cell r="S704">
            <v>1244481</v>
          </cell>
          <cell r="T704">
            <v>-73272</v>
          </cell>
          <cell r="U704">
            <v>1171209</v>
          </cell>
        </row>
        <row r="705">
          <cell r="A705">
            <v>97817</v>
          </cell>
          <cell r="B705" t="str">
            <v>LUMBERTON ABC BOARD</v>
          </cell>
          <cell r="C705">
            <v>2.2200000000000001E-5</v>
          </cell>
          <cell r="D705">
            <v>3.9999999999999998E-6</v>
          </cell>
          <cell r="E705">
            <v>14127</v>
          </cell>
          <cell r="F705">
            <v>8489</v>
          </cell>
          <cell r="G705">
            <v>33915</v>
          </cell>
          <cell r="H705"/>
          <cell r="I705">
            <v>1954</v>
          </cell>
          <cell r="J705">
            <v>8235</v>
          </cell>
          <cell r="K705">
            <v>4844</v>
          </cell>
          <cell r="L705">
            <v>18101</v>
          </cell>
          <cell r="M705"/>
          <cell r="N705">
            <v>960</v>
          </cell>
          <cell r="O705">
            <v>0</v>
          </cell>
          <cell r="P705">
            <v>0</v>
          </cell>
          <cell r="Q705">
            <v>2418</v>
          </cell>
          <cell r="R705"/>
          <cell r="S705">
            <v>11430</v>
          </cell>
          <cell r="T705">
            <v>3916</v>
          </cell>
          <cell r="U705">
            <v>15346</v>
          </cell>
        </row>
        <row r="706">
          <cell r="A706">
            <v>97818</v>
          </cell>
          <cell r="B706" t="str">
            <v>LUMBERTON AIRPORT COMM</v>
          </cell>
          <cell r="C706">
            <v>2.1999999999999999E-5</v>
          </cell>
          <cell r="D706">
            <v>2.12E-5</v>
          </cell>
          <cell r="E706">
            <v>9809</v>
          </cell>
          <cell r="F706">
            <v>44994</v>
          </cell>
          <cell r="G706">
            <v>33610</v>
          </cell>
          <cell r="H706"/>
          <cell r="I706">
            <v>1936</v>
          </cell>
          <cell r="J706">
            <v>8160</v>
          </cell>
          <cell r="K706">
            <v>4800</v>
          </cell>
          <cell r="L706">
            <v>6200</v>
          </cell>
          <cell r="M706"/>
          <cell r="N706">
            <v>951</v>
          </cell>
          <cell r="O706">
            <v>0</v>
          </cell>
          <cell r="P706">
            <v>0</v>
          </cell>
          <cell r="Q706">
            <v>2136</v>
          </cell>
          <cell r="R706"/>
          <cell r="S706">
            <v>11327</v>
          </cell>
          <cell r="T706">
            <v>134</v>
          </cell>
          <cell r="U706">
            <v>11461</v>
          </cell>
        </row>
        <row r="707">
          <cell r="A707">
            <v>97821</v>
          </cell>
          <cell r="B707" t="str">
            <v>TOWN OF FAIRMONT</v>
          </cell>
          <cell r="C707">
            <v>1.126E-4</v>
          </cell>
          <cell r="D707">
            <v>1.1620000000000001E-4</v>
          </cell>
          <cell r="E707">
            <v>61404</v>
          </cell>
          <cell r="F707">
            <v>246615</v>
          </cell>
          <cell r="G707">
            <v>172022</v>
          </cell>
          <cell r="H707"/>
          <cell r="I707">
            <v>9910</v>
          </cell>
          <cell r="J707">
            <v>41767</v>
          </cell>
          <cell r="K707">
            <v>24567</v>
          </cell>
          <cell r="L707">
            <v>5355</v>
          </cell>
          <cell r="M707"/>
          <cell r="N707">
            <v>4869</v>
          </cell>
          <cell r="O707">
            <v>0</v>
          </cell>
          <cell r="P707">
            <v>0</v>
          </cell>
          <cell r="Q707">
            <v>16228</v>
          </cell>
          <cell r="R707"/>
          <cell r="S707">
            <v>57971</v>
          </cell>
          <cell r="T707">
            <v>-9342</v>
          </cell>
          <cell r="U707">
            <v>48629</v>
          </cell>
        </row>
        <row r="708">
          <cell r="A708">
            <v>97823</v>
          </cell>
          <cell r="B708" t="str">
            <v>FAIRMONT HOUSING AUTHORITY</v>
          </cell>
          <cell r="C708">
            <v>2.3300000000000001E-5</v>
          </cell>
          <cell r="D708">
            <v>2.4600000000000002E-5</v>
          </cell>
          <cell r="E708">
            <v>13092</v>
          </cell>
          <cell r="F708">
            <v>52209</v>
          </cell>
          <cell r="G708">
            <v>35596</v>
          </cell>
          <cell r="H708"/>
          <cell r="I708">
            <v>2051</v>
          </cell>
          <cell r="J708">
            <v>8642</v>
          </cell>
          <cell r="K708">
            <v>5084</v>
          </cell>
          <cell r="L708">
            <v>1711</v>
          </cell>
          <cell r="M708"/>
          <cell r="N708">
            <v>1008</v>
          </cell>
          <cell r="O708">
            <v>0</v>
          </cell>
          <cell r="P708">
            <v>0</v>
          </cell>
          <cell r="Q708">
            <v>591</v>
          </cell>
          <cell r="R708"/>
          <cell r="S708">
            <v>11996</v>
          </cell>
          <cell r="T708">
            <v>-77</v>
          </cell>
          <cell r="U708">
            <v>11919</v>
          </cell>
        </row>
        <row r="709">
          <cell r="A709">
            <v>97831</v>
          </cell>
          <cell r="B709" t="str">
            <v>TOWN OF ST PAULS</v>
          </cell>
          <cell r="C709">
            <v>1.7009999999999999E-4</v>
          </cell>
          <cell r="D709">
            <v>1.482E-4</v>
          </cell>
          <cell r="E709">
            <v>78813</v>
          </cell>
          <cell r="F709">
            <v>314530</v>
          </cell>
          <cell r="G709">
            <v>259866</v>
          </cell>
          <cell r="H709"/>
          <cell r="I709">
            <v>14971</v>
          </cell>
          <cell r="J709">
            <v>63096</v>
          </cell>
          <cell r="K709">
            <v>37112</v>
          </cell>
          <cell r="L709">
            <v>15261</v>
          </cell>
          <cell r="M709"/>
          <cell r="N709">
            <v>7356</v>
          </cell>
          <cell r="O709">
            <v>0</v>
          </cell>
          <cell r="P709">
            <v>0</v>
          </cell>
          <cell r="Q709">
            <v>8418</v>
          </cell>
          <cell r="R709"/>
          <cell r="S709">
            <v>87575</v>
          </cell>
          <cell r="T709">
            <v>-2075</v>
          </cell>
          <cell r="U709">
            <v>85500</v>
          </cell>
        </row>
        <row r="710">
          <cell r="A710">
            <v>97837</v>
          </cell>
          <cell r="B710" t="str">
            <v>ST PAUL'S BRD OF ALCOHOLIC CTL</v>
          </cell>
          <cell r="C710">
            <v>1.0200000000000001E-5</v>
          </cell>
          <cell r="D710">
            <v>8.8000000000000004E-6</v>
          </cell>
          <cell r="E710">
            <v>6053</v>
          </cell>
          <cell r="F710">
            <v>18677</v>
          </cell>
          <cell r="G710">
            <v>15583</v>
          </cell>
          <cell r="H710"/>
          <cell r="I710">
            <v>898</v>
          </cell>
          <cell r="J710">
            <v>3784</v>
          </cell>
          <cell r="K710">
            <v>2225</v>
          </cell>
          <cell r="L710">
            <v>3302</v>
          </cell>
          <cell r="M710"/>
          <cell r="N710">
            <v>441</v>
          </cell>
          <cell r="O710">
            <v>0</v>
          </cell>
          <cell r="P710">
            <v>0</v>
          </cell>
          <cell r="Q710">
            <v>214</v>
          </cell>
          <cell r="R710"/>
          <cell r="S710">
            <v>5251</v>
          </cell>
          <cell r="T710">
            <v>1260</v>
          </cell>
          <cell r="U710">
            <v>6511</v>
          </cell>
        </row>
        <row r="711">
          <cell r="A711">
            <v>97840</v>
          </cell>
          <cell r="B711" t="str">
            <v>TOWN OF MAXTON</v>
          </cell>
          <cell r="C711">
            <v>1.3190000000000001E-4</v>
          </cell>
          <cell r="D711">
            <v>1.403E-4</v>
          </cell>
          <cell r="E711">
            <v>107784</v>
          </cell>
          <cell r="F711">
            <v>297764</v>
          </cell>
          <cell r="G711">
            <v>201507</v>
          </cell>
          <cell r="H711"/>
          <cell r="I711">
            <v>11609</v>
          </cell>
          <cell r="J711">
            <v>48926</v>
          </cell>
          <cell r="K711">
            <v>28778</v>
          </cell>
          <cell r="L711">
            <v>76227</v>
          </cell>
          <cell r="M711"/>
          <cell r="N711">
            <v>5704</v>
          </cell>
          <cell r="O711">
            <v>0</v>
          </cell>
          <cell r="P711">
            <v>0</v>
          </cell>
          <cell r="Q711">
            <v>964</v>
          </cell>
          <cell r="R711"/>
          <cell r="S711">
            <v>67908</v>
          </cell>
          <cell r="T711">
            <v>27073</v>
          </cell>
          <cell r="U711">
            <v>94981</v>
          </cell>
        </row>
        <row r="712">
          <cell r="A712">
            <v>97841</v>
          </cell>
          <cell r="B712" t="str">
            <v>TOWN OF PARKTON</v>
          </cell>
          <cell r="C712">
            <v>1.31E-5</v>
          </cell>
          <cell r="D712">
            <v>1.45E-5</v>
          </cell>
          <cell r="E712">
            <v>6425</v>
          </cell>
          <cell r="F712">
            <v>30774</v>
          </cell>
          <cell r="G712">
            <v>20013</v>
          </cell>
          <cell r="H712"/>
          <cell r="I712">
            <v>1153</v>
          </cell>
          <cell r="J712">
            <v>4859</v>
          </cell>
          <cell r="K712">
            <v>2858</v>
          </cell>
          <cell r="L712">
            <v>410</v>
          </cell>
          <cell r="M712"/>
          <cell r="N712">
            <v>567</v>
          </cell>
          <cell r="O712">
            <v>0</v>
          </cell>
          <cell r="P712">
            <v>0</v>
          </cell>
          <cell r="Q712">
            <v>4768</v>
          </cell>
          <cell r="R712"/>
          <cell r="S712">
            <v>6744</v>
          </cell>
          <cell r="T712">
            <v>-3859</v>
          </cell>
          <cell r="U712">
            <v>2885</v>
          </cell>
        </row>
        <row r="713">
          <cell r="A713">
            <v>97847</v>
          </cell>
          <cell r="B713" t="str">
            <v>MAXTON ABC BOARD</v>
          </cell>
          <cell r="C713">
            <v>2.0999999999999998E-6</v>
          </cell>
          <cell r="D713">
            <v>2.2000000000000001E-6</v>
          </cell>
          <cell r="E713">
            <v>2259</v>
          </cell>
          <cell r="F713">
            <v>4669</v>
          </cell>
          <cell r="G713">
            <v>3208</v>
          </cell>
          <cell r="H713"/>
          <cell r="I713">
            <v>185</v>
          </cell>
          <cell r="J713">
            <v>779</v>
          </cell>
          <cell r="K713">
            <v>458</v>
          </cell>
          <cell r="L713">
            <v>1433</v>
          </cell>
          <cell r="M713"/>
          <cell r="N713">
            <v>91</v>
          </cell>
          <cell r="O713">
            <v>0</v>
          </cell>
          <cell r="P713">
            <v>0</v>
          </cell>
          <cell r="Q713">
            <v>72</v>
          </cell>
          <cell r="R713"/>
          <cell r="S713">
            <v>1081</v>
          </cell>
          <cell r="T713">
            <v>355</v>
          </cell>
          <cell r="U713">
            <v>1436</v>
          </cell>
        </row>
        <row r="714">
          <cell r="A714">
            <v>97851</v>
          </cell>
          <cell r="B714" t="str">
            <v>TOWN OF PEMBROKE</v>
          </cell>
          <cell r="C714">
            <v>2.7799999999999998E-4</v>
          </cell>
          <cell r="D714">
            <v>2.7460000000000001E-4</v>
          </cell>
          <cell r="E714">
            <v>116408</v>
          </cell>
          <cell r="F714">
            <v>582793</v>
          </cell>
          <cell r="G714">
            <v>424707</v>
          </cell>
          <cell r="H714"/>
          <cell r="I714">
            <v>24467</v>
          </cell>
          <cell r="J714">
            <v>103120</v>
          </cell>
          <cell r="K714">
            <v>60654</v>
          </cell>
          <cell r="L714">
            <v>1448</v>
          </cell>
          <cell r="M714"/>
          <cell r="N714">
            <v>12022</v>
          </cell>
          <cell r="O714">
            <v>0</v>
          </cell>
          <cell r="P714">
            <v>0</v>
          </cell>
          <cell r="Q714">
            <v>12710</v>
          </cell>
          <cell r="R714"/>
          <cell r="S714">
            <v>143127</v>
          </cell>
          <cell r="T714">
            <v>-2512</v>
          </cell>
          <cell r="U714">
            <v>140615</v>
          </cell>
        </row>
        <row r="715">
          <cell r="A715">
            <v>97853</v>
          </cell>
          <cell r="B715" t="str">
            <v>PEMBROKE HOUSING AUTHORITY</v>
          </cell>
          <cell r="C715">
            <v>1.0289999999999999E-4</v>
          </cell>
          <cell r="D715">
            <v>9.1600000000000004E-5</v>
          </cell>
          <cell r="E715">
            <v>44043</v>
          </cell>
          <cell r="F715">
            <v>194406</v>
          </cell>
          <cell r="G715">
            <v>157203</v>
          </cell>
          <cell r="H715"/>
          <cell r="I715">
            <v>9056</v>
          </cell>
          <cell r="J715">
            <v>38169</v>
          </cell>
          <cell r="K715">
            <v>22451</v>
          </cell>
          <cell r="L715">
            <v>8759</v>
          </cell>
          <cell r="M715"/>
          <cell r="N715">
            <v>4450</v>
          </cell>
          <cell r="O715">
            <v>0</v>
          </cell>
          <cell r="P715">
            <v>0</v>
          </cell>
          <cell r="Q715">
            <v>9750</v>
          </cell>
          <cell r="R715"/>
          <cell r="S715">
            <v>52977</v>
          </cell>
          <cell r="T715">
            <v>429</v>
          </cell>
          <cell r="U715">
            <v>53406</v>
          </cell>
        </row>
        <row r="716">
          <cell r="A716">
            <v>97861</v>
          </cell>
          <cell r="B716" t="str">
            <v>TOWN OF ROWLAND</v>
          </cell>
          <cell r="C716">
            <v>6.7000000000000002E-5</v>
          </cell>
          <cell r="D716">
            <v>6.8499999999999998E-5</v>
          </cell>
          <cell r="E716">
            <v>27517</v>
          </cell>
          <cell r="F716">
            <v>145380</v>
          </cell>
          <cell r="G716">
            <v>102357</v>
          </cell>
          <cell r="H716"/>
          <cell r="I716">
            <v>5897</v>
          </cell>
          <cell r="J716">
            <v>24852</v>
          </cell>
          <cell r="K716">
            <v>14618</v>
          </cell>
          <cell r="L716">
            <v>1771</v>
          </cell>
          <cell r="M716"/>
          <cell r="N716">
            <v>2897</v>
          </cell>
          <cell r="O716">
            <v>0</v>
          </cell>
          <cell r="P716">
            <v>0</v>
          </cell>
          <cell r="Q716">
            <v>7954</v>
          </cell>
          <cell r="R716"/>
          <cell r="S716">
            <v>34495</v>
          </cell>
          <cell r="T716">
            <v>-3725</v>
          </cell>
          <cell r="U716">
            <v>30770</v>
          </cell>
        </row>
        <row r="717">
          <cell r="A717">
            <v>97871</v>
          </cell>
          <cell r="B717" t="str">
            <v>TOWN OF RED SPRINGS</v>
          </cell>
          <cell r="C717">
            <v>2.9930000000000001E-4</v>
          </cell>
          <cell r="D717">
            <v>3.1500000000000001E-4</v>
          </cell>
          <cell r="E717">
            <v>273654</v>
          </cell>
          <cell r="F717">
            <v>668536</v>
          </cell>
          <cell r="G717">
            <v>457247</v>
          </cell>
          <cell r="H717"/>
          <cell r="I717">
            <v>26342</v>
          </cell>
          <cell r="J717">
            <v>111020</v>
          </cell>
          <cell r="K717">
            <v>65301</v>
          </cell>
          <cell r="L717">
            <v>217143</v>
          </cell>
          <cell r="M717"/>
          <cell r="N717">
            <v>12943</v>
          </cell>
          <cell r="O717">
            <v>0</v>
          </cell>
          <cell r="P717">
            <v>0</v>
          </cell>
          <cell r="Q717">
            <v>0</v>
          </cell>
          <cell r="R717"/>
          <cell r="S717">
            <v>154093</v>
          </cell>
          <cell r="T717">
            <v>79417</v>
          </cell>
          <cell r="U717">
            <v>233510</v>
          </cell>
        </row>
        <row r="718">
          <cell r="A718">
            <v>97877</v>
          </cell>
          <cell r="B718" t="str">
            <v>RED SPRINGS ABC BOARD</v>
          </cell>
          <cell r="C718">
            <v>1.9E-6</v>
          </cell>
          <cell r="D718">
            <v>2.2000000000000001E-6</v>
          </cell>
          <cell r="E718">
            <v>2104</v>
          </cell>
          <cell r="F718">
            <v>4669</v>
          </cell>
          <cell r="G718">
            <v>2903</v>
          </cell>
          <cell r="H718"/>
          <cell r="I718">
            <v>167</v>
          </cell>
          <cell r="J718">
            <v>705</v>
          </cell>
          <cell r="K718">
            <v>415</v>
          </cell>
          <cell r="L718">
            <v>1638</v>
          </cell>
          <cell r="M718"/>
          <cell r="N718">
            <v>82</v>
          </cell>
          <cell r="O718">
            <v>0</v>
          </cell>
          <cell r="P718">
            <v>0</v>
          </cell>
          <cell r="Q718">
            <v>0</v>
          </cell>
          <cell r="R718"/>
          <cell r="S718">
            <v>978</v>
          </cell>
          <cell r="T718">
            <v>648</v>
          </cell>
          <cell r="U718">
            <v>1626</v>
          </cell>
        </row>
        <row r="719">
          <cell r="A719">
            <v>97901</v>
          </cell>
          <cell r="B719" t="str">
            <v>ROCKINGHAM COUNTY</v>
          </cell>
          <cell r="C719">
            <v>4.2658000000000001E-3</v>
          </cell>
          <cell r="D719">
            <v>4.3616999999999996E-3</v>
          </cell>
          <cell r="E719">
            <v>2091024</v>
          </cell>
          <cell r="F719">
            <v>9256989</v>
          </cell>
          <cell r="G719">
            <v>6516961</v>
          </cell>
          <cell r="H719"/>
          <cell r="I719">
            <v>375437</v>
          </cell>
          <cell r="J719">
            <v>1582326</v>
          </cell>
          <cell r="K719">
            <v>930712</v>
          </cell>
          <cell r="L719">
            <v>88360</v>
          </cell>
          <cell r="M719"/>
          <cell r="N719">
            <v>184475</v>
          </cell>
          <cell r="O719">
            <v>0</v>
          </cell>
          <cell r="P719">
            <v>0</v>
          </cell>
          <cell r="Q719">
            <v>14865</v>
          </cell>
          <cell r="R719"/>
          <cell r="S719">
            <v>2196222</v>
          </cell>
          <cell r="T719">
            <v>35112</v>
          </cell>
          <cell r="U719">
            <v>2231334</v>
          </cell>
        </row>
        <row r="720">
          <cell r="A720">
            <v>97911</v>
          </cell>
          <cell r="B720" t="str">
            <v>CITY OF REIDSVILLE</v>
          </cell>
          <cell r="C720">
            <v>1.3005E-3</v>
          </cell>
          <cell r="D720">
            <v>1.3190000000000001E-3</v>
          </cell>
          <cell r="E720">
            <v>613265</v>
          </cell>
          <cell r="F720">
            <v>2799360</v>
          </cell>
          <cell r="G720">
            <v>1986804</v>
          </cell>
          <cell r="H720"/>
          <cell r="I720">
            <v>114458</v>
          </cell>
          <cell r="J720">
            <v>482398</v>
          </cell>
          <cell r="K720">
            <v>283743</v>
          </cell>
          <cell r="L720">
            <v>31167</v>
          </cell>
          <cell r="M720"/>
          <cell r="N720">
            <v>56240</v>
          </cell>
          <cell r="O720">
            <v>0</v>
          </cell>
          <cell r="P720">
            <v>0</v>
          </cell>
          <cell r="Q720">
            <v>28435</v>
          </cell>
          <cell r="R720"/>
          <cell r="S720">
            <v>669555</v>
          </cell>
          <cell r="T720">
            <v>10548</v>
          </cell>
          <cell r="U720">
            <v>680103</v>
          </cell>
        </row>
        <row r="721">
          <cell r="A721">
            <v>97913</v>
          </cell>
          <cell r="B721" t="str">
            <v>THE NEW REIDSVILLE HOUSING AUTH</v>
          </cell>
          <cell r="C721">
            <v>3.5899999999999998E-5</v>
          </cell>
          <cell r="D721">
            <v>3.7400000000000001E-5</v>
          </cell>
          <cell r="E721">
            <v>27559</v>
          </cell>
          <cell r="F721">
            <v>79375</v>
          </cell>
          <cell r="G721">
            <v>54845</v>
          </cell>
          <cell r="H721"/>
          <cell r="I721">
            <v>3160</v>
          </cell>
          <cell r="J721">
            <v>13317</v>
          </cell>
          <cell r="K721">
            <v>7833</v>
          </cell>
          <cell r="L721">
            <v>15616</v>
          </cell>
          <cell r="M721"/>
          <cell r="N721">
            <v>1552</v>
          </cell>
          <cell r="O721">
            <v>0</v>
          </cell>
          <cell r="P721">
            <v>0</v>
          </cell>
          <cell r="Q721">
            <v>0</v>
          </cell>
          <cell r="R721"/>
          <cell r="S721">
            <v>18483</v>
          </cell>
          <cell r="T721">
            <v>5369</v>
          </cell>
          <cell r="U721">
            <v>23852</v>
          </cell>
        </row>
        <row r="722">
          <cell r="A722">
            <v>97917</v>
          </cell>
          <cell r="B722" t="str">
            <v>REIDSVILLE ABC BOARD</v>
          </cell>
          <cell r="C722">
            <v>2.0999999999999999E-5</v>
          </cell>
          <cell r="D722">
            <v>1.98E-5</v>
          </cell>
          <cell r="E722">
            <v>13419</v>
          </cell>
          <cell r="F722">
            <v>42022</v>
          </cell>
          <cell r="G722">
            <v>32082</v>
          </cell>
          <cell r="H722"/>
          <cell r="I722">
            <v>1848</v>
          </cell>
          <cell r="J722">
            <v>7790</v>
          </cell>
          <cell r="K722">
            <v>4582</v>
          </cell>
          <cell r="L722">
            <v>7811</v>
          </cell>
          <cell r="M722"/>
          <cell r="N722">
            <v>908</v>
          </cell>
          <cell r="O722">
            <v>0</v>
          </cell>
          <cell r="P722">
            <v>0</v>
          </cell>
          <cell r="Q722">
            <v>0</v>
          </cell>
          <cell r="R722"/>
          <cell r="S722">
            <v>10812</v>
          </cell>
          <cell r="T722">
            <v>3168</v>
          </cell>
          <cell r="U722">
            <v>13980</v>
          </cell>
        </row>
        <row r="723">
          <cell r="A723">
            <v>97921</v>
          </cell>
          <cell r="B723" t="str">
            <v>TOWN OF MAYODAN</v>
          </cell>
          <cell r="C723">
            <v>2.1699999999999999E-4</v>
          </cell>
          <cell r="D723">
            <v>2.2169999999999999E-4</v>
          </cell>
          <cell r="E723">
            <v>103163</v>
          </cell>
          <cell r="F723">
            <v>470522</v>
          </cell>
          <cell r="G723">
            <v>331516</v>
          </cell>
          <cell r="H723"/>
          <cell r="I723">
            <v>19098</v>
          </cell>
          <cell r="J723">
            <v>80493</v>
          </cell>
          <cell r="K723">
            <v>47345</v>
          </cell>
          <cell r="L723">
            <v>11562</v>
          </cell>
          <cell r="M723"/>
          <cell r="N723">
            <v>9384</v>
          </cell>
          <cell r="O723">
            <v>0</v>
          </cell>
          <cell r="P723">
            <v>0</v>
          </cell>
          <cell r="Q723">
            <v>5992</v>
          </cell>
          <cell r="R723"/>
          <cell r="S723">
            <v>111721</v>
          </cell>
          <cell r="T723">
            <v>3241</v>
          </cell>
          <cell r="U723">
            <v>114962</v>
          </cell>
        </row>
        <row r="724">
          <cell r="A724">
            <v>97931</v>
          </cell>
          <cell r="B724" t="str">
            <v>TOWN OF STONEVILLE</v>
          </cell>
          <cell r="C724">
            <v>7.0199999999999999E-5</v>
          </cell>
          <cell r="D724">
            <v>6.1600000000000007E-5</v>
          </cell>
          <cell r="E724">
            <v>31939</v>
          </cell>
          <cell r="F724">
            <v>130736</v>
          </cell>
          <cell r="G724">
            <v>107246</v>
          </cell>
          <cell r="H724"/>
          <cell r="I724">
            <v>6178</v>
          </cell>
          <cell r="J724">
            <v>26039</v>
          </cell>
          <cell r="K724">
            <v>15316</v>
          </cell>
          <cell r="L724">
            <v>18162</v>
          </cell>
          <cell r="M724"/>
          <cell r="N724">
            <v>3036</v>
          </cell>
          <cell r="O724">
            <v>0</v>
          </cell>
          <cell r="P724">
            <v>0</v>
          </cell>
          <cell r="Q724">
            <v>7492</v>
          </cell>
          <cell r="R724"/>
          <cell r="S724">
            <v>36142</v>
          </cell>
          <cell r="T724">
            <v>2117</v>
          </cell>
          <cell r="U724">
            <v>38259</v>
          </cell>
        </row>
        <row r="725">
          <cell r="A725">
            <v>97941</v>
          </cell>
          <cell r="B725" t="str">
            <v>TOWN OF MADISON</v>
          </cell>
          <cell r="C725">
            <v>2.0479999999999999E-4</v>
          </cell>
          <cell r="D725">
            <v>2.3330000000000001E-4</v>
          </cell>
          <cell r="E725">
            <v>106970</v>
          </cell>
          <cell r="F725">
            <v>495141</v>
          </cell>
          <cell r="G725">
            <v>312878</v>
          </cell>
          <cell r="H725"/>
          <cell r="I725">
            <v>18025</v>
          </cell>
          <cell r="J725">
            <v>75967</v>
          </cell>
          <cell r="K725">
            <v>44683</v>
          </cell>
          <cell r="L725">
            <v>17999</v>
          </cell>
          <cell r="M725"/>
          <cell r="N725">
            <v>8857</v>
          </cell>
          <cell r="O725">
            <v>0</v>
          </cell>
          <cell r="P725">
            <v>0</v>
          </cell>
          <cell r="Q725">
            <v>8897</v>
          </cell>
          <cell r="R725"/>
          <cell r="S725">
            <v>105440</v>
          </cell>
          <cell r="T725">
            <v>7001</v>
          </cell>
          <cell r="U725">
            <v>112441</v>
          </cell>
        </row>
        <row r="726">
          <cell r="A726">
            <v>97947</v>
          </cell>
          <cell r="B726" t="str">
            <v>MADISON ABC BOARD</v>
          </cell>
          <cell r="C726">
            <v>1.3900000000000001E-5</v>
          </cell>
          <cell r="D726">
            <v>1.5500000000000001E-5</v>
          </cell>
          <cell r="E726">
            <v>11471</v>
          </cell>
          <cell r="F726">
            <v>32896</v>
          </cell>
          <cell r="G726">
            <v>21235</v>
          </cell>
          <cell r="H726"/>
          <cell r="I726">
            <v>1223</v>
          </cell>
          <cell r="J726">
            <v>5156</v>
          </cell>
          <cell r="K726">
            <v>3033</v>
          </cell>
          <cell r="L726">
            <v>9518</v>
          </cell>
          <cell r="M726"/>
          <cell r="N726">
            <v>601</v>
          </cell>
          <cell r="O726">
            <v>0</v>
          </cell>
          <cell r="P726">
            <v>0</v>
          </cell>
          <cell r="Q726">
            <v>306</v>
          </cell>
          <cell r="R726"/>
          <cell r="S726">
            <v>7156</v>
          </cell>
          <cell r="T726">
            <v>3116</v>
          </cell>
          <cell r="U726">
            <v>10272</v>
          </cell>
        </row>
        <row r="727">
          <cell r="A727">
            <v>97948</v>
          </cell>
          <cell r="B727" t="str">
            <v>MADISON-MAYODAN RECREATION COMM</v>
          </cell>
          <cell r="C727">
            <v>2.2099999999999998E-5</v>
          </cell>
          <cell r="D727">
            <v>3.5200000000000002E-5</v>
          </cell>
          <cell r="E727">
            <v>10840</v>
          </cell>
          <cell r="F727">
            <v>74706</v>
          </cell>
          <cell r="G727">
            <v>33763</v>
          </cell>
          <cell r="H727"/>
          <cell r="I727">
            <v>1945</v>
          </cell>
          <cell r="J727">
            <v>8198</v>
          </cell>
          <cell r="K727">
            <v>4822</v>
          </cell>
          <cell r="L727">
            <v>1909</v>
          </cell>
          <cell r="M727"/>
          <cell r="N727">
            <v>956</v>
          </cell>
          <cell r="O727">
            <v>0</v>
          </cell>
          <cell r="P727">
            <v>0</v>
          </cell>
          <cell r="Q727">
            <v>8330</v>
          </cell>
          <cell r="R727"/>
          <cell r="S727">
            <v>11378</v>
          </cell>
          <cell r="T727">
            <v>-972</v>
          </cell>
          <cell r="U727">
            <v>10406</v>
          </cell>
        </row>
        <row r="728">
          <cell r="A728">
            <v>97951</v>
          </cell>
          <cell r="B728" t="str">
            <v>CITY OF EDEN</v>
          </cell>
          <cell r="C728">
            <v>1.2440999999999999E-3</v>
          </cell>
          <cell r="D728">
            <v>1.2497000000000001E-3</v>
          </cell>
          <cell r="E728">
            <v>597832</v>
          </cell>
          <cell r="F728">
            <v>2652282</v>
          </cell>
          <cell r="G728">
            <v>1900640</v>
          </cell>
          <cell r="H728"/>
          <cell r="I728">
            <v>109494</v>
          </cell>
          <cell r="J728">
            <v>461477</v>
          </cell>
          <cell r="K728">
            <v>271438</v>
          </cell>
          <cell r="L728">
            <v>31864</v>
          </cell>
          <cell r="M728"/>
          <cell r="N728">
            <v>53801</v>
          </cell>
          <cell r="O728">
            <v>0</v>
          </cell>
          <cell r="P728">
            <v>0</v>
          </cell>
          <cell r="Q728">
            <v>7067</v>
          </cell>
          <cell r="R728"/>
          <cell r="S728">
            <v>640517</v>
          </cell>
          <cell r="T728">
            <v>4295</v>
          </cell>
          <cell r="U728">
            <v>644812</v>
          </cell>
        </row>
        <row r="729">
          <cell r="A729">
            <v>97957</v>
          </cell>
          <cell r="B729" t="str">
            <v>EDEN ABC BOARD</v>
          </cell>
          <cell r="C729">
            <v>1.8700000000000001E-5</v>
          </cell>
          <cell r="D729">
            <v>1.9599999999999999E-5</v>
          </cell>
          <cell r="E729">
            <v>12857</v>
          </cell>
          <cell r="F729">
            <v>41598</v>
          </cell>
          <cell r="G729">
            <v>28568</v>
          </cell>
          <cell r="H729"/>
          <cell r="I729">
            <v>1646</v>
          </cell>
          <cell r="J729">
            <v>6936</v>
          </cell>
          <cell r="K729">
            <v>4080</v>
          </cell>
          <cell r="L729">
            <v>4456</v>
          </cell>
          <cell r="M729"/>
          <cell r="N729">
            <v>809</v>
          </cell>
          <cell r="O729">
            <v>0</v>
          </cell>
          <cell r="P729">
            <v>0</v>
          </cell>
          <cell r="Q729">
            <v>1123</v>
          </cell>
          <cell r="R729"/>
          <cell r="S729">
            <v>9628</v>
          </cell>
          <cell r="T729">
            <v>620</v>
          </cell>
          <cell r="U729">
            <v>10248</v>
          </cell>
        </row>
        <row r="730">
          <cell r="A730">
            <v>98001</v>
          </cell>
          <cell r="B730" t="str">
            <v>ROWAN COUNTY</v>
          </cell>
          <cell r="C730">
            <v>5.1148000000000001E-3</v>
          </cell>
          <cell r="D730">
            <v>4.9659999999999999E-3</v>
          </cell>
          <cell r="E730">
            <v>2367016</v>
          </cell>
          <cell r="F730">
            <v>10539516</v>
          </cell>
          <cell r="G730">
            <v>7813998</v>
          </cell>
          <cell r="H730"/>
          <cell r="I730">
            <v>450159</v>
          </cell>
          <cell r="J730">
            <v>1897248</v>
          </cell>
          <cell r="K730">
            <v>1115947</v>
          </cell>
          <cell r="L730">
            <v>181889</v>
          </cell>
          <cell r="M730"/>
          <cell r="N730">
            <v>221190</v>
          </cell>
          <cell r="O730">
            <v>0</v>
          </cell>
          <cell r="P730">
            <v>0</v>
          </cell>
          <cell r="Q730">
            <v>0</v>
          </cell>
          <cell r="R730"/>
          <cell r="S730">
            <v>2633324</v>
          </cell>
          <cell r="T730">
            <v>81305</v>
          </cell>
          <cell r="U730">
            <v>2714629</v>
          </cell>
        </row>
        <row r="731">
          <cell r="A731">
            <v>98002</v>
          </cell>
          <cell r="B731" t="str">
            <v>ROWAN CONVENTION &amp; VISTORS BUREAU</v>
          </cell>
          <cell r="C731">
            <v>6.7000000000000002E-6</v>
          </cell>
          <cell r="D731">
            <v>7.3000000000000004E-6</v>
          </cell>
          <cell r="E731">
            <v>4126</v>
          </cell>
          <cell r="F731">
            <v>15493</v>
          </cell>
          <cell r="G731">
            <v>10236</v>
          </cell>
          <cell r="H731"/>
          <cell r="I731">
            <v>590</v>
          </cell>
          <cell r="J731">
            <v>2485</v>
          </cell>
          <cell r="K731">
            <v>1462</v>
          </cell>
          <cell r="L731">
            <v>1007</v>
          </cell>
          <cell r="M731"/>
          <cell r="N731">
            <v>290</v>
          </cell>
          <cell r="O731">
            <v>0</v>
          </cell>
          <cell r="P731">
            <v>0</v>
          </cell>
          <cell r="Q731">
            <v>6492</v>
          </cell>
          <cell r="R731"/>
          <cell r="S731">
            <v>3449</v>
          </cell>
          <cell r="T731">
            <v>-6219</v>
          </cell>
          <cell r="U731">
            <v>-2770</v>
          </cell>
        </row>
        <row r="732">
          <cell r="A732">
            <v>98003</v>
          </cell>
          <cell r="B732" t="str">
            <v>ROWAN CO HOUSING AUTHORITY</v>
          </cell>
          <cell r="C732">
            <v>7.9599999999999997E-5</v>
          </cell>
          <cell r="D732">
            <v>8.1600000000000005E-5</v>
          </cell>
          <cell r="E732">
            <v>70274</v>
          </cell>
          <cell r="F732">
            <v>173183</v>
          </cell>
          <cell r="G732">
            <v>121607</v>
          </cell>
          <cell r="H732"/>
          <cell r="I732">
            <v>7006</v>
          </cell>
          <cell r="J732">
            <v>29526</v>
          </cell>
          <cell r="K732">
            <v>17367</v>
          </cell>
          <cell r="L732">
            <v>54986</v>
          </cell>
          <cell r="M732"/>
          <cell r="N732">
            <v>3442</v>
          </cell>
          <cell r="O732">
            <v>0</v>
          </cell>
          <cell r="P732">
            <v>0</v>
          </cell>
          <cell r="Q732">
            <v>0</v>
          </cell>
          <cell r="R732"/>
          <cell r="S732">
            <v>40982</v>
          </cell>
          <cell r="T732">
            <v>18634</v>
          </cell>
          <cell r="U732">
            <v>59616</v>
          </cell>
        </row>
        <row r="733">
          <cell r="A733">
            <v>98004</v>
          </cell>
          <cell r="B733" t="str">
            <v>ROWAN COUNTY ABC BOARD</v>
          </cell>
          <cell r="C733">
            <v>1.182E-4</v>
          </cell>
          <cell r="D733">
            <v>1.209E-4</v>
          </cell>
          <cell r="E733">
            <v>78050</v>
          </cell>
          <cell r="F733">
            <v>256590</v>
          </cell>
          <cell r="G733">
            <v>180577</v>
          </cell>
          <cell r="H733"/>
          <cell r="I733">
            <v>10403</v>
          </cell>
          <cell r="J733">
            <v>43844</v>
          </cell>
          <cell r="K733">
            <v>25789</v>
          </cell>
          <cell r="L733">
            <v>36575</v>
          </cell>
          <cell r="M733"/>
          <cell r="N733">
            <v>5112</v>
          </cell>
          <cell r="O733">
            <v>0</v>
          </cell>
          <cell r="P733">
            <v>0</v>
          </cell>
          <cell r="Q733">
            <v>0</v>
          </cell>
          <cell r="R733"/>
          <cell r="S733">
            <v>60855</v>
          </cell>
          <cell r="T733">
            <v>14190</v>
          </cell>
          <cell r="U733">
            <v>75045</v>
          </cell>
        </row>
        <row r="734">
          <cell r="A734">
            <v>98008</v>
          </cell>
          <cell r="B734" t="str">
            <v>ROWAN CO SOIL &amp; WATER CONV DIST</v>
          </cell>
          <cell r="C734">
            <v>7.9999999999999996E-6</v>
          </cell>
          <cell r="D734">
            <v>7.7999999999999999E-6</v>
          </cell>
          <cell r="E734">
            <v>3537</v>
          </cell>
          <cell r="F734">
            <v>16554</v>
          </cell>
          <cell r="G734">
            <v>12222</v>
          </cell>
          <cell r="H734"/>
          <cell r="I734">
            <v>704</v>
          </cell>
          <cell r="J734">
            <v>2967</v>
          </cell>
          <cell r="K734">
            <v>1745</v>
          </cell>
          <cell r="L734">
            <v>25</v>
          </cell>
          <cell r="M734"/>
          <cell r="N734">
            <v>346</v>
          </cell>
          <cell r="O734">
            <v>0</v>
          </cell>
          <cell r="P734">
            <v>0</v>
          </cell>
          <cell r="Q734">
            <v>804</v>
          </cell>
          <cell r="R734"/>
          <cell r="S734">
            <v>4119</v>
          </cell>
          <cell r="T734">
            <v>-490</v>
          </cell>
          <cell r="U734">
            <v>3629</v>
          </cell>
        </row>
        <row r="735">
          <cell r="A735">
            <v>98011</v>
          </cell>
          <cell r="B735" t="str">
            <v>CITY OF SALISBURY</v>
          </cell>
          <cell r="C735">
            <v>3.1578999999999999E-3</v>
          </cell>
          <cell r="D735">
            <v>3.1795E-3</v>
          </cell>
          <cell r="E735">
            <v>1430082</v>
          </cell>
          <cell r="F735">
            <v>6747964</v>
          </cell>
          <cell r="G735">
            <v>4824396</v>
          </cell>
          <cell r="H735"/>
          <cell r="I735">
            <v>277930</v>
          </cell>
          <cell r="J735">
            <v>1171370</v>
          </cell>
          <cell r="K735">
            <v>688991</v>
          </cell>
          <cell r="L735">
            <v>0</v>
          </cell>
          <cell r="M735"/>
          <cell r="N735">
            <v>136563</v>
          </cell>
          <cell r="O735">
            <v>0</v>
          </cell>
          <cell r="P735">
            <v>0</v>
          </cell>
          <cell r="Q735">
            <v>315025</v>
          </cell>
          <cell r="R735"/>
          <cell r="S735">
            <v>1625826</v>
          </cell>
          <cell r="T735">
            <v>-146862</v>
          </cell>
          <cell r="U735">
            <v>1478964</v>
          </cell>
        </row>
        <row r="736">
          <cell r="A736">
            <v>98013</v>
          </cell>
          <cell r="B736" t="str">
            <v>HOUSING AUTH OF THE CTY OF SALISBURY</v>
          </cell>
          <cell r="C736">
            <v>1.415E-4</v>
          </cell>
          <cell r="D736">
            <v>1.426E-4</v>
          </cell>
          <cell r="E736">
            <v>138521</v>
          </cell>
          <cell r="F736">
            <v>302645</v>
          </cell>
          <cell r="G736">
            <v>216173</v>
          </cell>
          <cell r="H736"/>
          <cell r="I736">
            <v>12454</v>
          </cell>
          <cell r="J736">
            <v>52487</v>
          </cell>
          <cell r="K736">
            <v>30872</v>
          </cell>
          <cell r="L736">
            <v>126104</v>
          </cell>
          <cell r="M736"/>
          <cell r="N736">
            <v>6119</v>
          </cell>
          <cell r="O736">
            <v>0</v>
          </cell>
          <cell r="P736">
            <v>0</v>
          </cell>
          <cell r="Q736">
            <v>2073</v>
          </cell>
          <cell r="R736"/>
          <cell r="S736">
            <v>72850</v>
          </cell>
          <cell r="T736">
            <v>41784</v>
          </cell>
          <cell r="U736">
            <v>114634</v>
          </cell>
        </row>
        <row r="737">
          <cell r="A737">
            <v>98021</v>
          </cell>
          <cell r="B737" t="str">
            <v>TOWN OF EAST SPENCER</v>
          </cell>
          <cell r="C737">
            <v>8.6199999999999995E-5</v>
          </cell>
          <cell r="D737">
            <v>7.5099999999999996E-5</v>
          </cell>
          <cell r="E737">
            <v>28536</v>
          </cell>
          <cell r="F737">
            <v>159387</v>
          </cell>
          <cell r="G737">
            <v>131690</v>
          </cell>
          <cell r="H737"/>
          <cell r="I737">
            <v>7587</v>
          </cell>
          <cell r="J737">
            <v>31975</v>
          </cell>
          <cell r="K737">
            <v>18807</v>
          </cell>
          <cell r="L737">
            <v>13468</v>
          </cell>
          <cell r="M737"/>
          <cell r="N737">
            <v>3728</v>
          </cell>
          <cell r="O737">
            <v>0</v>
          </cell>
          <cell r="P737">
            <v>0</v>
          </cell>
          <cell r="Q737">
            <v>2708</v>
          </cell>
          <cell r="R737"/>
          <cell r="S737">
            <v>44380</v>
          </cell>
          <cell r="T737">
            <v>6479</v>
          </cell>
          <cell r="U737">
            <v>50859</v>
          </cell>
        </row>
        <row r="738">
          <cell r="A738">
            <v>98023</v>
          </cell>
          <cell r="B738" t="str">
            <v>EAST SPENCER HOUSING AUTHORITY</v>
          </cell>
          <cell r="C738">
            <v>1.43E-5</v>
          </cell>
          <cell r="D738">
            <v>1.45E-5</v>
          </cell>
          <cell r="E738">
            <v>6869</v>
          </cell>
          <cell r="F738">
            <v>30774</v>
          </cell>
          <cell r="G738">
            <v>21846</v>
          </cell>
          <cell r="H738"/>
          <cell r="I738">
            <v>1259</v>
          </cell>
          <cell r="J738">
            <v>5305</v>
          </cell>
          <cell r="K738">
            <v>3120</v>
          </cell>
          <cell r="L738">
            <v>109</v>
          </cell>
          <cell r="M738"/>
          <cell r="N738">
            <v>618</v>
          </cell>
          <cell r="O738">
            <v>0</v>
          </cell>
          <cell r="P738">
            <v>0</v>
          </cell>
          <cell r="Q738">
            <v>5220</v>
          </cell>
          <cell r="R738"/>
          <cell r="S738">
            <v>7362</v>
          </cell>
          <cell r="T738">
            <v>-2611</v>
          </cell>
          <cell r="U738">
            <v>4751</v>
          </cell>
        </row>
        <row r="739">
          <cell r="A739">
            <v>98031</v>
          </cell>
          <cell r="B739" t="str">
            <v>TOWN OF SPENCER</v>
          </cell>
          <cell r="C739">
            <v>1.537E-4</v>
          </cell>
          <cell r="D739">
            <v>1.5530000000000001E-4</v>
          </cell>
          <cell r="E739">
            <v>67740</v>
          </cell>
          <cell r="F739">
            <v>329599</v>
          </cell>
          <cell r="G739">
            <v>234811</v>
          </cell>
          <cell r="H739"/>
          <cell r="I739">
            <v>13527</v>
          </cell>
          <cell r="J739">
            <v>57012</v>
          </cell>
          <cell r="K739">
            <v>33534</v>
          </cell>
          <cell r="L739">
            <v>4651</v>
          </cell>
          <cell r="M739"/>
          <cell r="N739">
            <v>6647</v>
          </cell>
          <cell r="O739">
            <v>0</v>
          </cell>
          <cell r="P739">
            <v>0</v>
          </cell>
          <cell r="Q739">
            <v>9184</v>
          </cell>
          <cell r="R739"/>
          <cell r="S739">
            <v>79132</v>
          </cell>
          <cell r="T739">
            <v>-1401</v>
          </cell>
          <cell r="U739">
            <v>77731</v>
          </cell>
        </row>
        <row r="740">
          <cell r="A740">
            <v>98041</v>
          </cell>
          <cell r="B740" t="str">
            <v>TOWN OF CHINA GROVE</v>
          </cell>
          <cell r="C740">
            <v>1.9230000000000001E-4</v>
          </cell>
          <cell r="D740">
            <v>1.6559999999999999E-4</v>
          </cell>
          <cell r="E740">
            <v>80474</v>
          </cell>
          <cell r="F740">
            <v>351459</v>
          </cell>
          <cell r="G740">
            <v>293781</v>
          </cell>
          <cell r="H740"/>
          <cell r="I740">
            <v>16925</v>
          </cell>
          <cell r="J740">
            <v>71330</v>
          </cell>
          <cell r="K740">
            <v>41956</v>
          </cell>
          <cell r="L740">
            <v>17154</v>
          </cell>
          <cell r="M740"/>
          <cell r="N740">
            <v>8316</v>
          </cell>
          <cell r="O740">
            <v>0</v>
          </cell>
          <cell r="P740">
            <v>0</v>
          </cell>
          <cell r="Q740">
            <v>5779</v>
          </cell>
          <cell r="R740"/>
          <cell r="S740">
            <v>99005</v>
          </cell>
          <cell r="T740">
            <v>943</v>
          </cell>
          <cell r="U740">
            <v>99948</v>
          </cell>
        </row>
        <row r="741">
          <cell r="A741">
            <v>98051</v>
          </cell>
          <cell r="B741" t="str">
            <v>TOWN OF LANDIS</v>
          </cell>
          <cell r="C741">
            <v>2.8019999999999998E-4</v>
          </cell>
          <cell r="D741">
            <v>3.0019999999999998E-4</v>
          </cell>
          <cell r="E741">
            <v>136145</v>
          </cell>
          <cell r="F741">
            <v>637125</v>
          </cell>
          <cell r="G741">
            <v>428068</v>
          </cell>
          <cell r="H741"/>
          <cell r="I741">
            <v>24661</v>
          </cell>
          <cell r="J741">
            <v>103936</v>
          </cell>
          <cell r="K741">
            <v>61134</v>
          </cell>
          <cell r="L741">
            <v>21691</v>
          </cell>
          <cell r="M741"/>
          <cell r="N741">
            <v>12117</v>
          </cell>
          <cell r="O741">
            <v>0</v>
          </cell>
          <cell r="P741">
            <v>0</v>
          </cell>
          <cell r="Q741">
            <v>7516</v>
          </cell>
          <cell r="R741"/>
          <cell r="S741">
            <v>144259</v>
          </cell>
          <cell r="T741">
            <v>7566</v>
          </cell>
          <cell r="U741">
            <v>151825</v>
          </cell>
        </row>
        <row r="742">
          <cell r="A742">
            <v>98061</v>
          </cell>
          <cell r="B742" t="str">
            <v>TOWN OF GRANITE QUARRY</v>
          </cell>
          <cell r="C742">
            <v>1.0670000000000001E-4</v>
          </cell>
          <cell r="D742">
            <v>9.9099999999999996E-5</v>
          </cell>
          <cell r="E742">
            <v>47390</v>
          </cell>
          <cell r="F742">
            <v>210323</v>
          </cell>
          <cell r="G742">
            <v>163008</v>
          </cell>
          <cell r="H742"/>
          <cell r="I742">
            <v>9391</v>
          </cell>
          <cell r="J742">
            <v>39579</v>
          </cell>
          <cell r="K742">
            <v>23280</v>
          </cell>
          <cell r="L742">
            <v>3820</v>
          </cell>
          <cell r="M742"/>
          <cell r="N742">
            <v>4614</v>
          </cell>
          <cell r="O742">
            <v>0</v>
          </cell>
          <cell r="P742">
            <v>0</v>
          </cell>
          <cell r="Q742">
            <v>17433</v>
          </cell>
          <cell r="R742"/>
          <cell r="S742">
            <v>54934</v>
          </cell>
          <cell r="T742">
            <v>-6260</v>
          </cell>
          <cell r="U742">
            <v>48674</v>
          </cell>
        </row>
        <row r="743">
          <cell r="A743">
            <v>98071</v>
          </cell>
          <cell r="B743" t="str">
            <v>TOWN OF ROCKWELL</v>
          </cell>
          <cell r="C743">
            <v>4.0099999999999999E-5</v>
          </cell>
          <cell r="D743">
            <v>3.4400000000000003E-5</v>
          </cell>
          <cell r="E743">
            <v>28233</v>
          </cell>
          <cell r="F743">
            <v>73008</v>
          </cell>
          <cell r="G743">
            <v>61262</v>
          </cell>
          <cell r="H743"/>
          <cell r="I743">
            <v>3529</v>
          </cell>
          <cell r="J743">
            <v>14874</v>
          </cell>
          <cell r="K743">
            <v>8749</v>
          </cell>
          <cell r="L743">
            <v>18505</v>
          </cell>
          <cell r="M743"/>
          <cell r="N743">
            <v>1734</v>
          </cell>
          <cell r="O743">
            <v>0</v>
          </cell>
          <cell r="P743">
            <v>0</v>
          </cell>
          <cell r="Q743">
            <v>1200</v>
          </cell>
          <cell r="R743"/>
          <cell r="S743">
            <v>20645</v>
          </cell>
          <cell r="T743">
            <v>4654</v>
          </cell>
          <cell r="U743">
            <v>25299</v>
          </cell>
        </row>
        <row r="744">
          <cell r="A744">
            <v>98081</v>
          </cell>
          <cell r="B744" t="str">
            <v>TOWN OF FAITH</v>
          </cell>
          <cell r="C744">
            <v>1.8300000000000001E-5</v>
          </cell>
          <cell r="D744">
            <v>1.9400000000000001E-5</v>
          </cell>
          <cell r="E744">
            <v>7556</v>
          </cell>
          <cell r="F744">
            <v>41173</v>
          </cell>
          <cell r="G744">
            <v>27957</v>
          </cell>
          <cell r="H744"/>
          <cell r="I744">
            <v>1611</v>
          </cell>
          <cell r="J744">
            <v>6788</v>
          </cell>
          <cell r="K744">
            <v>3993</v>
          </cell>
          <cell r="L744">
            <v>0</v>
          </cell>
          <cell r="M744"/>
          <cell r="N744">
            <v>791</v>
          </cell>
          <cell r="O744">
            <v>0</v>
          </cell>
          <cell r="P744">
            <v>0</v>
          </cell>
          <cell r="Q744">
            <v>4207</v>
          </cell>
          <cell r="R744"/>
          <cell r="S744">
            <v>9422</v>
          </cell>
          <cell r="T744">
            <v>-1896</v>
          </cell>
          <cell r="U744">
            <v>7526</v>
          </cell>
        </row>
        <row r="745">
          <cell r="A745">
            <v>98091</v>
          </cell>
          <cell r="B745" t="str">
            <v>TOWN OF CLEVELAND</v>
          </cell>
          <cell r="C745">
            <v>4.7500000000000003E-5</v>
          </cell>
          <cell r="D745">
            <v>5.0899999999999997E-5</v>
          </cell>
          <cell r="E745">
            <v>25241</v>
          </cell>
          <cell r="F745">
            <v>108027</v>
          </cell>
          <cell r="G745">
            <v>72567</v>
          </cell>
          <cell r="H745"/>
          <cell r="I745">
            <v>4181</v>
          </cell>
          <cell r="J745">
            <v>17619</v>
          </cell>
          <cell r="K745">
            <v>10364</v>
          </cell>
          <cell r="L745">
            <v>1261</v>
          </cell>
          <cell r="M745"/>
          <cell r="N745">
            <v>2054</v>
          </cell>
          <cell r="O745">
            <v>0</v>
          </cell>
          <cell r="P745">
            <v>0</v>
          </cell>
          <cell r="Q745">
            <v>807</v>
          </cell>
          <cell r="R745"/>
          <cell r="S745">
            <v>24455</v>
          </cell>
          <cell r="T745">
            <v>-295</v>
          </cell>
          <cell r="U745">
            <v>24160</v>
          </cell>
        </row>
        <row r="746">
          <cell r="A746">
            <v>98101</v>
          </cell>
          <cell r="B746" t="str">
            <v>RUTHERFORD COUNTY</v>
          </cell>
          <cell r="C746">
            <v>2.8706999999999999E-3</v>
          </cell>
          <cell r="D746">
            <v>2.7642999999999999E-3</v>
          </cell>
          <cell r="E746">
            <v>1210234</v>
          </cell>
          <cell r="F746">
            <v>5866771</v>
          </cell>
          <cell r="G746">
            <v>4385634</v>
          </cell>
          <cell r="H746"/>
          <cell r="I746">
            <v>252653</v>
          </cell>
          <cell r="J746">
            <v>1064838</v>
          </cell>
          <cell r="K746">
            <v>626329</v>
          </cell>
          <cell r="L746">
            <v>37308</v>
          </cell>
          <cell r="M746"/>
          <cell r="N746">
            <v>124143</v>
          </cell>
          <cell r="O746">
            <v>0</v>
          </cell>
          <cell r="P746">
            <v>0</v>
          </cell>
          <cell r="Q746">
            <v>32438</v>
          </cell>
          <cell r="R746"/>
          <cell r="S746">
            <v>1477963</v>
          </cell>
          <cell r="T746">
            <v>14286</v>
          </cell>
          <cell r="U746">
            <v>1492249</v>
          </cell>
        </row>
        <row r="747">
          <cell r="A747">
            <v>98102</v>
          </cell>
          <cell r="B747" t="str">
            <v>BROAD RIVER WATER AUTHORITY</v>
          </cell>
          <cell r="C747">
            <v>1.5809999999999999E-4</v>
          </cell>
          <cell r="D747">
            <v>1.683E-4</v>
          </cell>
          <cell r="E747">
            <v>71621</v>
          </cell>
          <cell r="F747">
            <v>357189</v>
          </cell>
          <cell r="G747">
            <v>241533</v>
          </cell>
          <cell r="H747"/>
          <cell r="I747">
            <v>13915</v>
          </cell>
          <cell r="J747">
            <v>58644</v>
          </cell>
          <cell r="K747">
            <v>34494</v>
          </cell>
          <cell r="L747">
            <v>0</v>
          </cell>
          <cell r="M747"/>
          <cell r="N747">
            <v>6837</v>
          </cell>
          <cell r="O747">
            <v>0</v>
          </cell>
          <cell r="P747">
            <v>0</v>
          </cell>
          <cell r="Q747">
            <v>14329</v>
          </cell>
          <cell r="R747"/>
          <cell r="S747">
            <v>81397</v>
          </cell>
          <cell r="T747">
            <v>-5584</v>
          </cell>
          <cell r="U747">
            <v>75813</v>
          </cell>
        </row>
        <row r="748">
          <cell r="A748">
            <v>98103</v>
          </cell>
          <cell r="B748" t="str">
            <v>RUTHERFORD POLK MCDOWELL DIST BRD OF HEALTH</v>
          </cell>
          <cell r="C748">
            <v>5.4410000000000005E-4</v>
          </cell>
          <cell r="D748">
            <v>5.3600000000000002E-4</v>
          </cell>
          <cell r="E748">
            <v>255161</v>
          </cell>
          <cell r="F748">
            <v>1137572</v>
          </cell>
          <cell r="G748">
            <v>831234</v>
          </cell>
          <cell r="H748"/>
          <cell r="I748">
            <v>47887</v>
          </cell>
          <cell r="J748">
            <v>201824</v>
          </cell>
          <cell r="K748">
            <v>118712</v>
          </cell>
          <cell r="L748">
            <v>9730</v>
          </cell>
          <cell r="M748"/>
          <cell r="N748">
            <v>23530</v>
          </cell>
          <cell r="O748">
            <v>0</v>
          </cell>
          <cell r="P748">
            <v>0</v>
          </cell>
          <cell r="Q748">
            <v>27055</v>
          </cell>
          <cell r="R748"/>
          <cell r="S748">
            <v>280127</v>
          </cell>
          <cell r="T748">
            <v>-17051</v>
          </cell>
          <cell r="U748">
            <v>263076</v>
          </cell>
        </row>
        <row r="749">
          <cell r="A749">
            <v>98107</v>
          </cell>
          <cell r="B749" t="str">
            <v>FOREST CITY ABC BOARD 168</v>
          </cell>
          <cell r="C749">
            <v>1.08E-5</v>
          </cell>
          <cell r="D749">
            <v>1.08E-5</v>
          </cell>
          <cell r="E749">
            <v>9242</v>
          </cell>
          <cell r="F749">
            <v>22921</v>
          </cell>
          <cell r="G749">
            <v>16499</v>
          </cell>
          <cell r="H749"/>
          <cell r="I749">
            <v>951</v>
          </cell>
          <cell r="J749">
            <v>4006</v>
          </cell>
          <cell r="K749">
            <v>2356</v>
          </cell>
          <cell r="L749">
            <v>8237</v>
          </cell>
          <cell r="M749"/>
          <cell r="N749">
            <v>467</v>
          </cell>
          <cell r="O749">
            <v>0</v>
          </cell>
          <cell r="P749">
            <v>0</v>
          </cell>
          <cell r="Q749">
            <v>0</v>
          </cell>
          <cell r="R749"/>
          <cell r="S749">
            <v>5560</v>
          </cell>
          <cell r="T749">
            <v>3467</v>
          </cell>
          <cell r="U749">
            <v>9027</v>
          </cell>
        </row>
        <row r="750">
          <cell r="A750">
            <v>98109</v>
          </cell>
          <cell r="B750" t="str">
            <v>ISOTHERMAL PLANNING AND DEV COMM</v>
          </cell>
          <cell r="C750">
            <v>1.573E-4</v>
          </cell>
          <cell r="D750">
            <v>1.4660000000000001E-4</v>
          </cell>
          <cell r="E750">
            <v>76016</v>
          </cell>
          <cell r="F750">
            <v>311134</v>
          </cell>
          <cell r="G750">
            <v>240311</v>
          </cell>
          <cell r="H750"/>
          <cell r="I750">
            <v>13844</v>
          </cell>
          <cell r="J750">
            <v>58348</v>
          </cell>
          <cell r="K750">
            <v>34320</v>
          </cell>
          <cell r="L750">
            <v>12163</v>
          </cell>
          <cell r="M750"/>
          <cell r="N750">
            <v>6802</v>
          </cell>
          <cell r="O750">
            <v>0</v>
          </cell>
          <cell r="P750">
            <v>0</v>
          </cell>
          <cell r="Q750">
            <v>24551</v>
          </cell>
          <cell r="R750"/>
          <cell r="S750">
            <v>80985</v>
          </cell>
          <cell r="T750">
            <v>-7590</v>
          </cell>
          <cell r="U750">
            <v>73395</v>
          </cell>
        </row>
        <row r="751">
          <cell r="A751">
            <v>98111</v>
          </cell>
          <cell r="B751" t="str">
            <v>TOWN OF FOREST CITY</v>
          </cell>
          <cell r="C751">
            <v>1.0143000000000001E-3</v>
          </cell>
          <cell r="D751">
            <v>1.0191E-3</v>
          </cell>
          <cell r="E751">
            <v>432530</v>
          </cell>
          <cell r="F751">
            <v>2162872</v>
          </cell>
          <cell r="G751">
            <v>1549569</v>
          </cell>
          <cell r="H751"/>
          <cell r="I751">
            <v>89270</v>
          </cell>
          <cell r="J751">
            <v>376238</v>
          </cell>
          <cell r="K751">
            <v>221300</v>
          </cell>
          <cell r="L751">
            <v>0</v>
          </cell>
          <cell r="M751"/>
          <cell r="N751">
            <v>43863</v>
          </cell>
          <cell r="O751">
            <v>0</v>
          </cell>
          <cell r="P751">
            <v>0</v>
          </cell>
          <cell r="Q751">
            <v>66610</v>
          </cell>
          <cell r="R751"/>
          <cell r="S751">
            <v>522206</v>
          </cell>
          <cell r="T751">
            <v>-21506</v>
          </cell>
          <cell r="U751">
            <v>500700</v>
          </cell>
        </row>
        <row r="752">
          <cell r="A752">
            <v>98113</v>
          </cell>
          <cell r="B752" t="str">
            <v>FOREST CITY HOUSING AUTHORITY</v>
          </cell>
          <cell r="C752">
            <v>4.6199999999999998E-5</v>
          </cell>
          <cell r="D752">
            <v>3.8999999999999999E-5</v>
          </cell>
          <cell r="E752">
            <v>23492</v>
          </cell>
          <cell r="F752">
            <v>82771</v>
          </cell>
          <cell r="G752">
            <v>70581</v>
          </cell>
          <cell r="H752"/>
          <cell r="I752">
            <v>4066</v>
          </cell>
          <cell r="J752">
            <v>17137</v>
          </cell>
          <cell r="K752">
            <v>10080</v>
          </cell>
          <cell r="L752">
            <v>11739</v>
          </cell>
          <cell r="M752"/>
          <cell r="N752">
            <v>1998</v>
          </cell>
          <cell r="O752">
            <v>0</v>
          </cell>
          <cell r="P752">
            <v>0</v>
          </cell>
          <cell r="Q752">
            <v>0</v>
          </cell>
          <cell r="R752"/>
          <cell r="S752">
            <v>23786</v>
          </cell>
          <cell r="T752">
            <v>4647</v>
          </cell>
          <cell r="U752">
            <v>28433</v>
          </cell>
        </row>
        <row r="753">
          <cell r="A753">
            <v>98121</v>
          </cell>
          <cell r="B753" t="str">
            <v>TOWN OF SPINDALE</v>
          </cell>
          <cell r="C753">
            <v>2.0100000000000001E-4</v>
          </cell>
          <cell r="D753">
            <v>2.2910000000000001E-4</v>
          </cell>
          <cell r="E753">
            <v>89370</v>
          </cell>
          <cell r="F753">
            <v>486227</v>
          </cell>
          <cell r="G753">
            <v>307072</v>
          </cell>
          <cell r="H753"/>
          <cell r="I753">
            <v>17690</v>
          </cell>
          <cell r="J753">
            <v>74558</v>
          </cell>
          <cell r="K753">
            <v>43854</v>
          </cell>
          <cell r="L753">
            <v>2134</v>
          </cell>
          <cell r="M753"/>
          <cell r="N753">
            <v>8692</v>
          </cell>
          <cell r="O753">
            <v>0</v>
          </cell>
          <cell r="P753">
            <v>0</v>
          </cell>
          <cell r="Q753">
            <v>25239</v>
          </cell>
          <cell r="R753"/>
          <cell r="S753">
            <v>103484</v>
          </cell>
          <cell r="T753">
            <v>-5712</v>
          </cell>
          <cell r="U753">
            <v>97772</v>
          </cell>
        </row>
        <row r="754">
          <cell r="A754">
            <v>98131</v>
          </cell>
          <cell r="B754" t="str">
            <v>TOWN OF LAKE LURE</v>
          </cell>
          <cell r="C754">
            <v>2.5230000000000001E-4</v>
          </cell>
          <cell r="D754">
            <v>2.9569999999999998E-4</v>
          </cell>
          <cell r="E754">
            <v>119697</v>
          </cell>
          <cell r="F754">
            <v>627574</v>
          </cell>
          <cell r="G754">
            <v>385445</v>
          </cell>
          <cell r="H754"/>
          <cell r="I754">
            <v>22205</v>
          </cell>
          <cell r="J754">
            <v>93586</v>
          </cell>
          <cell r="K754">
            <v>55047</v>
          </cell>
          <cell r="L754">
            <v>0</v>
          </cell>
          <cell r="M754"/>
          <cell r="N754">
            <v>10911</v>
          </cell>
          <cell r="O754">
            <v>0</v>
          </cell>
          <cell r="P754">
            <v>0</v>
          </cell>
          <cell r="Q754">
            <v>53749</v>
          </cell>
          <cell r="R754"/>
          <cell r="S754">
            <v>129895</v>
          </cell>
          <cell r="T754">
            <v>-23653</v>
          </cell>
          <cell r="U754">
            <v>106242</v>
          </cell>
        </row>
        <row r="755">
          <cell r="A755">
            <v>98141</v>
          </cell>
          <cell r="B755" t="str">
            <v>TOWN OF RUTHERFORDTON</v>
          </cell>
          <cell r="C755">
            <v>3.0360000000000001E-4</v>
          </cell>
          <cell r="D755">
            <v>2.9030000000000001E-4</v>
          </cell>
          <cell r="E755">
            <v>133558</v>
          </cell>
          <cell r="F755">
            <v>616114</v>
          </cell>
          <cell r="G755">
            <v>463817</v>
          </cell>
          <cell r="H755"/>
          <cell r="I755">
            <v>26720</v>
          </cell>
          <cell r="J755">
            <v>112616</v>
          </cell>
          <cell r="K755">
            <v>66239</v>
          </cell>
          <cell r="L755">
            <v>5226</v>
          </cell>
          <cell r="M755"/>
          <cell r="N755">
            <v>13129</v>
          </cell>
          <cell r="O755">
            <v>0</v>
          </cell>
          <cell r="P755">
            <v>0</v>
          </cell>
          <cell r="Q755">
            <v>22375</v>
          </cell>
          <cell r="R755"/>
          <cell r="S755">
            <v>156307</v>
          </cell>
          <cell r="T755">
            <v>-11630</v>
          </cell>
          <cell r="U755">
            <v>144677</v>
          </cell>
        </row>
        <row r="756">
          <cell r="A756">
            <v>98147</v>
          </cell>
          <cell r="B756" t="str">
            <v>TOWN OF RUTHERFORDTON ABC BRD</v>
          </cell>
          <cell r="C756">
            <v>1.29E-5</v>
          </cell>
          <cell r="D756">
            <v>1.29E-5</v>
          </cell>
          <cell r="E756">
            <v>9893</v>
          </cell>
          <cell r="F756">
            <v>27378</v>
          </cell>
          <cell r="G756">
            <v>19708</v>
          </cell>
          <cell r="H756"/>
          <cell r="I756">
            <v>1135</v>
          </cell>
          <cell r="J756">
            <v>4785</v>
          </cell>
          <cell r="K756">
            <v>2815</v>
          </cell>
          <cell r="L756">
            <v>8231</v>
          </cell>
          <cell r="M756"/>
          <cell r="N756">
            <v>558</v>
          </cell>
          <cell r="O756">
            <v>0</v>
          </cell>
          <cell r="P756">
            <v>0</v>
          </cell>
          <cell r="Q756">
            <v>0</v>
          </cell>
          <cell r="R756"/>
          <cell r="S756">
            <v>6641</v>
          </cell>
          <cell r="T756">
            <v>3295</v>
          </cell>
          <cell r="U756">
            <v>9936</v>
          </cell>
        </row>
        <row r="757">
          <cell r="A757">
            <v>98161</v>
          </cell>
          <cell r="B757" t="str">
            <v>TOWN OF ELLENBORO</v>
          </cell>
          <cell r="C757">
            <v>7.3000000000000004E-6</v>
          </cell>
          <cell r="D757">
            <v>7.4000000000000003E-6</v>
          </cell>
          <cell r="E757">
            <v>5046</v>
          </cell>
          <cell r="F757">
            <v>15705</v>
          </cell>
          <cell r="G757">
            <v>11152</v>
          </cell>
          <cell r="H757"/>
          <cell r="I757">
            <v>642</v>
          </cell>
          <cell r="J757">
            <v>2708</v>
          </cell>
          <cell r="K757">
            <v>1593</v>
          </cell>
          <cell r="L757">
            <v>2689</v>
          </cell>
          <cell r="M757"/>
          <cell r="N757">
            <v>316</v>
          </cell>
          <cell r="O757">
            <v>0</v>
          </cell>
          <cell r="P757">
            <v>0</v>
          </cell>
          <cell r="Q757">
            <v>0</v>
          </cell>
          <cell r="R757"/>
          <cell r="S757">
            <v>3758</v>
          </cell>
          <cell r="T757">
            <v>1075</v>
          </cell>
          <cell r="U757">
            <v>4833</v>
          </cell>
        </row>
        <row r="758">
          <cell r="A758">
            <v>98201</v>
          </cell>
          <cell r="B758" t="str">
            <v>SAMPSON COUNTY</v>
          </cell>
          <cell r="C758">
            <v>3.1664000000000002E-3</v>
          </cell>
          <cell r="D758">
            <v>3.0368999999999999E-3</v>
          </cell>
          <cell r="E758">
            <v>1424604</v>
          </cell>
          <cell r="F758">
            <v>6445319</v>
          </cell>
          <cell r="G758">
            <v>4837382</v>
          </cell>
          <cell r="H758"/>
          <cell r="I758">
            <v>278678</v>
          </cell>
          <cell r="J758">
            <v>1174522</v>
          </cell>
          <cell r="K758">
            <v>690845</v>
          </cell>
          <cell r="L758">
            <v>63594</v>
          </cell>
          <cell r="M758"/>
          <cell r="N758">
            <v>136931</v>
          </cell>
          <cell r="O758">
            <v>0</v>
          </cell>
          <cell r="P758">
            <v>0</v>
          </cell>
          <cell r="Q758">
            <v>39608</v>
          </cell>
          <cell r="R758"/>
          <cell r="S758">
            <v>1630202</v>
          </cell>
          <cell r="T758">
            <v>-5370</v>
          </cell>
          <cell r="U758">
            <v>1624832</v>
          </cell>
        </row>
        <row r="759">
          <cell r="A759">
            <v>98205</v>
          </cell>
          <cell r="B759" t="str">
            <v>J C HOLIDAY MEM LIBRARY</v>
          </cell>
          <cell r="C759">
            <v>4.6799999999999999E-5</v>
          </cell>
          <cell r="D759">
            <v>5.13E-5</v>
          </cell>
          <cell r="E759">
            <v>23505</v>
          </cell>
          <cell r="F759">
            <v>108876</v>
          </cell>
          <cell r="G759">
            <v>71497</v>
          </cell>
          <cell r="H759"/>
          <cell r="I759">
            <v>4119</v>
          </cell>
          <cell r="J759">
            <v>17359</v>
          </cell>
          <cell r="K759">
            <v>10211</v>
          </cell>
          <cell r="L759">
            <v>1985</v>
          </cell>
          <cell r="M759"/>
          <cell r="N759">
            <v>2024</v>
          </cell>
          <cell r="O759">
            <v>0</v>
          </cell>
          <cell r="P759">
            <v>0</v>
          </cell>
          <cell r="Q759">
            <v>2510</v>
          </cell>
          <cell r="R759"/>
          <cell r="S759">
            <v>24095</v>
          </cell>
          <cell r="T759">
            <v>-141</v>
          </cell>
          <cell r="U759">
            <v>23954</v>
          </cell>
        </row>
        <row r="760">
          <cell r="A760">
            <v>98211</v>
          </cell>
          <cell r="B760" t="str">
            <v>CITY OF CLINTON</v>
          </cell>
          <cell r="C760">
            <v>8.6689999999999998E-4</v>
          </cell>
          <cell r="D760">
            <v>9.1609999999999999E-4</v>
          </cell>
          <cell r="E760">
            <v>365218</v>
          </cell>
          <cell r="F760">
            <v>1944271</v>
          </cell>
          <cell r="G760">
            <v>1324383</v>
          </cell>
          <cell r="H760"/>
          <cell r="I760">
            <v>76297</v>
          </cell>
          <cell r="J760">
            <v>321561</v>
          </cell>
          <cell r="K760">
            <v>189140</v>
          </cell>
          <cell r="L760">
            <v>0</v>
          </cell>
          <cell r="M760"/>
          <cell r="N760">
            <v>37489</v>
          </cell>
          <cell r="O760">
            <v>0</v>
          </cell>
          <cell r="P760">
            <v>0</v>
          </cell>
          <cell r="Q760">
            <v>136830</v>
          </cell>
          <cell r="R760"/>
          <cell r="S760">
            <v>446318</v>
          </cell>
          <cell r="T760">
            <v>-50136</v>
          </cell>
          <cell r="U760">
            <v>396182</v>
          </cell>
        </row>
        <row r="761">
          <cell r="A761">
            <v>98218</v>
          </cell>
          <cell r="B761" t="str">
            <v>CLINTON ABC BOARD</v>
          </cell>
          <cell r="C761">
            <v>1.3200000000000001E-5</v>
          </cell>
          <cell r="D761">
            <v>1.0200000000000001E-5</v>
          </cell>
          <cell r="E761">
            <v>5829</v>
          </cell>
          <cell r="F761">
            <v>21648</v>
          </cell>
          <cell r="G761">
            <v>20166</v>
          </cell>
          <cell r="H761"/>
          <cell r="I761">
            <v>1162</v>
          </cell>
          <cell r="J761">
            <v>4896</v>
          </cell>
          <cell r="K761">
            <v>2880</v>
          </cell>
          <cell r="L761">
            <v>1827</v>
          </cell>
          <cell r="M761"/>
          <cell r="N761">
            <v>571</v>
          </cell>
          <cell r="O761">
            <v>0</v>
          </cell>
          <cell r="P761">
            <v>0</v>
          </cell>
          <cell r="Q761">
            <v>1072</v>
          </cell>
          <cell r="R761"/>
          <cell r="S761">
            <v>6796</v>
          </cell>
          <cell r="T761">
            <v>-336</v>
          </cell>
          <cell r="U761">
            <v>6460</v>
          </cell>
        </row>
        <row r="762">
          <cell r="A762">
            <v>98221</v>
          </cell>
          <cell r="B762" t="str">
            <v>TOWN OF SALEMBURG</v>
          </cell>
          <cell r="C762">
            <v>1.8899999999999999E-5</v>
          </cell>
          <cell r="D762">
            <v>1.6799999999999998E-5</v>
          </cell>
          <cell r="E762">
            <v>9739</v>
          </cell>
          <cell r="F762">
            <v>35655</v>
          </cell>
          <cell r="G762">
            <v>28874</v>
          </cell>
          <cell r="H762"/>
          <cell r="I762">
            <v>1663</v>
          </cell>
          <cell r="J762">
            <v>7011</v>
          </cell>
          <cell r="K762">
            <v>4124</v>
          </cell>
          <cell r="L762">
            <v>4593</v>
          </cell>
          <cell r="M762"/>
          <cell r="N762">
            <v>817</v>
          </cell>
          <cell r="O762">
            <v>0</v>
          </cell>
          <cell r="P762">
            <v>0</v>
          </cell>
          <cell r="Q762">
            <v>0</v>
          </cell>
          <cell r="R762"/>
          <cell r="S762">
            <v>9731</v>
          </cell>
          <cell r="T762">
            <v>1469</v>
          </cell>
          <cell r="U762">
            <v>11200</v>
          </cell>
        </row>
        <row r="763">
          <cell r="A763">
            <v>98231</v>
          </cell>
          <cell r="B763" t="str">
            <v>TOWN OF NEWTON GROVE</v>
          </cell>
          <cell r="C763">
            <v>2.2799999999999999E-5</v>
          </cell>
          <cell r="D763">
            <v>3.1999999999999999E-5</v>
          </cell>
          <cell r="E763">
            <v>11487</v>
          </cell>
          <cell r="F763">
            <v>67915</v>
          </cell>
          <cell r="G763">
            <v>34832</v>
          </cell>
          <cell r="H763"/>
          <cell r="I763">
            <v>2007</v>
          </cell>
          <cell r="J763">
            <v>8457</v>
          </cell>
          <cell r="K763">
            <v>4975</v>
          </cell>
          <cell r="L763">
            <v>1705</v>
          </cell>
          <cell r="M763"/>
          <cell r="N763">
            <v>986</v>
          </cell>
          <cell r="O763">
            <v>0</v>
          </cell>
          <cell r="P763">
            <v>0</v>
          </cell>
          <cell r="Q763">
            <v>9632</v>
          </cell>
          <cell r="R763"/>
          <cell r="S763">
            <v>11738</v>
          </cell>
          <cell r="T763">
            <v>-3592</v>
          </cell>
          <cell r="U763">
            <v>8146</v>
          </cell>
        </row>
        <row r="764">
          <cell r="A764">
            <v>98237</v>
          </cell>
          <cell r="B764" t="str">
            <v>ROSEBORO ABC BOARD</v>
          </cell>
          <cell r="C764">
            <v>5.9000000000000003E-6</v>
          </cell>
          <cell r="D764">
            <v>2.7E-6</v>
          </cell>
          <cell r="E764">
            <v>4385</v>
          </cell>
          <cell r="F764">
            <v>5730</v>
          </cell>
          <cell r="G764">
            <v>9014</v>
          </cell>
          <cell r="H764"/>
          <cell r="I764">
            <v>519</v>
          </cell>
          <cell r="J764">
            <v>2188</v>
          </cell>
          <cell r="K764">
            <v>1287</v>
          </cell>
          <cell r="L764">
            <v>5034</v>
          </cell>
          <cell r="M764"/>
          <cell r="N764">
            <v>255</v>
          </cell>
          <cell r="O764">
            <v>0</v>
          </cell>
          <cell r="P764">
            <v>0</v>
          </cell>
          <cell r="Q764">
            <v>0</v>
          </cell>
          <cell r="R764"/>
          <cell r="S764">
            <v>3038</v>
          </cell>
          <cell r="T764">
            <v>1666</v>
          </cell>
          <cell r="U764">
            <v>4704</v>
          </cell>
        </row>
        <row r="765">
          <cell r="A765">
            <v>98241</v>
          </cell>
          <cell r="B765" t="str">
            <v>TOWN OF GARLAND</v>
          </cell>
          <cell r="C765">
            <v>1.5099999999999999E-5</v>
          </cell>
          <cell r="D765">
            <v>1.98E-5</v>
          </cell>
          <cell r="E765">
            <v>8388</v>
          </cell>
          <cell r="F765">
            <v>42022</v>
          </cell>
          <cell r="G765">
            <v>23069</v>
          </cell>
          <cell r="H765"/>
          <cell r="I765">
            <v>1329</v>
          </cell>
          <cell r="J765">
            <v>5602</v>
          </cell>
          <cell r="K765">
            <v>3295</v>
          </cell>
          <cell r="L765">
            <v>5512</v>
          </cell>
          <cell r="M765"/>
          <cell r="N765">
            <v>653</v>
          </cell>
          <cell r="O765">
            <v>0</v>
          </cell>
          <cell r="P765">
            <v>0</v>
          </cell>
          <cell r="Q765">
            <v>2200</v>
          </cell>
          <cell r="R765"/>
          <cell r="S765">
            <v>7774</v>
          </cell>
          <cell r="T765">
            <v>2564</v>
          </cell>
          <cell r="U765">
            <v>10338</v>
          </cell>
        </row>
        <row r="766">
          <cell r="A766">
            <v>98251</v>
          </cell>
          <cell r="B766" t="str">
            <v>TOWN OF TURKEY</v>
          </cell>
          <cell r="C766">
            <v>3.0000000000000001E-6</v>
          </cell>
          <cell r="D766">
            <v>3.1E-6</v>
          </cell>
          <cell r="E766">
            <v>2206</v>
          </cell>
          <cell r="F766">
            <v>6579</v>
          </cell>
          <cell r="G766">
            <v>4583</v>
          </cell>
          <cell r="H766"/>
          <cell r="I766">
            <v>264</v>
          </cell>
          <cell r="J766">
            <v>1113</v>
          </cell>
          <cell r="K766">
            <v>655</v>
          </cell>
          <cell r="L766">
            <v>1375</v>
          </cell>
          <cell r="M766"/>
          <cell r="N766">
            <v>130</v>
          </cell>
          <cell r="O766">
            <v>0</v>
          </cell>
          <cell r="P766">
            <v>0</v>
          </cell>
          <cell r="Q766">
            <v>0</v>
          </cell>
          <cell r="R766"/>
          <cell r="S766">
            <v>1545</v>
          </cell>
          <cell r="T766">
            <v>561</v>
          </cell>
          <cell r="U766">
            <v>2106</v>
          </cell>
        </row>
        <row r="767">
          <cell r="A767">
            <v>98261</v>
          </cell>
          <cell r="B767" t="str">
            <v>TOWN OF ROSEBORO</v>
          </cell>
          <cell r="C767">
            <v>3.3200000000000001E-5</v>
          </cell>
          <cell r="D767">
            <v>2.97E-5</v>
          </cell>
          <cell r="E767">
            <v>16865</v>
          </cell>
          <cell r="F767">
            <v>63033</v>
          </cell>
          <cell r="G767">
            <v>50720</v>
          </cell>
          <cell r="H767"/>
          <cell r="I767">
            <v>2922</v>
          </cell>
          <cell r="J767">
            <v>12315</v>
          </cell>
          <cell r="K767">
            <v>7244</v>
          </cell>
          <cell r="L767">
            <v>6546</v>
          </cell>
          <cell r="M767"/>
          <cell r="N767">
            <v>1436</v>
          </cell>
          <cell r="O767">
            <v>0</v>
          </cell>
          <cell r="P767">
            <v>0</v>
          </cell>
          <cell r="Q767">
            <v>4922</v>
          </cell>
          <cell r="R767"/>
          <cell r="S767">
            <v>17093</v>
          </cell>
          <cell r="T767">
            <v>793</v>
          </cell>
          <cell r="U767">
            <v>17886</v>
          </cell>
        </row>
        <row r="768">
          <cell r="A768">
            <v>98271</v>
          </cell>
          <cell r="B768" t="str">
            <v>TOWN OF AUTRYVILLE</v>
          </cell>
          <cell r="C768">
            <v>5.1000000000000003E-6</v>
          </cell>
          <cell r="D768">
            <v>4.5000000000000001E-6</v>
          </cell>
          <cell r="E768">
            <v>2676</v>
          </cell>
          <cell r="F768">
            <v>9551</v>
          </cell>
          <cell r="G768">
            <v>7791</v>
          </cell>
          <cell r="H768"/>
          <cell r="I768">
            <v>449</v>
          </cell>
          <cell r="J768">
            <v>1891</v>
          </cell>
          <cell r="K768">
            <v>1113</v>
          </cell>
          <cell r="L768">
            <v>3229</v>
          </cell>
          <cell r="M768"/>
          <cell r="N768">
            <v>221</v>
          </cell>
          <cell r="O768">
            <v>0</v>
          </cell>
          <cell r="P768">
            <v>0</v>
          </cell>
          <cell r="Q768">
            <v>0</v>
          </cell>
          <cell r="R768"/>
          <cell r="S768">
            <v>2626</v>
          </cell>
          <cell r="T768">
            <v>1560</v>
          </cell>
          <cell r="U768">
            <v>4186</v>
          </cell>
        </row>
        <row r="769">
          <cell r="A769">
            <v>98301</v>
          </cell>
          <cell r="B769" t="str">
            <v>SCOTLAND COUNTY</v>
          </cell>
          <cell r="C769">
            <v>1.7542E-3</v>
          </cell>
          <cell r="D769">
            <v>1.7776999999999999E-3</v>
          </cell>
          <cell r="E769">
            <v>825878</v>
          </cell>
          <cell r="F769">
            <v>3772875</v>
          </cell>
          <cell r="G769">
            <v>2679932</v>
          </cell>
          <cell r="H769"/>
          <cell r="I769">
            <v>154389</v>
          </cell>
          <cell r="J769">
            <v>650690</v>
          </cell>
          <cell r="K769">
            <v>382731</v>
          </cell>
          <cell r="L769">
            <v>51704</v>
          </cell>
          <cell r="M769"/>
          <cell r="N769">
            <v>75860</v>
          </cell>
          <cell r="O769">
            <v>0</v>
          </cell>
          <cell r="P769">
            <v>0</v>
          </cell>
          <cell r="Q769">
            <v>7816</v>
          </cell>
          <cell r="R769"/>
          <cell r="S769">
            <v>903139</v>
          </cell>
          <cell r="T769">
            <v>17344</v>
          </cell>
          <cell r="U769">
            <v>920483</v>
          </cell>
        </row>
        <row r="770">
          <cell r="A770">
            <v>98304</v>
          </cell>
          <cell r="B770" t="str">
            <v>SCOTLAND COUNTY ABC BOARD</v>
          </cell>
          <cell r="C770">
            <v>2.0999999999999999E-5</v>
          </cell>
          <cell r="D770">
            <v>2.2900000000000001E-5</v>
          </cell>
          <cell r="E770">
            <v>12751</v>
          </cell>
          <cell r="F770">
            <v>48601</v>
          </cell>
          <cell r="G770">
            <v>32082</v>
          </cell>
          <cell r="H770"/>
          <cell r="I770">
            <v>1848</v>
          </cell>
          <cell r="J770">
            <v>7790</v>
          </cell>
          <cell r="K770">
            <v>4582</v>
          </cell>
          <cell r="L770">
            <v>2290</v>
          </cell>
          <cell r="M770"/>
          <cell r="N770">
            <v>908</v>
          </cell>
          <cell r="O770">
            <v>0</v>
          </cell>
          <cell r="P770">
            <v>0</v>
          </cell>
          <cell r="Q770">
            <v>0</v>
          </cell>
          <cell r="R770"/>
          <cell r="S770">
            <v>10812</v>
          </cell>
          <cell r="T770">
            <v>818</v>
          </cell>
          <cell r="U770">
            <v>11630</v>
          </cell>
        </row>
        <row r="771">
          <cell r="A771">
            <v>98308</v>
          </cell>
          <cell r="B771" t="str">
            <v>LAURINBURG-MAXTON AIRPORT COMMISSION</v>
          </cell>
          <cell r="C771">
            <v>2.37E-5</v>
          </cell>
          <cell r="D771">
            <v>2.55E-5</v>
          </cell>
          <cell r="E771">
            <v>15363</v>
          </cell>
          <cell r="F771">
            <v>54120</v>
          </cell>
          <cell r="G771">
            <v>36207</v>
          </cell>
          <cell r="H771"/>
          <cell r="I771">
            <v>2086</v>
          </cell>
          <cell r="J771">
            <v>8791</v>
          </cell>
          <cell r="K771">
            <v>5171</v>
          </cell>
          <cell r="L771">
            <v>7272</v>
          </cell>
          <cell r="M771"/>
          <cell r="N771">
            <v>1025</v>
          </cell>
          <cell r="O771">
            <v>0</v>
          </cell>
          <cell r="P771">
            <v>0</v>
          </cell>
          <cell r="Q771">
            <v>0</v>
          </cell>
          <cell r="R771"/>
          <cell r="S771">
            <v>12202</v>
          </cell>
          <cell r="T771">
            <v>3390</v>
          </cell>
          <cell r="U771">
            <v>15592</v>
          </cell>
        </row>
        <row r="772">
          <cell r="A772">
            <v>98311</v>
          </cell>
          <cell r="B772" t="str">
            <v>CITY OF LAURINBURG</v>
          </cell>
          <cell r="C772">
            <v>1.1536000000000001E-3</v>
          </cell>
          <cell r="D772">
            <v>1.1441999999999999E-3</v>
          </cell>
          <cell r="E772">
            <v>462217</v>
          </cell>
          <cell r="F772">
            <v>2428376</v>
          </cell>
          <cell r="G772">
            <v>1762381</v>
          </cell>
          <cell r="H772"/>
          <cell r="I772">
            <v>101529</v>
          </cell>
          <cell r="J772">
            <v>427908</v>
          </cell>
          <cell r="K772">
            <v>251692</v>
          </cell>
          <cell r="L772">
            <v>12653</v>
          </cell>
          <cell r="M772"/>
          <cell r="N772">
            <v>49887</v>
          </cell>
          <cell r="O772">
            <v>0</v>
          </cell>
          <cell r="P772">
            <v>0</v>
          </cell>
          <cell r="Q772">
            <v>98661</v>
          </cell>
          <cell r="R772"/>
          <cell r="S772">
            <v>593924</v>
          </cell>
          <cell r="T772">
            <v>-18424</v>
          </cell>
          <cell r="U772">
            <v>575500</v>
          </cell>
        </row>
        <row r="773">
          <cell r="A773">
            <v>98313</v>
          </cell>
          <cell r="B773" t="str">
            <v>LAURINBURG HOUSING AUTHORITY</v>
          </cell>
          <cell r="C773">
            <v>2.3560000000000001E-4</v>
          </cell>
          <cell r="D773">
            <v>2.4240000000000001E-4</v>
          </cell>
          <cell r="E773">
            <v>259158</v>
          </cell>
          <cell r="F773">
            <v>514454</v>
          </cell>
          <cell r="G773">
            <v>359932</v>
          </cell>
          <cell r="H773"/>
          <cell r="I773">
            <v>20735</v>
          </cell>
          <cell r="J773">
            <v>87392</v>
          </cell>
          <cell r="K773">
            <v>51403</v>
          </cell>
          <cell r="L773">
            <v>233571</v>
          </cell>
          <cell r="M773"/>
          <cell r="N773">
            <v>10189</v>
          </cell>
          <cell r="O773">
            <v>0</v>
          </cell>
          <cell r="P773">
            <v>0</v>
          </cell>
          <cell r="Q773">
            <v>59</v>
          </cell>
          <cell r="R773"/>
          <cell r="S773">
            <v>121297</v>
          </cell>
          <cell r="T773">
            <v>77966</v>
          </cell>
          <cell r="U773">
            <v>199263</v>
          </cell>
        </row>
        <row r="774">
          <cell r="A774">
            <v>98321</v>
          </cell>
          <cell r="B774" t="str">
            <v>TOWN OF WAGRAM</v>
          </cell>
          <cell r="C774">
            <v>2.05E-5</v>
          </cell>
          <cell r="D774">
            <v>2.1399999999999998E-5</v>
          </cell>
          <cell r="E774">
            <v>10270</v>
          </cell>
          <cell r="F774">
            <v>45418</v>
          </cell>
          <cell r="G774">
            <v>31318</v>
          </cell>
          <cell r="H774"/>
          <cell r="I774">
            <v>1804</v>
          </cell>
          <cell r="J774">
            <v>7604</v>
          </cell>
          <cell r="K774">
            <v>4473</v>
          </cell>
          <cell r="L774">
            <v>1639</v>
          </cell>
          <cell r="M774"/>
          <cell r="N774">
            <v>887</v>
          </cell>
          <cell r="O774">
            <v>0</v>
          </cell>
          <cell r="P774">
            <v>0</v>
          </cell>
          <cell r="Q774">
            <v>3066</v>
          </cell>
          <cell r="R774"/>
          <cell r="S774">
            <v>10554</v>
          </cell>
          <cell r="T774">
            <v>472</v>
          </cell>
          <cell r="U774">
            <v>11026</v>
          </cell>
        </row>
        <row r="775">
          <cell r="A775">
            <v>98331</v>
          </cell>
          <cell r="B775" t="str">
            <v>TOWN OF GIBSON</v>
          </cell>
          <cell r="C775">
            <v>9.7999999999999993E-6</v>
          </cell>
          <cell r="D775">
            <v>1.03E-5</v>
          </cell>
          <cell r="E775">
            <v>6281</v>
          </cell>
          <cell r="F775">
            <v>21860</v>
          </cell>
          <cell r="G775">
            <v>14972</v>
          </cell>
          <cell r="H775"/>
          <cell r="I775">
            <v>863</v>
          </cell>
          <cell r="J775">
            <v>3635</v>
          </cell>
          <cell r="K775">
            <v>2138</v>
          </cell>
          <cell r="L775">
            <v>3035</v>
          </cell>
          <cell r="M775"/>
          <cell r="N775">
            <v>424</v>
          </cell>
          <cell r="O775">
            <v>0</v>
          </cell>
          <cell r="P775">
            <v>0</v>
          </cell>
          <cell r="Q775">
            <v>132</v>
          </cell>
          <cell r="R775"/>
          <cell r="S775">
            <v>5045</v>
          </cell>
          <cell r="T775">
            <v>972</v>
          </cell>
          <cell r="U775">
            <v>6017</v>
          </cell>
        </row>
        <row r="776">
          <cell r="A776">
            <v>98401</v>
          </cell>
          <cell r="B776" t="str">
            <v>STANLY COUNTY</v>
          </cell>
          <cell r="C776">
            <v>2.7655000000000002E-3</v>
          </cell>
          <cell r="D776">
            <v>2.7567999999999998E-3</v>
          </cell>
          <cell r="E776">
            <v>1399311</v>
          </cell>
          <cell r="F776">
            <v>5850853</v>
          </cell>
          <cell r="G776">
            <v>4224918</v>
          </cell>
          <cell r="H776"/>
          <cell r="I776">
            <v>243394</v>
          </cell>
          <cell r="J776">
            <v>1025815</v>
          </cell>
          <cell r="K776">
            <v>603377</v>
          </cell>
          <cell r="L776">
            <v>168129</v>
          </cell>
          <cell r="M776"/>
          <cell r="N776">
            <v>119594</v>
          </cell>
          <cell r="O776">
            <v>0</v>
          </cell>
          <cell r="P776">
            <v>0</v>
          </cell>
          <cell r="Q776">
            <v>6292</v>
          </cell>
          <cell r="R776"/>
          <cell r="S776">
            <v>1423801</v>
          </cell>
          <cell r="T776">
            <v>58759</v>
          </cell>
          <cell r="U776">
            <v>1482560</v>
          </cell>
        </row>
        <row r="777">
          <cell r="A777">
            <v>98404</v>
          </cell>
          <cell r="B777" t="str">
            <v>LOCUST ABC BOARD</v>
          </cell>
          <cell r="C777">
            <v>1.52E-5</v>
          </cell>
          <cell r="D777">
            <v>0</v>
          </cell>
          <cell r="E777">
            <v>5852</v>
          </cell>
          <cell r="F777">
            <v>0</v>
          </cell>
          <cell r="G777">
            <v>23221</v>
          </cell>
          <cell r="H777"/>
          <cell r="I777">
            <v>1338</v>
          </cell>
          <cell r="J777">
            <v>5638</v>
          </cell>
          <cell r="K777">
            <v>3316</v>
          </cell>
          <cell r="L777">
            <v>9290</v>
          </cell>
          <cell r="M777"/>
          <cell r="N777">
            <v>657</v>
          </cell>
          <cell r="O777">
            <v>0</v>
          </cell>
          <cell r="P777">
            <v>0</v>
          </cell>
          <cell r="Q777">
            <v>0</v>
          </cell>
          <cell r="R777"/>
          <cell r="S777">
            <v>7826</v>
          </cell>
          <cell r="T777">
            <v>2323</v>
          </cell>
          <cell r="U777">
            <v>10149</v>
          </cell>
        </row>
        <row r="778">
          <cell r="A778">
            <v>98411</v>
          </cell>
          <cell r="B778" t="str">
            <v>CITY OF ALBEMARLE</v>
          </cell>
          <cell r="C778">
            <v>1.9816E-3</v>
          </cell>
          <cell r="D778">
            <v>2.0076999999999998E-3</v>
          </cell>
          <cell r="E778">
            <v>869964</v>
          </cell>
          <cell r="F778">
            <v>4261012</v>
          </cell>
          <cell r="G778">
            <v>3027336</v>
          </cell>
          <cell r="H778"/>
          <cell r="I778">
            <v>174403</v>
          </cell>
          <cell r="J778">
            <v>735040</v>
          </cell>
          <cell r="K778">
            <v>432345</v>
          </cell>
          <cell r="L778">
            <v>3986</v>
          </cell>
          <cell r="M778"/>
          <cell r="N778">
            <v>85694</v>
          </cell>
          <cell r="O778">
            <v>0</v>
          </cell>
          <cell r="P778">
            <v>0</v>
          </cell>
          <cell r="Q778">
            <v>73699</v>
          </cell>
          <cell r="R778"/>
          <cell r="S778">
            <v>1020215</v>
          </cell>
          <cell r="T778">
            <v>-19116</v>
          </cell>
          <cell r="U778">
            <v>1001099</v>
          </cell>
        </row>
        <row r="779">
          <cell r="A779">
            <v>98414</v>
          </cell>
          <cell r="B779" t="str">
            <v>VILLAGE OF MISENHEIMER</v>
          </cell>
          <cell r="C779">
            <v>3.8500000000000001E-5</v>
          </cell>
          <cell r="D779">
            <v>4.3600000000000003E-5</v>
          </cell>
          <cell r="E779">
            <v>7367</v>
          </cell>
          <cell r="F779">
            <v>0</v>
          </cell>
          <cell r="G779">
            <v>58818</v>
          </cell>
          <cell r="H779"/>
          <cell r="I779">
            <v>3389</v>
          </cell>
          <cell r="J779">
            <v>14282</v>
          </cell>
          <cell r="K779">
            <v>8399</v>
          </cell>
          <cell r="L779">
            <v>14474</v>
          </cell>
          <cell r="M779"/>
          <cell r="N779">
            <v>1665</v>
          </cell>
          <cell r="O779">
            <v>0</v>
          </cell>
          <cell r="P779">
            <v>0</v>
          </cell>
          <cell r="Q779">
            <v>24505</v>
          </cell>
          <cell r="R779"/>
          <cell r="S779">
            <v>19821</v>
          </cell>
          <cell r="T779">
            <v>-3841</v>
          </cell>
          <cell r="U779">
            <v>15980</v>
          </cell>
        </row>
        <row r="780">
          <cell r="A780">
            <v>98417</v>
          </cell>
          <cell r="B780" t="str">
            <v>ALBEMARLE ABC BOARD</v>
          </cell>
          <cell r="C780">
            <v>2.2900000000000001E-5</v>
          </cell>
          <cell r="D780">
            <v>2.4899999999999999E-5</v>
          </cell>
          <cell r="E780">
            <v>14126</v>
          </cell>
          <cell r="F780">
            <v>0</v>
          </cell>
          <cell r="G780">
            <v>34985</v>
          </cell>
          <cell r="H780"/>
          <cell r="I780">
            <v>2015</v>
          </cell>
          <cell r="J780">
            <v>8494</v>
          </cell>
          <cell r="K780">
            <v>4996</v>
          </cell>
          <cell r="L780">
            <v>2511</v>
          </cell>
          <cell r="M780"/>
          <cell r="N780">
            <v>990</v>
          </cell>
          <cell r="O780">
            <v>0</v>
          </cell>
          <cell r="P780">
            <v>0</v>
          </cell>
          <cell r="Q780">
            <v>424</v>
          </cell>
          <cell r="R780"/>
          <cell r="S780">
            <v>11790</v>
          </cell>
          <cell r="T780">
            <v>315</v>
          </cell>
          <cell r="U780">
            <v>12105</v>
          </cell>
        </row>
        <row r="781">
          <cell r="A781">
            <v>98421</v>
          </cell>
          <cell r="B781" t="str">
            <v>TOWN OF NORWOOD</v>
          </cell>
          <cell r="C781">
            <v>8.2700000000000004E-5</v>
          </cell>
          <cell r="D781">
            <v>1.0840000000000001E-4</v>
          </cell>
          <cell r="E781">
            <v>44396</v>
          </cell>
          <cell r="F781">
            <v>0</v>
          </cell>
          <cell r="G781">
            <v>126343</v>
          </cell>
          <cell r="H781"/>
          <cell r="I781">
            <v>7279</v>
          </cell>
          <cell r="J781">
            <v>30676</v>
          </cell>
          <cell r="K781">
            <v>18043</v>
          </cell>
          <cell r="L781">
            <v>5132</v>
          </cell>
          <cell r="M781"/>
          <cell r="N781">
            <v>3576</v>
          </cell>
          <cell r="O781">
            <v>0</v>
          </cell>
          <cell r="P781">
            <v>0</v>
          </cell>
          <cell r="Q781">
            <v>12725</v>
          </cell>
          <cell r="R781"/>
          <cell r="S781">
            <v>42578</v>
          </cell>
          <cell r="T781">
            <v>-911</v>
          </cell>
          <cell r="U781">
            <v>41667</v>
          </cell>
        </row>
        <row r="782">
          <cell r="A782">
            <v>98427</v>
          </cell>
          <cell r="B782" t="str">
            <v>NORWOOD ABC BD</v>
          </cell>
          <cell r="C782">
            <v>3.9999999999999998E-6</v>
          </cell>
          <cell r="D782">
            <v>4.6E-6</v>
          </cell>
          <cell r="E782">
            <v>3231</v>
          </cell>
          <cell r="F782">
            <v>0</v>
          </cell>
          <cell r="G782">
            <v>6111</v>
          </cell>
          <cell r="H782"/>
          <cell r="I782">
            <v>352</v>
          </cell>
          <cell r="J782">
            <v>1484</v>
          </cell>
          <cell r="K782">
            <v>873</v>
          </cell>
          <cell r="L782">
            <v>1351</v>
          </cell>
          <cell r="M782"/>
          <cell r="N782">
            <v>173</v>
          </cell>
          <cell r="O782">
            <v>0</v>
          </cell>
          <cell r="P782">
            <v>0</v>
          </cell>
          <cell r="Q782">
            <v>0</v>
          </cell>
          <cell r="R782"/>
          <cell r="S782">
            <v>2059</v>
          </cell>
          <cell r="T782">
            <v>487</v>
          </cell>
          <cell r="U782">
            <v>2546</v>
          </cell>
        </row>
        <row r="783">
          <cell r="A783">
            <v>98431</v>
          </cell>
          <cell r="B783" t="str">
            <v>CITY OF LOCUST</v>
          </cell>
          <cell r="C783">
            <v>2.0589999999999999E-4</v>
          </cell>
          <cell r="D783">
            <v>2.0010000000000001E-4</v>
          </cell>
          <cell r="E783">
            <v>78482</v>
          </cell>
          <cell r="F783">
            <v>0</v>
          </cell>
          <cell r="G783">
            <v>314558</v>
          </cell>
          <cell r="H783"/>
          <cell r="I783">
            <v>18121</v>
          </cell>
          <cell r="J783">
            <v>76375</v>
          </cell>
          <cell r="K783">
            <v>44923</v>
          </cell>
          <cell r="L783">
            <v>1246</v>
          </cell>
          <cell r="M783"/>
          <cell r="N783">
            <v>8904</v>
          </cell>
          <cell r="O783">
            <v>0</v>
          </cell>
          <cell r="P783">
            <v>0</v>
          </cell>
          <cell r="Q783">
            <v>24844</v>
          </cell>
          <cell r="R783"/>
          <cell r="S783">
            <v>106006</v>
          </cell>
          <cell r="T783">
            <v>-7635</v>
          </cell>
          <cell r="U783">
            <v>98371</v>
          </cell>
        </row>
        <row r="784">
          <cell r="A784">
            <v>98441</v>
          </cell>
          <cell r="B784" t="str">
            <v>TOWN OF OAKBORO</v>
          </cell>
          <cell r="C784">
            <v>8.2700000000000004E-5</v>
          </cell>
          <cell r="D784">
            <v>9.1000000000000003E-5</v>
          </cell>
          <cell r="E784">
            <v>35572</v>
          </cell>
          <cell r="F784">
            <v>0</v>
          </cell>
          <cell r="G784">
            <v>126343</v>
          </cell>
          <cell r="H784"/>
          <cell r="I784">
            <v>7279</v>
          </cell>
          <cell r="J784">
            <v>30676</v>
          </cell>
          <cell r="K784">
            <v>18043</v>
          </cell>
          <cell r="L784">
            <v>570</v>
          </cell>
          <cell r="M784"/>
          <cell r="N784">
            <v>3576</v>
          </cell>
          <cell r="O784">
            <v>0</v>
          </cell>
          <cell r="P784">
            <v>0</v>
          </cell>
          <cell r="Q784">
            <v>22406</v>
          </cell>
          <cell r="R784"/>
          <cell r="S784">
            <v>42578</v>
          </cell>
          <cell r="T784">
            <v>-8026</v>
          </cell>
          <cell r="U784">
            <v>34552</v>
          </cell>
        </row>
        <row r="785">
          <cell r="A785">
            <v>98451</v>
          </cell>
          <cell r="B785" t="str">
            <v>TOWN OF BADIN</v>
          </cell>
          <cell r="C785">
            <v>5.7000000000000003E-5</v>
          </cell>
          <cell r="D785">
            <v>5.6199999999999997E-5</v>
          </cell>
          <cell r="E785">
            <v>26132</v>
          </cell>
          <cell r="F785">
            <v>0</v>
          </cell>
          <cell r="G785">
            <v>87080</v>
          </cell>
          <cell r="H785"/>
          <cell r="I785">
            <v>5017</v>
          </cell>
          <cell r="J785">
            <v>21143</v>
          </cell>
          <cell r="K785">
            <v>12436</v>
          </cell>
          <cell r="L785">
            <v>508</v>
          </cell>
          <cell r="M785"/>
          <cell r="N785">
            <v>2465</v>
          </cell>
          <cell r="O785">
            <v>0</v>
          </cell>
          <cell r="P785">
            <v>0</v>
          </cell>
          <cell r="Q785">
            <v>1478</v>
          </cell>
          <cell r="R785"/>
          <cell r="S785">
            <v>29346</v>
          </cell>
          <cell r="T785">
            <v>-530</v>
          </cell>
          <cell r="U785">
            <v>28816</v>
          </cell>
        </row>
        <row r="786">
          <cell r="A786">
            <v>98481</v>
          </cell>
          <cell r="B786" t="str">
            <v>TOWN OF STANFIELD</v>
          </cell>
          <cell r="C786">
            <v>6.3899999999999995E-5</v>
          </cell>
          <cell r="D786">
            <v>6.7700000000000006E-5</v>
          </cell>
          <cell r="E786">
            <v>27198</v>
          </cell>
          <cell r="F786">
            <v>0</v>
          </cell>
          <cell r="G786">
            <v>97621</v>
          </cell>
          <cell r="H786"/>
          <cell r="I786">
            <v>5624</v>
          </cell>
          <cell r="J786">
            <v>23703</v>
          </cell>
          <cell r="K786">
            <v>13942</v>
          </cell>
          <cell r="L786">
            <v>1545</v>
          </cell>
          <cell r="M786"/>
          <cell r="N786">
            <v>2763</v>
          </cell>
          <cell r="O786">
            <v>0</v>
          </cell>
          <cell r="P786">
            <v>0</v>
          </cell>
          <cell r="Q786">
            <v>5772</v>
          </cell>
          <cell r="R786"/>
          <cell r="S786">
            <v>32899</v>
          </cell>
          <cell r="T786">
            <v>-35</v>
          </cell>
          <cell r="U786">
            <v>32864</v>
          </cell>
        </row>
        <row r="787">
          <cell r="A787">
            <v>98501</v>
          </cell>
          <cell r="B787" t="str">
            <v>STOKES COUNTY</v>
          </cell>
          <cell r="C787">
            <v>1.6022E-3</v>
          </cell>
          <cell r="D787">
            <v>1.5690999999999999E-3</v>
          </cell>
          <cell r="E787">
            <v>760833</v>
          </cell>
          <cell r="F787">
            <v>0</v>
          </cell>
          <cell r="G787">
            <v>2447718</v>
          </cell>
          <cell r="H787"/>
          <cell r="I787">
            <v>141011</v>
          </cell>
          <cell r="J787">
            <v>594309</v>
          </cell>
          <cell r="K787">
            <v>349568</v>
          </cell>
          <cell r="L787">
            <v>75098</v>
          </cell>
          <cell r="M787"/>
          <cell r="N787">
            <v>69287</v>
          </cell>
          <cell r="O787">
            <v>0</v>
          </cell>
          <cell r="P787">
            <v>0</v>
          </cell>
          <cell r="Q787">
            <v>2932</v>
          </cell>
          <cell r="R787"/>
          <cell r="S787">
            <v>824883</v>
          </cell>
          <cell r="T787">
            <v>19182</v>
          </cell>
          <cell r="U787">
            <v>844065</v>
          </cell>
        </row>
        <row r="788">
          <cell r="A788">
            <v>98511</v>
          </cell>
          <cell r="B788" t="str">
            <v>TOWN OF WALNUT COVE</v>
          </cell>
          <cell r="C788">
            <v>4.8000000000000001E-5</v>
          </cell>
          <cell r="D788">
            <v>4.5800000000000002E-5</v>
          </cell>
          <cell r="E788">
            <v>23435</v>
          </cell>
          <cell r="F788">
            <v>0</v>
          </cell>
          <cell r="G788">
            <v>73331</v>
          </cell>
          <cell r="H788"/>
          <cell r="I788">
            <v>4225</v>
          </cell>
          <cell r="J788">
            <v>17804</v>
          </cell>
          <cell r="K788">
            <v>10473</v>
          </cell>
          <cell r="L788">
            <v>5918</v>
          </cell>
          <cell r="M788"/>
          <cell r="N788">
            <v>2076</v>
          </cell>
          <cell r="O788">
            <v>0</v>
          </cell>
          <cell r="P788">
            <v>0</v>
          </cell>
          <cell r="Q788">
            <v>11919</v>
          </cell>
          <cell r="R788"/>
          <cell r="S788">
            <v>24713</v>
          </cell>
          <cell r="T788">
            <v>-9378</v>
          </cell>
          <cell r="U788">
            <v>15335</v>
          </cell>
        </row>
        <row r="789">
          <cell r="A789">
            <v>98517</v>
          </cell>
          <cell r="B789" t="str">
            <v>WALNUT COVE ABC BOARD</v>
          </cell>
          <cell r="C789">
            <v>2.3E-6</v>
          </cell>
          <cell r="D789">
            <v>2.6000000000000001E-6</v>
          </cell>
          <cell r="E789">
            <v>2484</v>
          </cell>
          <cell r="F789">
            <v>0</v>
          </cell>
          <cell r="G789">
            <v>3514</v>
          </cell>
          <cell r="H789"/>
          <cell r="I789">
            <v>202</v>
          </cell>
          <cell r="J789">
            <v>854</v>
          </cell>
          <cell r="K789">
            <v>502</v>
          </cell>
          <cell r="L789">
            <v>1623</v>
          </cell>
          <cell r="M789"/>
          <cell r="N789">
            <v>99</v>
          </cell>
          <cell r="O789">
            <v>0</v>
          </cell>
          <cell r="P789">
            <v>0</v>
          </cell>
          <cell r="Q789">
            <v>0</v>
          </cell>
          <cell r="R789"/>
          <cell r="S789">
            <v>1184</v>
          </cell>
          <cell r="T789">
            <v>589</v>
          </cell>
          <cell r="U789">
            <v>1773</v>
          </cell>
        </row>
        <row r="790">
          <cell r="A790">
            <v>98521</v>
          </cell>
          <cell r="B790" t="str">
            <v>CITY OF KING</v>
          </cell>
          <cell r="C790">
            <v>6.6180000000000004E-4</v>
          </cell>
          <cell r="D790">
            <v>5.7059999999999999E-4</v>
          </cell>
          <cell r="E790">
            <v>270882</v>
          </cell>
          <cell r="F790">
            <v>0</v>
          </cell>
          <cell r="G790">
            <v>1011047</v>
          </cell>
          <cell r="H790"/>
          <cell r="I790">
            <v>58246</v>
          </cell>
          <cell r="J790">
            <v>245484</v>
          </cell>
          <cell r="K790">
            <v>144392</v>
          </cell>
          <cell r="L790">
            <v>34795</v>
          </cell>
          <cell r="M790"/>
          <cell r="N790">
            <v>28620</v>
          </cell>
          <cell r="O790">
            <v>0</v>
          </cell>
          <cell r="P790">
            <v>0</v>
          </cell>
          <cell r="Q790">
            <v>43967</v>
          </cell>
          <cell r="R790"/>
          <cell r="S790">
            <v>340724</v>
          </cell>
          <cell r="T790">
            <v>-10201</v>
          </cell>
          <cell r="U790">
            <v>330523</v>
          </cell>
        </row>
        <row r="791">
          <cell r="A791">
            <v>98601</v>
          </cell>
          <cell r="B791" t="str">
            <v>SURRY COUNTY</v>
          </cell>
          <cell r="C791">
            <v>3.4148E-3</v>
          </cell>
          <cell r="D791">
            <v>3.5065999999999999E-3</v>
          </cell>
          <cell r="E791">
            <v>1494584</v>
          </cell>
          <cell r="F791">
            <v>0</v>
          </cell>
          <cell r="G791">
            <v>5216869</v>
          </cell>
          <cell r="H791"/>
          <cell r="I791">
            <v>300540</v>
          </cell>
          <cell r="J791">
            <v>1266662</v>
          </cell>
          <cell r="K791">
            <v>745041</v>
          </cell>
          <cell r="L791">
            <v>0</v>
          </cell>
          <cell r="M791"/>
          <cell r="N791">
            <v>147673</v>
          </cell>
          <cell r="O791">
            <v>0</v>
          </cell>
          <cell r="P791">
            <v>0</v>
          </cell>
          <cell r="Q791">
            <v>216693</v>
          </cell>
          <cell r="R791"/>
          <cell r="S791">
            <v>1758089</v>
          </cell>
          <cell r="T791">
            <v>-93549</v>
          </cell>
          <cell r="U791">
            <v>1664540</v>
          </cell>
        </row>
        <row r="792">
          <cell r="A792">
            <v>98604</v>
          </cell>
          <cell r="B792" t="str">
            <v>YADKIN VALLEY ABC BOARD</v>
          </cell>
          <cell r="C792">
            <v>1.34E-5</v>
          </cell>
          <cell r="D792">
            <v>1.59E-5</v>
          </cell>
          <cell r="E792">
            <v>7588</v>
          </cell>
          <cell r="F792">
            <v>0</v>
          </cell>
          <cell r="G792">
            <v>20471</v>
          </cell>
          <cell r="H792"/>
          <cell r="I792">
            <v>1179</v>
          </cell>
          <cell r="J792">
            <v>4970</v>
          </cell>
          <cell r="K792">
            <v>2924</v>
          </cell>
          <cell r="L792">
            <v>8946</v>
          </cell>
          <cell r="M792"/>
          <cell r="N792">
            <v>579</v>
          </cell>
          <cell r="O792">
            <v>0</v>
          </cell>
          <cell r="P792">
            <v>0</v>
          </cell>
          <cell r="Q792">
            <v>5504</v>
          </cell>
          <cell r="R792"/>
          <cell r="S792">
            <v>6899</v>
          </cell>
          <cell r="T792">
            <v>2137</v>
          </cell>
          <cell r="U792">
            <v>9036</v>
          </cell>
        </row>
        <row r="793">
          <cell r="A793">
            <v>98607</v>
          </cell>
          <cell r="B793" t="str">
            <v>PILOT MOUNTAIN ABC BOARD</v>
          </cell>
          <cell r="C793">
            <v>5.9000000000000003E-6</v>
          </cell>
          <cell r="D793">
            <v>5.9000000000000003E-6</v>
          </cell>
          <cell r="E793">
            <v>2774</v>
          </cell>
          <cell r="F793">
            <v>0</v>
          </cell>
          <cell r="G793">
            <v>9014</v>
          </cell>
          <cell r="H793"/>
          <cell r="I793">
            <v>519</v>
          </cell>
          <cell r="J793">
            <v>2188</v>
          </cell>
          <cell r="K793">
            <v>1287</v>
          </cell>
          <cell r="L793">
            <v>52</v>
          </cell>
          <cell r="M793"/>
          <cell r="N793">
            <v>255</v>
          </cell>
          <cell r="O793">
            <v>0</v>
          </cell>
          <cell r="P793">
            <v>0</v>
          </cell>
          <cell r="Q793">
            <v>1474</v>
          </cell>
          <cell r="R793"/>
          <cell r="S793">
            <v>3038</v>
          </cell>
          <cell r="T793">
            <v>-861</v>
          </cell>
          <cell r="U793">
            <v>2177</v>
          </cell>
        </row>
        <row r="794">
          <cell r="A794">
            <v>98608</v>
          </cell>
          <cell r="B794" t="str">
            <v>YADKIN VALLEY SEWER AUTHORITY</v>
          </cell>
          <cell r="C794">
            <v>4.9200000000000003E-5</v>
          </cell>
          <cell r="D794">
            <v>4.2299999999999998E-5</v>
          </cell>
          <cell r="E794">
            <v>20059</v>
          </cell>
          <cell r="F794">
            <v>0</v>
          </cell>
          <cell r="G794">
            <v>75164</v>
          </cell>
          <cell r="H794"/>
          <cell r="I794">
            <v>4330</v>
          </cell>
          <cell r="J794">
            <v>18250</v>
          </cell>
          <cell r="K794">
            <v>10734</v>
          </cell>
          <cell r="L794">
            <v>6529</v>
          </cell>
          <cell r="M794"/>
          <cell r="N794">
            <v>2128</v>
          </cell>
          <cell r="O794">
            <v>0</v>
          </cell>
          <cell r="P794">
            <v>0</v>
          </cell>
          <cell r="Q794">
            <v>5369</v>
          </cell>
          <cell r="R794"/>
          <cell r="S794">
            <v>25330</v>
          </cell>
          <cell r="T794">
            <v>1217</v>
          </cell>
          <cell r="U794">
            <v>26547</v>
          </cell>
        </row>
        <row r="795">
          <cell r="A795">
            <v>98611</v>
          </cell>
          <cell r="B795" t="str">
            <v>TOWN OF PILOT MOUNTAIN</v>
          </cell>
          <cell r="C795">
            <v>8.6899999999999998E-5</v>
          </cell>
          <cell r="D795">
            <v>8.6700000000000007E-5</v>
          </cell>
          <cell r="E795">
            <v>49931</v>
          </cell>
          <cell r="F795">
            <v>0</v>
          </cell>
          <cell r="G795">
            <v>132759</v>
          </cell>
          <cell r="H795"/>
          <cell r="I795">
            <v>7648</v>
          </cell>
          <cell r="J795">
            <v>32235</v>
          </cell>
          <cell r="K795">
            <v>18960</v>
          </cell>
          <cell r="L795">
            <v>10690</v>
          </cell>
          <cell r="M795"/>
          <cell r="N795">
            <v>3758</v>
          </cell>
          <cell r="O795">
            <v>0</v>
          </cell>
          <cell r="P795">
            <v>0</v>
          </cell>
          <cell r="Q795">
            <v>9519</v>
          </cell>
          <cell r="R795"/>
          <cell r="S795">
            <v>44740</v>
          </cell>
          <cell r="T795">
            <v>910</v>
          </cell>
          <cell r="U795">
            <v>45650</v>
          </cell>
        </row>
        <row r="796">
          <cell r="A796">
            <v>98621</v>
          </cell>
          <cell r="B796" t="str">
            <v>TOWN OF DOBSON</v>
          </cell>
          <cell r="C796">
            <v>1.314E-4</v>
          </cell>
          <cell r="D796">
            <v>1.3239999999999999E-4</v>
          </cell>
          <cell r="E796">
            <v>55891</v>
          </cell>
          <cell r="F796">
            <v>0</v>
          </cell>
          <cell r="G796">
            <v>200743</v>
          </cell>
          <cell r="H796"/>
          <cell r="I796">
            <v>11565</v>
          </cell>
          <cell r="J796">
            <v>48740</v>
          </cell>
          <cell r="K796">
            <v>28669</v>
          </cell>
          <cell r="L796">
            <v>473</v>
          </cell>
          <cell r="M796"/>
          <cell r="N796">
            <v>5682</v>
          </cell>
          <cell r="O796">
            <v>0</v>
          </cell>
          <cell r="P796">
            <v>0</v>
          </cell>
          <cell r="Q796">
            <v>10727</v>
          </cell>
          <cell r="R796"/>
          <cell r="S796">
            <v>67651</v>
          </cell>
          <cell r="T796">
            <v>-3535</v>
          </cell>
          <cell r="U796">
            <v>64116</v>
          </cell>
        </row>
        <row r="797">
          <cell r="A797">
            <v>98627</v>
          </cell>
          <cell r="B797" t="str">
            <v>DOBSON ABC BD</v>
          </cell>
          <cell r="C797">
            <v>8.6999999999999997E-6</v>
          </cell>
          <cell r="D797">
            <v>9.3999999999999998E-6</v>
          </cell>
          <cell r="E797">
            <v>3354</v>
          </cell>
          <cell r="F797">
            <v>0</v>
          </cell>
          <cell r="G797">
            <v>13291</v>
          </cell>
          <cell r="H797"/>
          <cell r="I797">
            <v>766</v>
          </cell>
          <cell r="J797">
            <v>3227</v>
          </cell>
          <cell r="K797">
            <v>1898</v>
          </cell>
          <cell r="L797">
            <v>316</v>
          </cell>
          <cell r="M797"/>
          <cell r="N797">
            <v>376</v>
          </cell>
          <cell r="O797">
            <v>0</v>
          </cell>
          <cell r="P797">
            <v>0</v>
          </cell>
          <cell r="Q797">
            <v>1098</v>
          </cell>
          <cell r="R797"/>
          <cell r="S797">
            <v>4479</v>
          </cell>
          <cell r="T797">
            <v>-220</v>
          </cell>
          <cell r="U797">
            <v>4259</v>
          </cell>
        </row>
        <row r="798">
          <cell r="A798">
            <v>98631</v>
          </cell>
          <cell r="B798" t="str">
            <v>CITY OF MOUNT AIRY</v>
          </cell>
          <cell r="C798">
            <v>1.0051999999999999E-3</v>
          </cell>
          <cell r="D798">
            <v>1.0415000000000001E-3</v>
          </cell>
          <cell r="E798">
            <v>466623</v>
          </cell>
          <cell r="F798">
            <v>0</v>
          </cell>
          <cell r="G798">
            <v>1535667</v>
          </cell>
          <cell r="H798"/>
          <cell r="I798">
            <v>88469</v>
          </cell>
          <cell r="J798">
            <v>372862</v>
          </cell>
          <cell r="K798">
            <v>219315</v>
          </cell>
          <cell r="L798">
            <v>0</v>
          </cell>
          <cell r="M798"/>
          <cell r="N798">
            <v>43470</v>
          </cell>
          <cell r="O798">
            <v>0</v>
          </cell>
          <cell r="P798">
            <v>0</v>
          </cell>
          <cell r="Q798">
            <v>102113</v>
          </cell>
          <cell r="R798"/>
          <cell r="S798">
            <v>517521</v>
          </cell>
          <cell r="T798">
            <v>-41744</v>
          </cell>
          <cell r="U798">
            <v>475777</v>
          </cell>
        </row>
        <row r="799">
          <cell r="A799">
            <v>98637</v>
          </cell>
          <cell r="B799" t="str">
            <v>MOUNT AIRY ALCOHOLIC BOARD OF CONTROL</v>
          </cell>
          <cell r="C799">
            <v>2.0800000000000001E-5</v>
          </cell>
          <cell r="D799">
            <v>2.2200000000000001E-5</v>
          </cell>
          <cell r="E799">
            <v>15729</v>
          </cell>
          <cell r="F799">
            <v>0</v>
          </cell>
          <cell r="G799">
            <v>31777</v>
          </cell>
          <cell r="H799"/>
          <cell r="I799">
            <v>1831</v>
          </cell>
          <cell r="J799">
            <v>7715</v>
          </cell>
          <cell r="K799">
            <v>4538</v>
          </cell>
          <cell r="L799">
            <v>8386</v>
          </cell>
          <cell r="M799"/>
          <cell r="N799">
            <v>899</v>
          </cell>
          <cell r="O799">
            <v>0</v>
          </cell>
          <cell r="P799">
            <v>0</v>
          </cell>
          <cell r="Q799">
            <v>0</v>
          </cell>
          <cell r="R799"/>
          <cell r="S799">
            <v>10709</v>
          </cell>
          <cell r="T799">
            <v>3206</v>
          </cell>
          <cell r="U799">
            <v>13915</v>
          </cell>
        </row>
        <row r="800">
          <cell r="A800">
            <v>98641</v>
          </cell>
          <cell r="B800" t="str">
            <v>TOWN OF ELKIN</v>
          </cell>
          <cell r="C800">
            <v>2.965E-4</v>
          </cell>
          <cell r="D800">
            <v>3.0019999999999998E-4</v>
          </cell>
          <cell r="E800">
            <v>140670</v>
          </cell>
          <cell r="F800">
            <v>0</v>
          </cell>
          <cell r="G800">
            <v>452970</v>
          </cell>
          <cell r="H800"/>
          <cell r="I800">
            <v>26095</v>
          </cell>
          <cell r="J800">
            <v>109981</v>
          </cell>
          <cell r="K800">
            <v>64690</v>
          </cell>
          <cell r="L800">
            <v>3407</v>
          </cell>
          <cell r="M800"/>
          <cell r="N800">
            <v>12822</v>
          </cell>
          <cell r="O800">
            <v>0</v>
          </cell>
          <cell r="P800">
            <v>0</v>
          </cell>
          <cell r="Q800">
            <v>7840</v>
          </cell>
          <cell r="R800"/>
          <cell r="S800">
            <v>152651</v>
          </cell>
          <cell r="T800">
            <v>-183</v>
          </cell>
          <cell r="U800">
            <v>152468</v>
          </cell>
        </row>
        <row r="801">
          <cell r="A801">
            <v>98701</v>
          </cell>
          <cell r="B801" t="str">
            <v>SWAIN COUNTY</v>
          </cell>
          <cell r="C801">
            <v>1.1333999999999999E-3</v>
          </cell>
          <cell r="D801">
            <v>1.1793000000000001E-3</v>
          </cell>
          <cell r="E801">
            <v>514113</v>
          </cell>
          <cell r="F801">
            <v>2502870</v>
          </cell>
          <cell r="G801">
            <v>1731521</v>
          </cell>
          <cell r="H801"/>
          <cell r="I801">
            <v>99752</v>
          </cell>
          <cell r="J801">
            <v>420415</v>
          </cell>
          <cell r="K801">
            <v>247285</v>
          </cell>
          <cell r="L801">
            <v>3431</v>
          </cell>
          <cell r="M801"/>
          <cell r="N801">
            <v>49014</v>
          </cell>
          <cell r="O801">
            <v>0</v>
          </cell>
          <cell r="P801">
            <v>0</v>
          </cell>
          <cell r="Q801">
            <v>66380</v>
          </cell>
          <cell r="R801"/>
          <cell r="S801">
            <v>583524</v>
          </cell>
          <cell r="T801">
            <v>-25976</v>
          </cell>
          <cell r="U801">
            <v>557548</v>
          </cell>
        </row>
        <row r="802">
          <cell r="A802">
            <v>98711</v>
          </cell>
          <cell r="B802" t="str">
            <v>TOWN OF BRYSON CITY</v>
          </cell>
          <cell r="C802">
            <v>1.8369999999999999E-4</v>
          </cell>
          <cell r="D802">
            <v>1.8039999999999999E-4</v>
          </cell>
          <cell r="E802">
            <v>70342</v>
          </cell>
          <cell r="F802">
            <v>382869</v>
          </cell>
          <cell r="G802">
            <v>280643</v>
          </cell>
          <cell r="H802"/>
          <cell r="I802">
            <v>16168</v>
          </cell>
          <cell r="J802">
            <v>68140</v>
          </cell>
          <cell r="K802">
            <v>40080</v>
          </cell>
          <cell r="L802">
            <v>1238</v>
          </cell>
          <cell r="M802"/>
          <cell r="N802">
            <v>7944</v>
          </cell>
          <cell r="O802">
            <v>0</v>
          </cell>
          <cell r="P802">
            <v>0</v>
          </cell>
          <cell r="Q802">
            <v>16374</v>
          </cell>
          <cell r="R802"/>
          <cell r="S802">
            <v>94577</v>
          </cell>
          <cell r="T802">
            <v>-4053</v>
          </cell>
          <cell r="U802">
            <v>90524</v>
          </cell>
        </row>
        <row r="803">
          <cell r="A803">
            <v>98717</v>
          </cell>
          <cell r="B803" t="str">
            <v>BRYSON CITY ABC BOARD</v>
          </cell>
          <cell r="C803">
            <v>2.1100000000000001E-5</v>
          </cell>
          <cell r="D803">
            <v>1.8600000000000001E-5</v>
          </cell>
          <cell r="E803">
            <v>8759</v>
          </cell>
          <cell r="F803">
            <v>39475</v>
          </cell>
          <cell r="G803">
            <v>32235</v>
          </cell>
          <cell r="H803"/>
          <cell r="I803">
            <v>1857</v>
          </cell>
          <cell r="J803">
            <v>7827</v>
          </cell>
          <cell r="K803">
            <v>4604</v>
          </cell>
          <cell r="L803">
            <v>1439</v>
          </cell>
          <cell r="M803"/>
          <cell r="N803">
            <v>912</v>
          </cell>
          <cell r="O803">
            <v>0</v>
          </cell>
          <cell r="P803">
            <v>0</v>
          </cell>
          <cell r="Q803">
            <v>534</v>
          </cell>
          <cell r="R803"/>
          <cell r="S803">
            <v>10863</v>
          </cell>
          <cell r="T803">
            <v>247</v>
          </cell>
          <cell r="U803">
            <v>11110</v>
          </cell>
        </row>
        <row r="804">
          <cell r="A804">
            <v>98801</v>
          </cell>
          <cell r="B804" t="str">
            <v>TRANSYLVANIA COUNTY</v>
          </cell>
          <cell r="C804">
            <v>2.2859E-3</v>
          </cell>
          <cell r="D804">
            <v>2.1771999999999998E-3</v>
          </cell>
          <cell r="E804">
            <v>1067051</v>
          </cell>
          <cell r="F804">
            <v>4620748</v>
          </cell>
          <cell r="G804">
            <v>3492222</v>
          </cell>
          <cell r="H804"/>
          <cell r="I804">
            <v>201184</v>
          </cell>
          <cell r="J804">
            <v>847916</v>
          </cell>
          <cell r="K804">
            <v>498738</v>
          </cell>
          <cell r="L804">
            <v>146068</v>
          </cell>
          <cell r="M804"/>
          <cell r="N804">
            <v>98854</v>
          </cell>
          <cell r="O804">
            <v>0</v>
          </cell>
          <cell r="P804">
            <v>0</v>
          </cell>
          <cell r="Q804">
            <v>0</v>
          </cell>
          <cell r="R804"/>
          <cell r="S804">
            <v>1176882</v>
          </cell>
          <cell r="T804">
            <v>55567</v>
          </cell>
          <cell r="U804">
            <v>1232449</v>
          </cell>
        </row>
        <row r="805">
          <cell r="A805">
            <v>98811</v>
          </cell>
          <cell r="B805" t="str">
            <v>CITY OF BREVARD</v>
          </cell>
          <cell r="C805">
            <v>6.5160000000000001E-4</v>
          </cell>
          <cell r="D805">
            <v>7.1120000000000005E-4</v>
          </cell>
          <cell r="E805">
            <v>323262</v>
          </cell>
          <cell r="F805">
            <v>1509405</v>
          </cell>
          <cell r="G805">
            <v>995464</v>
          </cell>
          <cell r="H805"/>
          <cell r="I805">
            <v>57348</v>
          </cell>
          <cell r="J805">
            <v>241700</v>
          </cell>
          <cell r="K805">
            <v>142166</v>
          </cell>
          <cell r="L805">
            <v>16975</v>
          </cell>
          <cell r="M805"/>
          <cell r="N805">
            <v>28178</v>
          </cell>
          <cell r="O805">
            <v>0</v>
          </cell>
          <cell r="P805">
            <v>0</v>
          </cell>
          <cell r="Q805">
            <v>46894</v>
          </cell>
          <cell r="R805"/>
          <cell r="S805">
            <v>335472</v>
          </cell>
          <cell r="T805">
            <v>-312</v>
          </cell>
          <cell r="U805">
            <v>335160</v>
          </cell>
        </row>
        <row r="806">
          <cell r="A806">
            <v>98817</v>
          </cell>
          <cell r="B806" t="str">
            <v>BREVARD ABC BOARD</v>
          </cell>
          <cell r="C806">
            <v>2.5199999999999999E-5</v>
          </cell>
          <cell r="D806">
            <v>2.34E-5</v>
          </cell>
          <cell r="E806">
            <v>14663</v>
          </cell>
          <cell r="F806">
            <v>49663</v>
          </cell>
          <cell r="G806">
            <v>38499</v>
          </cell>
          <cell r="H806"/>
          <cell r="I806">
            <v>2218</v>
          </cell>
          <cell r="J806">
            <v>9347</v>
          </cell>
          <cell r="K806">
            <v>5498</v>
          </cell>
          <cell r="L806">
            <v>3862</v>
          </cell>
          <cell r="M806"/>
          <cell r="N806">
            <v>1090</v>
          </cell>
          <cell r="O806">
            <v>0</v>
          </cell>
          <cell r="P806">
            <v>0</v>
          </cell>
          <cell r="Q806">
            <v>2179</v>
          </cell>
          <cell r="R806"/>
          <cell r="S806">
            <v>12974</v>
          </cell>
          <cell r="T806">
            <v>-1216</v>
          </cell>
          <cell r="U806">
            <v>11758</v>
          </cell>
        </row>
        <row r="807">
          <cell r="A807">
            <v>98901</v>
          </cell>
          <cell r="B807" t="str">
            <v>TYRRELL COUNTY</v>
          </cell>
          <cell r="C807">
            <v>3.5050000000000001E-4</v>
          </cell>
          <cell r="D807">
            <v>3.392E-4</v>
          </cell>
          <cell r="E807">
            <v>159126</v>
          </cell>
          <cell r="F807">
            <v>719896</v>
          </cell>
          <cell r="G807">
            <v>535467</v>
          </cell>
          <cell r="H807"/>
          <cell r="I807">
            <v>30848</v>
          </cell>
          <cell r="J807">
            <v>130012</v>
          </cell>
          <cell r="K807">
            <v>76472</v>
          </cell>
          <cell r="L807">
            <v>7505</v>
          </cell>
          <cell r="M807"/>
          <cell r="N807">
            <v>15157</v>
          </cell>
          <cell r="O807">
            <v>0</v>
          </cell>
          <cell r="P807">
            <v>0</v>
          </cell>
          <cell r="Q807">
            <v>2530</v>
          </cell>
          <cell r="R807"/>
          <cell r="S807">
            <v>180453</v>
          </cell>
          <cell r="T807">
            <v>975</v>
          </cell>
          <cell r="U807">
            <v>181428</v>
          </cell>
        </row>
        <row r="808">
          <cell r="A808">
            <v>98904</v>
          </cell>
          <cell r="B808" t="str">
            <v>TYRRELL CO ABC BOARD</v>
          </cell>
          <cell r="C808">
            <v>2.7999999999999999E-6</v>
          </cell>
          <cell r="D808">
            <v>5.2000000000000002E-6</v>
          </cell>
          <cell r="E808">
            <v>1608</v>
          </cell>
          <cell r="F808">
            <v>11036</v>
          </cell>
          <cell r="G808">
            <v>4278</v>
          </cell>
          <cell r="H808"/>
          <cell r="I808">
            <v>246</v>
          </cell>
          <cell r="J808">
            <v>1039</v>
          </cell>
          <cell r="K808">
            <v>611</v>
          </cell>
          <cell r="L808">
            <v>365</v>
          </cell>
          <cell r="M808"/>
          <cell r="N808">
            <v>121</v>
          </cell>
          <cell r="O808">
            <v>0</v>
          </cell>
          <cell r="P808">
            <v>0</v>
          </cell>
          <cell r="Q808">
            <v>1887</v>
          </cell>
          <cell r="R808"/>
          <cell r="S808">
            <v>1442</v>
          </cell>
          <cell r="T808">
            <v>-315</v>
          </cell>
          <cell r="U808">
            <v>1127</v>
          </cell>
        </row>
        <row r="809">
          <cell r="A809">
            <v>98911</v>
          </cell>
          <cell r="B809" t="str">
            <v>TOWN OF COLUMBIA</v>
          </cell>
          <cell r="C809">
            <v>2.7900000000000001E-5</v>
          </cell>
          <cell r="D809">
            <v>2.8600000000000001E-5</v>
          </cell>
          <cell r="E809">
            <v>17945</v>
          </cell>
          <cell r="F809">
            <v>60699</v>
          </cell>
          <cell r="G809">
            <v>42623</v>
          </cell>
          <cell r="H809"/>
          <cell r="I809">
            <v>2456</v>
          </cell>
          <cell r="J809">
            <v>10349</v>
          </cell>
          <cell r="K809">
            <v>6087</v>
          </cell>
          <cell r="L809">
            <v>12780</v>
          </cell>
          <cell r="M809"/>
          <cell r="N809">
            <v>1207</v>
          </cell>
          <cell r="O809">
            <v>0</v>
          </cell>
          <cell r="P809">
            <v>0</v>
          </cell>
          <cell r="Q809">
            <v>0</v>
          </cell>
          <cell r="R809"/>
          <cell r="S809">
            <v>14364</v>
          </cell>
          <cell r="T809">
            <v>5565</v>
          </cell>
          <cell r="U809">
            <v>19929</v>
          </cell>
        </row>
        <row r="810">
          <cell r="A810">
            <v>99001</v>
          </cell>
          <cell r="B810" t="str">
            <v>UNION COUNTY</v>
          </cell>
          <cell r="C810">
            <v>8.0949000000000004E-3</v>
          </cell>
          <cell r="D810">
            <v>7.8098999999999998E-3</v>
          </cell>
          <cell r="E810">
            <v>3574723</v>
          </cell>
          <cell r="F810">
            <v>16575224</v>
          </cell>
          <cell r="G810">
            <v>12366765</v>
          </cell>
          <cell r="H810"/>
          <cell r="I810">
            <v>712440</v>
          </cell>
          <cell r="J810">
            <v>3002666</v>
          </cell>
          <cell r="K810">
            <v>1766145</v>
          </cell>
          <cell r="L810">
            <v>355732</v>
          </cell>
          <cell r="M810"/>
          <cell r="N810">
            <v>350064</v>
          </cell>
          <cell r="O810">
            <v>0</v>
          </cell>
          <cell r="P810">
            <v>0</v>
          </cell>
          <cell r="Q810">
            <v>0</v>
          </cell>
          <cell r="R810"/>
          <cell r="S810">
            <v>4167611</v>
          </cell>
          <cell r="T810">
            <v>186049</v>
          </cell>
          <cell r="U810">
            <v>4353660</v>
          </cell>
        </row>
        <row r="811">
          <cell r="A811">
            <v>99011</v>
          </cell>
          <cell r="B811" t="str">
            <v>CITY OF MONROE</v>
          </cell>
          <cell r="C811">
            <v>3.8736999999999999E-3</v>
          </cell>
          <cell r="D811">
            <v>3.9039000000000001E-3</v>
          </cell>
          <cell r="E811">
            <v>1767797</v>
          </cell>
          <cell r="F811">
            <v>8285384</v>
          </cell>
          <cell r="G811">
            <v>5917941</v>
          </cell>
          <cell r="H811"/>
          <cell r="I811">
            <v>340928</v>
          </cell>
          <cell r="J811">
            <v>1436883</v>
          </cell>
          <cell r="K811">
            <v>845164</v>
          </cell>
          <cell r="L811">
            <v>0</v>
          </cell>
          <cell r="M811"/>
          <cell r="N811">
            <v>167518</v>
          </cell>
          <cell r="O811">
            <v>0</v>
          </cell>
          <cell r="P811">
            <v>0</v>
          </cell>
          <cell r="Q811">
            <v>396289</v>
          </cell>
          <cell r="R811"/>
          <cell r="S811">
            <v>1994351</v>
          </cell>
          <cell r="T811">
            <v>-212974</v>
          </cell>
          <cell r="U811">
            <v>1781377</v>
          </cell>
        </row>
        <row r="812">
          <cell r="A812">
            <v>99013</v>
          </cell>
          <cell r="B812" t="str">
            <v>CITY OF MONROE HOUSING AUTHORITY</v>
          </cell>
          <cell r="C812">
            <v>5.5999999999999999E-5</v>
          </cell>
          <cell r="D812">
            <v>6.02E-5</v>
          </cell>
          <cell r="E812">
            <v>27133</v>
          </cell>
          <cell r="F812">
            <v>127765</v>
          </cell>
          <cell r="G812">
            <v>85552</v>
          </cell>
          <cell r="H812"/>
          <cell r="I812">
            <v>4929</v>
          </cell>
          <cell r="J812">
            <v>20773</v>
          </cell>
          <cell r="K812">
            <v>12218</v>
          </cell>
          <cell r="L812">
            <v>10</v>
          </cell>
          <cell r="M812"/>
          <cell r="N812">
            <v>2422</v>
          </cell>
          <cell r="O812">
            <v>0</v>
          </cell>
          <cell r="P812">
            <v>0</v>
          </cell>
          <cell r="Q812">
            <v>8046</v>
          </cell>
          <cell r="R812"/>
          <cell r="S812">
            <v>28831</v>
          </cell>
          <cell r="T812">
            <v>-2790</v>
          </cell>
          <cell r="U812">
            <v>26041</v>
          </cell>
        </row>
        <row r="813">
          <cell r="A813">
            <v>99014</v>
          </cell>
          <cell r="B813" t="str">
            <v>INDIAN TRAIL ABC BOARD</v>
          </cell>
          <cell r="C813">
            <v>2.0100000000000001E-5</v>
          </cell>
          <cell r="D813">
            <v>2.4199999999999999E-5</v>
          </cell>
          <cell r="E813">
            <v>13999</v>
          </cell>
          <cell r="F813">
            <v>51361</v>
          </cell>
          <cell r="G813">
            <v>30707</v>
          </cell>
          <cell r="H813"/>
          <cell r="I813">
            <v>1769</v>
          </cell>
          <cell r="J813">
            <v>7456</v>
          </cell>
          <cell r="K813">
            <v>4385</v>
          </cell>
          <cell r="L813">
            <v>12703</v>
          </cell>
          <cell r="M813"/>
          <cell r="N813">
            <v>869</v>
          </cell>
          <cell r="O813">
            <v>0</v>
          </cell>
          <cell r="P813">
            <v>0</v>
          </cell>
          <cell r="Q813">
            <v>0</v>
          </cell>
          <cell r="R813"/>
          <cell r="S813">
            <v>10348</v>
          </cell>
          <cell r="T813">
            <v>4335</v>
          </cell>
          <cell r="U813">
            <v>14683</v>
          </cell>
        </row>
        <row r="814">
          <cell r="A814">
            <v>99017</v>
          </cell>
          <cell r="B814" t="str">
            <v>MONROE ABC BOARD</v>
          </cell>
          <cell r="C814">
            <v>5.13E-5</v>
          </cell>
          <cell r="D814">
            <v>4.6999999999999997E-5</v>
          </cell>
          <cell r="E814">
            <v>25055</v>
          </cell>
          <cell r="F814">
            <v>99750</v>
          </cell>
          <cell r="G814">
            <v>78372</v>
          </cell>
          <cell r="H814"/>
          <cell r="I814">
            <v>4515</v>
          </cell>
          <cell r="J814">
            <v>19029</v>
          </cell>
          <cell r="K814">
            <v>11193</v>
          </cell>
          <cell r="L814">
            <v>8072</v>
          </cell>
          <cell r="M814"/>
          <cell r="N814">
            <v>2218</v>
          </cell>
          <cell r="O814">
            <v>0</v>
          </cell>
          <cell r="P814">
            <v>0</v>
          </cell>
          <cell r="Q814">
            <v>3306</v>
          </cell>
          <cell r="R814"/>
          <cell r="S814">
            <v>26411</v>
          </cell>
          <cell r="T814">
            <v>-629</v>
          </cell>
          <cell r="U814">
            <v>25782</v>
          </cell>
        </row>
        <row r="815">
          <cell r="A815">
            <v>99021</v>
          </cell>
          <cell r="B815" t="str">
            <v>TOWN OF MARSHVILLE</v>
          </cell>
          <cell r="C815">
            <v>1.5249999999999999E-4</v>
          </cell>
          <cell r="D815">
            <v>1.3420000000000001E-4</v>
          </cell>
          <cell r="E815">
            <v>64601</v>
          </cell>
          <cell r="F815">
            <v>284817</v>
          </cell>
          <cell r="G815">
            <v>232978</v>
          </cell>
          <cell r="H815"/>
          <cell r="I815">
            <v>13422</v>
          </cell>
          <cell r="J815">
            <v>56568</v>
          </cell>
          <cell r="K815">
            <v>33272</v>
          </cell>
          <cell r="L815">
            <v>11565</v>
          </cell>
          <cell r="M815"/>
          <cell r="N815">
            <v>6595</v>
          </cell>
          <cell r="O815">
            <v>0</v>
          </cell>
          <cell r="P815">
            <v>0</v>
          </cell>
          <cell r="Q815">
            <v>728</v>
          </cell>
          <cell r="R815"/>
          <cell r="S815">
            <v>78514</v>
          </cell>
          <cell r="T815">
            <v>3978</v>
          </cell>
          <cell r="U815">
            <v>82492</v>
          </cell>
        </row>
        <row r="816">
          <cell r="A816">
            <v>99022</v>
          </cell>
          <cell r="B816" t="str">
            <v>TOWN OF MINERAL SPRINGS</v>
          </cell>
          <cell r="C816">
            <v>1.08E-5</v>
          </cell>
          <cell r="D816">
            <v>1.1800000000000001E-5</v>
          </cell>
          <cell r="E816">
            <v>11386</v>
          </cell>
          <cell r="F816">
            <v>25044</v>
          </cell>
          <cell r="G816">
            <v>16499</v>
          </cell>
          <cell r="H816"/>
          <cell r="I816">
            <v>951</v>
          </cell>
          <cell r="J816">
            <v>4006</v>
          </cell>
          <cell r="K816">
            <v>2356</v>
          </cell>
          <cell r="L816">
            <v>8944</v>
          </cell>
          <cell r="M816"/>
          <cell r="N816">
            <v>467</v>
          </cell>
          <cell r="O816">
            <v>0</v>
          </cell>
          <cell r="P816">
            <v>0</v>
          </cell>
          <cell r="Q816">
            <v>132</v>
          </cell>
          <cell r="R816"/>
          <cell r="S816">
            <v>5560</v>
          </cell>
          <cell r="T816">
            <v>2896</v>
          </cell>
          <cell r="U816">
            <v>8456</v>
          </cell>
        </row>
        <row r="817">
          <cell r="A817">
            <v>99031</v>
          </cell>
          <cell r="B817" t="str">
            <v>TOWN OF WINGATE</v>
          </cell>
          <cell r="C817">
            <v>1.518E-4</v>
          </cell>
          <cell r="D817">
            <v>1.5970000000000001E-4</v>
          </cell>
          <cell r="E817">
            <v>59833</v>
          </cell>
          <cell r="F817">
            <v>338937</v>
          </cell>
          <cell r="G817">
            <v>231908</v>
          </cell>
          <cell r="H817"/>
          <cell r="I817">
            <v>13360</v>
          </cell>
          <cell r="J817">
            <v>56308</v>
          </cell>
          <cell r="K817">
            <v>33120</v>
          </cell>
          <cell r="L817">
            <v>2845</v>
          </cell>
          <cell r="M817"/>
          <cell r="N817">
            <v>6565</v>
          </cell>
          <cell r="O817">
            <v>0</v>
          </cell>
          <cell r="P817">
            <v>0</v>
          </cell>
          <cell r="Q817">
            <v>23907</v>
          </cell>
          <cell r="R817"/>
          <cell r="S817">
            <v>78153</v>
          </cell>
          <cell r="T817">
            <v>-11727</v>
          </cell>
          <cell r="U817">
            <v>66426</v>
          </cell>
        </row>
        <row r="818">
          <cell r="A818">
            <v>99041</v>
          </cell>
          <cell r="B818" t="str">
            <v>TOWN OF WAXHAW</v>
          </cell>
          <cell r="C818">
            <v>6.3500000000000004E-4</v>
          </cell>
          <cell r="D818">
            <v>5.6289999999999997E-4</v>
          </cell>
          <cell r="E818">
            <v>254000</v>
          </cell>
          <cell r="F818">
            <v>1194662</v>
          </cell>
          <cell r="G818">
            <v>970104</v>
          </cell>
          <cell r="H818"/>
          <cell r="I818">
            <v>55887</v>
          </cell>
          <cell r="J818">
            <v>235543</v>
          </cell>
          <cell r="K818">
            <v>138544</v>
          </cell>
          <cell r="L818">
            <v>52920</v>
          </cell>
          <cell r="M818"/>
          <cell r="N818">
            <v>27461</v>
          </cell>
          <cell r="O818">
            <v>0</v>
          </cell>
          <cell r="P818">
            <v>0</v>
          </cell>
          <cell r="Q818">
            <v>0</v>
          </cell>
          <cell r="R818"/>
          <cell r="S818">
            <v>326926</v>
          </cell>
          <cell r="T818">
            <v>28997</v>
          </cell>
          <cell r="U818">
            <v>355923</v>
          </cell>
        </row>
        <row r="819">
          <cell r="A819">
            <v>99047</v>
          </cell>
          <cell r="B819" t="str">
            <v>WAXHAW ABC BOARD</v>
          </cell>
          <cell r="C819">
            <v>1.42E-5</v>
          </cell>
          <cell r="D819">
            <v>9.2E-6</v>
          </cell>
          <cell r="E819">
            <v>7761</v>
          </cell>
          <cell r="F819">
            <v>19525</v>
          </cell>
          <cell r="G819">
            <v>21694</v>
          </cell>
          <cell r="H819"/>
          <cell r="I819">
            <v>1250</v>
          </cell>
          <cell r="J819">
            <v>5267</v>
          </cell>
          <cell r="K819">
            <v>3098</v>
          </cell>
          <cell r="L819">
            <v>6410</v>
          </cell>
          <cell r="M819"/>
          <cell r="N819">
            <v>614</v>
          </cell>
          <cell r="O819">
            <v>0</v>
          </cell>
          <cell r="P819">
            <v>0</v>
          </cell>
          <cell r="Q819">
            <v>0</v>
          </cell>
          <cell r="R819"/>
          <cell r="S819">
            <v>7311</v>
          </cell>
          <cell r="T819">
            <v>2345</v>
          </cell>
          <cell r="U819">
            <v>9656</v>
          </cell>
        </row>
        <row r="820">
          <cell r="A820">
            <v>99051</v>
          </cell>
          <cell r="B820" t="str">
            <v>TOWN OF INDIAN TRAIL</v>
          </cell>
          <cell r="C820">
            <v>3.5359999999999998E-4</v>
          </cell>
          <cell r="D820">
            <v>3.3349999999999997E-4</v>
          </cell>
          <cell r="E820">
            <v>142317</v>
          </cell>
          <cell r="F820">
            <v>707799</v>
          </cell>
          <cell r="G820">
            <v>540203</v>
          </cell>
          <cell r="H820"/>
          <cell r="I820">
            <v>31121</v>
          </cell>
          <cell r="J820">
            <v>131162</v>
          </cell>
          <cell r="K820">
            <v>77148</v>
          </cell>
          <cell r="L820">
            <v>11433</v>
          </cell>
          <cell r="M820"/>
          <cell r="N820">
            <v>15291</v>
          </cell>
          <cell r="O820">
            <v>0</v>
          </cell>
          <cell r="P820">
            <v>0</v>
          </cell>
          <cell r="Q820">
            <v>2536</v>
          </cell>
          <cell r="R820"/>
          <cell r="S820">
            <v>182049</v>
          </cell>
          <cell r="T820">
            <v>4776</v>
          </cell>
          <cell r="U820">
            <v>186825</v>
          </cell>
        </row>
        <row r="821">
          <cell r="A821">
            <v>99061</v>
          </cell>
          <cell r="B821" t="str">
            <v>TOWN OF UNIONVILLE</v>
          </cell>
          <cell r="C821">
            <v>8.1000000000000004E-6</v>
          </cell>
          <cell r="D821">
            <v>8.3999999999999992E-6</v>
          </cell>
          <cell r="E821">
            <v>7897</v>
          </cell>
          <cell r="F821">
            <v>17828</v>
          </cell>
          <cell r="G821">
            <v>12375</v>
          </cell>
          <cell r="H821"/>
          <cell r="I821">
            <v>713</v>
          </cell>
          <cell r="J821">
            <v>3005</v>
          </cell>
          <cell r="K821">
            <v>1767</v>
          </cell>
          <cell r="L821">
            <v>7276</v>
          </cell>
          <cell r="M821"/>
          <cell r="N821">
            <v>350</v>
          </cell>
          <cell r="O821">
            <v>0</v>
          </cell>
          <cell r="P821">
            <v>0</v>
          </cell>
          <cell r="Q821">
            <v>0</v>
          </cell>
          <cell r="R821"/>
          <cell r="S821">
            <v>4170</v>
          </cell>
          <cell r="T821">
            <v>2674</v>
          </cell>
          <cell r="U821">
            <v>6844</v>
          </cell>
        </row>
        <row r="822">
          <cell r="A822">
            <v>99071</v>
          </cell>
          <cell r="B822" t="str">
            <v>TOWN OF WEDDINGTON</v>
          </cell>
          <cell r="C822">
            <v>3.04E-5</v>
          </cell>
          <cell r="D822">
            <v>3.0499999999999999E-5</v>
          </cell>
          <cell r="E822">
            <v>15062</v>
          </cell>
          <cell r="F822">
            <v>64731</v>
          </cell>
          <cell r="G822">
            <v>46443</v>
          </cell>
          <cell r="H822"/>
          <cell r="I822">
            <v>2676</v>
          </cell>
          <cell r="J822">
            <v>11277</v>
          </cell>
          <cell r="K822">
            <v>6633</v>
          </cell>
          <cell r="L822">
            <v>818</v>
          </cell>
          <cell r="M822"/>
          <cell r="N822">
            <v>1315</v>
          </cell>
          <cell r="O822">
            <v>0</v>
          </cell>
          <cell r="P822">
            <v>0</v>
          </cell>
          <cell r="Q822">
            <v>2093</v>
          </cell>
          <cell r="R822"/>
          <cell r="S822">
            <v>15651</v>
          </cell>
          <cell r="T822">
            <v>-1107</v>
          </cell>
          <cell r="U822">
            <v>14544</v>
          </cell>
        </row>
        <row r="823">
          <cell r="A823">
            <v>99081</v>
          </cell>
          <cell r="B823" t="str">
            <v>VILLAGE OF MARVIN</v>
          </cell>
          <cell r="C823">
            <v>1.1E-5</v>
          </cell>
          <cell r="D823">
            <v>2.9600000000000001E-5</v>
          </cell>
          <cell r="E823">
            <v>10195</v>
          </cell>
          <cell r="F823">
            <v>62821</v>
          </cell>
          <cell r="G823">
            <v>16805</v>
          </cell>
          <cell r="H823"/>
          <cell r="I823">
            <v>968</v>
          </cell>
          <cell r="J823">
            <v>4081</v>
          </cell>
          <cell r="K823">
            <v>2400</v>
          </cell>
          <cell r="L823">
            <v>3587</v>
          </cell>
          <cell r="M823"/>
          <cell r="N823">
            <v>476</v>
          </cell>
          <cell r="O823">
            <v>0</v>
          </cell>
          <cell r="P823">
            <v>0</v>
          </cell>
          <cell r="Q823">
            <v>13215</v>
          </cell>
          <cell r="R823"/>
          <cell r="S823">
            <v>5663</v>
          </cell>
          <cell r="T823">
            <v>-2898</v>
          </cell>
          <cell r="U823">
            <v>2765</v>
          </cell>
        </row>
        <row r="824">
          <cell r="A824">
            <v>99091</v>
          </cell>
          <cell r="B824" t="str">
            <v>VILLAGE OF WESLEY CHAPEL</v>
          </cell>
          <cell r="C824">
            <v>3.9999999999999998E-6</v>
          </cell>
          <cell r="D824">
            <v>4.1999999999999996E-6</v>
          </cell>
          <cell r="E824">
            <v>4831</v>
          </cell>
          <cell r="F824">
            <v>8914</v>
          </cell>
          <cell r="G824">
            <v>6111</v>
          </cell>
          <cell r="H824"/>
          <cell r="I824">
            <v>352</v>
          </cell>
          <cell r="J824">
            <v>1484</v>
          </cell>
          <cell r="K824">
            <v>873</v>
          </cell>
          <cell r="L824">
            <v>4105</v>
          </cell>
          <cell r="M824"/>
          <cell r="N824">
            <v>173</v>
          </cell>
          <cell r="O824">
            <v>0</v>
          </cell>
          <cell r="P824">
            <v>0</v>
          </cell>
          <cell r="Q824">
            <v>3232</v>
          </cell>
          <cell r="R824"/>
          <cell r="S824">
            <v>2059</v>
          </cell>
          <cell r="T824">
            <v>-1926</v>
          </cell>
          <cell r="U824">
            <v>133</v>
          </cell>
        </row>
        <row r="825">
          <cell r="A825">
            <v>99101</v>
          </cell>
          <cell r="B825" t="str">
            <v>VANCE COUNTY</v>
          </cell>
          <cell r="C825">
            <v>2.1724000000000001E-3</v>
          </cell>
          <cell r="D825">
            <v>2.0087999999999998E-3</v>
          </cell>
          <cell r="E825">
            <v>914274</v>
          </cell>
          <cell r="F825">
            <v>4263347</v>
          </cell>
          <cell r="G825">
            <v>3318825</v>
          </cell>
          <cell r="H825"/>
          <cell r="I825">
            <v>191195</v>
          </cell>
          <cell r="J825">
            <v>805815</v>
          </cell>
          <cell r="K825">
            <v>473974</v>
          </cell>
          <cell r="L825">
            <v>48335</v>
          </cell>
          <cell r="M825"/>
          <cell r="N825">
            <v>93945</v>
          </cell>
          <cell r="O825">
            <v>0</v>
          </cell>
          <cell r="P825">
            <v>0</v>
          </cell>
          <cell r="Q825">
            <v>44900</v>
          </cell>
          <cell r="R825"/>
          <cell r="S825">
            <v>1118447</v>
          </cell>
          <cell r="T825">
            <v>-14151</v>
          </cell>
          <cell r="U825">
            <v>1104296</v>
          </cell>
        </row>
        <row r="826">
          <cell r="A826">
            <v>99104</v>
          </cell>
          <cell r="B826" t="str">
            <v>VANCE COUNTY ABC BD</v>
          </cell>
          <cell r="C826">
            <v>3.3500000000000001E-5</v>
          </cell>
          <cell r="D826">
            <v>3.4799999999999999E-5</v>
          </cell>
          <cell r="E826">
            <v>22874</v>
          </cell>
          <cell r="F826">
            <v>73857</v>
          </cell>
          <cell r="G826">
            <v>51179</v>
          </cell>
          <cell r="H826"/>
          <cell r="I826">
            <v>2948</v>
          </cell>
          <cell r="J826">
            <v>12426</v>
          </cell>
          <cell r="K826">
            <v>7309</v>
          </cell>
          <cell r="L826">
            <v>15217</v>
          </cell>
          <cell r="M826"/>
          <cell r="N826">
            <v>1449</v>
          </cell>
          <cell r="O826">
            <v>0</v>
          </cell>
          <cell r="P826">
            <v>0</v>
          </cell>
          <cell r="Q826">
            <v>0</v>
          </cell>
          <cell r="R826"/>
          <cell r="S826">
            <v>17247</v>
          </cell>
          <cell r="T826">
            <v>6167</v>
          </cell>
          <cell r="U826">
            <v>23414</v>
          </cell>
        </row>
        <row r="827">
          <cell r="A827">
            <v>99109</v>
          </cell>
          <cell r="B827" t="str">
            <v>KERR-TAR REGIONAL COUNCIL OF GOVTS</v>
          </cell>
          <cell r="C827">
            <v>1.2339999999999999E-4</v>
          </cell>
          <cell r="D827">
            <v>1.1849999999999999E-4</v>
          </cell>
          <cell r="E827">
            <v>56338</v>
          </cell>
          <cell r="F827">
            <v>251497</v>
          </cell>
          <cell r="G827">
            <v>188521</v>
          </cell>
          <cell r="H827"/>
          <cell r="I827">
            <v>10861</v>
          </cell>
          <cell r="J827">
            <v>45773</v>
          </cell>
          <cell r="K827">
            <v>26923</v>
          </cell>
          <cell r="L827">
            <v>6454</v>
          </cell>
          <cell r="M827"/>
          <cell r="N827">
            <v>5336</v>
          </cell>
          <cell r="O827">
            <v>0</v>
          </cell>
          <cell r="P827">
            <v>0</v>
          </cell>
          <cell r="Q827">
            <v>14208</v>
          </cell>
          <cell r="R827"/>
          <cell r="S827">
            <v>63532</v>
          </cell>
          <cell r="T827">
            <v>-5391</v>
          </cell>
          <cell r="U827">
            <v>58141</v>
          </cell>
        </row>
        <row r="828">
          <cell r="A828">
            <v>99110</v>
          </cell>
          <cell r="B828" t="str">
            <v>KERR AREA TRANSPORTATION AUTHORITY</v>
          </cell>
          <cell r="C828">
            <v>1.7670000000000001E-4</v>
          </cell>
          <cell r="D828">
            <v>1.8369999999999999E-4</v>
          </cell>
          <cell r="E828">
            <v>119963</v>
          </cell>
          <cell r="F828">
            <v>389873</v>
          </cell>
          <cell r="G828">
            <v>269949</v>
          </cell>
          <cell r="H828"/>
          <cell r="I828">
            <v>15552</v>
          </cell>
          <cell r="J828">
            <v>65544</v>
          </cell>
          <cell r="K828">
            <v>38552</v>
          </cell>
          <cell r="L828">
            <v>69046</v>
          </cell>
          <cell r="M828"/>
          <cell r="N828">
            <v>7641</v>
          </cell>
          <cell r="O828">
            <v>0</v>
          </cell>
          <cell r="P828">
            <v>0</v>
          </cell>
          <cell r="Q828">
            <v>0</v>
          </cell>
          <cell r="R828"/>
          <cell r="S828">
            <v>90973</v>
          </cell>
          <cell r="T828">
            <v>27602</v>
          </cell>
          <cell r="U828">
            <v>118575</v>
          </cell>
        </row>
        <row r="829">
          <cell r="A829">
            <v>99111</v>
          </cell>
          <cell r="B829" t="str">
            <v>CITY OF HENDERSON</v>
          </cell>
          <cell r="C829">
            <v>1.2618E-3</v>
          </cell>
          <cell r="D829">
            <v>1.2757000000000001E-3</v>
          </cell>
          <cell r="E829">
            <v>543583</v>
          </cell>
          <cell r="F829">
            <v>2707463</v>
          </cell>
          <cell r="G829">
            <v>1927681</v>
          </cell>
          <cell r="H829"/>
          <cell r="I829">
            <v>111052</v>
          </cell>
          <cell r="J829">
            <v>468043</v>
          </cell>
          <cell r="K829">
            <v>275300</v>
          </cell>
          <cell r="L829">
            <v>0</v>
          </cell>
          <cell r="M829"/>
          <cell r="N829">
            <v>54567</v>
          </cell>
          <cell r="O829">
            <v>0</v>
          </cell>
          <cell r="P829">
            <v>0</v>
          </cell>
          <cell r="Q829">
            <v>143900</v>
          </cell>
          <cell r="R829"/>
          <cell r="S829">
            <v>649630</v>
          </cell>
          <cell r="T829">
            <v>-68554</v>
          </cell>
          <cell r="U829">
            <v>581076</v>
          </cell>
        </row>
        <row r="830">
          <cell r="A830">
            <v>99201</v>
          </cell>
          <cell r="B830" t="str">
            <v>WAKE COUNTY</v>
          </cell>
          <cell r="C830">
            <v>3.3297199999999999E-2</v>
          </cell>
          <cell r="D830">
            <v>3.22145E-2</v>
          </cell>
          <cell r="E830">
            <v>15084487</v>
          </cell>
          <cell r="F830">
            <v>68369961</v>
          </cell>
          <cell r="G830">
            <v>50868898</v>
          </cell>
          <cell r="H830"/>
          <cell r="I830">
            <v>2930520</v>
          </cell>
          <cell r="J830">
            <v>12351030</v>
          </cell>
          <cell r="K830">
            <v>7264783</v>
          </cell>
          <cell r="L830">
            <v>1320745</v>
          </cell>
          <cell r="M830"/>
          <cell r="N830">
            <v>1439937</v>
          </cell>
          <cell r="O830">
            <v>0</v>
          </cell>
          <cell r="P830">
            <v>0</v>
          </cell>
          <cell r="Q830">
            <v>241517</v>
          </cell>
          <cell r="R830"/>
          <cell r="S830">
            <v>17142864</v>
          </cell>
          <cell r="T830">
            <v>242815</v>
          </cell>
          <cell r="U830">
            <v>17385679</v>
          </cell>
        </row>
        <row r="831">
          <cell r="A831">
            <v>99202</v>
          </cell>
          <cell r="B831" t="str">
            <v>TOWN OF HOLLY SPRINGS</v>
          </cell>
          <cell r="C831">
            <v>2.5855000000000001E-3</v>
          </cell>
          <cell r="D831">
            <v>2.5138000000000001E-3</v>
          </cell>
          <cell r="E831">
            <v>1072068</v>
          </cell>
          <cell r="F831">
            <v>5335126</v>
          </cell>
          <cell r="G831">
            <v>3949928</v>
          </cell>
          <cell r="H831"/>
          <cell r="I831">
            <v>227552</v>
          </cell>
          <cell r="J831">
            <v>959048</v>
          </cell>
          <cell r="K831">
            <v>564104</v>
          </cell>
          <cell r="L831">
            <v>0</v>
          </cell>
          <cell r="M831"/>
          <cell r="N831">
            <v>111810</v>
          </cell>
          <cell r="O831">
            <v>0</v>
          </cell>
          <cell r="P831">
            <v>0</v>
          </cell>
          <cell r="Q831">
            <v>184130</v>
          </cell>
          <cell r="R831"/>
          <cell r="S831">
            <v>1331129</v>
          </cell>
          <cell r="T831">
            <v>-73084</v>
          </cell>
          <cell r="U831">
            <v>1258045</v>
          </cell>
        </row>
        <row r="832">
          <cell r="A832">
            <v>99203</v>
          </cell>
          <cell r="B832" t="str">
            <v>TOWN OF ROLESVILLE</v>
          </cell>
          <cell r="C832">
            <v>3.0410000000000002E-4</v>
          </cell>
          <cell r="D832">
            <v>3.1990000000000002E-4</v>
          </cell>
          <cell r="E832">
            <v>126936</v>
          </cell>
          <cell r="F832">
            <v>678935</v>
          </cell>
          <cell r="G832">
            <v>464581</v>
          </cell>
          <cell r="H832"/>
          <cell r="I832">
            <v>26764</v>
          </cell>
          <cell r="J832">
            <v>112801</v>
          </cell>
          <cell r="K832">
            <v>66349</v>
          </cell>
          <cell r="L832">
            <v>24433</v>
          </cell>
          <cell r="M832"/>
          <cell r="N832">
            <v>13151</v>
          </cell>
          <cell r="O832">
            <v>0</v>
          </cell>
          <cell r="P832">
            <v>0</v>
          </cell>
          <cell r="Q832">
            <v>20730</v>
          </cell>
          <cell r="R832"/>
          <cell r="S832">
            <v>156564</v>
          </cell>
          <cell r="T832">
            <v>11213</v>
          </cell>
          <cell r="U832">
            <v>167777</v>
          </cell>
        </row>
        <row r="833">
          <cell r="A833">
            <v>99204</v>
          </cell>
          <cell r="B833" t="str">
            <v>WAKE COUNTY ABC BOARD</v>
          </cell>
          <cell r="C833">
            <v>8.3549999999999998E-4</v>
          </cell>
          <cell r="D833">
            <v>7.4910000000000005E-4</v>
          </cell>
          <cell r="E833">
            <v>375261</v>
          </cell>
          <cell r="F833">
            <v>1589841</v>
          </cell>
          <cell r="G833">
            <v>1276413</v>
          </cell>
          <cell r="H833"/>
          <cell r="I833">
            <v>73533</v>
          </cell>
          <cell r="J833">
            <v>309914</v>
          </cell>
          <cell r="K833">
            <v>182289</v>
          </cell>
          <cell r="L833">
            <v>108607</v>
          </cell>
          <cell r="M833"/>
          <cell r="N833">
            <v>36131</v>
          </cell>
          <cell r="O833">
            <v>0</v>
          </cell>
          <cell r="P833">
            <v>0</v>
          </cell>
          <cell r="Q833">
            <v>0</v>
          </cell>
          <cell r="R833"/>
          <cell r="S833">
            <v>430152</v>
          </cell>
          <cell r="T833">
            <v>37657</v>
          </cell>
          <cell r="U833">
            <v>467809</v>
          </cell>
        </row>
        <row r="834">
          <cell r="A834">
            <v>99206</v>
          </cell>
          <cell r="B834" t="str">
            <v>TOWN OF MORRISVILLE</v>
          </cell>
          <cell r="C834">
            <v>1.6957999999999999E-3</v>
          </cell>
          <cell r="D834">
            <v>1.6665E-3</v>
          </cell>
          <cell r="E834">
            <v>1210225</v>
          </cell>
          <cell r="F834">
            <v>3536871</v>
          </cell>
          <cell r="G834">
            <v>2590713</v>
          </cell>
          <cell r="H834"/>
          <cell r="I834">
            <v>149249</v>
          </cell>
          <cell r="J834">
            <v>629028</v>
          </cell>
          <cell r="K834">
            <v>369990</v>
          </cell>
          <cell r="L834">
            <v>641271</v>
          </cell>
          <cell r="M834"/>
          <cell r="N834">
            <v>73335</v>
          </cell>
          <cell r="O834">
            <v>0</v>
          </cell>
          <cell r="P834">
            <v>0</v>
          </cell>
          <cell r="Q834">
            <v>6741</v>
          </cell>
          <cell r="R834"/>
          <cell r="S834">
            <v>873072</v>
          </cell>
          <cell r="T834">
            <v>209066</v>
          </cell>
          <cell r="U834">
            <v>1082138</v>
          </cell>
        </row>
        <row r="835">
          <cell r="A835">
            <v>99207</v>
          </cell>
          <cell r="B835" t="str">
            <v>WAKE COUNTY HOUSING AUTHORITY</v>
          </cell>
          <cell r="C835">
            <v>1.3329999999999999E-4</v>
          </cell>
          <cell r="D835">
            <v>1.3430000000000001E-4</v>
          </cell>
          <cell r="E835">
            <v>175075</v>
          </cell>
          <cell r="F835">
            <v>0</v>
          </cell>
          <cell r="G835">
            <v>203645</v>
          </cell>
          <cell r="H835"/>
          <cell r="I835">
            <v>11732</v>
          </cell>
          <cell r="J835">
            <v>49445</v>
          </cell>
          <cell r="K835">
            <v>29083</v>
          </cell>
          <cell r="L835">
            <v>145724</v>
          </cell>
          <cell r="M835"/>
          <cell r="N835">
            <v>5765</v>
          </cell>
          <cell r="O835">
            <v>0</v>
          </cell>
          <cell r="P835">
            <v>0</v>
          </cell>
          <cell r="Q835">
            <v>0</v>
          </cell>
          <cell r="R835"/>
          <cell r="S835">
            <v>68629</v>
          </cell>
          <cell r="T835">
            <v>46901</v>
          </cell>
          <cell r="U835">
            <v>115530</v>
          </cell>
        </row>
        <row r="836">
          <cell r="A836">
            <v>99208</v>
          </cell>
          <cell r="B836" t="str">
            <v>BAYLEAF FIRE DEPARTMENT</v>
          </cell>
          <cell r="C836">
            <v>1.4569999999999999E-4</v>
          </cell>
          <cell r="D836">
            <v>1.3669999999999999E-4</v>
          </cell>
          <cell r="E836">
            <v>57804</v>
          </cell>
          <cell r="F836">
            <v>290123</v>
          </cell>
          <cell r="G836">
            <v>222589</v>
          </cell>
          <cell r="H836"/>
          <cell r="I836">
            <v>12823</v>
          </cell>
          <cell r="J836">
            <v>54045</v>
          </cell>
          <cell r="K836">
            <v>31789</v>
          </cell>
          <cell r="L836">
            <v>0</v>
          </cell>
          <cell r="M836"/>
          <cell r="N836">
            <v>6301</v>
          </cell>
          <cell r="O836">
            <v>0</v>
          </cell>
          <cell r="P836">
            <v>0</v>
          </cell>
          <cell r="Q836">
            <v>38521</v>
          </cell>
          <cell r="R836"/>
          <cell r="S836">
            <v>75013</v>
          </cell>
          <cell r="T836">
            <v>-20543</v>
          </cell>
          <cell r="U836">
            <v>54470</v>
          </cell>
        </row>
        <row r="837">
          <cell r="A837">
            <v>99210</v>
          </cell>
          <cell r="B837" t="str">
            <v>ELECTRICITIES OF NC</v>
          </cell>
          <cell r="C837">
            <v>1.5943999999999999E-3</v>
          </cell>
          <cell r="D837">
            <v>1.5945E-3</v>
          </cell>
          <cell r="E837">
            <v>789521</v>
          </cell>
          <cell r="F837">
            <v>3384063</v>
          </cell>
          <cell r="G837">
            <v>2435802</v>
          </cell>
          <cell r="H837"/>
          <cell r="I837">
            <v>140325</v>
          </cell>
          <cell r="J837">
            <v>591415</v>
          </cell>
          <cell r="K837">
            <v>347866</v>
          </cell>
          <cell r="L837">
            <v>99237</v>
          </cell>
          <cell r="M837"/>
          <cell r="N837">
            <v>68950</v>
          </cell>
          <cell r="O837">
            <v>0</v>
          </cell>
          <cell r="P837">
            <v>0</v>
          </cell>
          <cell r="Q837">
            <v>0</v>
          </cell>
          <cell r="R837"/>
          <cell r="S837">
            <v>820867</v>
          </cell>
          <cell r="T837">
            <v>39106</v>
          </cell>
          <cell r="U837">
            <v>859973</v>
          </cell>
        </row>
        <row r="838">
          <cell r="A838">
            <v>99211</v>
          </cell>
          <cell r="B838" t="str">
            <v>CITY OF RALEIGH</v>
          </cell>
          <cell r="C838">
            <v>3.7100599999999997E-2</v>
          </cell>
          <cell r="D838">
            <v>3.8233999999999997E-2</v>
          </cell>
          <cell r="E838">
            <v>16957539</v>
          </cell>
          <cell r="F838">
            <v>81145356</v>
          </cell>
          <cell r="G838">
            <v>56679440</v>
          </cell>
          <cell r="H838"/>
          <cell r="I838">
            <v>3265261</v>
          </cell>
          <cell r="J838">
            <v>13761837</v>
          </cell>
          <cell r="K838">
            <v>8094609</v>
          </cell>
          <cell r="L838">
            <v>0</v>
          </cell>
          <cell r="M838"/>
          <cell r="N838">
            <v>1604415</v>
          </cell>
          <cell r="O838">
            <v>0</v>
          </cell>
          <cell r="P838">
            <v>0</v>
          </cell>
          <cell r="Q838">
            <v>1838947</v>
          </cell>
          <cell r="R838"/>
          <cell r="S838">
            <v>19101021</v>
          </cell>
          <cell r="T838">
            <v>-724653</v>
          </cell>
          <cell r="U838">
            <v>18376368</v>
          </cell>
        </row>
        <row r="839">
          <cell r="A839">
            <v>99212</v>
          </cell>
          <cell r="B839" t="str">
            <v>DURHAM HWY FIRE PROTECTION ASSOC</v>
          </cell>
          <cell r="C839">
            <v>8.14E-5</v>
          </cell>
          <cell r="D839">
            <v>7.4400000000000006E-5</v>
          </cell>
          <cell r="E839">
            <v>31805</v>
          </cell>
          <cell r="F839">
            <v>157902</v>
          </cell>
          <cell r="G839">
            <v>124357</v>
          </cell>
          <cell r="H839"/>
          <cell r="I839">
            <v>7164</v>
          </cell>
          <cell r="J839">
            <v>30194</v>
          </cell>
          <cell r="K839">
            <v>17760</v>
          </cell>
          <cell r="L839">
            <v>242</v>
          </cell>
          <cell r="M839"/>
          <cell r="N839">
            <v>3520</v>
          </cell>
          <cell r="O839">
            <v>0</v>
          </cell>
          <cell r="P839">
            <v>0</v>
          </cell>
          <cell r="Q839">
            <v>34044</v>
          </cell>
          <cell r="R839"/>
          <cell r="S839">
            <v>41908</v>
          </cell>
          <cell r="T839">
            <v>-15261</v>
          </cell>
          <cell r="U839">
            <v>26647</v>
          </cell>
        </row>
        <row r="840">
          <cell r="A840">
            <v>99213</v>
          </cell>
          <cell r="B840" t="str">
            <v>CITY OF RALEIGH HOUSING AUTHORITY</v>
          </cell>
          <cell r="C840">
            <v>7.5159999999999995E-4</v>
          </cell>
          <cell r="D840">
            <v>8.0730000000000005E-4</v>
          </cell>
          <cell r="E840">
            <v>353817</v>
          </cell>
          <cell r="F840">
            <v>1713361</v>
          </cell>
          <cell r="G840">
            <v>1148237</v>
          </cell>
          <cell r="H840"/>
          <cell r="I840">
            <v>66149</v>
          </cell>
          <cell r="J840">
            <v>278793</v>
          </cell>
          <cell r="K840">
            <v>163984</v>
          </cell>
          <cell r="L840">
            <v>6057</v>
          </cell>
          <cell r="M840"/>
          <cell r="N840">
            <v>32503</v>
          </cell>
          <cell r="O840">
            <v>0</v>
          </cell>
          <cell r="P840">
            <v>0</v>
          </cell>
          <cell r="Q840">
            <v>45468</v>
          </cell>
          <cell r="R840"/>
          <cell r="S840">
            <v>386957</v>
          </cell>
          <cell r="T840">
            <v>-10310</v>
          </cell>
          <cell r="U840">
            <v>376647</v>
          </cell>
        </row>
        <row r="841">
          <cell r="A841">
            <v>99218</v>
          </cell>
          <cell r="B841" t="str">
            <v>RALEIGH-DURHAM AIRPORT AUTHORITY</v>
          </cell>
          <cell r="C841">
            <v>3.1162E-3</v>
          </cell>
          <cell r="D841">
            <v>3.1227999999999998E-3</v>
          </cell>
          <cell r="E841">
            <v>1493014</v>
          </cell>
          <cell r="F841">
            <v>6627628</v>
          </cell>
          <cell r="G841">
            <v>4760690</v>
          </cell>
          <cell r="H841"/>
          <cell r="I841">
            <v>274260</v>
          </cell>
          <cell r="J841">
            <v>1155902</v>
          </cell>
          <cell r="K841">
            <v>679893</v>
          </cell>
          <cell r="L841">
            <v>179789</v>
          </cell>
          <cell r="M841"/>
          <cell r="N841">
            <v>134760</v>
          </cell>
          <cell r="O841">
            <v>0</v>
          </cell>
          <cell r="P841">
            <v>0</v>
          </cell>
          <cell r="Q841">
            <v>0</v>
          </cell>
          <cell r="R841"/>
          <cell r="S841">
            <v>1604357</v>
          </cell>
          <cell r="T841">
            <v>66860</v>
          </cell>
          <cell r="U841">
            <v>1671217</v>
          </cell>
        </row>
        <row r="842">
          <cell r="A842">
            <v>99221</v>
          </cell>
          <cell r="B842" t="str">
            <v>TOWN OF CARY</v>
          </cell>
          <cell r="C842">
            <v>1.27709E-2</v>
          </cell>
          <cell r="D842">
            <v>1.3092700000000001E-2</v>
          </cell>
          <cell r="E842">
            <v>5876509</v>
          </cell>
          <cell r="F842">
            <v>27787095</v>
          </cell>
          <cell r="G842">
            <v>19510398</v>
          </cell>
          <cell r="H842"/>
          <cell r="I842">
            <v>1123980</v>
          </cell>
          <cell r="J842">
            <v>4737148</v>
          </cell>
          <cell r="K842">
            <v>2786355</v>
          </cell>
          <cell r="L842">
            <v>0</v>
          </cell>
          <cell r="M842"/>
          <cell r="N842">
            <v>552278</v>
          </cell>
          <cell r="O842">
            <v>0</v>
          </cell>
          <cell r="P842">
            <v>0</v>
          </cell>
          <cell r="Q842">
            <v>687802</v>
          </cell>
          <cell r="R842"/>
          <cell r="S842">
            <v>6575021</v>
          </cell>
          <cell r="T842">
            <v>-271922</v>
          </cell>
          <cell r="U842">
            <v>6303099</v>
          </cell>
        </row>
        <row r="843">
          <cell r="A843">
            <v>99222</v>
          </cell>
          <cell r="B843" t="str">
            <v>CENTENNIAL AUTHORITY</v>
          </cell>
          <cell r="C843">
            <v>3.9100000000000002E-5</v>
          </cell>
          <cell r="D843">
            <v>4.0099999999999999E-5</v>
          </cell>
          <cell r="E843">
            <v>15446</v>
          </cell>
          <cell r="F843">
            <v>85106</v>
          </cell>
          <cell r="G843">
            <v>59734</v>
          </cell>
          <cell r="H843"/>
          <cell r="I843">
            <v>3441</v>
          </cell>
          <cell r="J843">
            <v>14504</v>
          </cell>
          <cell r="K843">
            <v>8531</v>
          </cell>
          <cell r="L843">
            <v>2307</v>
          </cell>
          <cell r="M843"/>
          <cell r="N843">
            <v>1691</v>
          </cell>
          <cell r="O843">
            <v>0</v>
          </cell>
          <cell r="P843">
            <v>0</v>
          </cell>
          <cell r="Q843">
            <v>3585</v>
          </cell>
          <cell r="R843"/>
          <cell r="S843">
            <v>20130</v>
          </cell>
          <cell r="T843">
            <v>281</v>
          </cell>
          <cell r="U843">
            <v>20411</v>
          </cell>
        </row>
        <row r="844">
          <cell r="A844">
            <v>99231</v>
          </cell>
          <cell r="B844" t="str">
            <v>TOWN OF WENDELL</v>
          </cell>
          <cell r="C844">
            <v>3.7179999999999998E-4</v>
          </cell>
          <cell r="D844">
            <v>3.7869999999999999E-4</v>
          </cell>
          <cell r="E844">
            <v>156904</v>
          </cell>
          <cell r="F844">
            <v>803728</v>
          </cell>
          <cell r="G844">
            <v>568007</v>
          </cell>
          <cell r="H844"/>
          <cell r="I844">
            <v>32722</v>
          </cell>
          <cell r="J844">
            <v>137913</v>
          </cell>
          <cell r="K844">
            <v>81119</v>
          </cell>
          <cell r="L844">
            <v>0</v>
          </cell>
          <cell r="M844"/>
          <cell r="N844">
            <v>16078</v>
          </cell>
          <cell r="O844">
            <v>0</v>
          </cell>
          <cell r="P844">
            <v>0</v>
          </cell>
          <cell r="Q844">
            <v>31773</v>
          </cell>
          <cell r="R844"/>
          <cell r="S844">
            <v>191419</v>
          </cell>
          <cell r="T844">
            <v>-14995</v>
          </cell>
          <cell r="U844">
            <v>176424</v>
          </cell>
        </row>
        <row r="845">
          <cell r="A845">
            <v>99241</v>
          </cell>
          <cell r="B845" t="str">
            <v>TOWN OF ZEBULON</v>
          </cell>
          <cell r="C845">
            <v>5.5329999999999995E-4</v>
          </cell>
          <cell r="D845">
            <v>5.6039999999999996E-4</v>
          </cell>
          <cell r="E845">
            <v>226042</v>
          </cell>
          <cell r="F845">
            <v>1189357</v>
          </cell>
          <cell r="G845">
            <v>845289</v>
          </cell>
          <cell r="H845"/>
          <cell r="I845">
            <v>48696</v>
          </cell>
          <cell r="J845">
            <v>205238</v>
          </cell>
          <cell r="K845">
            <v>120719</v>
          </cell>
          <cell r="L845">
            <v>0</v>
          </cell>
          <cell r="M845"/>
          <cell r="N845">
            <v>23927</v>
          </cell>
          <cell r="O845">
            <v>0</v>
          </cell>
          <cell r="P845">
            <v>0</v>
          </cell>
          <cell r="Q845">
            <v>103885</v>
          </cell>
          <cell r="R845"/>
          <cell r="S845">
            <v>284863</v>
          </cell>
          <cell r="T845">
            <v>-52289</v>
          </cell>
          <cell r="U845">
            <v>232574</v>
          </cell>
        </row>
        <row r="846">
          <cell r="A846">
            <v>99251</v>
          </cell>
          <cell r="B846" t="str">
            <v>TOWN OF GARNER</v>
          </cell>
          <cell r="C846">
            <v>1.6069000000000001E-3</v>
          </cell>
          <cell r="D846">
            <v>1.6521000000000001E-3</v>
          </cell>
          <cell r="E846">
            <v>745408</v>
          </cell>
          <cell r="F846">
            <v>3506310</v>
          </cell>
          <cell r="G846">
            <v>2454898</v>
          </cell>
          <cell r="H846"/>
          <cell r="I846">
            <v>141425</v>
          </cell>
          <cell r="J846">
            <v>596053</v>
          </cell>
          <cell r="K846">
            <v>350593</v>
          </cell>
          <cell r="L846">
            <v>2758</v>
          </cell>
          <cell r="M846"/>
          <cell r="N846">
            <v>69490</v>
          </cell>
          <cell r="O846">
            <v>0</v>
          </cell>
          <cell r="P846">
            <v>0</v>
          </cell>
          <cell r="Q846">
            <v>31200</v>
          </cell>
          <cell r="R846"/>
          <cell r="S846">
            <v>827303</v>
          </cell>
          <cell r="T846">
            <v>-11932</v>
          </cell>
          <cell r="U846">
            <v>815371</v>
          </cell>
        </row>
        <row r="847">
          <cell r="A847">
            <v>99252</v>
          </cell>
          <cell r="B847" t="str">
            <v>GARNER FIRE DEPT</v>
          </cell>
          <cell r="C847">
            <v>6.1269999999999999E-4</v>
          </cell>
          <cell r="D847">
            <v>5.8279999999999996E-4</v>
          </cell>
          <cell r="E847">
            <v>212386</v>
          </cell>
          <cell r="F847">
            <v>1236897</v>
          </cell>
          <cell r="G847">
            <v>936036</v>
          </cell>
          <cell r="H847"/>
          <cell r="I847">
            <v>53924</v>
          </cell>
          <cell r="J847">
            <v>227271</v>
          </cell>
          <cell r="K847">
            <v>133679</v>
          </cell>
          <cell r="L847">
            <v>0</v>
          </cell>
          <cell r="M847"/>
          <cell r="N847">
            <v>26496</v>
          </cell>
          <cell r="O847">
            <v>0</v>
          </cell>
          <cell r="P847">
            <v>0</v>
          </cell>
          <cell r="Q847">
            <v>202059</v>
          </cell>
          <cell r="R847"/>
          <cell r="S847">
            <v>315445</v>
          </cell>
          <cell r="T847">
            <v>-85968</v>
          </cell>
          <cell r="U847">
            <v>229477</v>
          </cell>
        </row>
        <row r="848">
          <cell r="A848">
            <v>99261</v>
          </cell>
          <cell r="B848" t="str">
            <v>TOWN OF FUQUAY-VARINA</v>
          </cell>
          <cell r="C848">
            <v>1.9938E-3</v>
          </cell>
          <cell r="D848">
            <v>1.9145E-3</v>
          </cell>
          <cell r="E848">
            <v>808835</v>
          </cell>
          <cell r="F848">
            <v>4063210</v>
          </cell>
          <cell r="G848">
            <v>3045974</v>
          </cell>
          <cell r="H848"/>
          <cell r="I848">
            <v>175476</v>
          </cell>
          <cell r="J848">
            <v>739566</v>
          </cell>
          <cell r="K848">
            <v>435007</v>
          </cell>
          <cell r="L848">
            <v>0</v>
          </cell>
          <cell r="M848"/>
          <cell r="N848">
            <v>86222</v>
          </cell>
          <cell r="O848">
            <v>0</v>
          </cell>
          <cell r="P848">
            <v>0</v>
          </cell>
          <cell r="Q848">
            <v>148472</v>
          </cell>
          <cell r="R848"/>
          <cell r="S848">
            <v>1026496</v>
          </cell>
          <cell r="T848">
            <v>-69364</v>
          </cell>
          <cell r="U848">
            <v>957132</v>
          </cell>
        </row>
        <row r="849">
          <cell r="A849">
            <v>99271</v>
          </cell>
          <cell r="B849" t="str">
            <v>TOWN OF APEX</v>
          </cell>
          <cell r="C849">
            <v>4.0137000000000003E-3</v>
          </cell>
          <cell r="D849">
            <v>3.9248E-3</v>
          </cell>
          <cell r="E849">
            <v>1751675</v>
          </cell>
          <cell r="F849">
            <v>8329740</v>
          </cell>
          <cell r="G849">
            <v>6131822</v>
          </cell>
          <cell r="H849"/>
          <cell r="I849">
            <v>353250</v>
          </cell>
          <cell r="J849">
            <v>1488814</v>
          </cell>
          <cell r="K849">
            <v>875709</v>
          </cell>
          <cell r="L849">
            <v>0</v>
          </cell>
          <cell r="M849"/>
          <cell r="N849">
            <v>173572</v>
          </cell>
          <cell r="O849">
            <v>0</v>
          </cell>
          <cell r="P849">
            <v>0</v>
          </cell>
          <cell r="Q849">
            <v>122792</v>
          </cell>
          <cell r="R849"/>
          <cell r="S849">
            <v>2066429</v>
          </cell>
          <cell r="T849">
            <v>-45302</v>
          </cell>
          <cell r="U849">
            <v>2021127</v>
          </cell>
        </row>
        <row r="850">
          <cell r="A850">
            <v>99281</v>
          </cell>
          <cell r="B850" t="str">
            <v>TOWN OF WAKE FOREST</v>
          </cell>
          <cell r="C850">
            <v>2.2918999999999999E-3</v>
          </cell>
          <cell r="D850">
            <v>2.2824E-3</v>
          </cell>
          <cell r="E850">
            <v>984780</v>
          </cell>
          <cell r="F850">
            <v>4844017</v>
          </cell>
          <cell r="G850">
            <v>3501388</v>
          </cell>
          <cell r="H850"/>
          <cell r="I850">
            <v>201712</v>
          </cell>
          <cell r="J850">
            <v>850141</v>
          </cell>
          <cell r="K850">
            <v>500047</v>
          </cell>
          <cell r="L850">
            <v>6743</v>
          </cell>
          <cell r="M850"/>
          <cell r="N850">
            <v>99113</v>
          </cell>
          <cell r="O850">
            <v>0</v>
          </cell>
          <cell r="P850">
            <v>0</v>
          </cell>
          <cell r="Q850">
            <v>128585</v>
          </cell>
          <cell r="R850"/>
          <cell r="S850">
            <v>1179971</v>
          </cell>
          <cell r="T850">
            <v>-37280</v>
          </cell>
          <cell r="U850">
            <v>1142691</v>
          </cell>
        </row>
        <row r="851">
          <cell r="A851">
            <v>99291</v>
          </cell>
          <cell r="B851" t="str">
            <v>TOWN OF KNIGHTDALE</v>
          </cell>
          <cell r="C851">
            <v>7.3499999999999998E-4</v>
          </cell>
          <cell r="D851">
            <v>7.7260000000000002E-4</v>
          </cell>
          <cell r="E851">
            <v>299576</v>
          </cell>
          <cell r="F851">
            <v>1639716</v>
          </cell>
          <cell r="G851">
            <v>1122876</v>
          </cell>
          <cell r="H851"/>
          <cell r="I851">
            <v>64688</v>
          </cell>
          <cell r="J851">
            <v>272636</v>
          </cell>
          <cell r="K851">
            <v>160362</v>
          </cell>
          <cell r="L851">
            <v>0</v>
          </cell>
          <cell r="M851"/>
          <cell r="N851">
            <v>31785</v>
          </cell>
          <cell r="O851">
            <v>0</v>
          </cell>
          <cell r="P851">
            <v>0</v>
          </cell>
          <cell r="Q851">
            <v>137813</v>
          </cell>
          <cell r="R851"/>
          <cell r="S851">
            <v>378410</v>
          </cell>
          <cell r="T851">
            <v>-55575</v>
          </cell>
          <cell r="U851">
            <v>322835</v>
          </cell>
        </row>
        <row r="852">
          <cell r="A852">
            <v>99301</v>
          </cell>
          <cell r="B852" t="str">
            <v>WARREN COUNTY</v>
          </cell>
          <cell r="C852">
            <v>1.7879E-3</v>
          </cell>
          <cell r="D852">
            <v>1.8458000000000001E-3</v>
          </cell>
          <cell r="E852">
            <v>788880</v>
          </cell>
          <cell r="F852">
            <v>3917406</v>
          </cell>
          <cell r="G852">
            <v>2731416</v>
          </cell>
          <cell r="H852"/>
          <cell r="I852">
            <v>157355</v>
          </cell>
          <cell r="J852">
            <v>663191</v>
          </cell>
          <cell r="K852">
            <v>390084</v>
          </cell>
          <cell r="L852">
            <v>67408</v>
          </cell>
          <cell r="M852"/>
          <cell r="N852">
            <v>77318</v>
          </cell>
          <cell r="O852">
            <v>0</v>
          </cell>
          <cell r="P852">
            <v>0</v>
          </cell>
          <cell r="Q852">
            <v>65062</v>
          </cell>
          <cell r="R852"/>
          <cell r="S852">
            <v>920490</v>
          </cell>
          <cell r="T852">
            <v>38686</v>
          </cell>
          <cell r="U852">
            <v>959176</v>
          </cell>
        </row>
        <row r="853">
          <cell r="A853">
            <v>99304</v>
          </cell>
          <cell r="B853" t="str">
            <v>WARREN COUNTY ABC BOARD</v>
          </cell>
          <cell r="C853">
            <v>9.2E-6</v>
          </cell>
          <cell r="D853">
            <v>9.9000000000000001E-6</v>
          </cell>
          <cell r="E853">
            <v>7554</v>
          </cell>
          <cell r="F853">
            <v>21011</v>
          </cell>
          <cell r="G853">
            <v>14055</v>
          </cell>
          <cell r="H853"/>
          <cell r="I853">
            <v>810</v>
          </cell>
          <cell r="J853">
            <v>3412</v>
          </cell>
          <cell r="K853">
            <v>2007</v>
          </cell>
          <cell r="L853">
            <v>4659</v>
          </cell>
          <cell r="M853"/>
          <cell r="N853">
            <v>398</v>
          </cell>
          <cell r="O853">
            <v>0</v>
          </cell>
          <cell r="P853">
            <v>0</v>
          </cell>
          <cell r="Q853">
            <v>248</v>
          </cell>
          <cell r="R853"/>
          <cell r="S853">
            <v>4737</v>
          </cell>
          <cell r="T853">
            <v>1371</v>
          </cell>
          <cell r="U853">
            <v>6108</v>
          </cell>
        </row>
        <row r="854">
          <cell r="A854">
            <v>99311</v>
          </cell>
          <cell r="B854" t="str">
            <v>TOWN OF NORLINA</v>
          </cell>
          <cell r="C854">
            <v>5.4299999999999998E-5</v>
          </cell>
          <cell r="D854">
            <v>5.7599999999999997E-5</v>
          </cell>
          <cell r="E854">
            <v>25361</v>
          </cell>
          <cell r="F854">
            <v>122246</v>
          </cell>
          <cell r="G854">
            <v>82955</v>
          </cell>
          <cell r="H854"/>
          <cell r="I854">
            <v>4779</v>
          </cell>
          <cell r="J854">
            <v>20142</v>
          </cell>
          <cell r="K854">
            <v>11847</v>
          </cell>
          <cell r="L854">
            <v>0</v>
          </cell>
          <cell r="M854"/>
          <cell r="N854">
            <v>2348</v>
          </cell>
          <cell r="O854">
            <v>0</v>
          </cell>
          <cell r="P854">
            <v>0</v>
          </cell>
          <cell r="Q854">
            <v>6758</v>
          </cell>
          <cell r="R854"/>
          <cell r="S854">
            <v>27956</v>
          </cell>
          <cell r="T854">
            <v>-3216</v>
          </cell>
          <cell r="U854">
            <v>24740</v>
          </cell>
        </row>
        <row r="855">
          <cell r="A855">
            <v>99321</v>
          </cell>
          <cell r="B855" t="str">
            <v>TOWN OF WARRENTON</v>
          </cell>
          <cell r="C855">
            <v>1.1E-4</v>
          </cell>
          <cell r="D855">
            <v>1.1909999999999999E-4</v>
          </cell>
          <cell r="E855">
            <v>98498</v>
          </cell>
          <cell r="F855">
            <v>252770</v>
          </cell>
          <cell r="G855">
            <v>168050</v>
          </cell>
          <cell r="H855"/>
          <cell r="I855">
            <v>9681</v>
          </cell>
          <cell r="J855">
            <v>40803</v>
          </cell>
          <cell r="K855">
            <v>24000</v>
          </cell>
          <cell r="L855">
            <v>96146</v>
          </cell>
          <cell r="M855"/>
          <cell r="N855">
            <v>4757</v>
          </cell>
          <cell r="O855">
            <v>0</v>
          </cell>
          <cell r="P855">
            <v>0</v>
          </cell>
          <cell r="Q855">
            <v>0</v>
          </cell>
          <cell r="R855"/>
          <cell r="S855">
            <v>56633</v>
          </cell>
          <cell r="T855">
            <v>41980</v>
          </cell>
          <cell r="U855">
            <v>98613</v>
          </cell>
        </row>
        <row r="856">
          <cell r="A856">
            <v>99401</v>
          </cell>
          <cell r="B856" t="str">
            <v>WASHINGTON COUNTY</v>
          </cell>
          <cell r="C856">
            <v>9.2389999999999996E-4</v>
          </cell>
          <cell r="D856">
            <v>9.3869999999999999E-4</v>
          </cell>
          <cell r="E856">
            <v>414565</v>
          </cell>
          <cell r="F856">
            <v>1992236</v>
          </cell>
          <cell r="G856">
            <v>1411463</v>
          </cell>
          <cell r="H856"/>
          <cell r="I856">
            <v>81313</v>
          </cell>
          <cell r="J856">
            <v>342705</v>
          </cell>
          <cell r="K856">
            <v>201577</v>
          </cell>
          <cell r="L856">
            <v>34240</v>
          </cell>
          <cell r="M856"/>
          <cell r="N856">
            <v>39954</v>
          </cell>
          <cell r="O856">
            <v>0</v>
          </cell>
          <cell r="P856">
            <v>0</v>
          </cell>
          <cell r="Q856">
            <v>17589</v>
          </cell>
          <cell r="R856"/>
          <cell r="S856">
            <v>475664</v>
          </cell>
          <cell r="T856">
            <v>22297</v>
          </cell>
          <cell r="U856">
            <v>497961</v>
          </cell>
        </row>
        <row r="857">
          <cell r="A857">
            <v>99404</v>
          </cell>
          <cell r="B857" t="str">
            <v>WASHINGTON COUNTY ABC BOARD</v>
          </cell>
          <cell r="C857">
            <v>9.3999999999999998E-6</v>
          </cell>
          <cell r="D857">
            <v>9.5999999999999996E-6</v>
          </cell>
          <cell r="E857">
            <v>5393</v>
          </cell>
          <cell r="F857">
            <v>20374</v>
          </cell>
          <cell r="G857">
            <v>14361</v>
          </cell>
          <cell r="H857"/>
          <cell r="I857">
            <v>827</v>
          </cell>
          <cell r="J857">
            <v>3487</v>
          </cell>
          <cell r="K857">
            <v>2051</v>
          </cell>
          <cell r="L857">
            <v>1334</v>
          </cell>
          <cell r="M857"/>
          <cell r="N857">
            <v>407</v>
          </cell>
          <cell r="O857">
            <v>0</v>
          </cell>
          <cell r="P857">
            <v>0</v>
          </cell>
          <cell r="Q857">
            <v>0</v>
          </cell>
          <cell r="R857"/>
          <cell r="S857">
            <v>4840</v>
          </cell>
          <cell r="T857">
            <v>466</v>
          </cell>
          <cell r="U857">
            <v>5306</v>
          </cell>
        </row>
        <row r="858">
          <cell r="A858">
            <v>99405</v>
          </cell>
          <cell r="B858" t="str">
            <v>PETTIGREW REGIONAL LIBRARY</v>
          </cell>
          <cell r="C858">
            <v>6.2700000000000006E-5</v>
          </cell>
          <cell r="D858">
            <v>5.8100000000000003E-5</v>
          </cell>
          <cell r="E858">
            <v>37798</v>
          </cell>
          <cell r="F858">
            <v>123308</v>
          </cell>
          <cell r="G858">
            <v>95788</v>
          </cell>
          <cell r="H858"/>
          <cell r="I858">
            <v>5518</v>
          </cell>
          <cell r="J858">
            <v>23258</v>
          </cell>
          <cell r="K858">
            <v>13680</v>
          </cell>
          <cell r="L858">
            <v>18380</v>
          </cell>
          <cell r="M858"/>
          <cell r="N858">
            <v>2711</v>
          </cell>
          <cell r="O858">
            <v>0</v>
          </cell>
          <cell r="P858">
            <v>0</v>
          </cell>
          <cell r="Q858">
            <v>336</v>
          </cell>
          <cell r="R858"/>
          <cell r="S858">
            <v>32281</v>
          </cell>
          <cell r="T858">
            <v>6084</v>
          </cell>
          <cell r="U858">
            <v>38365</v>
          </cell>
        </row>
        <row r="859">
          <cell r="A859">
            <v>99411</v>
          </cell>
          <cell r="B859" t="str">
            <v>TOWN OF PLYMOUTH</v>
          </cell>
          <cell r="C859">
            <v>1.583E-4</v>
          </cell>
          <cell r="D859">
            <v>1.2510000000000001E-4</v>
          </cell>
          <cell r="E859">
            <v>75833</v>
          </cell>
          <cell r="F859">
            <v>265504</v>
          </cell>
          <cell r="G859">
            <v>241839</v>
          </cell>
          <cell r="H859"/>
          <cell r="I859">
            <v>13932</v>
          </cell>
          <cell r="J859">
            <v>58719</v>
          </cell>
          <cell r="K859">
            <v>34538</v>
          </cell>
          <cell r="L859">
            <v>41924</v>
          </cell>
          <cell r="M859"/>
          <cell r="N859">
            <v>6846</v>
          </cell>
          <cell r="O859">
            <v>0</v>
          </cell>
          <cell r="P859">
            <v>0</v>
          </cell>
          <cell r="Q859">
            <v>4400</v>
          </cell>
          <cell r="R859"/>
          <cell r="S859">
            <v>81500</v>
          </cell>
          <cell r="T859">
            <v>8626</v>
          </cell>
          <cell r="U859">
            <v>90126</v>
          </cell>
        </row>
        <row r="860">
          <cell r="A860">
            <v>99413</v>
          </cell>
          <cell r="B860" t="str">
            <v>PLYMOUTH HOUSING AUTHORITY</v>
          </cell>
          <cell r="C860">
            <v>3.1099999999999997E-5</v>
          </cell>
          <cell r="D860">
            <v>2.76E-5</v>
          </cell>
          <cell r="E860">
            <v>18530</v>
          </cell>
          <cell r="F860">
            <v>58576</v>
          </cell>
          <cell r="G860">
            <v>47512</v>
          </cell>
          <cell r="H860"/>
          <cell r="I860">
            <v>2737</v>
          </cell>
          <cell r="J860">
            <v>11536</v>
          </cell>
          <cell r="K860">
            <v>6785</v>
          </cell>
          <cell r="L860">
            <v>5754</v>
          </cell>
          <cell r="M860"/>
          <cell r="N860">
            <v>1345</v>
          </cell>
          <cell r="O860">
            <v>0</v>
          </cell>
          <cell r="P860">
            <v>0</v>
          </cell>
          <cell r="Q860">
            <v>3024</v>
          </cell>
          <cell r="R860"/>
          <cell r="S860">
            <v>16012</v>
          </cell>
          <cell r="T860">
            <v>202</v>
          </cell>
          <cell r="U860">
            <v>16214</v>
          </cell>
        </row>
        <row r="861">
          <cell r="A861">
            <v>99421</v>
          </cell>
          <cell r="B861" t="str">
            <v>TOWN OF ROPER</v>
          </cell>
          <cell r="C861">
            <v>1.04E-5</v>
          </cell>
          <cell r="D861">
            <v>1.5E-5</v>
          </cell>
          <cell r="E861">
            <v>6211</v>
          </cell>
          <cell r="F861">
            <v>31835</v>
          </cell>
          <cell r="G861">
            <v>15888</v>
          </cell>
          <cell r="H861"/>
          <cell r="I861">
            <v>915</v>
          </cell>
          <cell r="J861">
            <v>3858</v>
          </cell>
          <cell r="K861">
            <v>2269</v>
          </cell>
          <cell r="L861">
            <v>764</v>
          </cell>
          <cell r="M861"/>
          <cell r="N861">
            <v>450</v>
          </cell>
          <cell r="O861">
            <v>0</v>
          </cell>
          <cell r="P861">
            <v>0</v>
          </cell>
          <cell r="Q861">
            <v>5440</v>
          </cell>
          <cell r="R861"/>
          <cell r="S861">
            <v>5354</v>
          </cell>
          <cell r="T861">
            <v>-1116</v>
          </cell>
          <cell r="U861">
            <v>4238</v>
          </cell>
        </row>
        <row r="862">
          <cell r="A862">
            <v>99431</v>
          </cell>
          <cell r="B862" t="str">
            <v>TOWN OF CRESWELL</v>
          </cell>
          <cell r="C862">
            <v>2.2200000000000001E-5</v>
          </cell>
          <cell r="D862">
            <v>2.16E-5</v>
          </cell>
          <cell r="E862">
            <v>7581</v>
          </cell>
          <cell r="F862">
            <v>45842</v>
          </cell>
          <cell r="G862">
            <v>33915</v>
          </cell>
          <cell r="H862"/>
          <cell r="I862">
            <v>1954</v>
          </cell>
          <cell r="J862">
            <v>8235</v>
          </cell>
          <cell r="K862">
            <v>4844</v>
          </cell>
          <cell r="L862">
            <v>1071</v>
          </cell>
          <cell r="M862"/>
          <cell r="N862">
            <v>960</v>
          </cell>
          <cell r="O862">
            <v>0</v>
          </cell>
          <cell r="P862">
            <v>0</v>
          </cell>
          <cell r="Q862">
            <v>3001</v>
          </cell>
          <cell r="R862"/>
          <cell r="S862">
            <v>11430</v>
          </cell>
          <cell r="T862">
            <v>119</v>
          </cell>
          <cell r="U862">
            <v>11549</v>
          </cell>
        </row>
        <row r="863">
          <cell r="A863">
            <v>99501</v>
          </cell>
          <cell r="B863" t="str">
            <v>WATAUGA COUNTY</v>
          </cell>
          <cell r="C863">
            <v>1.6785000000000001E-3</v>
          </cell>
          <cell r="D863">
            <v>1.7390000000000001E-3</v>
          </cell>
          <cell r="E863">
            <v>794395</v>
          </cell>
          <cell r="F863">
            <v>3690741</v>
          </cell>
          <cell r="G863">
            <v>2564283</v>
          </cell>
          <cell r="H863"/>
          <cell r="I863">
            <v>147726</v>
          </cell>
          <cell r="J863">
            <v>622611</v>
          </cell>
          <cell r="K863">
            <v>366215</v>
          </cell>
          <cell r="L863">
            <v>3764</v>
          </cell>
          <cell r="M863"/>
          <cell r="N863">
            <v>72587</v>
          </cell>
          <cell r="O863">
            <v>0</v>
          </cell>
          <cell r="P863">
            <v>0</v>
          </cell>
          <cell r="Q863">
            <v>21505</v>
          </cell>
          <cell r="R863"/>
          <cell r="S863">
            <v>864166</v>
          </cell>
          <cell r="T863">
            <v>-3415</v>
          </cell>
          <cell r="U863">
            <v>860751</v>
          </cell>
        </row>
        <row r="864">
          <cell r="A864">
            <v>99502</v>
          </cell>
          <cell r="B864" t="str">
            <v>REGION D COUNCIL OF GOVERNMENTS</v>
          </cell>
          <cell r="C864">
            <v>1.373E-4</v>
          </cell>
          <cell r="D864">
            <v>1.3779999999999999E-4</v>
          </cell>
          <cell r="E864">
            <v>65831</v>
          </cell>
          <cell r="F864">
            <v>292458</v>
          </cell>
          <cell r="G864">
            <v>209756</v>
          </cell>
          <cell r="H864"/>
          <cell r="I864">
            <v>12084</v>
          </cell>
          <cell r="J864">
            <v>50929</v>
          </cell>
          <cell r="K864">
            <v>29956</v>
          </cell>
          <cell r="L864">
            <v>21393</v>
          </cell>
          <cell r="M864"/>
          <cell r="N864">
            <v>5938</v>
          </cell>
          <cell r="O864">
            <v>0</v>
          </cell>
          <cell r="P864">
            <v>0</v>
          </cell>
          <cell r="Q864">
            <v>71</v>
          </cell>
          <cell r="R864"/>
          <cell r="S864">
            <v>70688</v>
          </cell>
          <cell r="T864">
            <v>9456</v>
          </cell>
          <cell r="U864">
            <v>80144</v>
          </cell>
        </row>
        <row r="865">
          <cell r="A865">
            <v>99508</v>
          </cell>
          <cell r="B865" t="str">
            <v>BLOWING ROCK TOURISM DEVELOPMENT AUTHORITY</v>
          </cell>
          <cell r="C865">
            <v>2.2099999999999998E-5</v>
          </cell>
          <cell r="D865">
            <v>2.1699999999999999E-5</v>
          </cell>
          <cell r="E865">
            <v>9857</v>
          </cell>
          <cell r="F865">
            <v>46055</v>
          </cell>
          <cell r="G865">
            <v>33763</v>
          </cell>
          <cell r="H865"/>
          <cell r="I865">
            <v>1945</v>
          </cell>
          <cell r="J865">
            <v>8198</v>
          </cell>
          <cell r="K865">
            <v>4822</v>
          </cell>
          <cell r="L865">
            <v>37</v>
          </cell>
          <cell r="M865"/>
          <cell r="N865">
            <v>956</v>
          </cell>
          <cell r="O865">
            <v>0</v>
          </cell>
          <cell r="P865">
            <v>0</v>
          </cell>
          <cell r="Q865">
            <v>1571</v>
          </cell>
          <cell r="R865"/>
          <cell r="S865">
            <v>11378</v>
          </cell>
          <cell r="T865">
            <v>-984</v>
          </cell>
          <cell r="U865">
            <v>10394</v>
          </cell>
        </row>
        <row r="866">
          <cell r="A866">
            <v>99509</v>
          </cell>
          <cell r="B866" t="str">
            <v>WATAUGA COUNTY DISTRICT U TDA</v>
          </cell>
          <cell r="C866">
            <v>2.76E-5</v>
          </cell>
          <cell r="D866">
            <v>2.8900000000000001E-5</v>
          </cell>
          <cell r="E866">
            <v>11410</v>
          </cell>
          <cell r="F866">
            <v>61335</v>
          </cell>
          <cell r="G866">
            <v>42165</v>
          </cell>
          <cell r="H866"/>
          <cell r="I866">
            <v>2429</v>
          </cell>
          <cell r="J866">
            <v>10238</v>
          </cell>
          <cell r="K866">
            <v>6022</v>
          </cell>
          <cell r="L866">
            <v>0</v>
          </cell>
          <cell r="M866"/>
          <cell r="N866">
            <v>1194</v>
          </cell>
          <cell r="O866">
            <v>0</v>
          </cell>
          <cell r="P866">
            <v>0</v>
          </cell>
          <cell r="Q866">
            <v>6512</v>
          </cell>
          <cell r="R866"/>
          <cell r="S866">
            <v>14210</v>
          </cell>
          <cell r="T866">
            <v>-4301</v>
          </cell>
          <cell r="U866">
            <v>9909</v>
          </cell>
        </row>
        <row r="867">
          <cell r="A867">
            <v>99511</v>
          </cell>
          <cell r="B867" t="str">
            <v>TOWN OF BOONE</v>
          </cell>
          <cell r="C867">
            <v>1.4048999999999999E-3</v>
          </cell>
          <cell r="D867">
            <v>1.3638000000000001E-3</v>
          </cell>
          <cell r="E867">
            <v>579707</v>
          </cell>
          <cell r="F867">
            <v>2894440</v>
          </cell>
          <cell r="G867">
            <v>2146298</v>
          </cell>
          <cell r="H867"/>
          <cell r="I867">
            <v>123647</v>
          </cell>
          <cell r="J867">
            <v>521124</v>
          </cell>
          <cell r="K867">
            <v>306521</v>
          </cell>
          <cell r="L867">
            <v>4500</v>
          </cell>
          <cell r="M867"/>
          <cell r="N867">
            <v>60755</v>
          </cell>
          <cell r="O867">
            <v>0</v>
          </cell>
          <cell r="P867">
            <v>0</v>
          </cell>
          <cell r="Q867">
            <v>85381</v>
          </cell>
          <cell r="R867"/>
          <cell r="S867">
            <v>723304</v>
          </cell>
          <cell r="T867">
            <v>-30654</v>
          </cell>
          <cell r="U867">
            <v>692650</v>
          </cell>
        </row>
        <row r="868">
          <cell r="A868">
            <v>99521</v>
          </cell>
          <cell r="B868" t="str">
            <v>TOWN OF BLOWING ROCK</v>
          </cell>
          <cell r="C868">
            <v>4.2700000000000002E-4</v>
          </cell>
          <cell r="D868">
            <v>4.0180000000000001E-4</v>
          </cell>
          <cell r="E868">
            <v>176536</v>
          </cell>
          <cell r="F868">
            <v>852754</v>
          </cell>
          <cell r="G868">
            <v>652338</v>
          </cell>
          <cell r="H868"/>
          <cell r="I868">
            <v>37581</v>
          </cell>
          <cell r="J868">
            <v>158389</v>
          </cell>
          <cell r="K868">
            <v>93163</v>
          </cell>
          <cell r="L868">
            <v>2015</v>
          </cell>
          <cell r="M868"/>
          <cell r="N868">
            <v>18466</v>
          </cell>
          <cell r="O868">
            <v>0</v>
          </cell>
          <cell r="P868">
            <v>0</v>
          </cell>
          <cell r="Q868">
            <v>15563</v>
          </cell>
          <cell r="R868"/>
          <cell r="S868">
            <v>219838</v>
          </cell>
          <cell r="T868">
            <v>-5081</v>
          </cell>
          <cell r="U868">
            <v>214757</v>
          </cell>
        </row>
        <row r="869">
          <cell r="A869">
            <v>99527</v>
          </cell>
          <cell r="B869" t="str">
            <v>BLOWING ROCK ABC BD</v>
          </cell>
          <cell r="C869">
            <v>1.19E-5</v>
          </cell>
          <cell r="D869">
            <v>1.2099999999999999E-5</v>
          </cell>
          <cell r="E869">
            <v>5941</v>
          </cell>
          <cell r="F869">
            <v>25680</v>
          </cell>
          <cell r="G869">
            <v>18180</v>
          </cell>
          <cell r="H869"/>
          <cell r="I869">
            <v>1047</v>
          </cell>
          <cell r="J869">
            <v>4414</v>
          </cell>
          <cell r="K869">
            <v>2596</v>
          </cell>
          <cell r="L869">
            <v>1124</v>
          </cell>
          <cell r="M869"/>
          <cell r="N869">
            <v>515</v>
          </cell>
          <cell r="O869">
            <v>0</v>
          </cell>
          <cell r="P869">
            <v>0</v>
          </cell>
          <cell r="Q869">
            <v>0</v>
          </cell>
          <cell r="R869"/>
          <cell r="S869">
            <v>6127</v>
          </cell>
          <cell r="T869">
            <v>591</v>
          </cell>
          <cell r="U869">
            <v>6718</v>
          </cell>
        </row>
        <row r="870">
          <cell r="A870">
            <v>99531</v>
          </cell>
          <cell r="B870" t="str">
            <v>TOWN OF SEVEN DEVILS</v>
          </cell>
          <cell r="C870">
            <v>9.3499999999999996E-5</v>
          </cell>
          <cell r="D870">
            <v>8.7600000000000002E-5</v>
          </cell>
          <cell r="E870">
            <v>72390</v>
          </cell>
          <cell r="F870">
            <v>185917</v>
          </cell>
          <cell r="G870">
            <v>142842</v>
          </cell>
          <cell r="H870"/>
          <cell r="I870">
            <v>8229</v>
          </cell>
          <cell r="J870">
            <v>34683</v>
          </cell>
          <cell r="K870">
            <v>20400</v>
          </cell>
          <cell r="L870">
            <v>55453</v>
          </cell>
          <cell r="M870"/>
          <cell r="N870">
            <v>4043</v>
          </cell>
          <cell r="O870">
            <v>0</v>
          </cell>
          <cell r="P870">
            <v>0</v>
          </cell>
          <cell r="Q870">
            <v>0</v>
          </cell>
          <cell r="R870"/>
          <cell r="S870">
            <v>48138</v>
          </cell>
          <cell r="T870">
            <v>18721</v>
          </cell>
          <cell r="U870">
            <v>66859</v>
          </cell>
        </row>
        <row r="871">
          <cell r="A871">
            <v>99601</v>
          </cell>
          <cell r="B871" t="str">
            <v>WAYNE COUNTY</v>
          </cell>
          <cell r="C871">
            <v>5.7812000000000002E-3</v>
          </cell>
          <cell r="D871">
            <v>5.2824999999999999E-3</v>
          </cell>
          <cell r="E871">
            <v>2548954</v>
          </cell>
          <cell r="F871">
            <v>11211235</v>
          </cell>
          <cell r="G871">
            <v>8832072</v>
          </cell>
          <cell r="H871"/>
          <cell r="I871">
            <v>508809</v>
          </cell>
          <cell r="J871">
            <v>2144438</v>
          </cell>
          <cell r="K871">
            <v>1261342</v>
          </cell>
          <cell r="L871">
            <v>289372</v>
          </cell>
          <cell r="M871"/>
          <cell r="N871">
            <v>250008</v>
          </cell>
          <cell r="O871">
            <v>0</v>
          </cell>
          <cell r="P871">
            <v>0</v>
          </cell>
          <cell r="Q871">
            <v>73071</v>
          </cell>
          <cell r="R871"/>
          <cell r="S871">
            <v>2976416</v>
          </cell>
          <cell r="T871">
            <v>55175</v>
          </cell>
          <cell r="U871">
            <v>3031591</v>
          </cell>
        </row>
        <row r="872">
          <cell r="A872">
            <v>99602</v>
          </cell>
          <cell r="B872" t="str">
            <v>FORK TOWNSHIP SANITARY DIST</v>
          </cell>
          <cell r="C872">
            <v>6.19E-5</v>
          </cell>
          <cell r="D872">
            <v>5.1700000000000003E-5</v>
          </cell>
          <cell r="E872">
            <v>28151</v>
          </cell>
          <cell r="F872">
            <v>109725</v>
          </cell>
          <cell r="G872">
            <v>94566</v>
          </cell>
          <cell r="H872"/>
          <cell r="I872">
            <v>5448</v>
          </cell>
          <cell r="J872">
            <v>22961</v>
          </cell>
          <cell r="K872">
            <v>13505</v>
          </cell>
          <cell r="L872">
            <v>10306</v>
          </cell>
          <cell r="M872"/>
          <cell r="N872">
            <v>2677</v>
          </cell>
          <cell r="O872">
            <v>0</v>
          </cell>
          <cell r="P872">
            <v>0</v>
          </cell>
          <cell r="Q872">
            <v>2067</v>
          </cell>
          <cell r="R872"/>
          <cell r="S872">
            <v>31869</v>
          </cell>
          <cell r="T872">
            <v>1298</v>
          </cell>
          <cell r="U872">
            <v>33167</v>
          </cell>
        </row>
        <row r="873">
          <cell r="A873">
            <v>99603</v>
          </cell>
          <cell r="B873" t="str">
            <v>EASTERN CAROLINA REG'L HOUSING AUTH</v>
          </cell>
          <cell r="C873">
            <v>1.615E-4</v>
          </cell>
          <cell r="D873">
            <v>1.4219999999999999E-4</v>
          </cell>
          <cell r="E873">
            <v>87237</v>
          </cell>
          <cell r="F873">
            <v>301796</v>
          </cell>
          <cell r="G873">
            <v>246727</v>
          </cell>
          <cell r="H873"/>
          <cell r="I873">
            <v>14214</v>
          </cell>
          <cell r="J873">
            <v>59905</v>
          </cell>
          <cell r="K873">
            <v>35236</v>
          </cell>
          <cell r="L873">
            <v>95435</v>
          </cell>
          <cell r="M873"/>
          <cell r="N873">
            <v>6984</v>
          </cell>
          <cell r="O873">
            <v>0</v>
          </cell>
          <cell r="P873">
            <v>0</v>
          </cell>
          <cell r="Q873">
            <v>0</v>
          </cell>
          <cell r="R873"/>
          <cell r="S873">
            <v>83147</v>
          </cell>
          <cell r="T873">
            <v>37380</v>
          </cell>
          <cell r="U873">
            <v>120527</v>
          </cell>
        </row>
        <row r="874">
          <cell r="A874">
            <v>99604</v>
          </cell>
          <cell r="B874" t="str">
            <v>WAYNE COUNTY ABC BOARD</v>
          </cell>
          <cell r="C874">
            <v>1.009E-4</v>
          </cell>
          <cell r="D874">
            <v>9.6899999999999997E-5</v>
          </cell>
          <cell r="E874">
            <v>52378</v>
          </cell>
          <cell r="F874">
            <v>205654</v>
          </cell>
          <cell r="G874">
            <v>154147</v>
          </cell>
          <cell r="H874"/>
          <cell r="I874">
            <v>8880</v>
          </cell>
          <cell r="J874">
            <v>37427</v>
          </cell>
          <cell r="K874">
            <v>22014</v>
          </cell>
          <cell r="L874">
            <v>20530</v>
          </cell>
          <cell r="M874"/>
          <cell r="N874">
            <v>4363</v>
          </cell>
          <cell r="O874">
            <v>0</v>
          </cell>
          <cell r="P874">
            <v>0</v>
          </cell>
          <cell r="Q874">
            <v>0</v>
          </cell>
          <cell r="R874"/>
          <cell r="S874">
            <v>51948</v>
          </cell>
          <cell r="T874">
            <v>9479</v>
          </cell>
          <cell r="U874">
            <v>61427</v>
          </cell>
        </row>
        <row r="875">
          <cell r="A875">
            <v>99609</v>
          </cell>
          <cell r="B875" t="str">
            <v>SOUTHERN WAYNE SANITARY DISTRICT</v>
          </cell>
          <cell r="C875">
            <v>1.52E-5</v>
          </cell>
          <cell r="D875">
            <v>2.0999999999999999E-5</v>
          </cell>
          <cell r="E875">
            <v>9935</v>
          </cell>
          <cell r="F875">
            <v>44569</v>
          </cell>
          <cell r="G875">
            <v>23221</v>
          </cell>
          <cell r="H875"/>
          <cell r="I875">
            <v>1338</v>
          </cell>
          <cell r="J875">
            <v>5638</v>
          </cell>
          <cell r="K875">
            <v>3316</v>
          </cell>
          <cell r="L875">
            <v>3555</v>
          </cell>
          <cell r="M875"/>
          <cell r="N875">
            <v>657</v>
          </cell>
          <cell r="O875">
            <v>0</v>
          </cell>
          <cell r="P875">
            <v>0</v>
          </cell>
          <cell r="Q875">
            <v>1523</v>
          </cell>
          <cell r="R875"/>
          <cell r="S875">
            <v>7826</v>
          </cell>
          <cell r="T875">
            <v>1693</v>
          </cell>
          <cell r="U875">
            <v>9519</v>
          </cell>
        </row>
        <row r="876">
          <cell r="A876">
            <v>99610</v>
          </cell>
          <cell r="B876" t="str">
            <v>EASTERN WAYNE SANITARY DIST</v>
          </cell>
          <cell r="C876">
            <v>1.9440000000000001E-4</v>
          </cell>
          <cell r="D876">
            <v>1.9440000000000001E-4</v>
          </cell>
          <cell r="E876">
            <v>85100</v>
          </cell>
          <cell r="F876">
            <v>412582</v>
          </cell>
          <cell r="G876">
            <v>296989</v>
          </cell>
          <cell r="H876"/>
          <cell r="I876">
            <v>17109</v>
          </cell>
          <cell r="J876">
            <v>72109</v>
          </cell>
          <cell r="K876">
            <v>42414</v>
          </cell>
          <cell r="L876">
            <v>2712</v>
          </cell>
          <cell r="M876"/>
          <cell r="N876">
            <v>8407</v>
          </cell>
          <cell r="O876">
            <v>0</v>
          </cell>
          <cell r="P876">
            <v>0</v>
          </cell>
          <cell r="Q876">
            <v>4164</v>
          </cell>
          <cell r="R876"/>
          <cell r="S876">
            <v>100086</v>
          </cell>
          <cell r="T876">
            <v>576</v>
          </cell>
          <cell r="U876">
            <v>100662</v>
          </cell>
        </row>
        <row r="877">
          <cell r="A877">
            <v>99611</v>
          </cell>
          <cell r="B877" t="str">
            <v>CITY OF GOLDSBORO</v>
          </cell>
          <cell r="C877">
            <v>3.1959000000000002E-3</v>
          </cell>
          <cell r="D877">
            <v>3.1495999999999998E-3</v>
          </cell>
          <cell r="E877">
            <v>1474037</v>
          </cell>
          <cell r="F877">
            <v>6684506</v>
          </cell>
          <cell r="G877">
            <v>4882450</v>
          </cell>
          <cell r="H877"/>
          <cell r="I877">
            <v>281274</v>
          </cell>
          <cell r="J877">
            <v>1185465</v>
          </cell>
          <cell r="K877">
            <v>697281</v>
          </cell>
          <cell r="L877">
            <v>36523</v>
          </cell>
          <cell r="M877"/>
          <cell r="N877">
            <v>138207</v>
          </cell>
          <cell r="O877">
            <v>0</v>
          </cell>
          <cell r="P877">
            <v>0</v>
          </cell>
          <cell r="Q877">
            <v>197702</v>
          </cell>
          <cell r="R877"/>
          <cell r="S877">
            <v>1645390</v>
          </cell>
          <cell r="T877">
            <v>-88518</v>
          </cell>
          <cell r="U877">
            <v>1556872</v>
          </cell>
        </row>
        <row r="878">
          <cell r="A878">
            <v>99613</v>
          </cell>
          <cell r="B878" t="str">
            <v>HOUSING AUTHORITY OF GOLDSBORO</v>
          </cell>
          <cell r="C878">
            <v>3.2909999999999998E-4</v>
          </cell>
          <cell r="D878">
            <v>3.369E-4</v>
          </cell>
          <cell r="E878">
            <v>310915</v>
          </cell>
          <cell r="F878">
            <v>715015</v>
          </cell>
          <cell r="G878">
            <v>502774</v>
          </cell>
          <cell r="H878"/>
          <cell r="I878">
            <v>28964</v>
          </cell>
          <cell r="J878">
            <v>122074</v>
          </cell>
          <cell r="K878">
            <v>71803</v>
          </cell>
          <cell r="L878">
            <v>283917</v>
          </cell>
          <cell r="M878"/>
          <cell r="N878">
            <v>14232</v>
          </cell>
          <cell r="O878">
            <v>0</v>
          </cell>
          <cell r="P878">
            <v>0</v>
          </cell>
          <cell r="Q878">
            <v>0</v>
          </cell>
          <cell r="R878"/>
          <cell r="S878">
            <v>169435</v>
          </cell>
          <cell r="T878">
            <v>96572</v>
          </cell>
          <cell r="U878">
            <v>266007</v>
          </cell>
        </row>
        <row r="879">
          <cell r="A879">
            <v>99621</v>
          </cell>
          <cell r="B879" t="str">
            <v>TOWN OF MOUNT OLIVE</v>
          </cell>
          <cell r="C879">
            <v>3.7060000000000001E-4</v>
          </cell>
          <cell r="D879">
            <v>3.2850000000000002E-4</v>
          </cell>
          <cell r="E879">
            <v>166448</v>
          </cell>
          <cell r="F879">
            <v>697187</v>
          </cell>
          <cell r="G879">
            <v>566174</v>
          </cell>
          <cell r="H879"/>
          <cell r="I879">
            <v>32617</v>
          </cell>
          <cell r="J879">
            <v>137468</v>
          </cell>
          <cell r="K879">
            <v>80858</v>
          </cell>
          <cell r="L879">
            <v>42182</v>
          </cell>
          <cell r="M879"/>
          <cell r="N879">
            <v>16027</v>
          </cell>
          <cell r="O879">
            <v>0</v>
          </cell>
          <cell r="P879">
            <v>0</v>
          </cell>
          <cell r="Q879">
            <v>4670</v>
          </cell>
          <cell r="R879"/>
          <cell r="S879">
            <v>190801</v>
          </cell>
          <cell r="T879">
            <v>12829</v>
          </cell>
          <cell r="U879">
            <v>203630</v>
          </cell>
        </row>
        <row r="880">
          <cell r="A880">
            <v>99623</v>
          </cell>
          <cell r="B880" t="str">
            <v>MT OLIVE HOUSING AUTHORITY</v>
          </cell>
          <cell r="C880">
            <v>2.6400000000000001E-5</v>
          </cell>
          <cell r="D880">
            <v>2.9200000000000002E-5</v>
          </cell>
          <cell r="E880">
            <v>11103</v>
          </cell>
          <cell r="F880">
            <v>61972</v>
          </cell>
          <cell r="G880">
            <v>40332</v>
          </cell>
          <cell r="H880"/>
          <cell r="I880">
            <v>2323</v>
          </cell>
          <cell r="J880">
            <v>9793</v>
          </cell>
          <cell r="K880">
            <v>5760</v>
          </cell>
          <cell r="L880">
            <v>2450</v>
          </cell>
          <cell r="M880"/>
          <cell r="N880">
            <v>1142</v>
          </cell>
          <cell r="O880">
            <v>0</v>
          </cell>
          <cell r="P880">
            <v>0</v>
          </cell>
          <cell r="Q880">
            <v>2848</v>
          </cell>
          <cell r="R880"/>
          <cell r="S880">
            <v>13592</v>
          </cell>
          <cell r="T880">
            <v>317</v>
          </cell>
          <cell r="U880">
            <v>13909</v>
          </cell>
        </row>
        <row r="881">
          <cell r="A881">
            <v>99631</v>
          </cell>
          <cell r="B881" t="str">
            <v>TOWN OF FREMONT</v>
          </cell>
          <cell r="C881">
            <v>1.102E-4</v>
          </cell>
          <cell r="D881">
            <v>1.0340000000000001E-4</v>
          </cell>
          <cell r="E881">
            <v>46231</v>
          </cell>
          <cell r="F881">
            <v>219449</v>
          </cell>
          <cell r="G881">
            <v>168355</v>
          </cell>
          <cell r="H881"/>
          <cell r="I881">
            <v>9699</v>
          </cell>
          <cell r="J881">
            <v>40877</v>
          </cell>
          <cell r="K881">
            <v>24043</v>
          </cell>
          <cell r="L881">
            <v>1071</v>
          </cell>
          <cell r="M881"/>
          <cell r="N881">
            <v>4766</v>
          </cell>
          <cell r="O881">
            <v>0</v>
          </cell>
          <cell r="P881">
            <v>0</v>
          </cell>
          <cell r="Q881">
            <v>5159</v>
          </cell>
          <cell r="R881"/>
          <cell r="S881">
            <v>56736</v>
          </cell>
          <cell r="T881">
            <v>-3954</v>
          </cell>
          <cell r="U881">
            <v>52782</v>
          </cell>
        </row>
        <row r="882">
          <cell r="A882">
            <v>99651</v>
          </cell>
          <cell r="B882" t="str">
            <v>TOWN OF PIKEVILLE</v>
          </cell>
          <cell r="C882">
            <v>6.7199999999999994E-5</v>
          </cell>
          <cell r="D882">
            <v>6.7100000000000005E-5</v>
          </cell>
          <cell r="E882">
            <v>30231</v>
          </cell>
          <cell r="F882">
            <v>142409</v>
          </cell>
          <cell r="G882">
            <v>102663</v>
          </cell>
          <cell r="H882"/>
          <cell r="I882">
            <v>5914</v>
          </cell>
          <cell r="J882">
            <v>24927</v>
          </cell>
          <cell r="K882">
            <v>14662</v>
          </cell>
          <cell r="L882">
            <v>5944</v>
          </cell>
          <cell r="M882"/>
          <cell r="N882">
            <v>2906</v>
          </cell>
          <cell r="O882">
            <v>0</v>
          </cell>
          <cell r="P882">
            <v>0</v>
          </cell>
          <cell r="Q882">
            <v>1841</v>
          </cell>
          <cell r="R882"/>
          <cell r="S882">
            <v>34598</v>
          </cell>
          <cell r="T882">
            <v>1312</v>
          </cell>
          <cell r="U882">
            <v>35910</v>
          </cell>
        </row>
        <row r="883">
          <cell r="A883">
            <v>99661</v>
          </cell>
          <cell r="B883" t="str">
            <v>VILLAGE OF WALNUT CREEK</v>
          </cell>
          <cell r="C883">
            <v>3.26E-5</v>
          </cell>
          <cell r="D883">
            <v>3.5500000000000002E-5</v>
          </cell>
          <cell r="E883">
            <v>34513</v>
          </cell>
          <cell r="F883">
            <v>75343</v>
          </cell>
          <cell r="G883">
            <v>49804</v>
          </cell>
          <cell r="H883"/>
          <cell r="I883">
            <v>2869</v>
          </cell>
          <cell r="J883">
            <v>12092</v>
          </cell>
          <cell r="K883">
            <v>7113</v>
          </cell>
          <cell r="L883">
            <v>34726</v>
          </cell>
          <cell r="M883"/>
          <cell r="N883">
            <v>1410</v>
          </cell>
          <cell r="O883">
            <v>0</v>
          </cell>
          <cell r="P883">
            <v>0</v>
          </cell>
          <cell r="Q883">
            <v>0</v>
          </cell>
          <cell r="R883"/>
          <cell r="S883">
            <v>16784</v>
          </cell>
          <cell r="T883">
            <v>12838</v>
          </cell>
          <cell r="U883">
            <v>29622</v>
          </cell>
        </row>
        <row r="884">
          <cell r="A884">
            <v>99701</v>
          </cell>
          <cell r="B884" t="str">
            <v>WILKES COUNTY</v>
          </cell>
          <cell r="C884">
            <v>2.9190000000000002E-3</v>
          </cell>
          <cell r="D884">
            <v>2.8774E-3</v>
          </cell>
          <cell r="E884">
            <v>1295371</v>
          </cell>
          <cell r="F884">
            <v>6106807</v>
          </cell>
          <cell r="G884">
            <v>4459423</v>
          </cell>
          <cell r="H884"/>
          <cell r="I884">
            <v>256904</v>
          </cell>
          <cell r="J884">
            <v>1082754</v>
          </cell>
          <cell r="K884">
            <v>636867</v>
          </cell>
          <cell r="L884">
            <v>21162</v>
          </cell>
          <cell r="M884"/>
          <cell r="N884">
            <v>126232</v>
          </cell>
          <cell r="O884">
            <v>0</v>
          </cell>
          <cell r="P884">
            <v>0</v>
          </cell>
          <cell r="Q884">
            <v>17651</v>
          </cell>
          <cell r="R884"/>
          <cell r="S884">
            <v>1502830</v>
          </cell>
          <cell r="T884">
            <v>-1976</v>
          </cell>
          <cell r="U884">
            <v>1500854</v>
          </cell>
        </row>
        <row r="885">
          <cell r="A885">
            <v>99705</v>
          </cell>
          <cell r="B885" t="str">
            <v>APPALACHIAN REGIONAL LIBRARY</v>
          </cell>
          <cell r="C885">
            <v>1.7229999999999999E-4</v>
          </cell>
          <cell r="D885">
            <v>1.7259999999999999E-4</v>
          </cell>
          <cell r="E885">
            <v>85451</v>
          </cell>
          <cell r="F885">
            <v>366315</v>
          </cell>
          <cell r="G885">
            <v>263227</v>
          </cell>
          <cell r="H885"/>
          <cell r="I885">
            <v>15164</v>
          </cell>
          <cell r="J885">
            <v>63911</v>
          </cell>
          <cell r="K885">
            <v>37592</v>
          </cell>
          <cell r="L885">
            <v>10978</v>
          </cell>
          <cell r="M885"/>
          <cell r="N885">
            <v>7451</v>
          </cell>
          <cell r="O885">
            <v>0</v>
          </cell>
          <cell r="P885">
            <v>0</v>
          </cell>
          <cell r="Q885">
            <v>544</v>
          </cell>
          <cell r="R885"/>
          <cell r="S885">
            <v>88708</v>
          </cell>
          <cell r="T885">
            <v>5913</v>
          </cell>
          <cell r="U885">
            <v>94621</v>
          </cell>
        </row>
        <row r="886">
          <cell r="A886">
            <v>99711</v>
          </cell>
          <cell r="B886" t="str">
            <v>TOWN OF N WILKESBORO</v>
          </cell>
          <cell r="C886">
            <v>4.5459999999999999E-4</v>
          </cell>
          <cell r="D886">
            <v>4.3540000000000001E-4</v>
          </cell>
          <cell r="E886">
            <v>209494</v>
          </cell>
          <cell r="F886">
            <v>924065</v>
          </cell>
          <cell r="G886">
            <v>694503</v>
          </cell>
          <cell r="H886"/>
          <cell r="I886">
            <v>40010</v>
          </cell>
          <cell r="J886">
            <v>168626</v>
          </cell>
          <cell r="K886">
            <v>99185</v>
          </cell>
          <cell r="L886">
            <v>14449</v>
          </cell>
          <cell r="M886"/>
          <cell r="N886">
            <v>19659</v>
          </cell>
          <cell r="O886">
            <v>0</v>
          </cell>
          <cell r="P886">
            <v>0</v>
          </cell>
          <cell r="Q886">
            <v>10625</v>
          </cell>
          <cell r="R886"/>
          <cell r="S886">
            <v>234048</v>
          </cell>
          <cell r="T886">
            <v>-1042</v>
          </cell>
          <cell r="U886">
            <v>233006</v>
          </cell>
        </row>
        <row r="887">
          <cell r="A887">
            <v>99717</v>
          </cell>
          <cell r="B887" t="str">
            <v>TOWN OF N WILKESBORO ABC BOARD</v>
          </cell>
          <cell r="C887">
            <v>2.19E-5</v>
          </cell>
          <cell r="D887">
            <v>2.3200000000000001E-5</v>
          </cell>
          <cell r="E887">
            <v>8060</v>
          </cell>
          <cell r="F887">
            <v>49238</v>
          </cell>
          <cell r="G887">
            <v>33457</v>
          </cell>
          <cell r="H887"/>
          <cell r="I887">
            <v>1927</v>
          </cell>
          <cell r="J887">
            <v>8123</v>
          </cell>
          <cell r="K887">
            <v>4778</v>
          </cell>
          <cell r="L887">
            <v>0</v>
          </cell>
          <cell r="M887"/>
          <cell r="N887">
            <v>947</v>
          </cell>
          <cell r="O887">
            <v>0</v>
          </cell>
          <cell r="P887">
            <v>0</v>
          </cell>
          <cell r="Q887">
            <v>3936</v>
          </cell>
          <cell r="R887"/>
          <cell r="S887">
            <v>11275</v>
          </cell>
          <cell r="T887">
            <v>-1270</v>
          </cell>
          <cell r="U887">
            <v>10005</v>
          </cell>
        </row>
        <row r="888">
          <cell r="A888">
            <v>99721</v>
          </cell>
          <cell r="B888" t="str">
            <v>TOWN OF WILKESBORO</v>
          </cell>
          <cell r="C888">
            <v>5.7779999999999995E-4</v>
          </cell>
          <cell r="D888">
            <v>6.2449999999999995E-4</v>
          </cell>
          <cell r="E888">
            <v>252725</v>
          </cell>
          <cell r="F888">
            <v>1325398</v>
          </cell>
          <cell r="G888">
            <v>882718</v>
          </cell>
          <cell r="H888"/>
          <cell r="I888">
            <v>50853</v>
          </cell>
          <cell r="J888">
            <v>214325</v>
          </cell>
          <cell r="K888">
            <v>126064</v>
          </cell>
          <cell r="L888">
            <v>0</v>
          </cell>
          <cell r="M888"/>
          <cell r="N888">
            <v>24987</v>
          </cell>
          <cell r="O888">
            <v>0</v>
          </cell>
          <cell r="P888">
            <v>0</v>
          </cell>
          <cell r="Q888">
            <v>48789</v>
          </cell>
          <cell r="R888"/>
          <cell r="S888">
            <v>297477</v>
          </cell>
          <cell r="T888">
            <v>-14223</v>
          </cell>
          <cell r="U888">
            <v>283254</v>
          </cell>
        </row>
        <row r="889">
          <cell r="A889">
            <v>99727</v>
          </cell>
          <cell r="B889" t="str">
            <v>WILKESBORO ABC BOARD</v>
          </cell>
          <cell r="C889">
            <v>2.3900000000000002E-5</v>
          </cell>
          <cell r="D889">
            <v>2.5299999999999998E-5</v>
          </cell>
          <cell r="E889">
            <v>46315</v>
          </cell>
          <cell r="F889">
            <v>53695</v>
          </cell>
          <cell r="G889">
            <v>36513</v>
          </cell>
          <cell r="H889"/>
          <cell r="I889">
            <v>2103</v>
          </cell>
          <cell r="J889">
            <v>8865</v>
          </cell>
          <cell r="K889">
            <v>5215</v>
          </cell>
          <cell r="L889">
            <v>59484</v>
          </cell>
          <cell r="M889"/>
          <cell r="N889">
            <v>1034</v>
          </cell>
          <cell r="O889">
            <v>0</v>
          </cell>
          <cell r="P889">
            <v>0</v>
          </cell>
          <cell r="Q889">
            <v>0</v>
          </cell>
          <cell r="R889"/>
          <cell r="S889">
            <v>12305</v>
          </cell>
          <cell r="T889">
            <v>20983</v>
          </cell>
          <cell r="U889">
            <v>33288</v>
          </cell>
        </row>
        <row r="890">
          <cell r="A890">
            <v>99801</v>
          </cell>
          <cell r="B890" t="str">
            <v>WILSON COUNTY</v>
          </cell>
          <cell r="C890">
            <v>5.1866000000000004E-3</v>
          </cell>
          <cell r="D890">
            <v>5.1954999999999996E-3</v>
          </cell>
          <cell r="E890">
            <v>2259452</v>
          </cell>
          <cell r="F890">
            <v>11026591</v>
          </cell>
          <cell r="G890">
            <v>7923688</v>
          </cell>
          <cell r="H890"/>
          <cell r="I890">
            <v>456478</v>
          </cell>
          <cell r="J890">
            <v>1923881</v>
          </cell>
          <cell r="K890">
            <v>1131612</v>
          </cell>
          <cell r="L890">
            <v>17042</v>
          </cell>
          <cell r="M890"/>
          <cell r="N890">
            <v>224295</v>
          </cell>
          <cell r="O890">
            <v>0</v>
          </cell>
          <cell r="P890">
            <v>0</v>
          </cell>
          <cell r="Q890">
            <v>150042</v>
          </cell>
          <cell r="R890"/>
          <cell r="S890">
            <v>2670290</v>
          </cell>
          <cell r="T890">
            <v>-29556</v>
          </cell>
          <cell r="U890">
            <v>2640734</v>
          </cell>
        </row>
        <row r="891">
          <cell r="A891">
            <v>99802</v>
          </cell>
          <cell r="B891" t="str">
            <v>WILSON COUNTY TOURISM DEVELOPMENT AUTH</v>
          </cell>
          <cell r="C891">
            <v>6.0000000000000002E-6</v>
          </cell>
          <cell r="D891">
            <v>6.4999999999999996E-6</v>
          </cell>
          <cell r="E891">
            <v>4581</v>
          </cell>
          <cell r="F891">
            <v>13795</v>
          </cell>
          <cell r="G891">
            <v>9166</v>
          </cell>
          <cell r="H891"/>
          <cell r="I891">
            <v>528</v>
          </cell>
          <cell r="J891">
            <v>2226</v>
          </cell>
          <cell r="K891">
            <v>1309</v>
          </cell>
          <cell r="L891">
            <v>1378</v>
          </cell>
          <cell r="M891"/>
          <cell r="N891">
            <v>259</v>
          </cell>
          <cell r="O891">
            <v>0</v>
          </cell>
          <cell r="P891">
            <v>0</v>
          </cell>
          <cell r="Q891">
            <v>53</v>
          </cell>
          <cell r="R891"/>
          <cell r="S891">
            <v>3089</v>
          </cell>
          <cell r="T891">
            <v>334</v>
          </cell>
          <cell r="U891">
            <v>3423</v>
          </cell>
        </row>
        <row r="892">
          <cell r="A892">
            <v>99804</v>
          </cell>
          <cell r="B892" t="str">
            <v>WILSON COUNTY ABC BOARD</v>
          </cell>
          <cell r="C892">
            <v>9.0500000000000004E-5</v>
          </cell>
          <cell r="D892">
            <v>8.6600000000000004E-5</v>
          </cell>
          <cell r="E892">
            <v>46756</v>
          </cell>
          <cell r="F892">
            <v>183794</v>
          </cell>
          <cell r="G892">
            <v>138259</v>
          </cell>
          <cell r="H892"/>
          <cell r="I892">
            <v>7965</v>
          </cell>
          <cell r="J892">
            <v>33569</v>
          </cell>
          <cell r="K892">
            <v>19745</v>
          </cell>
          <cell r="L892">
            <v>13689</v>
          </cell>
          <cell r="M892"/>
          <cell r="N892">
            <v>3914</v>
          </cell>
          <cell r="O892">
            <v>0</v>
          </cell>
          <cell r="P892">
            <v>0</v>
          </cell>
          <cell r="Q892">
            <v>0</v>
          </cell>
          <cell r="R892"/>
          <cell r="S892">
            <v>46593</v>
          </cell>
          <cell r="T892">
            <v>4917</v>
          </cell>
          <cell r="U892">
            <v>51510</v>
          </cell>
        </row>
        <row r="893">
          <cell r="A893">
            <v>99811</v>
          </cell>
          <cell r="B893" t="str">
            <v>CITY OF WILSON</v>
          </cell>
          <cell r="C893">
            <v>6.7026999999999998E-3</v>
          </cell>
          <cell r="D893">
            <v>6.8415000000000004E-3</v>
          </cell>
          <cell r="E893">
            <v>2884356</v>
          </cell>
          <cell r="F893">
            <v>14519955</v>
          </cell>
          <cell r="G893">
            <v>10239869</v>
          </cell>
          <cell r="H893"/>
          <cell r="I893">
            <v>589911</v>
          </cell>
          <cell r="J893">
            <v>2486253</v>
          </cell>
          <cell r="K893">
            <v>1462395</v>
          </cell>
          <cell r="L893">
            <v>0</v>
          </cell>
          <cell r="M893"/>
          <cell r="N893">
            <v>289858</v>
          </cell>
          <cell r="O893">
            <v>0</v>
          </cell>
          <cell r="P893">
            <v>0</v>
          </cell>
          <cell r="Q893">
            <v>598680</v>
          </cell>
          <cell r="R893"/>
          <cell r="S893">
            <v>3450845</v>
          </cell>
          <cell r="T893">
            <v>-236953</v>
          </cell>
          <cell r="U893">
            <v>3213892</v>
          </cell>
        </row>
        <row r="894">
          <cell r="A894">
            <v>99812</v>
          </cell>
          <cell r="B894" t="str">
            <v>WILSON ECONOMIC DEV COUNCIL</v>
          </cell>
          <cell r="C894">
            <v>2.2099999999999998E-5</v>
          </cell>
          <cell r="D894">
            <v>2.5599999999999999E-5</v>
          </cell>
          <cell r="E894">
            <v>20069</v>
          </cell>
          <cell r="F894">
            <v>54332</v>
          </cell>
          <cell r="G894">
            <v>33763</v>
          </cell>
          <cell r="H894"/>
          <cell r="I894">
            <v>1945</v>
          </cell>
          <cell r="J894">
            <v>8198</v>
          </cell>
          <cell r="K894">
            <v>4822</v>
          </cell>
          <cell r="L894">
            <v>11652</v>
          </cell>
          <cell r="M894"/>
          <cell r="N894">
            <v>956</v>
          </cell>
          <cell r="O894">
            <v>0</v>
          </cell>
          <cell r="P894">
            <v>0</v>
          </cell>
          <cell r="Q894">
            <v>0</v>
          </cell>
          <cell r="R894"/>
          <cell r="S894">
            <v>11378</v>
          </cell>
          <cell r="T894">
            <v>4237</v>
          </cell>
          <cell r="U894">
            <v>15615</v>
          </cell>
        </row>
        <row r="895">
          <cell r="A895">
            <v>99818</v>
          </cell>
          <cell r="B895" t="str">
            <v>CITY OF WILSON CEMETERY COMMISSION</v>
          </cell>
          <cell r="C895">
            <v>3.1600000000000002E-5</v>
          </cell>
          <cell r="D895">
            <v>3.7700000000000002E-5</v>
          </cell>
          <cell r="E895">
            <v>14370</v>
          </cell>
          <cell r="F895">
            <v>80012</v>
          </cell>
          <cell r="G895">
            <v>48276</v>
          </cell>
          <cell r="H895"/>
          <cell r="I895">
            <v>2781</v>
          </cell>
          <cell r="J895">
            <v>11722</v>
          </cell>
          <cell r="K895">
            <v>6894</v>
          </cell>
          <cell r="L895">
            <v>3054</v>
          </cell>
          <cell r="M895"/>
          <cell r="N895">
            <v>1367</v>
          </cell>
          <cell r="O895">
            <v>0</v>
          </cell>
          <cell r="P895">
            <v>0</v>
          </cell>
          <cell r="Q895">
            <v>6414</v>
          </cell>
          <cell r="R895"/>
          <cell r="S895">
            <v>16269</v>
          </cell>
          <cell r="T895">
            <v>695</v>
          </cell>
          <cell r="U895">
            <v>16964</v>
          </cell>
        </row>
        <row r="896">
          <cell r="A896">
            <v>99821</v>
          </cell>
          <cell r="B896" t="str">
            <v>TOWN OF STANTONSBURG</v>
          </cell>
          <cell r="C896">
            <v>9.1100000000000005E-5</v>
          </cell>
          <cell r="D896">
            <v>8.2899999999999996E-5</v>
          </cell>
          <cell r="E896">
            <v>48801</v>
          </cell>
          <cell r="F896">
            <v>175942</v>
          </cell>
          <cell r="G896">
            <v>139176</v>
          </cell>
          <cell r="H896"/>
          <cell r="I896">
            <v>8018</v>
          </cell>
          <cell r="J896">
            <v>33792</v>
          </cell>
          <cell r="K896">
            <v>19876</v>
          </cell>
          <cell r="L896">
            <v>21459</v>
          </cell>
          <cell r="M896"/>
          <cell r="N896">
            <v>3940</v>
          </cell>
          <cell r="O896">
            <v>0</v>
          </cell>
          <cell r="P896">
            <v>0</v>
          </cell>
          <cell r="Q896">
            <v>555</v>
          </cell>
          <cell r="R896"/>
          <cell r="S896">
            <v>46902</v>
          </cell>
          <cell r="T896">
            <v>9955</v>
          </cell>
          <cell r="U896">
            <v>56857</v>
          </cell>
        </row>
        <row r="897">
          <cell r="A897">
            <v>99831</v>
          </cell>
          <cell r="B897" t="str">
            <v>TOWN OF BLACK CREEK</v>
          </cell>
          <cell r="C897">
            <v>6.3299999999999994E-5</v>
          </cell>
          <cell r="D897">
            <v>5.5899999999999997E-5</v>
          </cell>
          <cell r="E897">
            <v>28274</v>
          </cell>
          <cell r="F897">
            <v>118639</v>
          </cell>
          <cell r="G897">
            <v>96705</v>
          </cell>
          <cell r="H897"/>
          <cell r="I897">
            <v>5571</v>
          </cell>
          <cell r="J897">
            <v>23480</v>
          </cell>
          <cell r="K897">
            <v>13811</v>
          </cell>
          <cell r="L897">
            <v>7030</v>
          </cell>
          <cell r="M897"/>
          <cell r="N897">
            <v>2737</v>
          </cell>
          <cell r="O897">
            <v>0</v>
          </cell>
          <cell r="P897">
            <v>0</v>
          </cell>
          <cell r="Q897">
            <v>564</v>
          </cell>
          <cell r="R897"/>
          <cell r="S897">
            <v>32590</v>
          </cell>
          <cell r="T897">
            <v>1906</v>
          </cell>
          <cell r="U897">
            <v>34496</v>
          </cell>
        </row>
        <row r="898">
          <cell r="A898">
            <v>99841</v>
          </cell>
          <cell r="B898" t="str">
            <v>TOWN OF LUCAMA</v>
          </cell>
          <cell r="C898">
            <v>4.3399999999999998E-5</v>
          </cell>
          <cell r="D898">
            <v>4.6E-5</v>
          </cell>
          <cell r="E898">
            <v>19338</v>
          </cell>
          <cell r="F898">
            <v>97627</v>
          </cell>
          <cell r="G898">
            <v>66303</v>
          </cell>
          <cell r="H898"/>
          <cell r="I898">
            <v>3820</v>
          </cell>
          <cell r="J898">
            <v>16098</v>
          </cell>
          <cell r="K898">
            <v>9469</v>
          </cell>
          <cell r="L898">
            <v>1271</v>
          </cell>
          <cell r="M898"/>
          <cell r="N898">
            <v>1877</v>
          </cell>
          <cell r="O898">
            <v>0</v>
          </cell>
          <cell r="P898">
            <v>0</v>
          </cell>
          <cell r="Q898">
            <v>4060</v>
          </cell>
          <cell r="R898"/>
          <cell r="S898">
            <v>22344</v>
          </cell>
          <cell r="T898">
            <v>-1214</v>
          </cell>
          <cell r="U898">
            <v>21130</v>
          </cell>
        </row>
        <row r="899">
          <cell r="A899">
            <v>99851</v>
          </cell>
          <cell r="B899" t="str">
            <v>TOWN OF ELM CITY</v>
          </cell>
          <cell r="C899">
            <v>2.23E-5</v>
          </cell>
          <cell r="D899">
            <v>2.1999999999999999E-5</v>
          </cell>
          <cell r="E899">
            <v>7302</v>
          </cell>
          <cell r="F899">
            <v>46691</v>
          </cell>
          <cell r="G899">
            <v>34068</v>
          </cell>
          <cell r="H899"/>
          <cell r="I899">
            <v>1963</v>
          </cell>
          <cell r="J899">
            <v>8272</v>
          </cell>
          <cell r="K899">
            <v>4865</v>
          </cell>
          <cell r="L899">
            <v>142</v>
          </cell>
          <cell r="M899"/>
          <cell r="N899">
            <v>964</v>
          </cell>
          <cell r="O899">
            <v>0</v>
          </cell>
          <cell r="P899">
            <v>0</v>
          </cell>
          <cell r="Q899">
            <v>3191</v>
          </cell>
          <cell r="R899"/>
          <cell r="S899">
            <v>11481</v>
          </cell>
          <cell r="T899">
            <v>-847</v>
          </cell>
          <cell r="U899">
            <v>10634</v>
          </cell>
        </row>
        <row r="900">
          <cell r="A900">
            <v>99901</v>
          </cell>
          <cell r="B900" t="str">
            <v>YADKIN COUNTY</v>
          </cell>
          <cell r="C900">
            <v>1.6707E-3</v>
          </cell>
          <cell r="D900">
            <v>1.6371999999999999E-3</v>
          </cell>
          <cell r="E900">
            <v>760400</v>
          </cell>
          <cell r="F900">
            <v>3474687</v>
          </cell>
          <cell r="G900">
            <v>2552367</v>
          </cell>
          <cell r="H900"/>
          <cell r="I900">
            <v>147040</v>
          </cell>
          <cell r="J900">
            <v>619718</v>
          </cell>
          <cell r="K900">
            <v>364513</v>
          </cell>
          <cell r="L900">
            <v>63407</v>
          </cell>
          <cell r="M900"/>
          <cell r="N900">
            <v>72249</v>
          </cell>
          <cell r="O900">
            <v>0</v>
          </cell>
          <cell r="P900">
            <v>0</v>
          </cell>
          <cell r="Q900">
            <v>12021</v>
          </cell>
          <cell r="R900"/>
          <cell r="S900">
            <v>860150</v>
          </cell>
          <cell r="T900">
            <v>13114</v>
          </cell>
          <cell r="U900">
            <v>873264</v>
          </cell>
        </row>
        <row r="901">
          <cell r="A901">
            <v>99911</v>
          </cell>
          <cell r="B901" t="str">
            <v>TOWN OF YADKINVILLE</v>
          </cell>
          <cell r="C901">
            <v>2.5980000000000003E-4</v>
          </cell>
          <cell r="D901">
            <v>2.5520000000000002E-4</v>
          </cell>
          <cell r="E901">
            <v>122066</v>
          </cell>
          <cell r="F901">
            <v>541620</v>
          </cell>
          <cell r="G901">
            <v>396902</v>
          </cell>
          <cell r="H901"/>
          <cell r="I901">
            <v>22865</v>
          </cell>
          <cell r="J901">
            <v>96368</v>
          </cell>
          <cell r="K901">
            <v>56683</v>
          </cell>
          <cell r="L901">
            <v>7168</v>
          </cell>
          <cell r="M901"/>
          <cell r="N901">
            <v>11235</v>
          </cell>
          <cell r="O901">
            <v>0</v>
          </cell>
          <cell r="P901">
            <v>0</v>
          </cell>
          <cell r="Q901">
            <v>12661</v>
          </cell>
          <cell r="R901"/>
          <cell r="S901">
            <v>133756</v>
          </cell>
          <cell r="T901">
            <v>-5521</v>
          </cell>
          <cell r="U901">
            <v>128235</v>
          </cell>
        </row>
        <row r="902">
          <cell r="A902">
            <v>99921</v>
          </cell>
          <cell r="B902" t="str">
            <v>TOWN OF JONESVILLE</v>
          </cell>
          <cell r="C902">
            <v>1.506E-4</v>
          </cell>
          <cell r="D902">
            <v>1.5129999999999999E-4</v>
          </cell>
          <cell r="E902">
            <v>65165</v>
          </cell>
          <cell r="F902">
            <v>321109</v>
          </cell>
          <cell r="G902">
            <v>230075</v>
          </cell>
          <cell r="H902"/>
          <cell r="I902">
            <v>13254</v>
          </cell>
          <cell r="J902">
            <v>55863</v>
          </cell>
          <cell r="K902">
            <v>32858</v>
          </cell>
          <cell r="L902">
            <v>3258</v>
          </cell>
          <cell r="M902"/>
          <cell r="N902">
            <v>6513</v>
          </cell>
          <cell r="O902">
            <v>0</v>
          </cell>
          <cell r="P902">
            <v>0</v>
          </cell>
          <cell r="Q902">
            <v>7306</v>
          </cell>
          <cell r="R902"/>
          <cell r="S902">
            <v>77536</v>
          </cell>
          <cell r="T902">
            <v>-3057</v>
          </cell>
          <cell r="U902">
            <v>74479</v>
          </cell>
        </row>
        <row r="903">
          <cell r="A903">
            <v>99931</v>
          </cell>
          <cell r="B903" t="str">
            <v>TOWN OF EAST BEND</v>
          </cell>
          <cell r="C903">
            <v>1.5800000000000001E-5</v>
          </cell>
          <cell r="D903">
            <v>2.51E-5</v>
          </cell>
          <cell r="E903">
            <v>8881</v>
          </cell>
          <cell r="F903">
            <v>53271</v>
          </cell>
          <cell r="G903">
            <v>24138</v>
          </cell>
          <cell r="H903"/>
          <cell r="I903">
            <v>1391</v>
          </cell>
          <cell r="J903">
            <v>5860</v>
          </cell>
          <cell r="K903">
            <v>3447</v>
          </cell>
          <cell r="L903">
            <v>0</v>
          </cell>
          <cell r="M903"/>
          <cell r="N903">
            <v>683</v>
          </cell>
          <cell r="O903">
            <v>0</v>
          </cell>
          <cell r="P903">
            <v>0</v>
          </cell>
          <cell r="Q903">
            <v>8477</v>
          </cell>
          <cell r="R903"/>
          <cell r="S903">
            <v>8135</v>
          </cell>
          <cell r="T903">
            <v>-3271</v>
          </cell>
          <cell r="U903">
            <v>4864</v>
          </cell>
        </row>
        <row r="904">
          <cell r="A904">
            <v>99941</v>
          </cell>
          <cell r="B904" t="str">
            <v>TOWN OF BOONVILLE</v>
          </cell>
          <cell r="C904">
            <v>7.5400000000000003E-5</v>
          </cell>
          <cell r="D904">
            <v>7.8200000000000003E-5</v>
          </cell>
          <cell r="E904">
            <v>32663</v>
          </cell>
          <cell r="F904">
            <v>165967</v>
          </cell>
          <cell r="G904">
            <v>115190</v>
          </cell>
          <cell r="H904"/>
          <cell r="I904">
            <v>6636</v>
          </cell>
          <cell r="J904">
            <v>27969</v>
          </cell>
          <cell r="K904">
            <v>16451</v>
          </cell>
          <cell r="L904">
            <v>0</v>
          </cell>
          <cell r="M904"/>
          <cell r="N904">
            <v>3261</v>
          </cell>
          <cell r="O904">
            <v>0</v>
          </cell>
          <cell r="P904">
            <v>0</v>
          </cell>
          <cell r="Q904">
            <v>11647</v>
          </cell>
          <cell r="R904"/>
          <cell r="S904">
            <v>38819</v>
          </cell>
          <cell r="T904">
            <v>-4535</v>
          </cell>
          <cell r="U904">
            <v>34284</v>
          </cell>
        </row>
        <row r="905">
          <cell r="A905">
            <v>99991</v>
          </cell>
          <cell r="B905" t="str">
            <v>N C ASSOC OF CO COMMISSIONERS</v>
          </cell>
          <cell r="C905">
            <v>5.3450000000000004E-4</v>
          </cell>
          <cell r="D905">
            <v>5.6990000000000003E-4</v>
          </cell>
          <cell r="E905">
            <v>239781</v>
          </cell>
          <cell r="F905">
            <v>1209519</v>
          </cell>
          <cell r="G905">
            <v>816568</v>
          </cell>
          <cell r="H905"/>
          <cell r="I905">
            <v>47042</v>
          </cell>
          <cell r="J905">
            <v>198264</v>
          </cell>
          <cell r="K905">
            <v>116617</v>
          </cell>
          <cell r="L905">
            <v>28891</v>
          </cell>
          <cell r="M905"/>
          <cell r="N905">
            <v>23114</v>
          </cell>
          <cell r="O905">
            <v>0</v>
          </cell>
          <cell r="P905">
            <v>0</v>
          </cell>
          <cell r="Q905">
            <v>28214</v>
          </cell>
          <cell r="R905"/>
          <cell r="S905">
            <v>275184</v>
          </cell>
          <cell r="T905">
            <v>12361</v>
          </cell>
          <cell r="U905">
            <v>287545</v>
          </cell>
        </row>
        <row r="906">
          <cell r="A906">
            <v>99999</v>
          </cell>
          <cell r="B906" t="str">
            <v>N C LEAGUE OF MUNICIPALITIES</v>
          </cell>
          <cell r="C906">
            <v>8.7509999999999997E-4</v>
          </cell>
          <cell r="D906">
            <v>1.0101000000000001E-3</v>
          </cell>
          <cell r="E906">
            <v>509176</v>
          </cell>
          <cell r="F906">
            <v>2143771</v>
          </cell>
          <cell r="G906">
            <v>1336910</v>
          </cell>
          <cell r="H906"/>
          <cell r="I906">
            <v>77018</v>
          </cell>
          <cell r="J906">
            <v>324603</v>
          </cell>
          <cell r="K906">
            <v>190929</v>
          </cell>
          <cell r="L906">
            <v>77711</v>
          </cell>
          <cell r="M906"/>
          <cell r="N906">
            <v>37844</v>
          </cell>
          <cell r="O906">
            <v>0</v>
          </cell>
          <cell r="P906">
            <v>0</v>
          </cell>
          <cell r="Q906">
            <v>26259</v>
          </cell>
          <cell r="R906"/>
          <cell r="S906">
            <v>450540</v>
          </cell>
          <cell r="T906">
            <v>10651</v>
          </cell>
          <cell r="U906">
            <v>461191</v>
          </cell>
        </row>
        <row r="907">
          <cell r="A907"/>
          <cell r="B907"/>
          <cell r="C907"/>
          <cell r="D907"/>
          <cell r="E907"/>
          <cell r="F907"/>
          <cell r="G907"/>
          <cell r="H907"/>
          <cell r="I907"/>
          <cell r="J907"/>
          <cell r="K907"/>
          <cell r="L907"/>
          <cell r="M907"/>
          <cell r="N907"/>
          <cell r="O907"/>
          <cell r="P907"/>
          <cell r="Q907"/>
          <cell r="R907"/>
          <cell r="S907"/>
          <cell r="T907"/>
          <cell r="U907"/>
        </row>
        <row r="908">
          <cell r="A908" t="str">
            <v>9xxxy</v>
          </cell>
          <cell r="B908" t="str">
            <v>Carolina County</v>
          </cell>
          <cell r="C908">
            <v>2.6581E-3</v>
          </cell>
          <cell r="D908">
            <v>2.3587E-3</v>
          </cell>
          <cell r="E908">
            <v>1110621</v>
          </cell>
          <cell r="F908">
            <v>5005952</v>
          </cell>
          <cell r="G908">
            <v>4060841</v>
          </cell>
          <cell r="H908"/>
          <cell r="I908">
            <v>233942</v>
          </cell>
          <cell r="J908">
            <v>985977</v>
          </cell>
          <cell r="K908">
            <v>579944</v>
          </cell>
          <cell r="L908">
            <v>130818</v>
          </cell>
          <cell r="M908"/>
          <cell r="N908">
            <v>114950</v>
          </cell>
          <cell r="O908"/>
          <cell r="P908">
            <v>0</v>
          </cell>
          <cell r="Q908">
            <v>31847</v>
          </cell>
          <cell r="R908"/>
          <cell r="S908">
            <v>1368507</v>
          </cell>
          <cell r="T908">
            <v>33872</v>
          </cell>
          <cell r="U908">
            <v>1402379</v>
          </cell>
        </row>
        <row r="909">
          <cell r="A909"/>
          <cell r="B909"/>
          <cell r="C909">
            <v>1</v>
          </cell>
          <cell r="D909">
            <v>1</v>
          </cell>
          <cell r="E909">
            <v>459076658</v>
          </cell>
          <cell r="F909">
            <v>2063974821</v>
          </cell>
          <cell r="G909">
            <v>1527723006</v>
          </cell>
          <cell r="H909"/>
          <cell r="I909">
            <v>88010998</v>
          </cell>
          <cell r="J909">
            <v>370932998</v>
          </cell>
          <cell r="K909">
            <v>218179990</v>
          </cell>
          <cell r="L909">
            <v>44399345</v>
          </cell>
          <cell r="M909"/>
          <cell r="N909">
            <v>43245007</v>
          </cell>
          <cell r="O909">
            <v>0</v>
          </cell>
          <cell r="P909">
            <v>0</v>
          </cell>
          <cell r="Q909">
            <v>44399369</v>
          </cell>
          <cell r="R909"/>
          <cell r="S909">
            <v>514844016</v>
          </cell>
          <cell r="T909">
            <v>36</v>
          </cell>
          <cell r="U909">
            <v>514844052</v>
          </cell>
        </row>
        <row r="910">
          <cell r="A910"/>
          <cell r="B910"/>
          <cell r="C910"/>
          <cell r="D910"/>
          <cell r="E910"/>
          <cell r="F910"/>
          <cell r="G910"/>
          <cell r="H910"/>
          <cell r="I910"/>
          <cell r="J910"/>
          <cell r="K910"/>
          <cell r="L910"/>
          <cell r="M910"/>
          <cell r="N910"/>
          <cell r="O910"/>
          <cell r="P910"/>
          <cell r="Q910"/>
          <cell r="R910"/>
          <cell r="S910"/>
          <cell r="T910"/>
          <cell r="U910"/>
        </row>
        <row r="911">
          <cell r="A911"/>
          <cell r="B911"/>
          <cell r="C911"/>
          <cell r="D911"/>
          <cell r="E911"/>
          <cell r="F911"/>
          <cell r="G911"/>
          <cell r="H911"/>
          <cell r="I911"/>
          <cell r="J911"/>
          <cell r="K911"/>
          <cell r="L911"/>
          <cell r="M911"/>
          <cell r="N911"/>
          <cell r="O911"/>
          <cell r="P911"/>
          <cell r="Q911"/>
          <cell r="R911"/>
          <cell r="S911"/>
          <cell r="T911"/>
          <cell r="U911"/>
        </row>
        <row r="912">
          <cell r="B912" t="str">
            <v>No additional agency chosen</v>
          </cell>
          <cell r="C912" t="str">
            <v>N/A</v>
          </cell>
        </row>
        <row r="913">
          <cell r="B913" t="str">
            <v>Aberdeen</v>
          </cell>
          <cell r="C913">
            <v>96331</v>
          </cell>
        </row>
        <row r="914">
          <cell r="B914" t="str">
            <v>Ahoskie</v>
          </cell>
          <cell r="C914">
            <v>94611</v>
          </cell>
        </row>
        <row r="915">
          <cell r="B915" t="str">
            <v>Airport Commission Of Forsyth County</v>
          </cell>
          <cell r="C915">
            <v>93402</v>
          </cell>
        </row>
        <row r="916">
          <cell r="B916" t="str">
            <v>Alamance</v>
          </cell>
          <cell r="C916">
            <v>90151</v>
          </cell>
        </row>
        <row r="917">
          <cell r="B917" t="str">
            <v>Alamance Comm Fire Dist</v>
          </cell>
          <cell r="C917">
            <v>94109</v>
          </cell>
        </row>
        <row r="918">
          <cell r="B918" t="str">
            <v>Alamance County</v>
          </cell>
          <cell r="C918">
            <v>90101</v>
          </cell>
        </row>
        <row r="919">
          <cell r="B919" t="str">
            <v>Alamance Municipal ABC Board</v>
          </cell>
          <cell r="C919">
            <v>90117</v>
          </cell>
        </row>
        <row r="920">
          <cell r="B920" t="str">
            <v>Albemarle</v>
          </cell>
          <cell r="C920">
            <v>98411</v>
          </cell>
        </row>
        <row r="921">
          <cell r="B921" t="str">
            <v>Albemarle ABC Board</v>
          </cell>
          <cell r="C921">
            <v>98417</v>
          </cell>
        </row>
        <row r="922">
          <cell r="B922" t="str">
            <v>Albemarle District Jail Commission</v>
          </cell>
          <cell r="C922">
            <v>97008</v>
          </cell>
        </row>
        <row r="923">
          <cell r="B923" t="str">
            <v>Albemarle Hospital Authority</v>
          </cell>
          <cell r="C923">
            <v>97010</v>
          </cell>
        </row>
        <row r="924">
          <cell r="B924" t="str">
            <v>Albemarle Regional Health Services</v>
          </cell>
          <cell r="C924">
            <v>90096</v>
          </cell>
        </row>
        <row r="925">
          <cell r="B925" t="str">
            <v>Albemarle Regional Library</v>
          </cell>
          <cell r="C925">
            <v>90805</v>
          </cell>
        </row>
        <row r="926">
          <cell r="B926" t="str">
            <v>Albemarle Regnl Planning &amp; Development Comm</v>
          </cell>
          <cell r="C926">
            <v>92109</v>
          </cell>
        </row>
        <row r="927">
          <cell r="B927" t="str">
            <v>Alexander County</v>
          </cell>
          <cell r="C927">
            <v>90201</v>
          </cell>
        </row>
        <row r="928">
          <cell r="B928" t="str">
            <v>Alexander County Dept Of S S</v>
          </cell>
          <cell r="C928">
            <v>90206</v>
          </cell>
        </row>
        <row r="929">
          <cell r="B929" t="str">
            <v>Alexander County Health Dept</v>
          </cell>
          <cell r="C929">
            <v>90203</v>
          </cell>
        </row>
        <row r="930">
          <cell r="B930" t="str">
            <v>Alexander County Public Library</v>
          </cell>
          <cell r="C930">
            <v>90205</v>
          </cell>
        </row>
        <row r="931">
          <cell r="B931" t="str">
            <v>Alleghany County</v>
          </cell>
          <cell r="C931">
            <v>90301</v>
          </cell>
        </row>
        <row r="932">
          <cell r="B932" t="str">
            <v>Alliance Behavioral Healthcre</v>
          </cell>
          <cell r="C932">
            <v>93209</v>
          </cell>
        </row>
        <row r="933">
          <cell r="B933" t="str">
            <v>Andrews</v>
          </cell>
          <cell r="C933">
            <v>92021</v>
          </cell>
        </row>
        <row r="934">
          <cell r="B934" t="str">
            <v>Angier</v>
          </cell>
          <cell r="C934">
            <v>94351</v>
          </cell>
        </row>
        <row r="935">
          <cell r="B935" t="str">
            <v>Angier ABC Board</v>
          </cell>
          <cell r="C935">
            <v>94347</v>
          </cell>
        </row>
        <row r="936">
          <cell r="B936" t="str">
            <v>Anson County</v>
          </cell>
          <cell r="C936">
            <v>90401</v>
          </cell>
        </row>
        <row r="937">
          <cell r="B937" t="str">
            <v>Ansonville</v>
          </cell>
          <cell r="C937">
            <v>90451</v>
          </cell>
        </row>
        <row r="938">
          <cell r="B938" t="str">
            <v>Apex</v>
          </cell>
          <cell r="C938">
            <v>99271</v>
          </cell>
        </row>
        <row r="939">
          <cell r="B939" t="str">
            <v>Appalachian District Health Dept</v>
          </cell>
          <cell r="C939">
            <v>90099</v>
          </cell>
        </row>
        <row r="940">
          <cell r="B940" t="str">
            <v>Appalachian Regional Library</v>
          </cell>
          <cell r="C940">
            <v>99705</v>
          </cell>
        </row>
        <row r="941">
          <cell r="B941" t="str">
            <v>Archdale</v>
          </cell>
          <cell r="C941">
            <v>97651</v>
          </cell>
        </row>
        <row r="942">
          <cell r="B942" t="str">
            <v>Archer Lodge</v>
          </cell>
          <cell r="C942">
            <v>95106</v>
          </cell>
        </row>
        <row r="943">
          <cell r="B943" t="str">
            <v>Ashe County</v>
          </cell>
          <cell r="C943">
            <v>90501</v>
          </cell>
        </row>
        <row r="944">
          <cell r="B944" t="str">
            <v>Asheboro</v>
          </cell>
          <cell r="C944">
            <v>97611</v>
          </cell>
        </row>
        <row r="945">
          <cell r="B945" t="str">
            <v>Asheboro ABC Board</v>
          </cell>
          <cell r="C945">
            <v>97607</v>
          </cell>
        </row>
        <row r="946">
          <cell r="B946" t="str">
            <v>Asheboro Housing Auth</v>
          </cell>
          <cell r="C946">
            <v>97613</v>
          </cell>
        </row>
        <row r="947">
          <cell r="B947" t="str">
            <v>Asheville</v>
          </cell>
          <cell r="C947">
            <v>91121</v>
          </cell>
        </row>
        <row r="948">
          <cell r="B948" t="str">
            <v>Asheville ABC Board</v>
          </cell>
          <cell r="C948">
            <v>91127</v>
          </cell>
        </row>
        <row r="949">
          <cell r="B949" t="str">
            <v>Asheville Regional Airport Authority</v>
          </cell>
          <cell r="C949">
            <v>91128</v>
          </cell>
        </row>
        <row r="950">
          <cell r="B950" t="str">
            <v>Atlantic Beach</v>
          </cell>
          <cell r="C950">
            <v>91681</v>
          </cell>
        </row>
        <row r="951">
          <cell r="B951" t="str">
            <v>Aulander</v>
          </cell>
          <cell r="C951">
            <v>90811</v>
          </cell>
        </row>
        <row r="952">
          <cell r="B952" t="str">
            <v>Aurora</v>
          </cell>
          <cell r="C952">
            <v>90721</v>
          </cell>
        </row>
        <row r="953">
          <cell r="B953" t="str">
            <v>Autryville</v>
          </cell>
          <cell r="C953">
            <v>98271</v>
          </cell>
        </row>
        <row r="954">
          <cell r="B954" t="str">
            <v>Avery County</v>
          </cell>
          <cell r="C954">
            <v>90601</v>
          </cell>
        </row>
        <row r="955">
          <cell r="B955" t="str">
            <v>Avery County Fire Commission</v>
          </cell>
          <cell r="C955">
            <v>90602</v>
          </cell>
        </row>
        <row r="956">
          <cell r="B956" t="str">
            <v>Avery-Mitchell-Yancey Reg Library</v>
          </cell>
          <cell r="C956">
            <v>90605</v>
          </cell>
        </row>
        <row r="957">
          <cell r="B957" t="str">
            <v>Ayden</v>
          </cell>
          <cell r="C957">
            <v>97461</v>
          </cell>
        </row>
        <row r="958">
          <cell r="B958" t="str">
            <v>Ayden Housing Authority</v>
          </cell>
          <cell r="C958">
            <v>97463</v>
          </cell>
        </row>
        <row r="959">
          <cell r="B959" t="str">
            <v>B H M Regional Library</v>
          </cell>
          <cell r="C959">
            <v>90705</v>
          </cell>
        </row>
        <row r="960">
          <cell r="B960" t="str">
            <v>Badin</v>
          </cell>
          <cell r="C960">
            <v>98451</v>
          </cell>
        </row>
        <row r="961">
          <cell r="B961" t="str">
            <v>Bailey</v>
          </cell>
          <cell r="C961">
            <v>96451</v>
          </cell>
        </row>
        <row r="962">
          <cell r="B962" t="str">
            <v>Bakersville</v>
          </cell>
          <cell r="C962">
            <v>96121</v>
          </cell>
        </row>
        <row r="963">
          <cell r="B963" t="str">
            <v>Bald Head Island</v>
          </cell>
          <cell r="C963">
            <v>91091</v>
          </cell>
        </row>
        <row r="964">
          <cell r="B964" t="str">
            <v>Banner Elk</v>
          </cell>
          <cell r="C964">
            <v>90611</v>
          </cell>
        </row>
        <row r="965">
          <cell r="B965" t="str">
            <v>Bay River Metro Sewerage District</v>
          </cell>
          <cell r="C965">
            <v>96918</v>
          </cell>
        </row>
        <row r="966">
          <cell r="B966" t="str">
            <v>Bayboro</v>
          </cell>
          <cell r="C966">
            <v>96911</v>
          </cell>
        </row>
        <row r="967">
          <cell r="B967" t="str">
            <v>Bayleaf Fire Department</v>
          </cell>
          <cell r="C967">
            <v>99208</v>
          </cell>
        </row>
        <row r="968">
          <cell r="B968" t="str">
            <v>Beaufort</v>
          </cell>
          <cell r="C968">
            <v>91631</v>
          </cell>
        </row>
        <row r="969">
          <cell r="B969" t="str">
            <v>Beaufort County</v>
          </cell>
          <cell r="C969">
            <v>90701</v>
          </cell>
        </row>
        <row r="970">
          <cell r="B970" t="str">
            <v>Beaufort County ABC Board</v>
          </cell>
          <cell r="C970">
            <v>90704</v>
          </cell>
        </row>
        <row r="971">
          <cell r="B971" t="str">
            <v>Beaufort Housing Auth</v>
          </cell>
          <cell r="C971">
            <v>91633</v>
          </cell>
        </row>
        <row r="972">
          <cell r="B972" t="str">
            <v>Beech Mountain</v>
          </cell>
          <cell r="C972">
            <v>90631</v>
          </cell>
        </row>
        <row r="973">
          <cell r="B973" t="str">
            <v>Belhaven</v>
          </cell>
          <cell r="C973">
            <v>90731</v>
          </cell>
        </row>
        <row r="974">
          <cell r="B974" t="str">
            <v>Belmont</v>
          </cell>
          <cell r="C974">
            <v>93621</v>
          </cell>
        </row>
        <row r="975">
          <cell r="B975" t="str">
            <v>Belmont Housing Authority</v>
          </cell>
          <cell r="C975">
            <v>93623</v>
          </cell>
        </row>
        <row r="976">
          <cell r="B976" t="str">
            <v>Belville</v>
          </cell>
          <cell r="C976">
            <v>91020</v>
          </cell>
        </row>
        <row r="977">
          <cell r="B977" t="str">
            <v>Benson</v>
          </cell>
          <cell r="C977">
            <v>95141</v>
          </cell>
        </row>
        <row r="978">
          <cell r="B978" t="str">
            <v>Benson Housing Authority</v>
          </cell>
          <cell r="C978">
            <v>95103</v>
          </cell>
        </row>
        <row r="979">
          <cell r="B979" t="str">
            <v>Bermuda Run</v>
          </cell>
          <cell r="C979">
            <v>93021</v>
          </cell>
        </row>
        <row r="980">
          <cell r="B980" t="str">
            <v>Bertie County</v>
          </cell>
          <cell r="C980">
            <v>90801</v>
          </cell>
        </row>
        <row r="981">
          <cell r="B981" t="str">
            <v>Bertie County ABC Board</v>
          </cell>
          <cell r="C981">
            <v>90804</v>
          </cell>
        </row>
        <row r="982">
          <cell r="B982" t="str">
            <v>Bertie-Martin Regional Jail Comm</v>
          </cell>
          <cell r="C982">
            <v>90808</v>
          </cell>
        </row>
        <row r="983">
          <cell r="B983" t="str">
            <v>Bessemer City</v>
          </cell>
          <cell r="C983">
            <v>93671</v>
          </cell>
        </row>
        <row r="984">
          <cell r="B984" t="str">
            <v>Bessemer City ABC Board</v>
          </cell>
          <cell r="C984">
            <v>93677</v>
          </cell>
        </row>
        <row r="985">
          <cell r="B985" t="str">
            <v>Bethel</v>
          </cell>
          <cell r="C985">
            <v>97441</v>
          </cell>
        </row>
        <row r="986">
          <cell r="B986" t="str">
            <v>Beulaville</v>
          </cell>
          <cell r="C986">
            <v>93111</v>
          </cell>
        </row>
        <row r="987">
          <cell r="B987" t="str">
            <v>Biltmore Forest</v>
          </cell>
          <cell r="C987">
            <v>91111</v>
          </cell>
        </row>
        <row r="988">
          <cell r="B988" t="str">
            <v>Biscoe</v>
          </cell>
          <cell r="C988">
            <v>96231</v>
          </cell>
        </row>
        <row r="989">
          <cell r="B989" t="str">
            <v>Black Creek</v>
          </cell>
          <cell r="C989">
            <v>99831</v>
          </cell>
        </row>
        <row r="990">
          <cell r="B990" t="str">
            <v>Black Mountain</v>
          </cell>
          <cell r="C990">
            <v>91151</v>
          </cell>
        </row>
        <row r="991">
          <cell r="B991" t="str">
            <v>Black Mtn ABC Board</v>
          </cell>
          <cell r="C991">
            <v>91154</v>
          </cell>
        </row>
        <row r="992">
          <cell r="B992" t="str">
            <v>Bladen County</v>
          </cell>
          <cell r="C992">
            <v>90901</v>
          </cell>
        </row>
        <row r="993">
          <cell r="B993" t="str">
            <v>Bladenboro</v>
          </cell>
          <cell r="C993">
            <v>90941</v>
          </cell>
        </row>
        <row r="994">
          <cell r="B994" t="str">
            <v>Blowing Rock</v>
          </cell>
          <cell r="C994">
            <v>99521</v>
          </cell>
        </row>
        <row r="995">
          <cell r="B995" t="str">
            <v>Blowing Rock ABC Bd</v>
          </cell>
          <cell r="C995">
            <v>99527</v>
          </cell>
        </row>
        <row r="996">
          <cell r="B996" t="str">
            <v>Blowing Rock Tourism Development Authority</v>
          </cell>
          <cell r="C996">
            <v>99508</v>
          </cell>
        </row>
        <row r="997">
          <cell r="B997" t="str">
            <v>Blue Ridge Fire Department</v>
          </cell>
          <cell r="C997">
            <v>94532</v>
          </cell>
        </row>
        <row r="998">
          <cell r="B998" t="str">
            <v>Boiling Sprg Lakes</v>
          </cell>
          <cell r="C998">
            <v>91071</v>
          </cell>
        </row>
        <row r="999">
          <cell r="B999" t="str">
            <v>Boiling Spring Lakes ABC Board</v>
          </cell>
          <cell r="C999">
            <v>91077</v>
          </cell>
        </row>
        <row r="1000">
          <cell r="B1000" t="str">
            <v>Boiling Springs</v>
          </cell>
          <cell r="C1000">
            <v>92331</v>
          </cell>
        </row>
        <row r="1001">
          <cell r="B1001" t="str">
            <v>Bolton</v>
          </cell>
          <cell r="C1001">
            <v>92414</v>
          </cell>
        </row>
        <row r="1002">
          <cell r="B1002" t="str">
            <v>Boone</v>
          </cell>
          <cell r="C1002">
            <v>99511</v>
          </cell>
        </row>
        <row r="1003">
          <cell r="B1003" t="str">
            <v>Boonville</v>
          </cell>
          <cell r="C1003">
            <v>99941</v>
          </cell>
        </row>
        <row r="1004">
          <cell r="B1004" t="str">
            <v>Braswell Memorial Library</v>
          </cell>
          <cell r="C1004">
            <v>96405</v>
          </cell>
        </row>
        <row r="1005">
          <cell r="B1005" t="str">
            <v>Brevard</v>
          </cell>
          <cell r="C1005">
            <v>98811</v>
          </cell>
        </row>
        <row r="1006">
          <cell r="B1006" t="str">
            <v>Brevard ABC Board</v>
          </cell>
          <cell r="C1006">
            <v>98817</v>
          </cell>
        </row>
        <row r="1007">
          <cell r="B1007" t="str">
            <v>Bridgeton</v>
          </cell>
          <cell r="C1007">
            <v>92561</v>
          </cell>
        </row>
        <row r="1008">
          <cell r="B1008" t="str">
            <v>Broad River Water Authority</v>
          </cell>
          <cell r="C1008">
            <v>98102</v>
          </cell>
        </row>
        <row r="1009">
          <cell r="B1009" t="str">
            <v>Broadway</v>
          </cell>
          <cell r="C1009">
            <v>95321</v>
          </cell>
        </row>
        <row r="1010">
          <cell r="B1010" t="str">
            <v>Brookford</v>
          </cell>
          <cell r="C1010">
            <v>91861</v>
          </cell>
        </row>
        <row r="1011">
          <cell r="B1011" t="str">
            <v>Brunswick</v>
          </cell>
          <cell r="C1011">
            <v>92421</v>
          </cell>
        </row>
        <row r="1012">
          <cell r="B1012" t="str">
            <v>Brunswick Co Dept Of Social Services</v>
          </cell>
          <cell r="C1012">
            <v>91006</v>
          </cell>
        </row>
        <row r="1013">
          <cell r="B1013" t="str">
            <v>Brunswick Co Health Dept</v>
          </cell>
          <cell r="C1013">
            <v>91003</v>
          </cell>
        </row>
        <row r="1014">
          <cell r="B1014" t="str">
            <v>Brunswick County</v>
          </cell>
          <cell r="C1014">
            <v>91001</v>
          </cell>
        </row>
        <row r="1015">
          <cell r="B1015" t="str">
            <v>Brunswick County ABC Board</v>
          </cell>
          <cell r="C1015">
            <v>91004</v>
          </cell>
        </row>
        <row r="1016">
          <cell r="B1016" t="str">
            <v>Brunswick County Tourism Authority</v>
          </cell>
          <cell r="C1016">
            <v>91009</v>
          </cell>
        </row>
        <row r="1017">
          <cell r="B1017" t="str">
            <v>Brunswick Regional Water And Sewer H2Go</v>
          </cell>
          <cell r="C1017">
            <v>91042</v>
          </cell>
        </row>
        <row r="1018">
          <cell r="B1018" t="str">
            <v>Bryson City</v>
          </cell>
          <cell r="C1018">
            <v>98711</v>
          </cell>
        </row>
        <row r="1019">
          <cell r="B1019" t="str">
            <v>Bryson City ABC Board</v>
          </cell>
          <cell r="C1019">
            <v>98717</v>
          </cell>
        </row>
        <row r="1020">
          <cell r="B1020" t="str">
            <v>Buncombe County</v>
          </cell>
          <cell r="C1020">
            <v>91101</v>
          </cell>
        </row>
        <row r="1021">
          <cell r="B1021" t="str">
            <v>Bunn</v>
          </cell>
          <cell r="C1021">
            <v>93531</v>
          </cell>
        </row>
        <row r="1022">
          <cell r="B1022" t="str">
            <v>Bunn ABC Board</v>
          </cell>
          <cell r="C1022">
            <v>93537</v>
          </cell>
        </row>
        <row r="1023">
          <cell r="B1023" t="str">
            <v>Burgaw</v>
          </cell>
          <cell r="C1023">
            <v>97111</v>
          </cell>
        </row>
        <row r="1024">
          <cell r="B1024" t="str">
            <v>Burke Co Dept Of Social Services</v>
          </cell>
          <cell r="C1024">
            <v>91206</v>
          </cell>
        </row>
        <row r="1025">
          <cell r="B1025" t="str">
            <v>Burke Co Health Dept</v>
          </cell>
          <cell r="C1025">
            <v>91203</v>
          </cell>
        </row>
        <row r="1026">
          <cell r="B1026" t="str">
            <v>Burke County</v>
          </cell>
          <cell r="C1026">
            <v>91201</v>
          </cell>
        </row>
        <row r="1027">
          <cell r="B1027" t="str">
            <v>Burke County Tourism Dev. Authority</v>
          </cell>
          <cell r="C1027">
            <v>91208</v>
          </cell>
        </row>
        <row r="1028">
          <cell r="B1028" t="str">
            <v>Burke-Catawba Dist Confinement</v>
          </cell>
          <cell r="C1028">
            <v>91202</v>
          </cell>
        </row>
        <row r="1029">
          <cell r="B1029" t="str">
            <v>Burlington</v>
          </cell>
          <cell r="C1029">
            <v>90111</v>
          </cell>
        </row>
        <row r="1030">
          <cell r="B1030" t="str">
            <v>Burnsville</v>
          </cell>
          <cell r="C1030">
            <v>90011</v>
          </cell>
        </row>
        <row r="1031">
          <cell r="B1031" t="str">
            <v>Butner</v>
          </cell>
          <cell r="C1031">
            <v>93931</v>
          </cell>
        </row>
        <row r="1032">
          <cell r="B1032" t="str">
            <v>Cabarrus Co Public Health Auth</v>
          </cell>
          <cell r="C1032">
            <v>91306</v>
          </cell>
        </row>
        <row r="1033">
          <cell r="B1033" t="str">
            <v>Cabarrus County</v>
          </cell>
          <cell r="C1033">
            <v>91301</v>
          </cell>
        </row>
        <row r="1034">
          <cell r="B1034" t="str">
            <v>Cabarrus County Tourism Authority</v>
          </cell>
          <cell r="C1034">
            <v>91308</v>
          </cell>
        </row>
        <row r="1035">
          <cell r="B1035" t="str">
            <v>Cajah'S Mountain</v>
          </cell>
          <cell r="C1035">
            <v>91461</v>
          </cell>
        </row>
        <row r="1036">
          <cell r="B1036" t="str">
            <v>Calabash</v>
          </cell>
          <cell r="C1036">
            <v>91010</v>
          </cell>
        </row>
        <row r="1037">
          <cell r="B1037" t="str">
            <v>Calabash ABC Board</v>
          </cell>
          <cell r="C1037">
            <v>91007</v>
          </cell>
        </row>
        <row r="1038">
          <cell r="B1038" t="str">
            <v>Caldwell County</v>
          </cell>
          <cell r="C1038">
            <v>91401</v>
          </cell>
        </row>
        <row r="1039">
          <cell r="B1039" t="str">
            <v>Calypso</v>
          </cell>
          <cell r="C1039">
            <v>93171</v>
          </cell>
        </row>
        <row r="1040">
          <cell r="B1040" t="str">
            <v>Camden County</v>
          </cell>
          <cell r="C1040">
            <v>91501</v>
          </cell>
        </row>
        <row r="1041">
          <cell r="B1041" t="str">
            <v>Camden County ABC Board</v>
          </cell>
          <cell r="C1041">
            <v>91504</v>
          </cell>
        </row>
        <row r="1042">
          <cell r="B1042" t="str">
            <v>Cameron</v>
          </cell>
          <cell r="C1042">
            <v>96312</v>
          </cell>
        </row>
        <row r="1043">
          <cell r="B1043" t="str">
            <v>Candor</v>
          </cell>
          <cell r="C1043">
            <v>96241</v>
          </cell>
        </row>
        <row r="1044">
          <cell r="B1044" t="str">
            <v>Canton</v>
          </cell>
          <cell r="C1044">
            <v>94431</v>
          </cell>
        </row>
        <row r="1045">
          <cell r="B1045" t="str">
            <v>Canton ABC Board</v>
          </cell>
          <cell r="C1045">
            <v>94437</v>
          </cell>
        </row>
        <row r="1046">
          <cell r="B1046" t="str">
            <v>Cape Carteret</v>
          </cell>
          <cell r="C1046">
            <v>91671</v>
          </cell>
        </row>
        <row r="1047">
          <cell r="B1047" t="str">
            <v>Cape Fear Council Of Governments</v>
          </cell>
          <cell r="C1047">
            <v>91008</v>
          </cell>
        </row>
        <row r="1048">
          <cell r="B1048" t="str">
            <v>Cape Fear Public Transportation Authority</v>
          </cell>
          <cell r="C1048">
            <v>96512</v>
          </cell>
        </row>
        <row r="1049">
          <cell r="B1049" t="str">
            <v>Cape Fear Public Utility Authority</v>
          </cell>
          <cell r="C1049">
            <v>96507</v>
          </cell>
        </row>
        <row r="1050">
          <cell r="B1050" t="str">
            <v>Carolina Beach</v>
          </cell>
          <cell r="C1050">
            <v>96521</v>
          </cell>
        </row>
        <row r="1051">
          <cell r="B1051" t="str">
            <v>Carolina Shores</v>
          </cell>
          <cell r="C1051">
            <v>91024</v>
          </cell>
        </row>
        <row r="1052">
          <cell r="B1052" t="str">
            <v>Carrboro</v>
          </cell>
          <cell r="C1052">
            <v>96821</v>
          </cell>
        </row>
        <row r="1053">
          <cell r="B1053" t="str">
            <v>Carteret County</v>
          </cell>
          <cell r="C1053">
            <v>91601</v>
          </cell>
        </row>
        <row r="1054">
          <cell r="B1054" t="str">
            <v>Carteret County ABC Board</v>
          </cell>
          <cell r="C1054">
            <v>91604</v>
          </cell>
        </row>
        <row r="1055">
          <cell r="B1055" t="str">
            <v>Carthage</v>
          </cell>
          <cell r="C1055">
            <v>96391</v>
          </cell>
        </row>
        <row r="1056">
          <cell r="B1056" t="str">
            <v>Cary</v>
          </cell>
          <cell r="C1056">
            <v>99221</v>
          </cell>
        </row>
        <row r="1057">
          <cell r="B1057" t="str">
            <v>Caswell Beach</v>
          </cell>
          <cell r="C1057">
            <v>91051</v>
          </cell>
        </row>
        <row r="1058">
          <cell r="B1058" t="str">
            <v>Caswell Co Dept Of Social Services</v>
          </cell>
          <cell r="C1058">
            <v>91706</v>
          </cell>
        </row>
        <row r="1059">
          <cell r="B1059" t="str">
            <v>Caswell County</v>
          </cell>
          <cell r="C1059">
            <v>91701</v>
          </cell>
        </row>
        <row r="1060">
          <cell r="B1060" t="str">
            <v>Caswell County ABC Board</v>
          </cell>
          <cell r="C1060">
            <v>91704</v>
          </cell>
        </row>
        <row r="1061">
          <cell r="B1061" t="str">
            <v>Catawba</v>
          </cell>
          <cell r="C1061">
            <v>91881</v>
          </cell>
        </row>
        <row r="1062">
          <cell r="B1062" t="str">
            <v>Catawba County</v>
          </cell>
          <cell r="C1062">
            <v>91801</v>
          </cell>
        </row>
        <row r="1063">
          <cell r="B1063" t="str">
            <v>Catawba County ABC Board</v>
          </cell>
          <cell r="C1063">
            <v>91804</v>
          </cell>
        </row>
        <row r="1064">
          <cell r="B1064" t="str">
            <v>Cedar Point</v>
          </cell>
          <cell r="C1064">
            <v>91691</v>
          </cell>
        </row>
        <row r="1065">
          <cell r="B1065" t="str">
            <v>Centennial Authority</v>
          </cell>
          <cell r="C1065">
            <v>99222</v>
          </cell>
        </row>
        <row r="1066">
          <cell r="B1066" t="str">
            <v>Centerpoint Human Services</v>
          </cell>
          <cell r="C1066">
            <v>93408</v>
          </cell>
        </row>
        <row r="1067">
          <cell r="B1067" t="str">
            <v>Centralina Council Of Governments</v>
          </cell>
          <cell r="C1067">
            <v>96009</v>
          </cell>
        </row>
        <row r="1068">
          <cell r="B1068" t="str">
            <v>Chadbourn</v>
          </cell>
          <cell r="C1068">
            <v>92441</v>
          </cell>
        </row>
        <row r="1069">
          <cell r="B1069" t="str">
            <v>Chapel Hill</v>
          </cell>
          <cell r="C1069">
            <v>96811</v>
          </cell>
        </row>
        <row r="1070">
          <cell r="B1070" t="str">
            <v>Charlotte</v>
          </cell>
          <cell r="C1070">
            <v>96011</v>
          </cell>
        </row>
        <row r="1071">
          <cell r="B1071" t="str">
            <v>Charlotte Firemen'S Ret Sys</v>
          </cell>
          <cell r="C1071">
            <v>96018</v>
          </cell>
        </row>
        <row r="1072">
          <cell r="B1072" t="str">
            <v>Charlotte Housing Authority</v>
          </cell>
          <cell r="C1072">
            <v>96003</v>
          </cell>
        </row>
        <row r="1073">
          <cell r="B1073" t="str">
            <v>Charlotte Mecklenburg Public Library</v>
          </cell>
          <cell r="C1073">
            <v>96005</v>
          </cell>
        </row>
        <row r="1074">
          <cell r="B1074" t="str">
            <v>Charlotte Regional Visitors Authority</v>
          </cell>
          <cell r="C1074">
            <v>96012</v>
          </cell>
        </row>
        <row r="1075">
          <cell r="B1075" t="str">
            <v>Chatham Co Housing Auth</v>
          </cell>
          <cell r="C1075">
            <v>91903</v>
          </cell>
        </row>
        <row r="1076">
          <cell r="B1076" t="str">
            <v>Chatham County</v>
          </cell>
          <cell r="C1076">
            <v>91901</v>
          </cell>
        </row>
        <row r="1077">
          <cell r="B1077" t="str">
            <v>Chatham County ABC Board</v>
          </cell>
          <cell r="C1077">
            <v>91904</v>
          </cell>
        </row>
        <row r="1078">
          <cell r="B1078" t="str">
            <v>Cherokee County</v>
          </cell>
          <cell r="C1078">
            <v>92001</v>
          </cell>
        </row>
        <row r="1079">
          <cell r="B1079" t="str">
            <v>Cherryville</v>
          </cell>
          <cell r="C1079">
            <v>93641</v>
          </cell>
        </row>
        <row r="1080">
          <cell r="B1080" t="str">
            <v>Cherryville ABC Board</v>
          </cell>
          <cell r="C1080">
            <v>93647</v>
          </cell>
        </row>
        <row r="1081">
          <cell r="B1081" t="str">
            <v>China Grove</v>
          </cell>
          <cell r="C1081">
            <v>98041</v>
          </cell>
        </row>
        <row r="1082">
          <cell r="B1082" t="str">
            <v>Choanoke Public Transportation Auth</v>
          </cell>
          <cell r="C1082">
            <v>96612</v>
          </cell>
        </row>
        <row r="1083">
          <cell r="B1083" t="str">
            <v>Chocowinity</v>
          </cell>
          <cell r="C1083">
            <v>90751</v>
          </cell>
        </row>
        <row r="1084">
          <cell r="B1084" t="str">
            <v>Chowan County</v>
          </cell>
          <cell r="C1084">
            <v>92101</v>
          </cell>
        </row>
        <row r="1085">
          <cell r="B1085" t="str">
            <v>Chowan County Abc Board</v>
          </cell>
          <cell r="C1085">
            <v>92104</v>
          </cell>
        </row>
        <row r="1086">
          <cell r="B1086" t="str">
            <v>Claremont</v>
          </cell>
          <cell r="C1086">
            <v>91821</v>
          </cell>
        </row>
        <row r="1087">
          <cell r="B1087" t="str">
            <v>Clarkton</v>
          </cell>
          <cell r="C1087">
            <v>90931</v>
          </cell>
        </row>
        <row r="1088">
          <cell r="B1088" t="str">
            <v>Clay County</v>
          </cell>
          <cell r="C1088">
            <v>92201</v>
          </cell>
        </row>
        <row r="1089">
          <cell r="B1089" t="str">
            <v>Clayton</v>
          </cell>
          <cell r="C1089">
            <v>95131</v>
          </cell>
        </row>
        <row r="1090">
          <cell r="B1090" t="str">
            <v>Clemmons</v>
          </cell>
          <cell r="C1090">
            <v>93441</v>
          </cell>
        </row>
        <row r="1091">
          <cell r="B1091" t="str">
            <v>Clemmons Fire Department</v>
          </cell>
          <cell r="C1091">
            <v>93442</v>
          </cell>
        </row>
        <row r="1092">
          <cell r="B1092" t="str">
            <v>Cleveland</v>
          </cell>
          <cell r="C1092">
            <v>98091</v>
          </cell>
        </row>
        <row r="1093">
          <cell r="B1093" t="str">
            <v>Cleveland County</v>
          </cell>
          <cell r="C1093">
            <v>92301</v>
          </cell>
        </row>
        <row r="1094">
          <cell r="B1094" t="str">
            <v>Cleveland County Water</v>
          </cell>
          <cell r="C1094">
            <v>92302</v>
          </cell>
        </row>
        <row r="1095">
          <cell r="B1095" t="str">
            <v>Clinton</v>
          </cell>
          <cell r="C1095">
            <v>98211</v>
          </cell>
        </row>
        <row r="1096">
          <cell r="B1096" t="str">
            <v>Clinton ABC Board</v>
          </cell>
          <cell r="C1096">
            <v>98218</v>
          </cell>
        </row>
        <row r="1097">
          <cell r="B1097" t="str">
            <v>Coastal Carolina Regional Airport</v>
          </cell>
          <cell r="C1097">
            <v>92506</v>
          </cell>
        </row>
        <row r="1098">
          <cell r="B1098" t="str">
            <v>Coastal Regional Solid Waste Mngt Auth</v>
          </cell>
          <cell r="C1098">
            <v>92508</v>
          </cell>
        </row>
        <row r="1099">
          <cell r="B1099" t="str">
            <v>Coats</v>
          </cell>
          <cell r="C1099">
            <v>94341</v>
          </cell>
        </row>
        <row r="1100">
          <cell r="B1100" t="str">
            <v>Cofield</v>
          </cell>
          <cell r="C1100">
            <v>94641</v>
          </cell>
        </row>
        <row r="1101">
          <cell r="B1101" t="str">
            <v>Colerain</v>
          </cell>
          <cell r="C1101">
            <v>90813</v>
          </cell>
        </row>
        <row r="1102">
          <cell r="B1102" t="str">
            <v>Colfax Volunteer Fire Department</v>
          </cell>
          <cell r="C1102">
            <v>94168</v>
          </cell>
        </row>
        <row r="1103">
          <cell r="B1103" t="str">
            <v>Columbia</v>
          </cell>
          <cell r="C1103">
            <v>98911</v>
          </cell>
        </row>
        <row r="1104">
          <cell r="B1104" t="str">
            <v>Columbus</v>
          </cell>
          <cell r="C1104">
            <v>97521</v>
          </cell>
        </row>
        <row r="1105">
          <cell r="B1105" t="str">
            <v>Columbus County</v>
          </cell>
          <cell r="C1105">
            <v>92401</v>
          </cell>
        </row>
        <row r="1106">
          <cell r="B1106" t="str">
            <v>Concord</v>
          </cell>
          <cell r="C1106">
            <v>91311</v>
          </cell>
        </row>
        <row r="1107">
          <cell r="B1107" t="str">
            <v>Concord ABC Board</v>
          </cell>
          <cell r="C1107">
            <v>91317</v>
          </cell>
        </row>
        <row r="1108">
          <cell r="B1108" t="str">
            <v>Connelly Springs</v>
          </cell>
          <cell r="C1108">
            <v>91261</v>
          </cell>
        </row>
        <row r="1109">
          <cell r="B1109" t="str">
            <v>Conover</v>
          </cell>
          <cell r="C1109">
            <v>91851</v>
          </cell>
        </row>
        <row r="1110">
          <cell r="B1110" t="str">
            <v>Contennea Metropolitan Sewerage Dist</v>
          </cell>
          <cell r="C1110">
            <v>97408</v>
          </cell>
        </row>
        <row r="1111">
          <cell r="B1111" t="str">
            <v>Conway</v>
          </cell>
          <cell r="C1111">
            <v>96641</v>
          </cell>
        </row>
        <row r="1112">
          <cell r="B1112" t="str">
            <v>Cooleemee</v>
          </cell>
          <cell r="C1112">
            <v>93031</v>
          </cell>
        </row>
        <row r="1113">
          <cell r="B1113" t="str">
            <v>Cooleemee ABC Board</v>
          </cell>
          <cell r="C1113">
            <v>93027</v>
          </cell>
        </row>
        <row r="1114">
          <cell r="B1114" t="str">
            <v>Cornelius</v>
          </cell>
          <cell r="C1114">
            <v>96051</v>
          </cell>
        </row>
        <row r="1115">
          <cell r="B1115" t="str">
            <v>County Of Henderson</v>
          </cell>
          <cell r="C1115">
            <v>94501</v>
          </cell>
        </row>
        <row r="1116">
          <cell r="B1116" t="str">
            <v>Cove City</v>
          </cell>
          <cell r="C1116">
            <v>92571</v>
          </cell>
        </row>
        <row r="1117">
          <cell r="B1117" t="str">
            <v>Cramerton</v>
          </cell>
          <cell r="C1117">
            <v>93631</v>
          </cell>
        </row>
        <row r="1118">
          <cell r="B1118" t="str">
            <v>Craven Co ABC Bd</v>
          </cell>
          <cell r="C1118">
            <v>92504</v>
          </cell>
        </row>
        <row r="1119">
          <cell r="B1119" t="str">
            <v>Craven County</v>
          </cell>
          <cell r="C1119">
            <v>92501</v>
          </cell>
        </row>
        <row r="1120">
          <cell r="B1120" t="str">
            <v>Craven-Pamlico-Carteret Regional Library</v>
          </cell>
          <cell r="C1120">
            <v>92505</v>
          </cell>
        </row>
        <row r="1121">
          <cell r="B1121" t="str">
            <v>Creedmoor</v>
          </cell>
          <cell r="C1121">
            <v>93921</v>
          </cell>
        </row>
        <row r="1122">
          <cell r="B1122" t="str">
            <v>Creswell</v>
          </cell>
          <cell r="C1122">
            <v>99431</v>
          </cell>
        </row>
        <row r="1123">
          <cell r="B1123" t="str">
            <v>Cumberland Co ABC Board</v>
          </cell>
          <cell r="C1123">
            <v>92604</v>
          </cell>
        </row>
        <row r="1124">
          <cell r="B1124" t="str">
            <v>Cumberland County</v>
          </cell>
          <cell r="C1124">
            <v>92601</v>
          </cell>
        </row>
        <row r="1125">
          <cell r="B1125" t="str">
            <v>Cumberland Memorial Auditorium Com</v>
          </cell>
          <cell r="C1125">
            <v>92608</v>
          </cell>
        </row>
        <row r="1126">
          <cell r="B1126" t="str">
            <v>Currituck Co ABC Board</v>
          </cell>
          <cell r="C1126">
            <v>92704</v>
          </cell>
        </row>
        <row r="1127">
          <cell r="B1127" t="str">
            <v>Currituck County</v>
          </cell>
          <cell r="C1127">
            <v>92701</v>
          </cell>
        </row>
        <row r="1128">
          <cell r="B1128" t="str">
            <v>Dallas</v>
          </cell>
          <cell r="C1128">
            <v>93651</v>
          </cell>
        </row>
        <row r="1129">
          <cell r="B1129" t="str">
            <v>Dare County</v>
          </cell>
          <cell r="C1129">
            <v>92801</v>
          </cell>
        </row>
        <row r="1130">
          <cell r="B1130" t="str">
            <v>Dare County ABC Board</v>
          </cell>
          <cell r="C1130">
            <v>92804</v>
          </cell>
        </row>
        <row r="1131">
          <cell r="B1131" t="str">
            <v>Dare County Tourism Board</v>
          </cell>
          <cell r="C1131">
            <v>92802</v>
          </cell>
        </row>
        <row r="1132">
          <cell r="B1132" t="str">
            <v>Davidson</v>
          </cell>
          <cell r="C1132">
            <v>96081</v>
          </cell>
        </row>
        <row r="1133">
          <cell r="B1133" t="str">
            <v>Davidson County</v>
          </cell>
          <cell r="C1133">
            <v>92901</v>
          </cell>
        </row>
        <row r="1134">
          <cell r="B1134" t="str">
            <v>Davie County</v>
          </cell>
          <cell r="C1134">
            <v>93001</v>
          </cell>
        </row>
        <row r="1135">
          <cell r="B1135" t="str">
            <v>Davie Soil And Water Conservation Dist</v>
          </cell>
          <cell r="C1135">
            <v>93009</v>
          </cell>
        </row>
        <row r="1136">
          <cell r="B1136" t="str">
            <v>Denton</v>
          </cell>
          <cell r="C1136">
            <v>92921</v>
          </cell>
        </row>
        <row r="1137">
          <cell r="B1137" t="str">
            <v>Dobson</v>
          </cell>
          <cell r="C1137">
            <v>98621</v>
          </cell>
        </row>
        <row r="1138">
          <cell r="B1138" t="str">
            <v>Dobson ABC Bd</v>
          </cell>
          <cell r="C1138">
            <v>98627</v>
          </cell>
        </row>
        <row r="1139">
          <cell r="B1139" t="str">
            <v>Drexel</v>
          </cell>
          <cell r="C1139">
            <v>91221</v>
          </cell>
        </row>
        <row r="1140">
          <cell r="B1140" t="str">
            <v>Duck</v>
          </cell>
          <cell r="C1140">
            <v>92861</v>
          </cell>
        </row>
        <row r="1141">
          <cell r="B1141" t="str">
            <v>Dunn</v>
          </cell>
          <cell r="C1141">
            <v>94311</v>
          </cell>
        </row>
        <row r="1142">
          <cell r="B1142" t="str">
            <v>Dunn ABC Board</v>
          </cell>
          <cell r="C1142">
            <v>94317</v>
          </cell>
        </row>
        <row r="1143">
          <cell r="B1143" t="str">
            <v>Dunn Housing Authority</v>
          </cell>
          <cell r="C1143">
            <v>94313</v>
          </cell>
        </row>
        <row r="1144">
          <cell r="B1144" t="str">
            <v>Duplin County</v>
          </cell>
          <cell r="C1144">
            <v>93101</v>
          </cell>
        </row>
        <row r="1145">
          <cell r="B1145" t="str">
            <v>Duplin County Tourism Development Authority</v>
          </cell>
          <cell r="C1145">
            <v>93103</v>
          </cell>
        </row>
        <row r="1146">
          <cell r="B1146" t="str">
            <v>Durham</v>
          </cell>
          <cell r="C1146">
            <v>93211</v>
          </cell>
        </row>
        <row r="1147">
          <cell r="B1147" t="str">
            <v>Durham Convention &amp; Visitors Bureau</v>
          </cell>
          <cell r="C1147">
            <v>93212</v>
          </cell>
        </row>
        <row r="1148">
          <cell r="B1148" t="str">
            <v>Durham County</v>
          </cell>
          <cell r="C1148">
            <v>93201</v>
          </cell>
        </row>
        <row r="1149">
          <cell r="B1149" t="str">
            <v>Durham County ABC Board</v>
          </cell>
          <cell r="C1149">
            <v>93204</v>
          </cell>
        </row>
        <row r="1150">
          <cell r="B1150" t="str">
            <v>Durham Hwy Fire Protection Assoc</v>
          </cell>
          <cell r="C1150">
            <v>99212</v>
          </cell>
        </row>
        <row r="1151">
          <cell r="B1151" t="str">
            <v>East Albemarle Regional Library</v>
          </cell>
          <cell r="C1151">
            <v>97005</v>
          </cell>
        </row>
        <row r="1152">
          <cell r="B1152" t="str">
            <v>East Bend</v>
          </cell>
          <cell r="C1152">
            <v>99931</v>
          </cell>
        </row>
        <row r="1153">
          <cell r="B1153" t="str">
            <v>East Spencer</v>
          </cell>
          <cell r="C1153">
            <v>98021</v>
          </cell>
        </row>
        <row r="1154">
          <cell r="B1154" t="str">
            <v>East Spencer Housing Authority</v>
          </cell>
          <cell r="C1154">
            <v>98023</v>
          </cell>
        </row>
        <row r="1155">
          <cell r="B1155" t="str">
            <v>Eastern Band Of Cherokee Indians</v>
          </cell>
          <cell r="C1155">
            <v>70505</v>
          </cell>
        </row>
        <row r="1156">
          <cell r="B1156" t="str">
            <v>Eastern Carolina Reg'L Housing Auth</v>
          </cell>
          <cell r="C1156">
            <v>99603</v>
          </cell>
        </row>
        <row r="1157">
          <cell r="B1157" t="str">
            <v>Eastern Wayne Sanitary Dist</v>
          </cell>
          <cell r="C1157">
            <v>99610</v>
          </cell>
        </row>
        <row r="1158">
          <cell r="B1158" t="str">
            <v>Eastover</v>
          </cell>
          <cell r="C1158">
            <v>92681</v>
          </cell>
        </row>
        <row r="1159">
          <cell r="B1159" t="str">
            <v>Eastpointe Human Services</v>
          </cell>
          <cell r="C1159">
            <v>93108</v>
          </cell>
        </row>
        <row r="1160">
          <cell r="B1160" t="str">
            <v>Eden</v>
          </cell>
          <cell r="C1160">
            <v>97951</v>
          </cell>
        </row>
        <row r="1161">
          <cell r="B1161" t="str">
            <v>Eden ABC Board</v>
          </cell>
          <cell r="C1161">
            <v>97957</v>
          </cell>
        </row>
        <row r="1162">
          <cell r="B1162" t="str">
            <v>Edenton</v>
          </cell>
          <cell r="C1162">
            <v>92111</v>
          </cell>
        </row>
        <row r="1163">
          <cell r="B1163" t="str">
            <v>Edgecombe County</v>
          </cell>
          <cell r="C1163">
            <v>93301</v>
          </cell>
        </row>
        <row r="1164">
          <cell r="B1164" t="str">
            <v>Edgecombe County ABC Board</v>
          </cell>
          <cell r="C1164">
            <v>93304</v>
          </cell>
        </row>
        <row r="1165">
          <cell r="B1165" t="str">
            <v>Edgecombe County Memorial Library</v>
          </cell>
          <cell r="C1165">
            <v>93305</v>
          </cell>
        </row>
        <row r="1166">
          <cell r="B1166" t="str">
            <v>Electricities Of Nc</v>
          </cell>
          <cell r="C1166">
            <v>99210</v>
          </cell>
        </row>
        <row r="1167">
          <cell r="B1167" t="str">
            <v>Elizabeth City</v>
          </cell>
          <cell r="C1167">
            <v>97011</v>
          </cell>
        </row>
        <row r="1168">
          <cell r="B1168" t="str">
            <v>Elizabeth City Pasquotank County Tda</v>
          </cell>
          <cell r="C1168">
            <v>97013</v>
          </cell>
        </row>
        <row r="1169">
          <cell r="B1169" t="str">
            <v>Elizabeth City-Pasquotank Co Airport Auth</v>
          </cell>
          <cell r="C1169">
            <v>97012</v>
          </cell>
        </row>
        <row r="1170">
          <cell r="B1170" t="str">
            <v>Elizabeth Cty-Pasquotank Co Industrl Development C</v>
          </cell>
          <cell r="C1170">
            <v>97018</v>
          </cell>
        </row>
        <row r="1171">
          <cell r="B1171" t="str">
            <v>Elizabethtown</v>
          </cell>
          <cell r="C1171">
            <v>90911</v>
          </cell>
        </row>
        <row r="1172">
          <cell r="B1172" t="str">
            <v>Elizabethtown ABC Board</v>
          </cell>
          <cell r="C1172">
            <v>90917</v>
          </cell>
        </row>
        <row r="1173">
          <cell r="B1173" t="str">
            <v>Elk Park</v>
          </cell>
          <cell r="C1173">
            <v>90641</v>
          </cell>
        </row>
        <row r="1174">
          <cell r="B1174" t="str">
            <v>Elkin</v>
          </cell>
          <cell r="C1174">
            <v>98641</v>
          </cell>
        </row>
        <row r="1175">
          <cell r="B1175" t="str">
            <v>Ellenboro</v>
          </cell>
          <cell r="C1175">
            <v>98161</v>
          </cell>
        </row>
        <row r="1176">
          <cell r="B1176" t="str">
            <v>Ellerbe</v>
          </cell>
          <cell r="C1176">
            <v>97731</v>
          </cell>
        </row>
        <row r="1177">
          <cell r="B1177" t="str">
            <v>Elm City</v>
          </cell>
          <cell r="C1177">
            <v>99851</v>
          </cell>
        </row>
        <row r="1178">
          <cell r="B1178" t="str">
            <v>Elon</v>
          </cell>
          <cell r="C1178">
            <v>90131</v>
          </cell>
        </row>
        <row r="1179">
          <cell r="B1179" t="str">
            <v>Emerald Isle</v>
          </cell>
          <cell r="C1179">
            <v>91651</v>
          </cell>
        </row>
        <row r="1180">
          <cell r="B1180" t="str">
            <v>Enfield</v>
          </cell>
          <cell r="C1180">
            <v>94211</v>
          </cell>
        </row>
        <row r="1181">
          <cell r="B1181" t="str">
            <v>Erwin</v>
          </cell>
          <cell r="C1181">
            <v>94331</v>
          </cell>
        </row>
        <row r="1182">
          <cell r="B1182" t="str">
            <v>Fair Bluff</v>
          </cell>
          <cell r="C1182">
            <v>92431</v>
          </cell>
        </row>
        <row r="1183">
          <cell r="B1183" t="str">
            <v>Fairmont</v>
          </cell>
          <cell r="C1183">
            <v>97821</v>
          </cell>
        </row>
        <row r="1184">
          <cell r="B1184" t="str">
            <v>Fairmont Housing Authority</v>
          </cell>
          <cell r="C1184">
            <v>97823</v>
          </cell>
        </row>
        <row r="1185">
          <cell r="B1185" t="str">
            <v>Faison</v>
          </cell>
          <cell r="C1185">
            <v>93141</v>
          </cell>
        </row>
        <row r="1186">
          <cell r="B1186" t="str">
            <v>Faith</v>
          </cell>
          <cell r="C1186">
            <v>98081</v>
          </cell>
        </row>
        <row r="1187">
          <cell r="B1187" t="str">
            <v>Falcon</v>
          </cell>
          <cell r="C1187">
            <v>92671</v>
          </cell>
        </row>
        <row r="1188">
          <cell r="B1188" t="str">
            <v>Farmville</v>
          </cell>
          <cell r="C1188">
            <v>97421</v>
          </cell>
        </row>
        <row r="1189">
          <cell r="B1189" t="str">
            <v>Farmville Housing Authority</v>
          </cell>
          <cell r="C1189">
            <v>97423</v>
          </cell>
        </row>
        <row r="1190">
          <cell r="B1190" t="str">
            <v>Fayetteville</v>
          </cell>
          <cell r="C1190">
            <v>92611</v>
          </cell>
        </row>
        <row r="1191">
          <cell r="B1191" t="str">
            <v>Fayetteville Metropolitan Housing Auth</v>
          </cell>
          <cell r="C1191">
            <v>92613</v>
          </cell>
        </row>
        <row r="1192">
          <cell r="B1192" t="str">
            <v>First Craven Sanitary Dist</v>
          </cell>
          <cell r="C1192">
            <v>92502</v>
          </cell>
        </row>
        <row r="1193">
          <cell r="B1193" t="str">
            <v>Flat Rock</v>
          </cell>
          <cell r="C1193">
            <v>94531</v>
          </cell>
        </row>
        <row r="1194">
          <cell r="B1194" t="str">
            <v>Fletcher</v>
          </cell>
          <cell r="C1194">
            <v>94541</v>
          </cell>
        </row>
        <row r="1195">
          <cell r="B1195" t="str">
            <v>Fletcher ABC Board</v>
          </cell>
          <cell r="C1195">
            <v>94547</v>
          </cell>
        </row>
        <row r="1196">
          <cell r="B1196" t="str">
            <v>Fontana Regional Library</v>
          </cell>
          <cell r="C1196">
            <v>95005</v>
          </cell>
        </row>
        <row r="1197">
          <cell r="B1197" t="str">
            <v>Forest City</v>
          </cell>
          <cell r="C1197">
            <v>98111</v>
          </cell>
        </row>
        <row r="1198">
          <cell r="B1198" t="str">
            <v>Forest City ABC Board 168</v>
          </cell>
          <cell r="C1198">
            <v>98107</v>
          </cell>
        </row>
        <row r="1199">
          <cell r="B1199" t="str">
            <v>Forest City Housing Authority</v>
          </cell>
          <cell r="C1199">
            <v>98113</v>
          </cell>
        </row>
        <row r="1200">
          <cell r="B1200" t="str">
            <v>Fork Township Sanitary Dist</v>
          </cell>
          <cell r="C1200">
            <v>99602</v>
          </cell>
        </row>
        <row r="1201">
          <cell r="B1201" t="str">
            <v>Forsyth County</v>
          </cell>
          <cell r="C1201">
            <v>93401</v>
          </cell>
        </row>
        <row r="1202">
          <cell r="B1202" t="str">
            <v>Fountain, Town Of</v>
          </cell>
          <cell r="C1202">
            <v>97491</v>
          </cell>
        </row>
        <row r="1203">
          <cell r="B1203" t="str">
            <v>Four Oaks</v>
          </cell>
          <cell r="C1203">
            <v>95151</v>
          </cell>
        </row>
        <row r="1204">
          <cell r="B1204" t="str">
            <v>Foxfire Village</v>
          </cell>
          <cell r="C1204">
            <v>96381</v>
          </cell>
        </row>
        <row r="1205">
          <cell r="B1205" t="str">
            <v>Franklin</v>
          </cell>
          <cell r="C1205">
            <v>95611</v>
          </cell>
        </row>
        <row r="1206">
          <cell r="B1206" t="str">
            <v>Franklin County</v>
          </cell>
          <cell r="C1206">
            <v>93501</v>
          </cell>
        </row>
        <row r="1207">
          <cell r="B1207" t="str">
            <v>Franklinton</v>
          </cell>
          <cell r="C1207">
            <v>93511</v>
          </cell>
        </row>
        <row r="1208">
          <cell r="B1208" t="str">
            <v>Franklinton ABC Board</v>
          </cell>
          <cell r="C1208">
            <v>93517</v>
          </cell>
        </row>
        <row r="1209">
          <cell r="B1209" t="str">
            <v>Fremont</v>
          </cell>
          <cell r="C1209">
            <v>99631</v>
          </cell>
        </row>
        <row r="1210">
          <cell r="B1210" t="str">
            <v>Fuquay-Varina</v>
          </cell>
          <cell r="C1210">
            <v>99261</v>
          </cell>
        </row>
        <row r="1211">
          <cell r="B1211" t="str">
            <v>Garland</v>
          </cell>
          <cell r="C1211">
            <v>98241</v>
          </cell>
        </row>
        <row r="1212">
          <cell r="B1212" t="str">
            <v>Garner</v>
          </cell>
          <cell r="C1212">
            <v>99251</v>
          </cell>
        </row>
        <row r="1213">
          <cell r="B1213" t="str">
            <v>Garner Fire Dept</v>
          </cell>
          <cell r="C1213">
            <v>99252</v>
          </cell>
        </row>
        <row r="1214">
          <cell r="B1214" t="str">
            <v>Garysburg</v>
          </cell>
          <cell r="C1214">
            <v>96631</v>
          </cell>
        </row>
        <row r="1215">
          <cell r="B1215" t="str">
            <v>Gaston</v>
          </cell>
          <cell r="C1215">
            <v>96651</v>
          </cell>
        </row>
        <row r="1216">
          <cell r="B1216" t="str">
            <v>Gaston County</v>
          </cell>
          <cell r="C1216">
            <v>93601</v>
          </cell>
        </row>
        <row r="1217">
          <cell r="B1217" t="str">
            <v>Gaston County Economic Dev. Commission</v>
          </cell>
          <cell r="C1217">
            <v>93618</v>
          </cell>
        </row>
        <row r="1218">
          <cell r="B1218" t="str">
            <v>Gastonia</v>
          </cell>
          <cell r="C1218">
            <v>93611</v>
          </cell>
        </row>
        <row r="1219">
          <cell r="B1219" t="str">
            <v>Gastonia ABC Board</v>
          </cell>
          <cell r="C1219">
            <v>93617</v>
          </cell>
        </row>
        <row r="1220">
          <cell r="B1220" t="str">
            <v>Gates County</v>
          </cell>
          <cell r="C1220">
            <v>93701</v>
          </cell>
        </row>
        <row r="1221">
          <cell r="B1221" t="str">
            <v>Gates County ABC Board</v>
          </cell>
          <cell r="C1221">
            <v>93704</v>
          </cell>
        </row>
        <row r="1222">
          <cell r="B1222" t="str">
            <v>Gibson</v>
          </cell>
          <cell r="C1222">
            <v>98331</v>
          </cell>
        </row>
        <row r="1223">
          <cell r="B1223" t="str">
            <v>Gibsonville</v>
          </cell>
          <cell r="C1223">
            <v>94151</v>
          </cell>
        </row>
        <row r="1224">
          <cell r="B1224" t="str">
            <v>Gibsonville ABC Board</v>
          </cell>
          <cell r="C1224">
            <v>94157</v>
          </cell>
        </row>
        <row r="1225">
          <cell r="B1225" t="str">
            <v>Glen Alpine</v>
          </cell>
          <cell r="C1225">
            <v>91241</v>
          </cell>
        </row>
        <row r="1226">
          <cell r="B1226" t="str">
            <v>Global Transpark Development Comm</v>
          </cell>
          <cell r="C1226">
            <v>95412</v>
          </cell>
        </row>
        <row r="1227">
          <cell r="B1227" t="str">
            <v>Goldsboro</v>
          </cell>
          <cell r="C1227">
            <v>99611</v>
          </cell>
        </row>
        <row r="1228">
          <cell r="B1228" t="str">
            <v>Goldston-Gulf Sanitary District</v>
          </cell>
          <cell r="C1228">
            <v>91908</v>
          </cell>
        </row>
        <row r="1229">
          <cell r="B1229" t="str">
            <v>Graham</v>
          </cell>
          <cell r="C1229">
            <v>90121</v>
          </cell>
        </row>
        <row r="1230">
          <cell r="B1230" t="str">
            <v>Graham Co Health Dept</v>
          </cell>
          <cell r="C1230">
            <v>93803</v>
          </cell>
        </row>
        <row r="1231">
          <cell r="B1231" t="str">
            <v>Graham County</v>
          </cell>
          <cell r="C1231">
            <v>93801</v>
          </cell>
        </row>
        <row r="1232">
          <cell r="B1232" t="str">
            <v>Graham County Dept Of S S</v>
          </cell>
          <cell r="C1232">
            <v>93806</v>
          </cell>
        </row>
        <row r="1233">
          <cell r="B1233" t="str">
            <v>Granite Falls</v>
          </cell>
          <cell r="C1233">
            <v>91411</v>
          </cell>
        </row>
        <row r="1234">
          <cell r="B1234" t="str">
            <v>Granite Falls ABC Board</v>
          </cell>
          <cell r="C1234">
            <v>91417</v>
          </cell>
        </row>
        <row r="1235">
          <cell r="B1235" t="str">
            <v>Granite Quarry</v>
          </cell>
          <cell r="C1235">
            <v>98061</v>
          </cell>
        </row>
        <row r="1236">
          <cell r="B1236" t="str">
            <v>Granville Co ABC Bd</v>
          </cell>
          <cell r="C1236">
            <v>93904</v>
          </cell>
        </row>
        <row r="1237">
          <cell r="B1237" t="str">
            <v>Granville County</v>
          </cell>
          <cell r="C1237">
            <v>93901</v>
          </cell>
        </row>
        <row r="1238">
          <cell r="B1238" t="str">
            <v>Granville County Hospital</v>
          </cell>
          <cell r="C1238">
            <v>93906</v>
          </cell>
        </row>
        <row r="1239">
          <cell r="B1239" t="str">
            <v>Granville-Vance Public Health</v>
          </cell>
          <cell r="C1239">
            <v>93908</v>
          </cell>
        </row>
        <row r="1240">
          <cell r="B1240" t="str">
            <v>Greater Statesville Development Corp</v>
          </cell>
          <cell r="C1240">
            <v>94908</v>
          </cell>
        </row>
        <row r="1241">
          <cell r="B1241" t="str">
            <v>Green Level</v>
          </cell>
          <cell r="C1241">
            <v>90161</v>
          </cell>
        </row>
        <row r="1242">
          <cell r="B1242" t="str">
            <v>Greene County</v>
          </cell>
          <cell r="C1242">
            <v>94001</v>
          </cell>
        </row>
        <row r="1243">
          <cell r="B1243" t="str">
            <v>Greene County ABC Board</v>
          </cell>
          <cell r="C1243">
            <v>94004</v>
          </cell>
        </row>
        <row r="1244">
          <cell r="B1244" t="str">
            <v>Greensboro</v>
          </cell>
          <cell r="C1244">
            <v>94111</v>
          </cell>
        </row>
        <row r="1245">
          <cell r="B1245" t="str">
            <v>Greensboro ABC Bd</v>
          </cell>
          <cell r="C1245">
            <v>94117</v>
          </cell>
        </row>
        <row r="1246">
          <cell r="B1246" t="str">
            <v>Greenville</v>
          </cell>
          <cell r="C1246">
            <v>97411</v>
          </cell>
        </row>
        <row r="1247">
          <cell r="B1247" t="str">
            <v>Greenville Housing Authority</v>
          </cell>
          <cell r="C1247">
            <v>97413</v>
          </cell>
        </row>
        <row r="1248">
          <cell r="B1248" t="str">
            <v>Greenville Utilities Commission</v>
          </cell>
          <cell r="C1248">
            <v>97412</v>
          </cell>
        </row>
        <row r="1249">
          <cell r="B1249" t="str">
            <v>Grifton</v>
          </cell>
          <cell r="C1249">
            <v>97431</v>
          </cell>
        </row>
        <row r="1250">
          <cell r="B1250" t="str">
            <v>Grimesland</v>
          </cell>
          <cell r="C1250">
            <v>97471</v>
          </cell>
        </row>
        <row r="1251">
          <cell r="B1251" t="str">
            <v>Grover</v>
          </cell>
          <cell r="C1251">
            <v>92351</v>
          </cell>
        </row>
        <row r="1252">
          <cell r="B1252" t="str">
            <v>Guilford County</v>
          </cell>
          <cell r="C1252">
            <v>94101</v>
          </cell>
        </row>
        <row r="1253">
          <cell r="B1253" t="str">
            <v>Guilford Fire District # 13 Inc</v>
          </cell>
          <cell r="C1253">
            <v>94118</v>
          </cell>
        </row>
        <row r="1254">
          <cell r="B1254" t="str">
            <v>Guil-Rand Fire Department</v>
          </cell>
          <cell r="C1254">
            <v>94102</v>
          </cell>
        </row>
        <row r="1255">
          <cell r="B1255" t="str">
            <v>Halifax County</v>
          </cell>
          <cell r="C1255">
            <v>94201</v>
          </cell>
        </row>
        <row r="1256">
          <cell r="B1256" t="str">
            <v>Halifax County ABC Board</v>
          </cell>
          <cell r="C1256">
            <v>94204</v>
          </cell>
        </row>
        <row r="1257">
          <cell r="B1257" t="str">
            <v>Halifax County Tourism Development Authority</v>
          </cell>
          <cell r="C1257">
            <v>94205</v>
          </cell>
        </row>
        <row r="1258">
          <cell r="B1258" t="str">
            <v>Hamilton</v>
          </cell>
          <cell r="C1258">
            <v>95831</v>
          </cell>
        </row>
        <row r="1259">
          <cell r="B1259" t="str">
            <v>Hamlet</v>
          </cell>
          <cell r="C1259">
            <v>97721</v>
          </cell>
        </row>
        <row r="1260">
          <cell r="B1260" t="str">
            <v>Hamlet ABC Board</v>
          </cell>
          <cell r="C1260">
            <v>97717</v>
          </cell>
        </row>
        <row r="1261">
          <cell r="B1261" t="str">
            <v>Harnett County</v>
          </cell>
          <cell r="C1261">
            <v>94301</v>
          </cell>
        </row>
        <row r="1262">
          <cell r="B1262" t="str">
            <v>Harrisburg</v>
          </cell>
          <cell r="C1262">
            <v>91441</v>
          </cell>
        </row>
        <row r="1263">
          <cell r="B1263" t="str">
            <v>Havelock</v>
          </cell>
          <cell r="C1263">
            <v>92531</v>
          </cell>
        </row>
        <row r="1264">
          <cell r="B1264" t="str">
            <v>Haw River</v>
          </cell>
          <cell r="C1264">
            <v>90141</v>
          </cell>
        </row>
        <row r="1265">
          <cell r="B1265" t="str">
            <v>Haywood County</v>
          </cell>
          <cell r="C1265">
            <v>94401</v>
          </cell>
        </row>
        <row r="1266">
          <cell r="B1266" t="str">
            <v>Haywood County Tourism Development Authority</v>
          </cell>
          <cell r="C1266">
            <v>94403</v>
          </cell>
        </row>
        <row r="1267">
          <cell r="B1267" t="str">
            <v>Haywood Medical Center</v>
          </cell>
          <cell r="C1267">
            <v>94402</v>
          </cell>
        </row>
        <row r="1268">
          <cell r="B1268" t="str">
            <v>Henderson</v>
          </cell>
          <cell r="C1268">
            <v>99111</v>
          </cell>
        </row>
        <row r="1269">
          <cell r="B1269" t="str">
            <v>Hendersonville</v>
          </cell>
          <cell r="C1269">
            <v>94511</v>
          </cell>
        </row>
        <row r="1270">
          <cell r="B1270" t="str">
            <v>Hendersonville ABC Bd</v>
          </cell>
          <cell r="C1270">
            <v>94517</v>
          </cell>
        </row>
        <row r="1271">
          <cell r="B1271" t="str">
            <v>Hendersonville Water Commission</v>
          </cell>
          <cell r="C1271">
            <v>94512</v>
          </cell>
        </row>
        <row r="1272">
          <cell r="B1272" t="str">
            <v>Hertford</v>
          </cell>
          <cell r="C1272">
            <v>97211</v>
          </cell>
        </row>
        <row r="1273">
          <cell r="B1273" t="str">
            <v>Hertford ABC Board</v>
          </cell>
          <cell r="C1273">
            <v>97217</v>
          </cell>
        </row>
        <row r="1274">
          <cell r="B1274" t="str">
            <v>Hertford County</v>
          </cell>
          <cell r="C1274">
            <v>94601</v>
          </cell>
        </row>
        <row r="1275">
          <cell r="B1275" t="str">
            <v>Hertford County ABC Board</v>
          </cell>
          <cell r="C1275">
            <v>94604</v>
          </cell>
        </row>
        <row r="1276">
          <cell r="B1276" t="str">
            <v>Hertford County Public Health Authority</v>
          </cell>
          <cell r="C1276">
            <v>94606</v>
          </cell>
        </row>
        <row r="1277">
          <cell r="B1277" t="str">
            <v>Hertford Housing Auth</v>
          </cell>
          <cell r="C1277">
            <v>97213</v>
          </cell>
        </row>
        <row r="1278">
          <cell r="B1278" t="str">
            <v>Hickory</v>
          </cell>
          <cell r="C1278">
            <v>91811</v>
          </cell>
        </row>
        <row r="1279">
          <cell r="B1279" t="str">
            <v>Hickory Conover Tourism Dev Auth</v>
          </cell>
          <cell r="C1279">
            <v>91812</v>
          </cell>
        </row>
        <row r="1280">
          <cell r="B1280" t="str">
            <v>Hickory Public Housing Authority</v>
          </cell>
          <cell r="C1280">
            <v>91813</v>
          </cell>
        </row>
        <row r="1281">
          <cell r="B1281" t="str">
            <v>High Country ABC Board</v>
          </cell>
          <cell r="C1281">
            <v>90617</v>
          </cell>
        </row>
        <row r="1282">
          <cell r="B1282" t="str">
            <v>High Point ABC Bd</v>
          </cell>
          <cell r="C1282">
            <v>94127</v>
          </cell>
        </row>
        <row r="1283">
          <cell r="B1283" t="str">
            <v>Highlands</v>
          </cell>
          <cell r="C1283">
            <v>95621</v>
          </cell>
        </row>
        <row r="1284">
          <cell r="B1284" t="str">
            <v>Highlands ABC Board</v>
          </cell>
          <cell r="C1284">
            <v>95617</v>
          </cell>
        </row>
        <row r="1285">
          <cell r="B1285" t="str">
            <v>HighPoint</v>
          </cell>
          <cell r="C1285">
            <v>94121</v>
          </cell>
        </row>
        <row r="1286">
          <cell r="B1286" t="str">
            <v>Hildebran</v>
          </cell>
          <cell r="C1286">
            <v>91251</v>
          </cell>
        </row>
        <row r="1287">
          <cell r="B1287" t="str">
            <v>Hillsborough</v>
          </cell>
          <cell r="C1287">
            <v>96831</v>
          </cell>
        </row>
        <row r="1288">
          <cell r="B1288" t="str">
            <v>Hobgood</v>
          </cell>
          <cell r="C1288">
            <v>94251</v>
          </cell>
        </row>
        <row r="1289">
          <cell r="B1289" t="str">
            <v>Hoke County</v>
          </cell>
          <cell r="C1289">
            <v>94701</v>
          </cell>
        </row>
        <row r="1290">
          <cell r="B1290" t="str">
            <v>Hoke County ABC Board</v>
          </cell>
          <cell r="C1290">
            <v>94704</v>
          </cell>
        </row>
        <row r="1291">
          <cell r="B1291" t="str">
            <v>Holden Beach</v>
          </cell>
          <cell r="C1291">
            <v>91014</v>
          </cell>
        </row>
        <row r="1292">
          <cell r="B1292" t="str">
            <v>Holly Ridge</v>
          </cell>
          <cell r="C1292">
            <v>96731</v>
          </cell>
        </row>
        <row r="1293">
          <cell r="B1293" t="str">
            <v>Holly Ridge Housing Authority</v>
          </cell>
          <cell r="C1293">
            <v>96733</v>
          </cell>
        </row>
        <row r="1294">
          <cell r="B1294" t="str">
            <v>Holly Springs</v>
          </cell>
          <cell r="C1294">
            <v>99202</v>
          </cell>
        </row>
        <row r="1295">
          <cell r="B1295" t="str">
            <v>Hookerton</v>
          </cell>
          <cell r="C1295">
            <v>94011</v>
          </cell>
        </row>
        <row r="1296">
          <cell r="B1296" t="str">
            <v>Hope Mills</v>
          </cell>
          <cell r="C1296">
            <v>92631</v>
          </cell>
        </row>
        <row r="1297">
          <cell r="B1297" t="str">
            <v>Hot Springs Housing Authority</v>
          </cell>
          <cell r="C1297">
            <v>95733</v>
          </cell>
        </row>
        <row r="1298">
          <cell r="B1298" t="str">
            <v>Housing Auth For The Cty Of Kinston</v>
          </cell>
          <cell r="C1298">
            <v>95413</v>
          </cell>
        </row>
        <row r="1299">
          <cell r="B1299" t="str">
            <v>Housing Auth Of The Cty Of Salisbury</v>
          </cell>
          <cell r="C1299">
            <v>98013</v>
          </cell>
        </row>
        <row r="1300">
          <cell r="B1300" t="str">
            <v>Housing Authority Of Goldsboro</v>
          </cell>
          <cell r="C1300">
            <v>99613</v>
          </cell>
        </row>
        <row r="1301">
          <cell r="B1301" t="str">
            <v>Hudson</v>
          </cell>
          <cell r="C1301">
            <v>91431</v>
          </cell>
        </row>
        <row r="1302">
          <cell r="B1302" t="str">
            <v>Huntersville</v>
          </cell>
          <cell r="C1302">
            <v>96041</v>
          </cell>
        </row>
        <row r="1303">
          <cell r="B1303" t="str">
            <v>Hyde County</v>
          </cell>
          <cell r="C1303">
            <v>94801</v>
          </cell>
        </row>
        <row r="1304">
          <cell r="B1304" t="str">
            <v>Hyde County ABC Board</v>
          </cell>
          <cell r="C1304">
            <v>94804</v>
          </cell>
        </row>
        <row r="1305">
          <cell r="B1305" t="str">
            <v>Indian Beach</v>
          </cell>
          <cell r="C1305">
            <v>91661</v>
          </cell>
        </row>
        <row r="1306">
          <cell r="B1306" t="str">
            <v>Indian Trail</v>
          </cell>
          <cell r="C1306">
            <v>99051</v>
          </cell>
        </row>
        <row r="1307">
          <cell r="B1307" t="str">
            <v>Indian Trail ABC Board</v>
          </cell>
          <cell r="C1307">
            <v>99014</v>
          </cell>
        </row>
        <row r="1308">
          <cell r="B1308" t="str">
            <v>Iredell County</v>
          </cell>
          <cell r="C1308">
            <v>94901</v>
          </cell>
        </row>
        <row r="1309">
          <cell r="B1309" t="str">
            <v>Isothermal Planning And Dev Comm</v>
          </cell>
          <cell r="C1309">
            <v>98109</v>
          </cell>
        </row>
        <row r="1310">
          <cell r="B1310" t="str">
            <v>J C Holiday Mem Library</v>
          </cell>
          <cell r="C1310">
            <v>98205</v>
          </cell>
        </row>
        <row r="1311">
          <cell r="B1311" t="str">
            <v>Jackson</v>
          </cell>
          <cell r="C1311">
            <v>96661</v>
          </cell>
        </row>
        <row r="1312">
          <cell r="B1312" t="str">
            <v>Jackson County</v>
          </cell>
          <cell r="C1312">
            <v>95001</v>
          </cell>
        </row>
        <row r="1313">
          <cell r="B1313" t="str">
            <v>Jackson County ABC Board</v>
          </cell>
          <cell r="C1313">
            <v>95017</v>
          </cell>
        </row>
        <row r="1314">
          <cell r="B1314" t="str">
            <v>Jacksonville</v>
          </cell>
          <cell r="C1314">
            <v>96711</v>
          </cell>
        </row>
        <row r="1315">
          <cell r="B1315" t="str">
            <v>Jamestown</v>
          </cell>
          <cell r="C1315">
            <v>94131</v>
          </cell>
        </row>
        <row r="1316">
          <cell r="B1316" t="str">
            <v>Jamesville</v>
          </cell>
          <cell r="C1316">
            <v>95841</v>
          </cell>
        </row>
        <row r="1317">
          <cell r="B1317" t="str">
            <v>Jefferson</v>
          </cell>
          <cell r="C1317">
            <v>90511</v>
          </cell>
        </row>
        <row r="1318">
          <cell r="B1318" t="str">
            <v>Johnston County</v>
          </cell>
          <cell r="C1318">
            <v>95101</v>
          </cell>
        </row>
        <row r="1319">
          <cell r="B1319" t="str">
            <v>Johnston County ABC Board</v>
          </cell>
          <cell r="C1319">
            <v>95104</v>
          </cell>
        </row>
        <row r="1320">
          <cell r="B1320" t="str">
            <v>Johnston Health Center</v>
          </cell>
          <cell r="C1320">
            <v>95110</v>
          </cell>
        </row>
        <row r="1321">
          <cell r="B1321" t="str">
            <v>Jones County</v>
          </cell>
          <cell r="C1321">
            <v>95201</v>
          </cell>
        </row>
        <row r="1322">
          <cell r="B1322" t="str">
            <v>Jones County ABC Board</v>
          </cell>
          <cell r="C1322">
            <v>95204</v>
          </cell>
        </row>
        <row r="1323">
          <cell r="B1323" t="str">
            <v>Jonesville</v>
          </cell>
          <cell r="C1323">
            <v>99921</v>
          </cell>
        </row>
        <row r="1324">
          <cell r="B1324" t="str">
            <v>Junaluska Sanitary District</v>
          </cell>
          <cell r="C1324">
            <v>94408</v>
          </cell>
        </row>
        <row r="1325">
          <cell r="B1325" t="str">
            <v>Kannapolis</v>
          </cell>
          <cell r="C1325">
            <v>91331</v>
          </cell>
        </row>
        <row r="1326">
          <cell r="B1326" t="str">
            <v>Kenansville</v>
          </cell>
          <cell r="C1326">
            <v>93121</v>
          </cell>
        </row>
        <row r="1327">
          <cell r="B1327" t="str">
            <v>Kenansville ABC Board</v>
          </cell>
          <cell r="C1327">
            <v>93127</v>
          </cell>
        </row>
        <row r="1328">
          <cell r="B1328" t="str">
            <v>Kenly</v>
          </cell>
          <cell r="C1328">
            <v>95171</v>
          </cell>
        </row>
        <row r="1329">
          <cell r="B1329" t="str">
            <v>Kernersville</v>
          </cell>
          <cell r="C1329">
            <v>93421</v>
          </cell>
        </row>
        <row r="1330">
          <cell r="B1330" t="str">
            <v>Kerr Area Transportation Authority</v>
          </cell>
          <cell r="C1330">
            <v>99110</v>
          </cell>
        </row>
        <row r="1331">
          <cell r="B1331" t="str">
            <v>Kerr-Tar Regional Council Of Govts</v>
          </cell>
          <cell r="C1331">
            <v>99109</v>
          </cell>
        </row>
        <row r="1332">
          <cell r="B1332" t="str">
            <v>Kill Devil Hills</v>
          </cell>
          <cell r="C1332">
            <v>92821</v>
          </cell>
        </row>
        <row r="1333">
          <cell r="B1333" t="str">
            <v>King</v>
          </cell>
          <cell r="C1333">
            <v>98521</v>
          </cell>
        </row>
        <row r="1334">
          <cell r="B1334" t="str">
            <v>Kings Mountain ABC Board</v>
          </cell>
          <cell r="C1334">
            <v>92327</v>
          </cell>
        </row>
        <row r="1335">
          <cell r="B1335" t="str">
            <v>KingsMountain</v>
          </cell>
          <cell r="C1335">
            <v>92321</v>
          </cell>
        </row>
        <row r="1336">
          <cell r="B1336" t="str">
            <v>Kinston</v>
          </cell>
          <cell r="C1336">
            <v>95411</v>
          </cell>
        </row>
        <row r="1337">
          <cell r="B1337" t="str">
            <v>Kinston-Lenoir Co Pub Library</v>
          </cell>
          <cell r="C1337">
            <v>95415</v>
          </cell>
        </row>
        <row r="1338">
          <cell r="B1338" t="str">
            <v>Kitty Hawk</v>
          </cell>
          <cell r="C1338">
            <v>92851</v>
          </cell>
        </row>
        <row r="1339">
          <cell r="B1339" t="str">
            <v>Knightdale</v>
          </cell>
          <cell r="C1339">
            <v>99291</v>
          </cell>
        </row>
        <row r="1340">
          <cell r="B1340" t="str">
            <v>Kure Beach</v>
          </cell>
          <cell r="C1340">
            <v>96541</v>
          </cell>
        </row>
        <row r="1341">
          <cell r="B1341" t="str">
            <v>Lagrange</v>
          </cell>
          <cell r="C1341">
            <v>95431</v>
          </cell>
        </row>
        <row r="1342">
          <cell r="B1342" t="str">
            <v>Lake Lure</v>
          </cell>
          <cell r="C1342">
            <v>98131</v>
          </cell>
        </row>
        <row r="1343">
          <cell r="B1343" t="str">
            <v>Lake Waccamaw</v>
          </cell>
          <cell r="C1343">
            <v>92461</v>
          </cell>
        </row>
        <row r="1344">
          <cell r="B1344" t="str">
            <v>Lake Waccamaw ABC Board</v>
          </cell>
          <cell r="C1344">
            <v>92427</v>
          </cell>
        </row>
        <row r="1345">
          <cell r="B1345" t="str">
            <v>Landis</v>
          </cell>
          <cell r="C1345">
            <v>98051</v>
          </cell>
        </row>
        <row r="1346">
          <cell r="B1346" t="str">
            <v>Land-Of-Sky Regional Council</v>
          </cell>
          <cell r="C1346">
            <v>91102</v>
          </cell>
        </row>
        <row r="1347">
          <cell r="B1347" t="str">
            <v>Laurel Park</v>
          </cell>
          <cell r="C1347">
            <v>94521</v>
          </cell>
        </row>
        <row r="1348">
          <cell r="B1348" t="str">
            <v>Laurel Park ABC Board</v>
          </cell>
          <cell r="C1348">
            <v>94527</v>
          </cell>
        </row>
        <row r="1349">
          <cell r="B1349" t="str">
            <v>Laurinburg</v>
          </cell>
          <cell r="C1349">
            <v>98311</v>
          </cell>
        </row>
        <row r="1350">
          <cell r="B1350" t="str">
            <v>Laurinburg Housing Authority</v>
          </cell>
          <cell r="C1350">
            <v>98313</v>
          </cell>
        </row>
        <row r="1351">
          <cell r="B1351" t="str">
            <v>Laurinburg-Maxton Airport Commission</v>
          </cell>
          <cell r="C1351">
            <v>98308</v>
          </cell>
        </row>
        <row r="1352">
          <cell r="B1352" t="str">
            <v>Lawndale</v>
          </cell>
          <cell r="C1352">
            <v>92341</v>
          </cell>
        </row>
        <row r="1353">
          <cell r="B1353" t="str">
            <v>Lee County</v>
          </cell>
          <cell r="C1353">
            <v>95301</v>
          </cell>
        </row>
        <row r="1354">
          <cell r="B1354" t="str">
            <v>Leland</v>
          </cell>
          <cell r="C1354">
            <v>91002</v>
          </cell>
        </row>
        <row r="1355">
          <cell r="B1355" t="str">
            <v>Lenoir</v>
          </cell>
          <cell r="C1355">
            <v>91451</v>
          </cell>
        </row>
        <row r="1356">
          <cell r="B1356" t="str">
            <v>Lenoir County</v>
          </cell>
          <cell r="C1356">
            <v>95401</v>
          </cell>
        </row>
        <row r="1357">
          <cell r="B1357" t="str">
            <v>Lenoir County ABC Board</v>
          </cell>
          <cell r="C1357">
            <v>95404</v>
          </cell>
        </row>
        <row r="1358">
          <cell r="B1358" t="str">
            <v>Lenoir Housing Authority</v>
          </cell>
          <cell r="C1358">
            <v>91423</v>
          </cell>
        </row>
        <row r="1359">
          <cell r="B1359" t="str">
            <v>LenoirABCBoard</v>
          </cell>
          <cell r="C1359">
            <v>91457</v>
          </cell>
        </row>
        <row r="1360">
          <cell r="B1360" t="str">
            <v>Lewiston Woodville</v>
          </cell>
          <cell r="C1360">
            <v>90861</v>
          </cell>
        </row>
        <row r="1361">
          <cell r="B1361" t="str">
            <v>Lewisville</v>
          </cell>
          <cell r="C1361">
            <v>93451</v>
          </cell>
        </row>
        <row r="1362">
          <cell r="B1362" t="str">
            <v>Lexington</v>
          </cell>
          <cell r="C1362">
            <v>92931</v>
          </cell>
        </row>
        <row r="1363">
          <cell r="B1363" t="str">
            <v>Lexington ABC Board</v>
          </cell>
          <cell r="C1363">
            <v>92917</v>
          </cell>
        </row>
        <row r="1364">
          <cell r="B1364" t="str">
            <v>Liberty</v>
          </cell>
          <cell r="C1364">
            <v>97631</v>
          </cell>
        </row>
        <row r="1365">
          <cell r="B1365" t="str">
            <v>Liberty ABC Board</v>
          </cell>
          <cell r="C1365">
            <v>97637</v>
          </cell>
        </row>
        <row r="1366">
          <cell r="B1366" t="str">
            <v>Lilesville</v>
          </cell>
          <cell r="C1366">
            <v>90421</v>
          </cell>
        </row>
        <row r="1367">
          <cell r="B1367" t="str">
            <v>Lillington</v>
          </cell>
          <cell r="C1367">
            <v>94321</v>
          </cell>
        </row>
        <row r="1368">
          <cell r="B1368" t="str">
            <v>Lincoln County</v>
          </cell>
          <cell r="C1368">
            <v>95501</v>
          </cell>
        </row>
        <row r="1369">
          <cell r="B1369" t="str">
            <v>Lincoln County ABC Board</v>
          </cell>
          <cell r="C1369">
            <v>95504</v>
          </cell>
        </row>
        <row r="1370">
          <cell r="B1370" t="str">
            <v>Lincolnton</v>
          </cell>
          <cell r="C1370">
            <v>95511</v>
          </cell>
        </row>
        <row r="1371">
          <cell r="B1371" t="str">
            <v>Lincolnton ABC Board</v>
          </cell>
          <cell r="C1371">
            <v>95517</v>
          </cell>
        </row>
        <row r="1372">
          <cell r="B1372" t="str">
            <v>Lincolnton Housing Authority</v>
          </cell>
          <cell r="C1372">
            <v>95513</v>
          </cell>
        </row>
        <row r="1373">
          <cell r="B1373" t="str">
            <v>Linden</v>
          </cell>
          <cell r="C1373">
            <v>92651</v>
          </cell>
        </row>
        <row r="1374">
          <cell r="B1374" t="str">
            <v>Littleton</v>
          </cell>
          <cell r="C1374">
            <v>94261</v>
          </cell>
        </row>
        <row r="1375">
          <cell r="B1375" t="str">
            <v>Locust</v>
          </cell>
          <cell r="C1375">
            <v>98431</v>
          </cell>
        </row>
        <row r="1376">
          <cell r="B1376" t="str">
            <v>Locust ABC Board</v>
          </cell>
          <cell r="C1376">
            <v>98404</v>
          </cell>
        </row>
        <row r="1377">
          <cell r="B1377" t="str">
            <v>Longview</v>
          </cell>
          <cell r="C1377">
            <v>91841</v>
          </cell>
        </row>
        <row r="1378">
          <cell r="B1378" t="str">
            <v>Louisburg</v>
          </cell>
          <cell r="C1378">
            <v>93521</v>
          </cell>
        </row>
        <row r="1379">
          <cell r="B1379" t="str">
            <v>Louisburg ABC Board</v>
          </cell>
          <cell r="C1379">
            <v>93527</v>
          </cell>
        </row>
        <row r="1380">
          <cell r="B1380" t="str">
            <v>Lowell</v>
          </cell>
          <cell r="C1380">
            <v>93661</v>
          </cell>
        </row>
        <row r="1381">
          <cell r="B1381" t="str">
            <v>Lower Cape Fear Water &amp; Sewer Auth</v>
          </cell>
          <cell r="C1381">
            <v>96508</v>
          </cell>
        </row>
        <row r="1382">
          <cell r="B1382" t="str">
            <v>Lucama</v>
          </cell>
          <cell r="C1382">
            <v>99841</v>
          </cell>
        </row>
        <row r="1383">
          <cell r="B1383" t="str">
            <v>Lumber River Council Of Governments</v>
          </cell>
          <cell r="C1383">
            <v>97802</v>
          </cell>
        </row>
        <row r="1384">
          <cell r="B1384" t="str">
            <v>Lumberton</v>
          </cell>
          <cell r="C1384">
            <v>97811</v>
          </cell>
        </row>
        <row r="1385">
          <cell r="B1385" t="str">
            <v>Lumberton ABC Board</v>
          </cell>
          <cell r="C1385">
            <v>97817</v>
          </cell>
        </row>
        <row r="1386">
          <cell r="B1386" t="str">
            <v>Lumberton Airport Comm</v>
          </cell>
          <cell r="C1386">
            <v>97818</v>
          </cell>
        </row>
        <row r="1387">
          <cell r="B1387" t="str">
            <v>Macclesfield</v>
          </cell>
          <cell r="C1387">
            <v>93341</v>
          </cell>
        </row>
        <row r="1388">
          <cell r="B1388" t="str">
            <v>Macon County</v>
          </cell>
          <cell r="C1388">
            <v>95601</v>
          </cell>
        </row>
        <row r="1389">
          <cell r="B1389" t="str">
            <v>Madison</v>
          </cell>
          <cell r="C1389">
            <v>97941</v>
          </cell>
        </row>
        <row r="1390">
          <cell r="B1390" t="str">
            <v>Madison ABC Board</v>
          </cell>
          <cell r="C1390">
            <v>97947</v>
          </cell>
        </row>
        <row r="1391">
          <cell r="B1391" t="str">
            <v>Madison County</v>
          </cell>
          <cell r="C1391">
            <v>95701</v>
          </cell>
        </row>
        <row r="1392">
          <cell r="B1392" t="str">
            <v>Madison-Mayodan Recreation Comm</v>
          </cell>
          <cell r="C1392">
            <v>97948</v>
          </cell>
        </row>
        <row r="1393">
          <cell r="B1393" t="str">
            <v>Maggie Valley</v>
          </cell>
          <cell r="C1393">
            <v>94421</v>
          </cell>
        </row>
        <row r="1394">
          <cell r="B1394" t="str">
            <v>Maggie Valley ABC Board</v>
          </cell>
          <cell r="C1394">
            <v>94427</v>
          </cell>
        </row>
        <row r="1395">
          <cell r="B1395" t="str">
            <v>Maggie Valley Sanitary Dist</v>
          </cell>
          <cell r="C1395">
            <v>94428</v>
          </cell>
        </row>
        <row r="1396">
          <cell r="B1396" t="str">
            <v>Magnolia</v>
          </cell>
          <cell r="C1396">
            <v>93191</v>
          </cell>
        </row>
        <row r="1397">
          <cell r="B1397" t="str">
            <v>Maiden</v>
          </cell>
          <cell r="C1397">
            <v>91831</v>
          </cell>
        </row>
        <row r="1398">
          <cell r="B1398" t="str">
            <v>Manteo</v>
          </cell>
          <cell r="C1398">
            <v>92831</v>
          </cell>
        </row>
        <row r="1399">
          <cell r="B1399" t="str">
            <v>Marion</v>
          </cell>
          <cell r="C1399">
            <v>95911</v>
          </cell>
        </row>
        <row r="1400">
          <cell r="B1400" t="str">
            <v>Marion ABC Board</v>
          </cell>
          <cell r="C1400">
            <v>95917</v>
          </cell>
        </row>
        <row r="1401">
          <cell r="B1401" t="str">
            <v>Mars Hill</v>
          </cell>
          <cell r="C1401">
            <v>95711</v>
          </cell>
        </row>
        <row r="1402">
          <cell r="B1402" t="str">
            <v>Marshall</v>
          </cell>
          <cell r="C1402">
            <v>95721</v>
          </cell>
        </row>
        <row r="1403">
          <cell r="B1403" t="str">
            <v>Marshville</v>
          </cell>
          <cell r="C1403">
            <v>99021</v>
          </cell>
        </row>
        <row r="1404">
          <cell r="B1404" t="str">
            <v>Martin Co Travel &amp; Tourism Auth</v>
          </cell>
          <cell r="C1404">
            <v>95802</v>
          </cell>
        </row>
        <row r="1405">
          <cell r="B1405" t="str">
            <v>Martin County</v>
          </cell>
          <cell r="C1405">
            <v>95801</v>
          </cell>
        </row>
        <row r="1406">
          <cell r="B1406" t="str">
            <v>Martin County ABC Board</v>
          </cell>
          <cell r="C1406">
            <v>95804</v>
          </cell>
        </row>
        <row r="1407">
          <cell r="B1407" t="str">
            <v>Martin-Tyrrell-Washington Dist Health Dept</v>
          </cell>
          <cell r="C1407">
            <v>90092</v>
          </cell>
        </row>
        <row r="1408">
          <cell r="B1408" t="str">
            <v>Marvin</v>
          </cell>
          <cell r="C1408">
            <v>99081</v>
          </cell>
        </row>
        <row r="1409">
          <cell r="B1409" t="str">
            <v>Matthews</v>
          </cell>
          <cell r="C1409">
            <v>96071</v>
          </cell>
        </row>
        <row r="1410">
          <cell r="B1410" t="str">
            <v>Maury Sanitary Land District</v>
          </cell>
          <cell r="C1410">
            <v>94002</v>
          </cell>
        </row>
        <row r="1411">
          <cell r="B1411" t="str">
            <v>Maxton</v>
          </cell>
          <cell r="C1411">
            <v>97840</v>
          </cell>
        </row>
        <row r="1412">
          <cell r="B1412" t="str">
            <v>Maxton ABC Board</v>
          </cell>
          <cell r="C1412">
            <v>97847</v>
          </cell>
        </row>
        <row r="1413">
          <cell r="B1413" t="str">
            <v>Mayodan</v>
          </cell>
          <cell r="C1413">
            <v>97921</v>
          </cell>
        </row>
        <row r="1414">
          <cell r="B1414" t="str">
            <v>Maysville</v>
          </cell>
          <cell r="C1414">
            <v>95221</v>
          </cell>
        </row>
        <row r="1415">
          <cell r="B1415" t="str">
            <v>Mcadenville</v>
          </cell>
          <cell r="C1415">
            <v>93610</v>
          </cell>
        </row>
        <row r="1416">
          <cell r="B1416" t="str">
            <v>Mcdowell County</v>
          </cell>
          <cell r="C1416">
            <v>95901</v>
          </cell>
        </row>
        <row r="1417">
          <cell r="B1417" t="str">
            <v>Mebane</v>
          </cell>
          <cell r="C1417">
            <v>90114</v>
          </cell>
        </row>
        <row r="1418">
          <cell r="B1418" t="str">
            <v>Mecklenburg County</v>
          </cell>
          <cell r="C1418">
            <v>96001</v>
          </cell>
        </row>
        <row r="1419">
          <cell r="B1419" t="str">
            <v>Mecklenburg County ABC Board</v>
          </cell>
          <cell r="C1419">
            <v>96004</v>
          </cell>
        </row>
        <row r="1420">
          <cell r="B1420" t="str">
            <v>Mecklenburg Emer Med Svcs Agcy</v>
          </cell>
          <cell r="C1420">
            <v>96008</v>
          </cell>
        </row>
        <row r="1421">
          <cell r="B1421" t="str">
            <v>Metro Sewerage Dist Of Buncombe County</v>
          </cell>
          <cell r="C1421">
            <v>91108</v>
          </cell>
        </row>
        <row r="1422">
          <cell r="B1422" t="str">
            <v>Mi Connection Communications System</v>
          </cell>
          <cell r="C1422">
            <v>94941</v>
          </cell>
        </row>
        <row r="1423">
          <cell r="B1423" t="str">
            <v>Micro</v>
          </cell>
          <cell r="C1423">
            <v>95122</v>
          </cell>
        </row>
        <row r="1424">
          <cell r="B1424" t="str">
            <v>Mid-Carolina Council Of Governments</v>
          </cell>
          <cell r="C1424">
            <v>92607</v>
          </cell>
        </row>
        <row r="1425">
          <cell r="B1425" t="str">
            <v>Middlesex</v>
          </cell>
          <cell r="C1425">
            <v>96431</v>
          </cell>
        </row>
        <row r="1426">
          <cell r="B1426" t="str">
            <v>Mideast Commission</v>
          </cell>
          <cell r="C1426">
            <v>90709</v>
          </cell>
        </row>
        <row r="1427">
          <cell r="B1427" t="str">
            <v>Midland</v>
          </cell>
          <cell r="C1427">
            <v>91341</v>
          </cell>
        </row>
        <row r="1428">
          <cell r="B1428" t="str">
            <v>Midway</v>
          </cell>
          <cell r="C1428">
            <v>92941</v>
          </cell>
        </row>
        <row r="1429">
          <cell r="B1429" t="str">
            <v>Mills River</v>
          </cell>
          <cell r="C1429">
            <v>94551</v>
          </cell>
        </row>
        <row r="1430">
          <cell r="B1430" t="str">
            <v>Mineral Springs</v>
          </cell>
          <cell r="C1430">
            <v>99022</v>
          </cell>
        </row>
        <row r="1431">
          <cell r="B1431" t="str">
            <v>Mint Hill</v>
          </cell>
          <cell r="C1431">
            <v>96031</v>
          </cell>
        </row>
        <row r="1432">
          <cell r="B1432" t="str">
            <v>Misenheimer</v>
          </cell>
          <cell r="C1432">
            <v>98414</v>
          </cell>
        </row>
        <row r="1433">
          <cell r="B1433" t="str">
            <v>Mitchell County</v>
          </cell>
          <cell r="C1433">
            <v>96101</v>
          </cell>
        </row>
        <row r="1434">
          <cell r="B1434" t="str">
            <v>Mitchell Soil &amp; Water Conservation Dist</v>
          </cell>
          <cell r="C1434">
            <v>96102</v>
          </cell>
        </row>
        <row r="1435">
          <cell r="B1435" t="str">
            <v>Mocksville</v>
          </cell>
          <cell r="C1435">
            <v>93011</v>
          </cell>
        </row>
        <row r="1436">
          <cell r="B1436" t="str">
            <v>Monroe</v>
          </cell>
          <cell r="C1436">
            <v>99011</v>
          </cell>
        </row>
        <row r="1437">
          <cell r="B1437" t="str">
            <v>Monroe ABC Board</v>
          </cell>
          <cell r="C1437">
            <v>99017</v>
          </cell>
        </row>
        <row r="1438">
          <cell r="B1438" t="str">
            <v>MonroeHousingAuthority</v>
          </cell>
          <cell r="C1438">
            <v>99013</v>
          </cell>
        </row>
        <row r="1439">
          <cell r="B1439" t="str">
            <v>Montgomery County</v>
          </cell>
          <cell r="C1439">
            <v>96201</v>
          </cell>
        </row>
        <row r="1440">
          <cell r="B1440" t="str">
            <v>Montgomery-Municipal ABC Board</v>
          </cell>
          <cell r="C1440">
            <v>96204</v>
          </cell>
        </row>
        <row r="1441">
          <cell r="B1441" t="str">
            <v>Montreat</v>
          </cell>
          <cell r="C1441">
            <v>91161</v>
          </cell>
        </row>
        <row r="1442">
          <cell r="B1442" t="str">
            <v>Moore County</v>
          </cell>
          <cell r="C1442">
            <v>96301</v>
          </cell>
        </row>
        <row r="1443">
          <cell r="B1443" t="str">
            <v>Moore County ABC Board</v>
          </cell>
          <cell r="C1443">
            <v>96304</v>
          </cell>
        </row>
        <row r="1444">
          <cell r="B1444" t="str">
            <v>Moore County Airport Authority</v>
          </cell>
          <cell r="C1444">
            <v>96310</v>
          </cell>
        </row>
        <row r="1445">
          <cell r="B1445" t="str">
            <v>Moore County Tourism Development Authority</v>
          </cell>
          <cell r="C1445">
            <v>96305</v>
          </cell>
        </row>
        <row r="1446">
          <cell r="B1446" t="str">
            <v>Mooresville</v>
          </cell>
          <cell r="C1446">
            <v>94921</v>
          </cell>
        </row>
        <row r="1447">
          <cell r="B1447" t="str">
            <v>Mooresville ABC Board</v>
          </cell>
          <cell r="C1447">
            <v>94927</v>
          </cell>
        </row>
        <row r="1448">
          <cell r="B1448" t="str">
            <v>Mooresville Housing Authority</v>
          </cell>
          <cell r="C1448">
            <v>94923</v>
          </cell>
        </row>
        <row r="1449">
          <cell r="B1449" t="str">
            <v>Morehead City</v>
          </cell>
          <cell r="C1449">
            <v>91611</v>
          </cell>
        </row>
        <row r="1450">
          <cell r="B1450" t="str">
            <v>Morganton</v>
          </cell>
          <cell r="C1450">
            <v>91231</v>
          </cell>
        </row>
        <row r="1451">
          <cell r="B1451" t="str">
            <v>Morganton ABC Board</v>
          </cell>
          <cell r="C1451">
            <v>91217</v>
          </cell>
        </row>
        <row r="1452">
          <cell r="B1452" t="str">
            <v>Morganton Housing Authority</v>
          </cell>
          <cell r="C1452">
            <v>91233</v>
          </cell>
        </row>
        <row r="1453">
          <cell r="B1453" t="str">
            <v>Morrisville</v>
          </cell>
          <cell r="C1453">
            <v>99206</v>
          </cell>
        </row>
        <row r="1454">
          <cell r="B1454" t="str">
            <v>Morven</v>
          </cell>
          <cell r="C1454">
            <v>90461</v>
          </cell>
        </row>
        <row r="1455">
          <cell r="B1455" t="str">
            <v>Mount Airy Alcoholic Board Of Control</v>
          </cell>
          <cell r="C1455">
            <v>98637</v>
          </cell>
        </row>
        <row r="1456">
          <cell r="B1456" t="str">
            <v>Mount Gilead</v>
          </cell>
          <cell r="C1456">
            <v>96251</v>
          </cell>
        </row>
        <row r="1457">
          <cell r="B1457" t="str">
            <v>Mount Olive</v>
          </cell>
          <cell r="C1457">
            <v>99621</v>
          </cell>
        </row>
        <row r="1458">
          <cell r="B1458" t="str">
            <v>Mount Pleasant</v>
          </cell>
          <cell r="C1458">
            <v>91321</v>
          </cell>
        </row>
        <row r="1459">
          <cell r="B1459" t="str">
            <v>MountAiry</v>
          </cell>
          <cell r="C1459">
            <v>98631</v>
          </cell>
        </row>
        <row r="1460">
          <cell r="B1460" t="str">
            <v>MountHolly</v>
          </cell>
          <cell r="C1460">
            <v>93691</v>
          </cell>
        </row>
        <row r="1461">
          <cell r="B1461" t="str">
            <v>Mt Olive Housing Authority</v>
          </cell>
          <cell r="C1461">
            <v>99623</v>
          </cell>
        </row>
        <row r="1462">
          <cell r="B1462" t="str">
            <v>Mt Pleasant ABC Board</v>
          </cell>
          <cell r="C1462">
            <v>91327</v>
          </cell>
        </row>
        <row r="1463">
          <cell r="B1463" t="str">
            <v>Murfreesboro</v>
          </cell>
          <cell r="C1463">
            <v>94621</v>
          </cell>
        </row>
        <row r="1464">
          <cell r="B1464" t="str">
            <v>Murphy</v>
          </cell>
          <cell r="C1464">
            <v>92011</v>
          </cell>
        </row>
        <row r="1465">
          <cell r="B1465" t="str">
            <v>Murphy ABC Board</v>
          </cell>
          <cell r="C1465">
            <v>92017</v>
          </cell>
        </row>
        <row r="1466">
          <cell r="B1466" t="str">
            <v>N C Assoc Of Co Commissioners</v>
          </cell>
          <cell r="C1466">
            <v>99991</v>
          </cell>
        </row>
        <row r="1467">
          <cell r="B1467" t="str">
            <v>N C League Of Municipalities</v>
          </cell>
          <cell r="C1467">
            <v>99999</v>
          </cell>
        </row>
        <row r="1468">
          <cell r="B1468" t="str">
            <v>Nags Head</v>
          </cell>
          <cell r="C1468">
            <v>92811</v>
          </cell>
        </row>
        <row r="1469">
          <cell r="B1469" t="str">
            <v>Nantahala Regional Library</v>
          </cell>
          <cell r="C1469">
            <v>92005</v>
          </cell>
        </row>
        <row r="1470">
          <cell r="B1470" t="str">
            <v>Nash County</v>
          </cell>
          <cell r="C1470">
            <v>96401</v>
          </cell>
        </row>
        <row r="1471">
          <cell r="B1471" t="str">
            <v>Nash County ABC Board</v>
          </cell>
          <cell r="C1471">
            <v>96404</v>
          </cell>
        </row>
        <row r="1472">
          <cell r="B1472" t="str">
            <v>Nashville</v>
          </cell>
          <cell r="C1472">
            <v>96421</v>
          </cell>
        </row>
        <row r="1473">
          <cell r="B1473" t="str">
            <v>Navassa</v>
          </cell>
          <cell r="C1473">
            <v>91026</v>
          </cell>
        </row>
        <row r="1474">
          <cell r="B1474" t="str">
            <v>Neuse Regional Library</v>
          </cell>
          <cell r="C1474">
            <v>95405</v>
          </cell>
        </row>
        <row r="1475">
          <cell r="B1475" t="str">
            <v>Neuse Regional Library-Greene County</v>
          </cell>
          <cell r="C1475">
            <v>94005</v>
          </cell>
        </row>
        <row r="1476">
          <cell r="B1476" t="str">
            <v>Neuse Regional Library-Jones County</v>
          </cell>
          <cell r="C1476">
            <v>95205</v>
          </cell>
        </row>
        <row r="1477">
          <cell r="B1477" t="str">
            <v>Neuse River Council Of Governments</v>
          </cell>
          <cell r="C1477">
            <v>92507</v>
          </cell>
        </row>
        <row r="1478">
          <cell r="B1478" t="str">
            <v>New Edenton Housing Auth</v>
          </cell>
          <cell r="C1478">
            <v>92113</v>
          </cell>
        </row>
        <row r="1479">
          <cell r="B1479" t="str">
            <v>New Hanover Airport Auth</v>
          </cell>
          <cell r="C1479">
            <v>96502</v>
          </cell>
        </row>
        <row r="1480">
          <cell r="B1480" t="str">
            <v>New Hanover County</v>
          </cell>
          <cell r="C1480">
            <v>96501</v>
          </cell>
        </row>
        <row r="1481">
          <cell r="B1481" t="str">
            <v>New Hanover County ABC Board</v>
          </cell>
          <cell r="C1481">
            <v>96504</v>
          </cell>
        </row>
        <row r="1482">
          <cell r="B1482" t="str">
            <v>New Reidsville Housing Auth</v>
          </cell>
          <cell r="C1482">
            <v>97913</v>
          </cell>
        </row>
        <row r="1483">
          <cell r="B1483" t="str">
            <v>NewBern</v>
          </cell>
          <cell r="C1483">
            <v>92511</v>
          </cell>
        </row>
        <row r="1484">
          <cell r="B1484" t="str">
            <v>Newland</v>
          </cell>
          <cell r="C1484">
            <v>90621</v>
          </cell>
        </row>
        <row r="1485">
          <cell r="B1485" t="str">
            <v>Newport</v>
          </cell>
          <cell r="C1485">
            <v>91621</v>
          </cell>
        </row>
        <row r="1486">
          <cell r="B1486" t="str">
            <v>Newton</v>
          </cell>
          <cell r="C1486">
            <v>91871</v>
          </cell>
        </row>
        <row r="1487">
          <cell r="B1487" t="str">
            <v>Newton Grove</v>
          </cell>
          <cell r="C1487">
            <v>98231</v>
          </cell>
        </row>
        <row r="1488">
          <cell r="B1488" t="str">
            <v>Norlina</v>
          </cell>
          <cell r="C1488">
            <v>99311</v>
          </cell>
        </row>
        <row r="1489">
          <cell r="B1489" t="str">
            <v>North Topsail Beach</v>
          </cell>
          <cell r="C1489">
            <v>96751</v>
          </cell>
        </row>
        <row r="1490">
          <cell r="B1490" t="str">
            <v>North Wilkesboro</v>
          </cell>
          <cell r="C1490">
            <v>99711</v>
          </cell>
        </row>
        <row r="1491">
          <cell r="B1491" t="str">
            <v>North Wilkesboro ABC Board</v>
          </cell>
          <cell r="C1491">
            <v>99717</v>
          </cell>
        </row>
        <row r="1492">
          <cell r="B1492" t="str">
            <v>Northampton County</v>
          </cell>
          <cell r="C1492">
            <v>96601</v>
          </cell>
        </row>
        <row r="1493">
          <cell r="B1493" t="str">
            <v>Northampton County ABC Board</v>
          </cell>
          <cell r="C1493">
            <v>96604</v>
          </cell>
        </row>
        <row r="1494">
          <cell r="B1494" t="str">
            <v>Northwest</v>
          </cell>
          <cell r="C1494">
            <v>91012</v>
          </cell>
        </row>
        <row r="1495">
          <cell r="B1495" t="str">
            <v>Northwestern Regional Library</v>
          </cell>
          <cell r="C1495">
            <v>90305</v>
          </cell>
        </row>
        <row r="1496">
          <cell r="B1496" t="str">
            <v>Norwood</v>
          </cell>
          <cell r="C1496">
            <v>98421</v>
          </cell>
        </row>
        <row r="1497">
          <cell r="B1497" t="str">
            <v>Norwood ABC Bd</v>
          </cell>
          <cell r="C1497">
            <v>98427</v>
          </cell>
        </row>
        <row r="1498">
          <cell r="B1498" t="str">
            <v>Oak City</v>
          </cell>
          <cell r="C1498">
            <v>95821</v>
          </cell>
        </row>
        <row r="1499">
          <cell r="B1499" t="str">
            <v>Oak Island</v>
          </cell>
          <cell r="C1499">
            <v>91021</v>
          </cell>
        </row>
        <row r="1500">
          <cell r="B1500" t="str">
            <v>Oak Island ABC Bd</v>
          </cell>
          <cell r="C1500">
            <v>91027</v>
          </cell>
        </row>
        <row r="1501">
          <cell r="B1501" t="str">
            <v>Oak Ridge</v>
          </cell>
          <cell r="C1501">
            <v>94161</v>
          </cell>
        </row>
        <row r="1502">
          <cell r="B1502" t="str">
            <v>Oakboro</v>
          </cell>
          <cell r="C1502">
            <v>98441</v>
          </cell>
        </row>
        <row r="1503">
          <cell r="B1503" t="str">
            <v>Ocean Isle Beach</v>
          </cell>
          <cell r="C1503">
            <v>91061</v>
          </cell>
        </row>
        <row r="1504">
          <cell r="B1504" t="str">
            <v>Ocean Isle Beach ABC Board</v>
          </cell>
          <cell r="C1504">
            <v>91067</v>
          </cell>
        </row>
        <row r="1505">
          <cell r="B1505" t="str">
            <v>Ocracoke Sanitary Dist</v>
          </cell>
          <cell r="C1505">
            <v>94812</v>
          </cell>
        </row>
        <row r="1506">
          <cell r="B1506" t="str">
            <v>Old Fort</v>
          </cell>
          <cell r="C1506">
            <v>95921</v>
          </cell>
        </row>
        <row r="1507">
          <cell r="B1507" t="str">
            <v>Onslow County</v>
          </cell>
          <cell r="C1507">
            <v>96701</v>
          </cell>
        </row>
        <row r="1508">
          <cell r="B1508" t="str">
            <v>Onslow County ABC Board</v>
          </cell>
          <cell r="C1508">
            <v>96704</v>
          </cell>
        </row>
        <row r="1509">
          <cell r="B1509" t="str">
            <v>Onslow Water &amp; Sewer Authority</v>
          </cell>
          <cell r="C1509">
            <v>96708</v>
          </cell>
        </row>
        <row r="1510">
          <cell r="B1510" t="str">
            <v>Orange County</v>
          </cell>
          <cell r="C1510">
            <v>96801</v>
          </cell>
        </row>
        <row r="1511">
          <cell r="B1511" t="str">
            <v>Orange County ABC Board</v>
          </cell>
          <cell r="C1511">
            <v>96804</v>
          </cell>
        </row>
        <row r="1512">
          <cell r="B1512" t="str">
            <v>Orange Water And Sewer Authority</v>
          </cell>
          <cell r="C1512">
            <v>96808</v>
          </cell>
        </row>
        <row r="1513">
          <cell r="B1513" t="str">
            <v>Oriental</v>
          </cell>
          <cell r="C1513">
            <v>96912</v>
          </cell>
        </row>
        <row r="1514">
          <cell r="B1514" t="str">
            <v>Oxford</v>
          </cell>
          <cell r="C1514">
            <v>93911</v>
          </cell>
        </row>
        <row r="1515">
          <cell r="B1515" t="str">
            <v>Oxford Housing Authority</v>
          </cell>
          <cell r="C1515">
            <v>93913</v>
          </cell>
        </row>
        <row r="1516">
          <cell r="B1516" t="str">
            <v>Pamlico County</v>
          </cell>
          <cell r="C1516">
            <v>96901</v>
          </cell>
        </row>
        <row r="1517">
          <cell r="B1517" t="str">
            <v>Parkton</v>
          </cell>
          <cell r="C1517">
            <v>97841</v>
          </cell>
        </row>
        <row r="1518">
          <cell r="B1518" t="str">
            <v>Parkwood Fire Department</v>
          </cell>
          <cell r="C1518">
            <v>93202</v>
          </cell>
        </row>
        <row r="1519">
          <cell r="B1519" t="str">
            <v>Partners Behavioral Health Management</v>
          </cell>
          <cell r="C1519">
            <v>93609</v>
          </cell>
        </row>
        <row r="1520">
          <cell r="B1520" t="str">
            <v>Pasquotank Co ABC Board</v>
          </cell>
          <cell r="C1520">
            <v>97004</v>
          </cell>
        </row>
        <row r="1521">
          <cell r="B1521" t="str">
            <v>Pasquotank County</v>
          </cell>
          <cell r="C1521">
            <v>97001</v>
          </cell>
        </row>
        <row r="1522">
          <cell r="B1522" t="str">
            <v>Pasquotank-Camden Ambulance Service</v>
          </cell>
          <cell r="C1522">
            <v>97002</v>
          </cell>
        </row>
        <row r="1523">
          <cell r="B1523" t="str">
            <v>Pasquotank-Camden Library</v>
          </cell>
          <cell r="C1523">
            <v>97015</v>
          </cell>
        </row>
        <row r="1524">
          <cell r="B1524" t="str">
            <v>Peachland</v>
          </cell>
          <cell r="C1524">
            <v>90441</v>
          </cell>
        </row>
        <row r="1525">
          <cell r="B1525" t="str">
            <v>Pembroke</v>
          </cell>
          <cell r="C1525">
            <v>97851</v>
          </cell>
        </row>
        <row r="1526">
          <cell r="B1526" t="str">
            <v>Pembroke Housing Authority</v>
          </cell>
          <cell r="C1526">
            <v>97853</v>
          </cell>
        </row>
        <row r="1527">
          <cell r="B1527" t="str">
            <v>Pender County</v>
          </cell>
          <cell r="C1527">
            <v>97101</v>
          </cell>
        </row>
        <row r="1528">
          <cell r="B1528" t="str">
            <v>Pender County ABC Board</v>
          </cell>
          <cell r="C1528">
            <v>97104</v>
          </cell>
        </row>
        <row r="1529">
          <cell r="B1529" t="str">
            <v>Perquimans County</v>
          </cell>
          <cell r="C1529">
            <v>97201</v>
          </cell>
        </row>
        <row r="1530">
          <cell r="B1530" t="str">
            <v>Person Co ABC Bd</v>
          </cell>
          <cell r="C1530">
            <v>97304</v>
          </cell>
        </row>
        <row r="1531">
          <cell r="B1531" t="str">
            <v>Person County</v>
          </cell>
          <cell r="C1531">
            <v>97301</v>
          </cell>
        </row>
        <row r="1532">
          <cell r="B1532" t="str">
            <v>Pettigrew Regional Library</v>
          </cell>
          <cell r="C1532">
            <v>99405</v>
          </cell>
        </row>
        <row r="1533">
          <cell r="B1533" t="str">
            <v>Piedmont Triad Airport Authority</v>
          </cell>
          <cell r="C1533">
            <v>72265</v>
          </cell>
        </row>
        <row r="1534">
          <cell r="B1534" t="str">
            <v>Piedmont Triad Reg Water Auth</v>
          </cell>
          <cell r="C1534">
            <v>94112</v>
          </cell>
        </row>
        <row r="1535">
          <cell r="B1535" t="str">
            <v>Piedmont Triad Regional Council</v>
          </cell>
          <cell r="C1535">
            <v>93406</v>
          </cell>
        </row>
        <row r="1536">
          <cell r="B1536" t="str">
            <v>Pikeville</v>
          </cell>
          <cell r="C1536">
            <v>99651</v>
          </cell>
        </row>
        <row r="1537">
          <cell r="B1537" t="str">
            <v>Pilot Mountain</v>
          </cell>
          <cell r="C1537">
            <v>98611</v>
          </cell>
        </row>
        <row r="1538">
          <cell r="B1538" t="str">
            <v>Pilot Mountain ABC Board</v>
          </cell>
          <cell r="C1538">
            <v>98607</v>
          </cell>
        </row>
        <row r="1539">
          <cell r="B1539" t="str">
            <v>Pine Knoll Shores</v>
          </cell>
          <cell r="C1539">
            <v>91641</v>
          </cell>
        </row>
        <row r="1540">
          <cell r="B1540" t="str">
            <v>Pine Level</v>
          </cell>
          <cell r="C1540">
            <v>95161</v>
          </cell>
        </row>
        <row r="1541">
          <cell r="B1541" t="str">
            <v>Pinebluff</v>
          </cell>
          <cell r="C1541">
            <v>96361</v>
          </cell>
        </row>
        <row r="1542">
          <cell r="B1542" t="str">
            <v>Pinecroft-Sedgefield Fire Dist Inc</v>
          </cell>
          <cell r="C1542">
            <v>94108</v>
          </cell>
        </row>
        <row r="1543">
          <cell r="B1543" t="str">
            <v>Pinehurst</v>
          </cell>
          <cell r="C1543">
            <v>96351</v>
          </cell>
        </row>
        <row r="1544">
          <cell r="B1544" t="str">
            <v>Pinetops</v>
          </cell>
          <cell r="C1544">
            <v>93331</v>
          </cell>
        </row>
        <row r="1545">
          <cell r="B1545" t="str">
            <v>Pineville</v>
          </cell>
          <cell r="C1545">
            <v>96021</v>
          </cell>
        </row>
        <row r="1546">
          <cell r="B1546" t="str">
            <v>Pink Hill</v>
          </cell>
          <cell r="C1546">
            <v>95421</v>
          </cell>
        </row>
        <row r="1547">
          <cell r="B1547" t="str">
            <v>Pitt County</v>
          </cell>
          <cell r="C1547">
            <v>97401</v>
          </cell>
        </row>
        <row r="1548">
          <cell r="B1548" t="str">
            <v>Pitt County ABC Board</v>
          </cell>
          <cell r="C1548">
            <v>97404</v>
          </cell>
        </row>
        <row r="1549">
          <cell r="B1549" t="str">
            <v>Pitt-Greenville Conv &amp; Vistors</v>
          </cell>
          <cell r="C1549">
            <v>97402</v>
          </cell>
        </row>
        <row r="1550">
          <cell r="B1550" t="str">
            <v>Pittsboro</v>
          </cell>
          <cell r="C1550">
            <v>91921</v>
          </cell>
        </row>
        <row r="1551">
          <cell r="B1551" t="str">
            <v>Pleasant Garden Fire Dept</v>
          </cell>
          <cell r="C1551">
            <v>95908</v>
          </cell>
        </row>
        <row r="1552">
          <cell r="B1552" t="str">
            <v>Plymouth</v>
          </cell>
          <cell r="C1552">
            <v>99411</v>
          </cell>
        </row>
        <row r="1553">
          <cell r="B1553" t="str">
            <v>Plymouth Housing Authority</v>
          </cell>
          <cell r="C1553">
            <v>99413</v>
          </cell>
        </row>
        <row r="1554">
          <cell r="B1554" t="str">
            <v>Polk County</v>
          </cell>
          <cell r="C1554">
            <v>97501</v>
          </cell>
        </row>
        <row r="1555">
          <cell r="B1555" t="str">
            <v>Polkton</v>
          </cell>
          <cell r="C1555">
            <v>90431</v>
          </cell>
        </row>
        <row r="1556">
          <cell r="B1556" t="str">
            <v>Pollocksville</v>
          </cell>
          <cell r="C1556">
            <v>95211</v>
          </cell>
        </row>
        <row r="1557">
          <cell r="B1557" t="str">
            <v>Princeton</v>
          </cell>
          <cell r="C1557">
            <v>95181</v>
          </cell>
        </row>
        <row r="1558">
          <cell r="B1558" t="str">
            <v>Princeville</v>
          </cell>
          <cell r="C1558">
            <v>93351</v>
          </cell>
        </row>
        <row r="1559">
          <cell r="B1559" t="str">
            <v>Public Library Of Johnston Co And Smithfield</v>
          </cell>
          <cell r="C1559">
            <v>95105</v>
          </cell>
        </row>
        <row r="1560">
          <cell r="B1560" t="str">
            <v>Public Works Comm Cty Of Fayetteville</v>
          </cell>
          <cell r="C1560">
            <v>92614</v>
          </cell>
        </row>
        <row r="1561">
          <cell r="B1561" t="str">
            <v>Raeford</v>
          </cell>
          <cell r="C1561">
            <v>94711</v>
          </cell>
        </row>
        <row r="1562">
          <cell r="B1562" t="str">
            <v>Raleigh</v>
          </cell>
          <cell r="C1562">
            <v>99211</v>
          </cell>
        </row>
        <row r="1563">
          <cell r="B1563" t="str">
            <v>Raleigh-Durham Airport Authority</v>
          </cell>
          <cell r="C1563">
            <v>99218</v>
          </cell>
        </row>
        <row r="1564">
          <cell r="B1564" t="str">
            <v>RaleighHousingAuthority</v>
          </cell>
          <cell r="C1564">
            <v>99213</v>
          </cell>
        </row>
        <row r="1565">
          <cell r="B1565" t="str">
            <v>Ramseur</v>
          </cell>
          <cell r="C1565">
            <v>97641</v>
          </cell>
        </row>
        <row r="1566">
          <cell r="B1566" t="str">
            <v>Randleman</v>
          </cell>
          <cell r="C1566">
            <v>97621</v>
          </cell>
        </row>
        <row r="1567">
          <cell r="B1567" t="str">
            <v>RandlemanABCBoard</v>
          </cell>
          <cell r="C1567">
            <v>97627</v>
          </cell>
        </row>
        <row r="1568">
          <cell r="B1568" t="str">
            <v>RandlemanHousingAuthority</v>
          </cell>
          <cell r="C1568">
            <v>97623</v>
          </cell>
        </row>
        <row r="1569">
          <cell r="B1569" t="str">
            <v>Randolph County</v>
          </cell>
          <cell r="C1569">
            <v>97601</v>
          </cell>
        </row>
        <row r="1570">
          <cell r="B1570" t="str">
            <v>Ranlo</v>
          </cell>
          <cell r="C1570">
            <v>93681</v>
          </cell>
        </row>
        <row r="1571">
          <cell r="B1571" t="str">
            <v>Red Springs</v>
          </cell>
          <cell r="C1571">
            <v>97871</v>
          </cell>
        </row>
        <row r="1572">
          <cell r="B1572" t="str">
            <v>Red Springs ABC Board</v>
          </cell>
          <cell r="C1572">
            <v>97877</v>
          </cell>
        </row>
        <row r="1573">
          <cell r="B1573" t="str">
            <v>Region D Council Of Governments</v>
          </cell>
          <cell r="C1573">
            <v>99502</v>
          </cell>
        </row>
        <row r="1574">
          <cell r="B1574" t="str">
            <v>Reidsville</v>
          </cell>
          <cell r="C1574">
            <v>97911</v>
          </cell>
        </row>
        <row r="1575">
          <cell r="B1575" t="str">
            <v>Reidsville ABC Board</v>
          </cell>
          <cell r="C1575">
            <v>97917</v>
          </cell>
        </row>
        <row r="1576">
          <cell r="B1576" t="str">
            <v>Rich Square</v>
          </cell>
          <cell r="C1576">
            <v>96611</v>
          </cell>
        </row>
        <row r="1577">
          <cell r="B1577" t="str">
            <v>Richlands</v>
          </cell>
          <cell r="C1577">
            <v>96741</v>
          </cell>
        </row>
        <row r="1578">
          <cell r="B1578" t="str">
            <v>Richmond County</v>
          </cell>
          <cell r="C1578">
            <v>97701</v>
          </cell>
        </row>
        <row r="1579">
          <cell r="B1579" t="str">
            <v>River Bend</v>
          </cell>
          <cell r="C1579">
            <v>92541</v>
          </cell>
        </row>
        <row r="1580">
          <cell r="B1580" t="str">
            <v>Roanoke Rapids Sanitary District</v>
          </cell>
          <cell r="C1580">
            <v>94209</v>
          </cell>
        </row>
        <row r="1581">
          <cell r="B1581" t="str">
            <v>RoanokeRapids</v>
          </cell>
          <cell r="C1581">
            <v>94221</v>
          </cell>
        </row>
        <row r="1582">
          <cell r="B1582" t="str">
            <v>Robbins</v>
          </cell>
          <cell r="C1582">
            <v>96341</v>
          </cell>
        </row>
        <row r="1583">
          <cell r="B1583" t="str">
            <v>Robbinsville</v>
          </cell>
          <cell r="C1583">
            <v>93821</v>
          </cell>
        </row>
        <row r="1584">
          <cell r="B1584" t="str">
            <v>Robersonville</v>
          </cell>
          <cell r="C1584">
            <v>95851</v>
          </cell>
        </row>
        <row r="1585">
          <cell r="B1585" t="str">
            <v>Robersonville Housing Authority</v>
          </cell>
          <cell r="C1585">
            <v>95853</v>
          </cell>
        </row>
        <row r="1586">
          <cell r="B1586" t="str">
            <v>Robeson County</v>
          </cell>
          <cell r="C1586">
            <v>97801</v>
          </cell>
        </row>
        <row r="1587">
          <cell r="B1587" t="str">
            <v>Robeson County Housing Authority</v>
          </cell>
          <cell r="C1587">
            <v>97803</v>
          </cell>
        </row>
        <row r="1588">
          <cell r="B1588" t="str">
            <v>Robeson County Public Library</v>
          </cell>
          <cell r="C1588">
            <v>97805</v>
          </cell>
        </row>
        <row r="1589">
          <cell r="B1589" t="str">
            <v>Rockingham</v>
          </cell>
          <cell r="C1589">
            <v>97711</v>
          </cell>
        </row>
        <row r="1590">
          <cell r="B1590" t="str">
            <v>Rockingham County</v>
          </cell>
          <cell r="C1590">
            <v>97901</v>
          </cell>
        </row>
        <row r="1591">
          <cell r="B1591" t="str">
            <v>Rockingham Housing Authority</v>
          </cell>
          <cell r="C1591">
            <v>97713</v>
          </cell>
        </row>
        <row r="1592">
          <cell r="B1592" t="str">
            <v>RockinghamABCBoard</v>
          </cell>
          <cell r="C1592">
            <v>97727</v>
          </cell>
        </row>
        <row r="1593">
          <cell r="B1593" t="str">
            <v>Rockwell</v>
          </cell>
          <cell r="C1593">
            <v>98071</v>
          </cell>
        </row>
        <row r="1594">
          <cell r="B1594" t="str">
            <v>Rocky Mount-Wilson Airport Authority</v>
          </cell>
          <cell r="C1594">
            <v>93323</v>
          </cell>
        </row>
        <row r="1595">
          <cell r="B1595" t="str">
            <v>Rocky Mt Housing Authority</v>
          </cell>
          <cell r="C1595">
            <v>93333</v>
          </cell>
        </row>
        <row r="1596">
          <cell r="B1596" t="str">
            <v>RockyMount</v>
          </cell>
          <cell r="C1596">
            <v>93321</v>
          </cell>
        </row>
        <row r="1597">
          <cell r="B1597" t="str">
            <v>Rolesville</v>
          </cell>
          <cell r="C1597">
            <v>99203</v>
          </cell>
        </row>
        <row r="1598">
          <cell r="B1598" t="str">
            <v>Roper</v>
          </cell>
          <cell r="C1598">
            <v>99421</v>
          </cell>
        </row>
        <row r="1599">
          <cell r="B1599" t="str">
            <v>Rose Hill</v>
          </cell>
          <cell r="C1599">
            <v>93161</v>
          </cell>
        </row>
        <row r="1600">
          <cell r="B1600" t="str">
            <v>Roseboro</v>
          </cell>
          <cell r="C1600">
            <v>98261</v>
          </cell>
        </row>
        <row r="1601">
          <cell r="B1601" t="str">
            <v>Roseboro ABC Board</v>
          </cell>
          <cell r="C1601">
            <v>98237</v>
          </cell>
        </row>
        <row r="1602">
          <cell r="B1602" t="str">
            <v>Rowan Co Housing Authority</v>
          </cell>
          <cell r="C1602">
            <v>98003</v>
          </cell>
        </row>
        <row r="1603">
          <cell r="B1603" t="str">
            <v>Rowan Co Soil &amp; Water Conv Dist</v>
          </cell>
          <cell r="C1603">
            <v>98008</v>
          </cell>
        </row>
        <row r="1604">
          <cell r="B1604" t="str">
            <v>Rowan Convention &amp; Vistors Bureau</v>
          </cell>
          <cell r="C1604">
            <v>98002</v>
          </cell>
        </row>
        <row r="1605">
          <cell r="B1605" t="str">
            <v>Rowan County</v>
          </cell>
          <cell r="C1605">
            <v>98001</v>
          </cell>
        </row>
        <row r="1606">
          <cell r="B1606" t="str">
            <v>Rowan County ABC Board</v>
          </cell>
          <cell r="C1606">
            <v>98004</v>
          </cell>
        </row>
        <row r="1607">
          <cell r="B1607" t="str">
            <v>Rowland</v>
          </cell>
          <cell r="C1607">
            <v>97861</v>
          </cell>
        </row>
        <row r="1608">
          <cell r="B1608" t="str">
            <v>Roxboro</v>
          </cell>
          <cell r="C1608">
            <v>97311</v>
          </cell>
        </row>
        <row r="1609">
          <cell r="B1609" t="str">
            <v>Rural Hall</v>
          </cell>
          <cell r="C1609">
            <v>93431</v>
          </cell>
        </row>
        <row r="1610">
          <cell r="B1610" t="str">
            <v>Rutherford College</v>
          </cell>
          <cell r="C1610">
            <v>91214</v>
          </cell>
        </row>
        <row r="1611">
          <cell r="B1611" t="str">
            <v>Rutherford County</v>
          </cell>
          <cell r="C1611">
            <v>98101</v>
          </cell>
        </row>
        <row r="1612">
          <cell r="B1612" t="str">
            <v>Rutherford Polk Mcdowell Dist Brd Of Health</v>
          </cell>
          <cell r="C1612">
            <v>98103</v>
          </cell>
        </row>
        <row r="1613">
          <cell r="B1613" t="str">
            <v>Rutherfordton</v>
          </cell>
          <cell r="C1613">
            <v>98141</v>
          </cell>
        </row>
        <row r="1614">
          <cell r="B1614" t="str">
            <v>Rutherfordton ABC Brd</v>
          </cell>
          <cell r="C1614">
            <v>98147</v>
          </cell>
        </row>
        <row r="1615">
          <cell r="B1615" t="str">
            <v>Salemburg</v>
          </cell>
          <cell r="C1615">
            <v>98221</v>
          </cell>
        </row>
        <row r="1616">
          <cell r="B1616" t="str">
            <v>Salisbury</v>
          </cell>
          <cell r="C1616">
            <v>98011</v>
          </cell>
        </row>
        <row r="1617">
          <cell r="B1617" t="str">
            <v>Saluda</v>
          </cell>
          <cell r="C1617">
            <v>97531</v>
          </cell>
        </row>
        <row r="1618">
          <cell r="B1618" t="str">
            <v>Sampson County</v>
          </cell>
          <cell r="C1618">
            <v>98201</v>
          </cell>
        </row>
        <row r="1619">
          <cell r="B1619" t="str">
            <v>Sandhill Regional Library</v>
          </cell>
          <cell r="C1619">
            <v>97705</v>
          </cell>
        </row>
        <row r="1620">
          <cell r="B1620" t="str">
            <v>Sandhills Center</v>
          </cell>
          <cell r="C1620">
            <v>96318</v>
          </cell>
        </row>
        <row r="1621">
          <cell r="B1621" t="str">
            <v>Sanford</v>
          </cell>
          <cell r="C1621">
            <v>95311</v>
          </cell>
        </row>
        <row r="1622">
          <cell r="B1622" t="str">
            <v>Sanford ABC Board</v>
          </cell>
          <cell r="C1622">
            <v>95317</v>
          </cell>
        </row>
        <row r="1623">
          <cell r="B1623" t="str">
            <v>Sawmills</v>
          </cell>
          <cell r="C1623">
            <v>91421</v>
          </cell>
        </row>
        <row r="1624">
          <cell r="B1624" t="str">
            <v>Scotland County</v>
          </cell>
          <cell r="C1624">
            <v>98301</v>
          </cell>
        </row>
        <row r="1625">
          <cell r="B1625" t="str">
            <v>Scotland County ABC Board</v>
          </cell>
          <cell r="C1625">
            <v>98304</v>
          </cell>
        </row>
        <row r="1626">
          <cell r="B1626" t="str">
            <v>Scotland Neck</v>
          </cell>
          <cell r="C1626">
            <v>94241</v>
          </cell>
        </row>
        <row r="1627">
          <cell r="B1627" t="str">
            <v>Seaboard</v>
          </cell>
          <cell r="C1627">
            <v>96681</v>
          </cell>
        </row>
        <row r="1628">
          <cell r="B1628" t="str">
            <v>Seagrove</v>
          </cell>
          <cell r="C1628">
            <v>72593</v>
          </cell>
        </row>
        <row r="1629">
          <cell r="B1629" t="str">
            <v>Selma</v>
          </cell>
          <cell r="C1629">
            <v>95121</v>
          </cell>
        </row>
        <row r="1630">
          <cell r="B1630" t="str">
            <v>Selma Housing Authority</v>
          </cell>
          <cell r="C1630">
            <v>95123</v>
          </cell>
        </row>
        <row r="1631">
          <cell r="B1631" t="str">
            <v>Seven Devils</v>
          </cell>
          <cell r="C1631">
            <v>99531</v>
          </cell>
        </row>
        <row r="1632">
          <cell r="B1632" t="str">
            <v>Severn</v>
          </cell>
          <cell r="C1632">
            <v>96671</v>
          </cell>
        </row>
        <row r="1633">
          <cell r="B1633" t="str">
            <v>Shallotte</v>
          </cell>
          <cell r="C1633">
            <v>91081</v>
          </cell>
        </row>
        <row r="1634">
          <cell r="B1634" t="str">
            <v>Shallotte ABC Board</v>
          </cell>
          <cell r="C1634">
            <v>91057</v>
          </cell>
        </row>
        <row r="1635">
          <cell r="B1635" t="str">
            <v>Sharpsburg</v>
          </cell>
          <cell r="C1635">
            <v>96461</v>
          </cell>
        </row>
        <row r="1636">
          <cell r="B1636" t="str">
            <v>Shelby</v>
          </cell>
          <cell r="C1636">
            <v>92311</v>
          </cell>
        </row>
        <row r="1637">
          <cell r="B1637" t="str">
            <v>Shelby ABC Board</v>
          </cell>
          <cell r="C1637">
            <v>92317</v>
          </cell>
        </row>
        <row r="1638">
          <cell r="B1638" t="str">
            <v>Sheppard Memorial Library</v>
          </cell>
          <cell r="C1638">
            <v>97405</v>
          </cell>
        </row>
        <row r="1639">
          <cell r="B1639" t="str">
            <v>Siler City</v>
          </cell>
          <cell r="C1639">
            <v>91911</v>
          </cell>
        </row>
        <row r="1640">
          <cell r="B1640" t="str">
            <v>Siler City ABC Board</v>
          </cell>
          <cell r="C1640">
            <v>91917</v>
          </cell>
        </row>
        <row r="1641">
          <cell r="B1641" t="str">
            <v>Simpson</v>
          </cell>
          <cell r="C1641">
            <v>97481</v>
          </cell>
        </row>
        <row r="1642">
          <cell r="B1642" t="str">
            <v>Skyland Vol Fire Dept</v>
          </cell>
          <cell r="C1642">
            <v>91138</v>
          </cell>
        </row>
        <row r="1643">
          <cell r="B1643" t="str">
            <v>Smithfield</v>
          </cell>
          <cell r="C1643">
            <v>95111</v>
          </cell>
        </row>
        <row r="1644">
          <cell r="B1644" t="str">
            <v>Smithfield Housing Authority</v>
          </cell>
          <cell r="C1644">
            <v>95113</v>
          </cell>
        </row>
        <row r="1645">
          <cell r="B1645" t="str">
            <v>Snow Hill</v>
          </cell>
          <cell r="C1645">
            <v>94021</v>
          </cell>
        </row>
        <row r="1646">
          <cell r="B1646" t="str">
            <v>South Eastern Economic Development Comm</v>
          </cell>
          <cell r="C1646">
            <v>90918</v>
          </cell>
        </row>
        <row r="1647">
          <cell r="B1647" t="str">
            <v>South Granville Water And Sewer Authority</v>
          </cell>
          <cell r="C1647">
            <v>93910</v>
          </cell>
        </row>
        <row r="1648">
          <cell r="B1648" t="str">
            <v>Southeast Brunswick Sanitary District</v>
          </cell>
          <cell r="C1648">
            <v>91013</v>
          </cell>
        </row>
        <row r="1649">
          <cell r="B1649" t="str">
            <v>Southern Pines</v>
          </cell>
          <cell r="C1649">
            <v>96311</v>
          </cell>
        </row>
        <row r="1650">
          <cell r="B1650" t="str">
            <v>Southern Shores</v>
          </cell>
          <cell r="C1650">
            <v>92841</v>
          </cell>
        </row>
        <row r="1651">
          <cell r="B1651" t="str">
            <v>Southern Wayne Sanitary District</v>
          </cell>
          <cell r="C1651">
            <v>99609</v>
          </cell>
        </row>
        <row r="1652">
          <cell r="B1652" t="str">
            <v>Southport</v>
          </cell>
          <cell r="C1652">
            <v>91011</v>
          </cell>
        </row>
        <row r="1653">
          <cell r="B1653" t="str">
            <v>SouthportABCBoard</v>
          </cell>
          <cell r="C1653">
            <v>91017</v>
          </cell>
        </row>
        <row r="1654">
          <cell r="B1654" t="str">
            <v>Southwestern Nc Planning &amp; Econ.Dev.Commis.</v>
          </cell>
          <cell r="C1654">
            <v>95008</v>
          </cell>
        </row>
        <row r="1655">
          <cell r="B1655" t="str">
            <v>Sparta</v>
          </cell>
          <cell r="C1655">
            <v>72657</v>
          </cell>
        </row>
        <row r="1656">
          <cell r="B1656" t="str">
            <v>Sparta ABC Board</v>
          </cell>
          <cell r="C1656">
            <v>90307</v>
          </cell>
        </row>
        <row r="1657">
          <cell r="B1657" t="str">
            <v>Spencer</v>
          </cell>
          <cell r="C1657">
            <v>98031</v>
          </cell>
        </row>
        <row r="1658">
          <cell r="B1658" t="str">
            <v>Spindale</v>
          </cell>
          <cell r="C1658">
            <v>98121</v>
          </cell>
        </row>
        <row r="1659">
          <cell r="B1659" t="str">
            <v>Spring Hope</v>
          </cell>
          <cell r="C1659">
            <v>96411</v>
          </cell>
        </row>
        <row r="1660">
          <cell r="B1660" t="str">
            <v>Spring Lake</v>
          </cell>
          <cell r="C1660">
            <v>92661</v>
          </cell>
        </row>
        <row r="1661">
          <cell r="B1661" t="str">
            <v>Spruce Pine</v>
          </cell>
          <cell r="C1661">
            <v>96111</v>
          </cell>
        </row>
        <row r="1662">
          <cell r="B1662" t="str">
            <v>St James</v>
          </cell>
          <cell r="C1662">
            <v>91032</v>
          </cell>
        </row>
        <row r="1663">
          <cell r="B1663" t="str">
            <v>St Pauls</v>
          </cell>
          <cell r="C1663">
            <v>97831</v>
          </cell>
        </row>
        <row r="1664">
          <cell r="B1664" t="str">
            <v>St Paul'S Brd Of Alcoholic Ctl</v>
          </cell>
          <cell r="C1664">
            <v>97837</v>
          </cell>
        </row>
        <row r="1665">
          <cell r="B1665" t="str">
            <v>Stallings</v>
          </cell>
          <cell r="C1665">
            <v>96061</v>
          </cell>
        </row>
        <row r="1666">
          <cell r="B1666" t="str">
            <v>Stanfield</v>
          </cell>
          <cell r="C1666">
            <v>98481</v>
          </cell>
        </row>
        <row r="1667">
          <cell r="B1667" t="str">
            <v>Stanley</v>
          </cell>
          <cell r="C1667">
            <v>93602</v>
          </cell>
        </row>
        <row r="1668">
          <cell r="B1668" t="str">
            <v>Stanly County</v>
          </cell>
          <cell r="C1668">
            <v>98401</v>
          </cell>
        </row>
        <row r="1669">
          <cell r="B1669" t="str">
            <v>Stantonsburg</v>
          </cell>
          <cell r="C1669">
            <v>99821</v>
          </cell>
        </row>
        <row r="1670">
          <cell r="B1670" t="str">
            <v>Star</v>
          </cell>
          <cell r="C1670">
            <v>96211</v>
          </cell>
        </row>
        <row r="1671">
          <cell r="B1671" t="str">
            <v>Statesville</v>
          </cell>
          <cell r="C1671">
            <v>94911</v>
          </cell>
        </row>
        <row r="1672">
          <cell r="B1672" t="str">
            <v>Statesville ABC Board</v>
          </cell>
          <cell r="C1672">
            <v>94917</v>
          </cell>
        </row>
        <row r="1673">
          <cell r="B1673" t="str">
            <v>Stedman</v>
          </cell>
          <cell r="C1673">
            <v>92621</v>
          </cell>
        </row>
        <row r="1674">
          <cell r="B1674" t="str">
            <v>Stokes County</v>
          </cell>
          <cell r="C1674">
            <v>98501</v>
          </cell>
        </row>
        <row r="1675">
          <cell r="B1675" t="str">
            <v>Stoneville</v>
          </cell>
          <cell r="C1675">
            <v>97931</v>
          </cell>
        </row>
        <row r="1676">
          <cell r="B1676" t="str">
            <v>Stovall</v>
          </cell>
          <cell r="C1676">
            <v>93914</v>
          </cell>
        </row>
        <row r="1677">
          <cell r="B1677" t="str">
            <v>Sugar Mountain</v>
          </cell>
          <cell r="C1677">
            <v>90651</v>
          </cell>
        </row>
        <row r="1678">
          <cell r="B1678" t="str">
            <v>Summerfield</v>
          </cell>
          <cell r="C1678">
            <v>94171</v>
          </cell>
        </row>
        <row r="1679">
          <cell r="B1679" t="str">
            <v>Summerfield Fire District</v>
          </cell>
          <cell r="C1679">
            <v>94172</v>
          </cell>
        </row>
        <row r="1680">
          <cell r="B1680" t="str">
            <v>Sunset Beach</v>
          </cell>
          <cell r="C1680">
            <v>91041</v>
          </cell>
        </row>
        <row r="1681">
          <cell r="B1681" t="str">
            <v>Sunset Beach ABC Board</v>
          </cell>
          <cell r="C1681">
            <v>91047</v>
          </cell>
        </row>
        <row r="1682">
          <cell r="B1682" t="str">
            <v>Surf City</v>
          </cell>
          <cell r="C1682">
            <v>97131</v>
          </cell>
        </row>
        <row r="1683">
          <cell r="B1683" t="str">
            <v>Surry County</v>
          </cell>
          <cell r="C1683">
            <v>98601</v>
          </cell>
        </row>
        <row r="1684">
          <cell r="B1684" t="str">
            <v>Swain County</v>
          </cell>
          <cell r="C1684">
            <v>98701</v>
          </cell>
        </row>
        <row r="1685">
          <cell r="B1685" t="str">
            <v>Swansboro</v>
          </cell>
          <cell r="C1685">
            <v>96721</v>
          </cell>
        </row>
        <row r="1686">
          <cell r="B1686" t="str">
            <v>Sylva</v>
          </cell>
          <cell r="C1686">
            <v>95011</v>
          </cell>
        </row>
        <row r="1687">
          <cell r="B1687" t="str">
            <v>Tabor City</v>
          </cell>
          <cell r="C1687">
            <v>92451</v>
          </cell>
        </row>
        <row r="1688">
          <cell r="B1688" t="str">
            <v>Tarboro</v>
          </cell>
          <cell r="C1688">
            <v>93311</v>
          </cell>
        </row>
        <row r="1689">
          <cell r="B1689" t="str">
            <v>Tarboro Redevelopment Commission</v>
          </cell>
          <cell r="C1689">
            <v>93317</v>
          </cell>
        </row>
        <row r="1690">
          <cell r="B1690" t="str">
            <v>Taylorsville</v>
          </cell>
          <cell r="C1690">
            <v>90211</v>
          </cell>
        </row>
        <row r="1691">
          <cell r="B1691" t="str">
            <v>Taylortown</v>
          </cell>
          <cell r="C1691">
            <v>96302</v>
          </cell>
        </row>
        <row r="1692">
          <cell r="B1692" t="str">
            <v>Teachey</v>
          </cell>
          <cell r="C1692">
            <v>93181</v>
          </cell>
        </row>
        <row r="1693">
          <cell r="B1693" t="str">
            <v>Thomasville</v>
          </cell>
          <cell r="C1693">
            <v>92911</v>
          </cell>
        </row>
        <row r="1694">
          <cell r="B1694" t="str">
            <v>Thomasville ABC Board</v>
          </cell>
          <cell r="C1694">
            <v>92914</v>
          </cell>
        </row>
        <row r="1695">
          <cell r="B1695" t="str">
            <v>Thomasville Housing Authority</v>
          </cell>
          <cell r="C1695">
            <v>92913</v>
          </cell>
        </row>
        <row r="1696">
          <cell r="B1696" t="str">
            <v>Tobaccoville</v>
          </cell>
          <cell r="C1696">
            <v>93471</v>
          </cell>
        </row>
        <row r="1697">
          <cell r="B1697" t="str">
            <v>Toe River Health District</v>
          </cell>
          <cell r="C1697">
            <v>90098</v>
          </cell>
        </row>
        <row r="1698">
          <cell r="B1698" t="str">
            <v>Topsail Beach</v>
          </cell>
          <cell r="C1698">
            <v>97121</v>
          </cell>
        </row>
        <row r="1699">
          <cell r="B1699" t="str">
            <v>Transylvania County</v>
          </cell>
          <cell r="C1699">
            <v>98801</v>
          </cell>
        </row>
        <row r="1700">
          <cell r="B1700" t="str">
            <v>Trent Woods</v>
          </cell>
          <cell r="C1700">
            <v>92521</v>
          </cell>
        </row>
        <row r="1701">
          <cell r="B1701" t="str">
            <v>Triad Municipal ABC Board</v>
          </cell>
          <cell r="C1701">
            <v>93417</v>
          </cell>
        </row>
        <row r="1702">
          <cell r="B1702" t="str">
            <v>Triangle J Council Of Governments</v>
          </cell>
          <cell r="C1702">
            <v>93219</v>
          </cell>
        </row>
        <row r="1703">
          <cell r="B1703" t="str">
            <v>Trillium Health Resources</v>
          </cell>
          <cell r="C1703">
            <v>92513</v>
          </cell>
        </row>
        <row r="1704">
          <cell r="B1704" t="str">
            <v>Trinity</v>
          </cell>
          <cell r="C1704">
            <v>97661</v>
          </cell>
        </row>
        <row r="1705">
          <cell r="B1705" t="str">
            <v>Troutman</v>
          </cell>
          <cell r="C1705">
            <v>94931</v>
          </cell>
        </row>
        <row r="1706">
          <cell r="B1706" t="str">
            <v>Troy</v>
          </cell>
          <cell r="C1706">
            <v>96221</v>
          </cell>
        </row>
        <row r="1707">
          <cell r="B1707" t="str">
            <v>Tryon</v>
          </cell>
          <cell r="C1707">
            <v>97511</v>
          </cell>
        </row>
        <row r="1708">
          <cell r="B1708" t="str">
            <v>Tuckaseigee Water Authority</v>
          </cell>
          <cell r="C1708">
            <v>95002</v>
          </cell>
        </row>
        <row r="1709">
          <cell r="B1709" t="str">
            <v>Turkey</v>
          </cell>
          <cell r="C1709">
            <v>98251</v>
          </cell>
        </row>
        <row r="1710">
          <cell r="B1710" t="str">
            <v>Tyrrell Co ABC Board</v>
          </cell>
          <cell r="C1710">
            <v>98904</v>
          </cell>
        </row>
        <row r="1711">
          <cell r="B1711" t="str">
            <v>Tyrrell County</v>
          </cell>
          <cell r="C1711">
            <v>98901</v>
          </cell>
        </row>
        <row r="1712">
          <cell r="B1712" t="str">
            <v>Union County</v>
          </cell>
          <cell r="C1712">
            <v>99001</v>
          </cell>
        </row>
        <row r="1713">
          <cell r="B1713" t="str">
            <v>Unionville</v>
          </cell>
          <cell r="C1713">
            <v>99061</v>
          </cell>
        </row>
        <row r="1714">
          <cell r="B1714" t="str">
            <v>Upper Coastal Plain Council Of Governments</v>
          </cell>
          <cell r="C1714">
            <v>93309</v>
          </cell>
        </row>
        <row r="1715">
          <cell r="B1715" t="str">
            <v>Valdese</v>
          </cell>
          <cell r="C1715">
            <v>91211</v>
          </cell>
        </row>
        <row r="1716">
          <cell r="B1716" t="str">
            <v>Valdese Housing Authority</v>
          </cell>
          <cell r="C1716">
            <v>91213</v>
          </cell>
        </row>
        <row r="1717">
          <cell r="B1717" t="str">
            <v>Vance County</v>
          </cell>
          <cell r="C1717">
            <v>99101</v>
          </cell>
        </row>
        <row r="1718">
          <cell r="B1718" t="str">
            <v>Vance County ABC Bd</v>
          </cell>
          <cell r="C1718">
            <v>99104</v>
          </cell>
        </row>
        <row r="1719">
          <cell r="B1719" t="str">
            <v>Vanceboro</v>
          </cell>
          <cell r="C1719">
            <v>92551</v>
          </cell>
        </row>
        <row r="1720">
          <cell r="B1720" t="str">
            <v>Vass</v>
          </cell>
          <cell r="C1720">
            <v>96321</v>
          </cell>
        </row>
        <row r="1721">
          <cell r="B1721" t="str">
            <v>Vaya Health</v>
          </cell>
          <cell r="C1721">
            <v>95009</v>
          </cell>
        </row>
        <row r="1722">
          <cell r="B1722" t="str">
            <v>Wade</v>
          </cell>
          <cell r="C1722">
            <v>92641</v>
          </cell>
        </row>
        <row r="1723">
          <cell r="B1723" t="str">
            <v>Wadesboro</v>
          </cell>
          <cell r="C1723">
            <v>90411</v>
          </cell>
        </row>
        <row r="1724">
          <cell r="B1724" t="str">
            <v>Wadesboro ABC Board</v>
          </cell>
          <cell r="C1724">
            <v>90417</v>
          </cell>
        </row>
        <row r="1725">
          <cell r="B1725" t="str">
            <v>Wadesboro Housing Authority</v>
          </cell>
          <cell r="C1725">
            <v>90413</v>
          </cell>
        </row>
        <row r="1726">
          <cell r="B1726" t="str">
            <v>Wagram</v>
          </cell>
          <cell r="C1726">
            <v>98321</v>
          </cell>
        </row>
        <row r="1727">
          <cell r="B1727" t="str">
            <v>Wake County</v>
          </cell>
          <cell r="C1727">
            <v>99201</v>
          </cell>
        </row>
        <row r="1728">
          <cell r="B1728" t="str">
            <v>Wake County ABC Board</v>
          </cell>
          <cell r="C1728">
            <v>99204</v>
          </cell>
        </row>
        <row r="1729">
          <cell r="B1729" t="str">
            <v>Wake County Housing Authority</v>
          </cell>
          <cell r="C1729">
            <v>99207</v>
          </cell>
        </row>
        <row r="1730">
          <cell r="B1730" t="str">
            <v>Wake Forest</v>
          </cell>
          <cell r="C1730">
            <v>99281</v>
          </cell>
        </row>
        <row r="1731">
          <cell r="B1731" t="str">
            <v>Walkertown</v>
          </cell>
          <cell r="C1731">
            <v>93461</v>
          </cell>
        </row>
        <row r="1732">
          <cell r="B1732" t="str">
            <v>Wallace</v>
          </cell>
          <cell r="C1732">
            <v>93151</v>
          </cell>
        </row>
        <row r="1733">
          <cell r="B1733" t="str">
            <v>Wallace ABC Bd</v>
          </cell>
          <cell r="C1733">
            <v>93157</v>
          </cell>
        </row>
        <row r="1734">
          <cell r="B1734" t="str">
            <v>Walnut Cove</v>
          </cell>
          <cell r="C1734">
            <v>98511</v>
          </cell>
        </row>
        <row r="1735">
          <cell r="B1735" t="str">
            <v>Walnut Cove ABC Board</v>
          </cell>
          <cell r="C1735">
            <v>98517</v>
          </cell>
        </row>
        <row r="1736">
          <cell r="B1736" t="str">
            <v>Walnut Creek</v>
          </cell>
          <cell r="C1736">
            <v>99661</v>
          </cell>
        </row>
        <row r="1737">
          <cell r="B1737" t="str">
            <v>Walstonburg</v>
          </cell>
          <cell r="C1737">
            <v>94031</v>
          </cell>
        </row>
        <row r="1738">
          <cell r="B1738" t="str">
            <v>Warren County</v>
          </cell>
          <cell r="C1738">
            <v>99301</v>
          </cell>
        </row>
        <row r="1739">
          <cell r="B1739" t="str">
            <v>Warren County ABC Board</v>
          </cell>
          <cell r="C1739">
            <v>99304</v>
          </cell>
        </row>
        <row r="1740">
          <cell r="B1740" t="str">
            <v>Warrenton</v>
          </cell>
          <cell r="C1740">
            <v>99321</v>
          </cell>
        </row>
        <row r="1741">
          <cell r="B1741" t="str">
            <v>Warsaw</v>
          </cell>
          <cell r="C1741">
            <v>93131</v>
          </cell>
        </row>
        <row r="1742">
          <cell r="B1742" t="str">
            <v>Warsaw ABC Board</v>
          </cell>
          <cell r="C1742">
            <v>93137</v>
          </cell>
        </row>
        <row r="1743">
          <cell r="B1743" t="str">
            <v>Washington</v>
          </cell>
          <cell r="C1743">
            <v>90711</v>
          </cell>
        </row>
        <row r="1744">
          <cell r="B1744" t="str">
            <v>Washington County</v>
          </cell>
          <cell r="C1744">
            <v>99401</v>
          </cell>
        </row>
        <row r="1745">
          <cell r="B1745" t="str">
            <v>Washington County ABC Board</v>
          </cell>
          <cell r="C1745">
            <v>99404</v>
          </cell>
        </row>
        <row r="1746">
          <cell r="B1746" t="str">
            <v>Washington Park</v>
          </cell>
          <cell r="C1746">
            <v>90741</v>
          </cell>
        </row>
        <row r="1747">
          <cell r="B1747" t="str">
            <v>Watauga County</v>
          </cell>
          <cell r="C1747">
            <v>99501</v>
          </cell>
        </row>
        <row r="1748">
          <cell r="B1748" t="str">
            <v>Watauga County District U Tda</v>
          </cell>
          <cell r="C1748">
            <v>99509</v>
          </cell>
        </row>
        <row r="1749">
          <cell r="B1749" t="str">
            <v>Water &amp; Sewer Auth Of Cabarrus Cnty</v>
          </cell>
          <cell r="C1749">
            <v>91302</v>
          </cell>
        </row>
        <row r="1750">
          <cell r="B1750" t="str">
            <v>Waxhaw</v>
          </cell>
          <cell r="C1750">
            <v>99041</v>
          </cell>
        </row>
        <row r="1751">
          <cell r="B1751" t="str">
            <v>Waxhaw ABC Board</v>
          </cell>
          <cell r="C1751">
            <v>99047</v>
          </cell>
        </row>
        <row r="1752">
          <cell r="B1752" t="str">
            <v>Wayne County</v>
          </cell>
          <cell r="C1752">
            <v>99601</v>
          </cell>
        </row>
        <row r="1753">
          <cell r="B1753" t="str">
            <v>Wayne County ABC Board</v>
          </cell>
          <cell r="C1753">
            <v>99604</v>
          </cell>
        </row>
        <row r="1754">
          <cell r="B1754" t="str">
            <v>Waynesville</v>
          </cell>
          <cell r="C1754">
            <v>94411</v>
          </cell>
        </row>
        <row r="1755">
          <cell r="B1755" t="str">
            <v>Waynesville ABC Board</v>
          </cell>
          <cell r="C1755">
            <v>94412</v>
          </cell>
        </row>
        <row r="1756">
          <cell r="B1756" t="str">
            <v>Weaverville</v>
          </cell>
          <cell r="C1756">
            <v>91141</v>
          </cell>
        </row>
        <row r="1757">
          <cell r="B1757" t="str">
            <v>Weaverville ABC Board</v>
          </cell>
          <cell r="C1757">
            <v>91147</v>
          </cell>
        </row>
        <row r="1758">
          <cell r="B1758" t="str">
            <v>Weddington</v>
          </cell>
          <cell r="C1758">
            <v>99071</v>
          </cell>
        </row>
        <row r="1759">
          <cell r="B1759" t="str">
            <v>Weldon</v>
          </cell>
          <cell r="C1759">
            <v>94231</v>
          </cell>
        </row>
        <row r="1760">
          <cell r="B1760" t="str">
            <v>Wendell</v>
          </cell>
          <cell r="C1760">
            <v>99231</v>
          </cell>
        </row>
        <row r="1761">
          <cell r="B1761" t="str">
            <v>Wesley Chapel</v>
          </cell>
          <cell r="C1761">
            <v>99091</v>
          </cell>
        </row>
        <row r="1762">
          <cell r="B1762" t="str">
            <v>West Buncombe Fire Dept</v>
          </cell>
          <cell r="C1762">
            <v>91120</v>
          </cell>
        </row>
        <row r="1763">
          <cell r="B1763" t="str">
            <v>West Columbus ABC Board</v>
          </cell>
          <cell r="C1763">
            <v>92444</v>
          </cell>
        </row>
        <row r="1764">
          <cell r="B1764" t="str">
            <v>West Jefferson</v>
          </cell>
          <cell r="C1764">
            <v>90521</v>
          </cell>
        </row>
        <row r="1765">
          <cell r="B1765" t="str">
            <v>West Jefferson ABC Board</v>
          </cell>
          <cell r="C1765">
            <v>90507</v>
          </cell>
        </row>
        <row r="1766">
          <cell r="B1766" t="str">
            <v>Westarea Volunteer Fire Dept</v>
          </cell>
          <cell r="C1766">
            <v>92602</v>
          </cell>
        </row>
        <row r="1767">
          <cell r="B1767" t="str">
            <v>Western Carteret Interlocal Cooperation Agency</v>
          </cell>
          <cell r="C1767">
            <v>91608</v>
          </cell>
        </row>
        <row r="1768">
          <cell r="B1768" t="str">
            <v>Western Highland Area Authority</v>
          </cell>
          <cell r="C1768">
            <v>91119</v>
          </cell>
        </row>
        <row r="1769">
          <cell r="B1769" t="str">
            <v>Western Nc Regional Air Quality</v>
          </cell>
          <cell r="C1769">
            <v>91107</v>
          </cell>
        </row>
        <row r="1770">
          <cell r="B1770" t="str">
            <v>Western Piedmont Council Of Gvmts</v>
          </cell>
          <cell r="C1770">
            <v>91818</v>
          </cell>
        </row>
        <row r="1771">
          <cell r="B1771" t="str">
            <v>Western Piedmont Regional Transit Authority</v>
          </cell>
          <cell r="C1771">
            <v>91819</v>
          </cell>
        </row>
        <row r="1772">
          <cell r="B1772" t="str">
            <v>Whispering Pines</v>
          </cell>
          <cell r="C1772">
            <v>96371</v>
          </cell>
        </row>
        <row r="1773">
          <cell r="B1773" t="str">
            <v>Whitakers</v>
          </cell>
          <cell r="C1773">
            <v>96441</v>
          </cell>
        </row>
        <row r="1774">
          <cell r="B1774" t="str">
            <v>White Lake</v>
          </cell>
          <cell r="C1774">
            <v>90921</v>
          </cell>
        </row>
        <row r="1775">
          <cell r="B1775" t="str">
            <v>Whiteville</v>
          </cell>
          <cell r="C1775">
            <v>92411</v>
          </cell>
        </row>
        <row r="1776">
          <cell r="B1776" t="str">
            <v>Whiteville ABC Board</v>
          </cell>
          <cell r="C1776">
            <v>92417</v>
          </cell>
        </row>
        <row r="1777">
          <cell r="B1777" t="str">
            <v>Whiteville Housing Authority</v>
          </cell>
          <cell r="C1777">
            <v>92403</v>
          </cell>
        </row>
        <row r="1778">
          <cell r="B1778" t="str">
            <v>Wilkes County</v>
          </cell>
          <cell r="C1778">
            <v>99701</v>
          </cell>
        </row>
        <row r="1779">
          <cell r="B1779" t="str">
            <v>Wilkesboro</v>
          </cell>
          <cell r="C1779">
            <v>99721</v>
          </cell>
        </row>
        <row r="1780">
          <cell r="B1780" t="str">
            <v>Wilkesboro ABC Board</v>
          </cell>
          <cell r="C1780">
            <v>99727</v>
          </cell>
        </row>
        <row r="1781">
          <cell r="B1781" t="str">
            <v>Williamston</v>
          </cell>
          <cell r="C1781">
            <v>95811</v>
          </cell>
        </row>
        <row r="1782">
          <cell r="B1782" t="str">
            <v>Williamston Housing Authority</v>
          </cell>
          <cell r="C1782">
            <v>95813</v>
          </cell>
        </row>
        <row r="1783">
          <cell r="B1783" t="str">
            <v>Wilmington</v>
          </cell>
          <cell r="C1783">
            <v>96531</v>
          </cell>
        </row>
        <row r="1784">
          <cell r="B1784" t="str">
            <v>Wilmington Housing Authority</v>
          </cell>
          <cell r="C1784">
            <v>96503</v>
          </cell>
        </row>
        <row r="1785">
          <cell r="B1785" t="str">
            <v>Wilson</v>
          </cell>
          <cell r="C1785">
            <v>99811</v>
          </cell>
        </row>
        <row r="1786">
          <cell r="B1786" t="str">
            <v>Wilson Cemetery Commission</v>
          </cell>
          <cell r="C1786">
            <v>99818</v>
          </cell>
        </row>
        <row r="1787">
          <cell r="B1787" t="str">
            <v>Wilson County</v>
          </cell>
          <cell r="C1787">
            <v>99801</v>
          </cell>
        </row>
        <row r="1788">
          <cell r="B1788" t="str">
            <v>Wilson County ABC Board</v>
          </cell>
          <cell r="C1788">
            <v>99804</v>
          </cell>
        </row>
        <row r="1789">
          <cell r="B1789" t="str">
            <v>Wilson County Tourism Development Auth</v>
          </cell>
          <cell r="C1789">
            <v>99802</v>
          </cell>
        </row>
        <row r="1790">
          <cell r="B1790" t="str">
            <v>Wilson Economic Dev Council</v>
          </cell>
          <cell r="C1790">
            <v>99812</v>
          </cell>
        </row>
        <row r="1791">
          <cell r="B1791" t="str">
            <v>Wilson'S Mills</v>
          </cell>
          <cell r="C1791">
            <v>95191</v>
          </cell>
        </row>
        <row r="1792">
          <cell r="B1792" t="str">
            <v>Windsor</v>
          </cell>
          <cell r="C1792">
            <v>90812</v>
          </cell>
        </row>
        <row r="1793">
          <cell r="B1793" t="str">
            <v>Winfall</v>
          </cell>
          <cell r="C1793">
            <v>97221</v>
          </cell>
        </row>
        <row r="1794">
          <cell r="B1794" t="str">
            <v>Wingate</v>
          </cell>
          <cell r="C1794">
            <v>99031</v>
          </cell>
        </row>
        <row r="1795">
          <cell r="B1795" t="str">
            <v>Winston-Salem</v>
          </cell>
          <cell r="C1795">
            <v>93411</v>
          </cell>
        </row>
        <row r="1796">
          <cell r="B1796" t="str">
            <v>Winston-Salem Housing Authority</v>
          </cell>
          <cell r="C1796">
            <v>93413</v>
          </cell>
        </row>
        <row r="1797">
          <cell r="B1797" t="str">
            <v>Winterville</v>
          </cell>
          <cell r="C1797">
            <v>97451</v>
          </cell>
        </row>
        <row r="1798">
          <cell r="B1798" t="str">
            <v>Winton</v>
          </cell>
          <cell r="C1798">
            <v>94631</v>
          </cell>
        </row>
        <row r="1799">
          <cell r="B1799" t="str">
            <v>Woodfin</v>
          </cell>
          <cell r="C1799">
            <v>91171</v>
          </cell>
        </row>
        <row r="1800">
          <cell r="B1800" t="str">
            <v>Woodfin ABC Commission</v>
          </cell>
          <cell r="C1800">
            <v>91104</v>
          </cell>
        </row>
        <row r="1801">
          <cell r="B1801" t="str">
            <v>Woodfin Sanitary Water And Sewer Dist</v>
          </cell>
          <cell r="C1801">
            <v>91109</v>
          </cell>
        </row>
        <row r="1802">
          <cell r="B1802" t="str">
            <v>Woodland</v>
          </cell>
          <cell r="C1802">
            <v>96621</v>
          </cell>
        </row>
        <row r="1803">
          <cell r="B1803" t="str">
            <v>Wrightsville Beach</v>
          </cell>
          <cell r="C1803">
            <v>96511</v>
          </cell>
        </row>
        <row r="1804">
          <cell r="B1804" t="str">
            <v>Yadkin County</v>
          </cell>
          <cell r="C1804">
            <v>99901</v>
          </cell>
        </row>
        <row r="1805">
          <cell r="B1805" t="str">
            <v>Yadkin Valley ABC Board</v>
          </cell>
          <cell r="C1805">
            <v>98604</v>
          </cell>
        </row>
        <row r="1806">
          <cell r="B1806" t="str">
            <v>Yadkin Valley Sewer Authority</v>
          </cell>
          <cell r="C1806">
            <v>98608</v>
          </cell>
        </row>
        <row r="1807">
          <cell r="B1807" t="str">
            <v>Yadkinville</v>
          </cell>
          <cell r="C1807">
            <v>99911</v>
          </cell>
        </row>
        <row r="1808">
          <cell r="B1808" t="str">
            <v>Yancey County</v>
          </cell>
          <cell r="C1808">
            <v>90001</v>
          </cell>
        </row>
        <row r="1809">
          <cell r="B1809" t="str">
            <v>Yancey Soil &amp; Water Cons</v>
          </cell>
          <cell r="C1809">
            <v>90002</v>
          </cell>
        </row>
        <row r="1810">
          <cell r="B1810" t="str">
            <v>Yanceyville</v>
          </cell>
          <cell r="C1810">
            <v>91719</v>
          </cell>
        </row>
        <row r="1811">
          <cell r="B1811" t="str">
            <v>Youngsville</v>
          </cell>
          <cell r="C1811">
            <v>93541</v>
          </cell>
        </row>
        <row r="1812">
          <cell r="B1812" t="str">
            <v>Zebulon</v>
          </cell>
          <cell r="C1812">
            <v>99241</v>
          </cell>
        </row>
        <row r="1813">
          <cell r="B1813" t="str">
            <v>Carolina County</v>
          </cell>
          <cell r="C1813" t="str">
            <v>9xxxy</v>
          </cell>
        </row>
      </sheetData>
      <sheetData sheetId="21"/>
      <sheetData sheetId="22">
        <row r="1">
          <cell r="A1" t="str">
            <v>Agency Num</v>
          </cell>
          <cell r="B1" t="str">
            <v>Agency Name</v>
          </cell>
          <cell r="C1" t="str">
            <v>FY 2018 Total Contributions</v>
          </cell>
          <cell r="D1" t="str">
            <v>(Normal Contributions, Plus Liability Contributions, net of Court Costs Offsets)</v>
          </cell>
        </row>
        <row r="2">
          <cell r="A2" t="str">
            <v>N/A</v>
          </cell>
          <cell r="B2" t="str">
            <v>No additional agency chosen</v>
          </cell>
          <cell r="C2">
            <v>0</v>
          </cell>
        </row>
        <row r="3">
          <cell r="A3">
            <v>70505</v>
          </cell>
          <cell r="B3" t="str">
            <v>THE EASTERN BAND OF CHEROKEE INDIANS</v>
          </cell>
          <cell r="C3">
            <v>199598.36</v>
          </cell>
        </row>
        <row r="4">
          <cell r="A4">
            <v>72265</v>
          </cell>
          <cell r="B4" t="str">
            <v>PIEDMONT TRIAD AIRPORT AUTHORITY</v>
          </cell>
          <cell r="C4">
            <v>73112.03</v>
          </cell>
        </row>
        <row r="5">
          <cell r="A5">
            <v>72593</v>
          </cell>
          <cell r="B5" t="str">
            <v>TOWN OF SEAGROVE</v>
          </cell>
          <cell r="C5">
            <v>2108.59</v>
          </cell>
        </row>
        <row r="6">
          <cell r="A6">
            <v>72657</v>
          </cell>
          <cell r="B6" t="str">
            <v>TOWN OF SPARTA</v>
          </cell>
          <cell r="C6">
            <v>17248.68</v>
          </cell>
        </row>
        <row r="7">
          <cell r="A7">
            <v>90001</v>
          </cell>
          <cell r="B7" t="str">
            <v>YANCEY COUNTY</v>
          </cell>
          <cell r="C7">
            <v>422349.86</v>
          </cell>
        </row>
        <row r="8">
          <cell r="A8">
            <v>90002</v>
          </cell>
          <cell r="B8" t="str">
            <v>YANCEY SOIL &amp; WATER CONS</v>
          </cell>
          <cell r="C8">
            <v>6507.44</v>
          </cell>
        </row>
        <row r="9">
          <cell r="A9">
            <v>90011</v>
          </cell>
          <cell r="B9" t="str">
            <v>TOWN OF BURNSVILLE</v>
          </cell>
          <cell r="C9">
            <v>89505.7</v>
          </cell>
        </row>
        <row r="10">
          <cell r="A10">
            <v>90092</v>
          </cell>
          <cell r="B10" t="str">
            <v>MARTIN-TYRRELL-WASHINGTON DIST HEALTH DEPT</v>
          </cell>
          <cell r="C10">
            <v>190866.47</v>
          </cell>
        </row>
        <row r="11">
          <cell r="A11">
            <v>90096</v>
          </cell>
          <cell r="B11" t="str">
            <v>ALBEMARLE REGIONAL HEALTH SERVICES</v>
          </cell>
          <cell r="C11">
            <v>544431.76</v>
          </cell>
        </row>
        <row r="12">
          <cell r="A12">
            <v>90098</v>
          </cell>
          <cell r="B12" t="str">
            <v>TOE RIVER HEALTH DISTRICT</v>
          </cell>
          <cell r="C12">
            <v>156011.64000000001</v>
          </cell>
        </row>
        <row r="13">
          <cell r="A13">
            <v>90099</v>
          </cell>
          <cell r="B13" t="str">
            <v>APPALACHIAN DISTRICT HEALTH DEPT</v>
          </cell>
          <cell r="C13">
            <v>309544.28000000003</v>
          </cell>
        </row>
        <row r="14">
          <cell r="A14">
            <v>90101</v>
          </cell>
          <cell r="B14" t="str">
            <v>ALAMANCE COUNTY</v>
          </cell>
          <cell r="C14">
            <v>3133228.39</v>
          </cell>
        </row>
        <row r="15">
          <cell r="A15">
            <v>90111</v>
          </cell>
          <cell r="B15" t="str">
            <v>CITY OF BURLINGTON</v>
          </cell>
          <cell r="C15">
            <v>2405333.15</v>
          </cell>
        </row>
        <row r="16">
          <cell r="A16">
            <v>90114</v>
          </cell>
          <cell r="B16" t="str">
            <v>CITY OF MEBANE</v>
          </cell>
          <cell r="C16">
            <v>1198986.54</v>
          </cell>
        </row>
        <row r="17">
          <cell r="A17">
            <v>90117</v>
          </cell>
          <cell r="B17" t="str">
            <v>ALAMANCE MUNICIPAL ABC BOARD</v>
          </cell>
          <cell r="C17">
            <v>88275.02</v>
          </cell>
        </row>
        <row r="18">
          <cell r="A18">
            <v>90121</v>
          </cell>
          <cell r="B18" t="str">
            <v>CITY OF GRAHAM</v>
          </cell>
          <cell r="C18">
            <v>462400.57</v>
          </cell>
        </row>
        <row r="19">
          <cell r="A19">
            <v>90131</v>
          </cell>
          <cell r="B19" t="str">
            <v>TOWN OF ELON</v>
          </cell>
          <cell r="C19">
            <v>219611.64</v>
          </cell>
        </row>
        <row r="20">
          <cell r="A20">
            <v>90141</v>
          </cell>
          <cell r="B20" t="str">
            <v>TOWN OF HAW RIVER</v>
          </cell>
          <cell r="C20">
            <v>68863.360000000001</v>
          </cell>
        </row>
        <row r="21">
          <cell r="A21">
            <v>90151</v>
          </cell>
          <cell r="B21" t="str">
            <v>VILLAGE OF ALAMANCE</v>
          </cell>
          <cell r="C21">
            <v>3287.64</v>
          </cell>
        </row>
        <row r="22">
          <cell r="A22">
            <v>90161</v>
          </cell>
          <cell r="B22" t="str">
            <v>TOWN OF GREEN LEVEL</v>
          </cell>
          <cell r="C22">
            <v>16093.92</v>
          </cell>
        </row>
        <row r="23">
          <cell r="A23">
            <v>90201</v>
          </cell>
          <cell r="B23" t="str">
            <v>ALEXANDER COUNTY</v>
          </cell>
          <cell r="C23">
            <v>578316.75</v>
          </cell>
        </row>
        <row r="24">
          <cell r="A24">
            <v>90203</v>
          </cell>
          <cell r="B24" t="str">
            <v>ALEXANDER COUNTY HEALTH DEPT</v>
          </cell>
          <cell r="C24">
            <v>101603.37</v>
          </cell>
        </row>
        <row r="25">
          <cell r="A25">
            <v>90205</v>
          </cell>
          <cell r="B25" t="str">
            <v>ALEXANDER COUNTY PUBLIC LIBRARY</v>
          </cell>
          <cell r="C25">
            <v>16633.099999999999</v>
          </cell>
        </row>
        <row r="26">
          <cell r="A26">
            <v>90206</v>
          </cell>
          <cell r="B26" t="str">
            <v>ALEXANDER COUNTY DEPT OF S S</v>
          </cell>
          <cell r="C26">
            <v>199183.31</v>
          </cell>
        </row>
        <row r="27">
          <cell r="A27">
            <v>90211</v>
          </cell>
          <cell r="B27" t="str">
            <v>TOWN OF TAYLORSVILLE</v>
          </cell>
          <cell r="C27">
            <v>79199.97</v>
          </cell>
        </row>
        <row r="28">
          <cell r="A28">
            <v>90301</v>
          </cell>
          <cell r="B28" t="str">
            <v>ALLEGHANY COUNTY</v>
          </cell>
          <cell r="C28">
            <v>305923.24</v>
          </cell>
        </row>
        <row r="29">
          <cell r="A29">
            <v>90305</v>
          </cell>
          <cell r="B29" t="str">
            <v>NORTHWESTERN REGIONAL LIBRARY</v>
          </cell>
          <cell r="C29">
            <v>86244.7</v>
          </cell>
        </row>
        <row r="30">
          <cell r="A30">
            <v>90307</v>
          </cell>
          <cell r="B30" t="str">
            <v>TOWN OF SPARTA ABC BOARD</v>
          </cell>
          <cell r="C30">
            <v>4263.08</v>
          </cell>
        </row>
        <row r="31">
          <cell r="A31">
            <v>90401</v>
          </cell>
          <cell r="B31" t="str">
            <v>ANSON COUNTY</v>
          </cell>
          <cell r="C31">
            <v>665185.52</v>
          </cell>
        </row>
        <row r="32">
          <cell r="A32">
            <v>90411</v>
          </cell>
          <cell r="B32" t="str">
            <v>TOWN OF WADESBORO</v>
          </cell>
          <cell r="C32">
            <v>159556.95000000001</v>
          </cell>
        </row>
        <row r="33">
          <cell r="A33">
            <v>90413</v>
          </cell>
          <cell r="B33" t="str">
            <v>WADESBORO HOUSING AUTHORITY</v>
          </cell>
          <cell r="C33">
            <v>19071.849999999999</v>
          </cell>
        </row>
        <row r="34">
          <cell r="A34">
            <v>90417</v>
          </cell>
          <cell r="B34" t="str">
            <v>WADESBORO ABC BOARD</v>
          </cell>
          <cell r="C34">
            <v>8909.31</v>
          </cell>
        </row>
        <row r="35">
          <cell r="A35">
            <v>90421</v>
          </cell>
          <cell r="B35" t="str">
            <v>TOWN OF LILESVILLE</v>
          </cell>
          <cell r="C35">
            <v>8994.9</v>
          </cell>
        </row>
        <row r="36">
          <cell r="A36">
            <v>90431</v>
          </cell>
          <cell r="B36" t="str">
            <v>TOWN OF POLKTON</v>
          </cell>
          <cell r="C36">
            <v>23132.46</v>
          </cell>
        </row>
        <row r="37">
          <cell r="A37">
            <v>90441</v>
          </cell>
          <cell r="B37" t="str">
            <v>TOWN OF PEACHLAND</v>
          </cell>
          <cell r="C37">
            <v>5251.99</v>
          </cell>
        </row>
        <row r="38">
          <cell r="A38">
            <v>90451</v>
          </cell>
          <cell r="B38" t="str">
            <v>TOWN OF ANSONVILLE</v>
          </cell>
          <cell r="C38">
            <v>9876.26</v>
          </cell>
        </row>
        <row r="39">
          <cell r="A39">
            <v>90461</v>
          </cell>
          <cell r="B39" t="str">
            <v>TOWN OF MORVEN</v>
          </cell>
          <cell r="C39">
            <v>4462.04</v>
          </cell>
        </row>
        <row r="40">
          <cell r="A40">
            <v>90501</v>
          </cell>
          <cell r="B40" t="str">
            <v>ASHE COUNTY</v>
          </cell>
          <cell r="C40">
            <v>706559.67</v>
          </cell>
        </row>
        <row r="41">
          <cell r="A41">
            <v>90507</v>
          </cell>
          <cell r="B41" t="str">
            <v>WEST JEFFERSON ABC BOARD</v>
          </cell>
          <cell r="C41">
            <v>10999.19</v>
          </cell>
        </row>
        <row r="42">
          <cell r="A42">
            <v>90511</v>
          </cell>
          <cell r="B42" t="str">
            <v>TOWN OF JEFFERSON</v>
          </cell>
          <cell r="C42">
            <v>54677.3</v>
          </cell>
        </row>
        <row r="43">
          <cell r="A43">
            <v>90521</v>
          </cell>
          <cell r="B43" t="str">
            <v>TOWN OF WEST JEFFERSON</v>
          </cell>
          <cell r="C43">
            <v>56165.440000000002</v>
          </cell>
        </row>
        <row r="44">
          <cell r="A44">
            <v>90601</v>
          </cell>
          <cell r="B44" t="str">
            <v>AVERY COUNTY</v>
          </cell>
          <cell r="C44">
            <v>569631.02</v>
          </cell>
        </row>
        <row r="45">
          <cell r="A45">
            <v>90602</v>
          </cell>
          <cell r="B45" t="str">
            <v>AVERY COUNTY FIRE COMMISSION</v>
          </cell>
          <cell r="C45">
            <v>43992.959999999999</v>
          </cell>
        </row>
        <row r="46">
          <cell r="A46">
            <v>90605</v>
          </cell>
          <cell r="B46" t="str">
            <v>AVERY-MITCHELL-YANCEY REG LIBRARY</v>
          </cell>
          <cell r="C46">
            <v>27630.29</v>
          </cell>
        </row>
        <row r="47">
          <cell r="A47">
            <v>90611</v>
          </cell>
          <cell r="B47" t="str">
            <v>TOWN OF BANNER ELK</v>
          </cell>
          <cell r="C47">
            <v>65699.09</v>
          </cell>
        </row>
        <row r="48">
          <cell r="A48">
            <v>90617</v>
          </cell>
          <cell r="B48" t="str">
            <v>HIGH COUNTRY ABC BOARD</v>
          </cell>
          <cell r="C48">
            <v>14672.75</v>
          </cell>
        </row>
        <row r="49">
          <cell r="A49">
            <v>90621</v>
          </cell>
          <cell r="B49" t="str">
            <v>TOWN OF NEWLAND</v>
          </cell>
          <cell r="C49">
            <v>27186.65</v>
          </cell>
        </row>
        <row r="50">
          <cell r="A50">
            <v>90631</v>
          </cell>
          <cell r="B50" t="str">
            <v>TOWN OF BEECH MOUNTAIN</v>
          </cell>
          <cell r="C50">
            <v>183176.35</v>
          </cell>
        </row>
        <row r="51">
          <cell r="A51">
            <v>90641</v>
          </cell>
          <cell r="B51" t="str">
            <v>TOWN OF ELK PARK</v>
          </cell>
          <cell r="C51">
            <v>7183.64</v>
          </cell>
        </row>
        <row r="52">
          <cell r="A52">
            <v>90651</v>
          </cell>
          <cell r="B52" t="str">
            <v>VILLAGE OF SUGAR MOUNTAIN</v>
          </cell>
          <cell r="C52">
            <v>102653.54</v>
          </cell>
        </row>
        <row r="53">
          <cell r="A53">
            <v>90701</v>
          </cell>
          <cell r="B53" t="str">
            <v>BEAUFORT COUNTY</v>
          </cell>
          <cell r="C53">
            <v>1197981.55</v>
          </cell>
        </row>
        <row r="54">
          <cell r="A54">
            <v>90704</v>
          </cell>
          <cell r="B54" t="str">
            <v>BEAUFORT COUNTY ABC BOARD</v>
          </cell>
          <cell r="C54">
            <v>27041.13</v>
          </cell>
        </row>
        <row r="55">
          <cell r="A55">
            <v>90705</v>
          </cell>
          <cell r="B55" t="str">
            <v>B H M REGIONAL LIBRARY</v>
          </cell>
          <cell r="C55">
            <v>23511.61</v>
          </cell>
        </row>
        <row r="56">
          <cell r="A56">
            <v>90709</v>
          </cell>
          <cell r="B56" t="str">
            <v>MIDEAST COMMISSION</v>
          </cell>
          <cell r="C56">
            <v>93850.66</v>
          </cell>
        </row>
        <row r="57">
          <cell r="A57">
            <v>90711</v>
          </cell>
          <cell r="B57" t="str">
            <v>CITY OF WASHINGTON</v>
          </cell>
          <cell r="C57">
            <v>779300.72</v>
          </cell>
        </row>
        <row r="58">
          <cell r="A58">
            <v>90721</v>
          </cell>
          <cell r="B58" t="str">
            <v>TOWN OF AURORA</v>
          </cell>
          <cell r="C58">
            <v>14420.6</v>
          </cell>
        </row>
        <row r="59">
          <cell r="A59">
            <v>90731</v>
          </cell>
          <cell r="B59" t="str">
            <v>TOWN OF BELHAVEN</v>
          </cell>
          <cell r="C59">
            <v>79076.149999999994</v>
          </cell>
        </row>
        <row r="60">
          <cell r="A60">
            <v>90741</v>
          </cell>
          <cell r="B60" t="str">
            <v>TOWN OF WASHINGTON PARK</v>
          </cell>
          <cell r="C60">
            <v>7000.11</v>
          </cell>
        </row>
        <row r="61">
          <cell r="A61">
            <v>90751</v>
          </cell>
          <cell r="B61" t="str">
            <v>TOWN OF CHOCOWINITY</v>
          </cell>
          <cell r="C61">
            <v>32337.1</v>
          </cell>
        </row>
        <row r="62">
          <cell r="A62">
            <v>90801</v>
          </cell>
          <cell r="B62" t="str">
            <v>BERTIE COUNTY</v>
          </cell>
          <cell r="C62">
            <v>563452.01</v>
          </cell>
        </row>
        <row r="63">
          <cell r="A63">
            <v>90804</v>
          </cell>
          <cell r="B63" t="str">
            <v>BERTIE COUNTY ABC BOARD</v>
          </cell>
          <cell r="C63">
            <v>2846.16</v>
          </cell>
        </row>
        <row r="64">
          <cell r="A64">
            <v>90805</v>
          </cell>
          <cell r="B64" t="str">
            <v>ALBEMARLE REGIONAL LIBRARY</v>
          </cell>
          <cell r="C64">
            <v>40885.440000000002</v>
          </cell>
        </row>
        <row r="65">
          <cell r="A65">
            <v>90808</v>
          </cell>
          <cell r="B65" t="str">
            <v>BERTIE-MARTIN REGIONAL JAIL COMM</v>
          </cell>
          <cell r="C65">
            <v>59800.12</v>
          </cell>
        </row>
        <row r="66">
          <cell r="A66">
            <v>90811</v>
          </cell>
          <cell r="B66" t="str">
            <v>TOWN OF AULANDER</v>
          </cell>
          <cell r="C66">
            <v>11840</v>
          </cell>
        </row>
        <row r="67">
          <cell r="A67">
            <v>90812</v>
          </cell>
          <cell r="B67" t="str">
            <v>TOWN OF WINDSOR</v>
          </cell>
          <cell r="C67">
            <v>108049.17</v>
          </cell>
        </row>
        <row r="68">
          <cell r="A68">
            <v>90813</v>
          </cell>
          <cell r="B68" t="str">
            <v>TOWN OF COLERAIN</v>
          </cell>
          <cell r="C68">
            <v>2202.62</v>
          </cell>
        </row>
        <row r="69">
          <cell r="A69">
            <v>90861</v>
          </cell>
          <cell r="B69" t="str">
            <v>TOWN OF LEWISTON WOODVILLE</v>
          </cell>
          <cell r="C69">
            <v>6397.63</v>
          </cell>
        </row>
        <row r="70">
          <cell r="A70">
            <v>90901</v>
          </cell>
          <cell r="B70" t="str">
            <v>BLADEN COUNTY</v>
          </cell>
          <cell r="C70">
            <v>1076135.98</v>
          </cell>
        </row>
        <row r="71">
          <cell r="A71">
            <v>90911</v>
          </cell>
          <cell r="B71" t="str">
            <v>TOWN OF ELIZABETHTOWN</v>
          </cell>
          <cell r="C71">
            <v>172044.33</v>
          </cell>
        </row>
        <row r="72">
          <cell r="A72">
            <v>90917</v>
          </cell>
          <cell r="B72" t="str">
            <v>ELIZABETHTOWN ABC BOARD</v>
          </cell>
          <cell r="C72">
            <v>6378.08</v>
          </cell>
        </row>
        <row r="73">
          <cell r="A73">
            <v>90918</v>
          </cell>
          <cell r="B73" t="str">
            <v>SOUTH EASTERN ECONOMIC DEVELOPMENT COMM</v>
          </cell>
          <cell r="C73">
            <v>5036.16</v>
          </cell>
        </row>
        <row r="74">
          <cell r="A74">
            <v>90921</v>
          </cell>
          <cell r="B74" t="str">
            <v>TOWN OF WHITE LAKE</v>
          </cell>
          <cell r="C74">
            <v>62914.78</v>
          </cell>
        </row>
        <row r="75">
          <cell r="A75">
            <v>90931</v>
          </cell>
          <cell r="B75" t="str">
            <v>TOWN OF CLARKTON</v>
          </cell>
          <cell r="C75">
            <v>16352.75</v>
          </cell>
        </row>
        <row r="76">
          <cell r="A76">
            <v>90941</v>
          </cell>
          <cell r="B76" t="str">
            <v>TOWN OF BLADENBORO</v>
          </cell>
          <cell r="C76">
            <v>39056.300000000003</v>
          </cell>
        </row>
        <row r="77">
          <cell r="A77">
            <v>91001</v>
          </cell>
          <cell r="B77" t="str">
            <v>BRUNSWICK COUNTY</v>
          </cell>
          <cell r="C77">
            <v>3090374.08</v>
          </cell>
        </row>
        <row r="78">
          <cell r="A78">
            <v>91002</v>
          </cell>
          <cell r="B78" t="str">
            <v>TOWN OF LELAND</v>
          </cell>
          <cell r="C78">
            <v>407170.49</v>
          </cell>
        </row>
        <row r="79">
          <cell r="A79">
            <v>91003</v>
          </cell>
          <cell r="B79" t="str">
            <v>BRUNSWICK CO HEALTH DEPT</v>
          </cell>
          <cell r="C79">
            <v>270617.24</v>
          </cell>
        </row>
        <row r="80">
          <cell r="A80">
            <v>91004</v>
          </cell>
          <cell r="B80" t="str">
            <v>BRUNSWICK COUNTY ABC BOARD</v>
          </cell>
          <cell r="C80">
            <v>17386.82</v>
          </cell>
        </row>
        <row r="81">
          <cell r="A81">
            <v>91006</v>
          </cell>
          <cell r="B81" t="str">
            <v>BRUNSWICK CO DEPT OF SOCIAL SERVICES</v>
          </cell>
          <cell r="C81">
            <v>473853.03</v>
          </cell>
        </row>
        <row r="82">
          <cell r="A82">
            <v>91007</v>
          </cell>
          <cell r="B82" t="str">
            <v>CALABASH ABC BOARD</v>
          </cell>
          <cell r="C82">
            <v>5144.54</v>
          </cell>
        </row>
        <row r="83">
          <cell r="A83">
            <v>91008</v>
          </cell>
          <cell r="B83" t="str">
            <v>CAPE FEAR COUNCIL OF GOVERNMENTS</v>
          </cell>
          <cell r="C83">
            <v>75095.399999999994</v>
          </cell>
        </row>
        <row r="84">
          <cell r="A84">
            <v>91009</v>
          </cell>
          <cell r="B84" t="str">
            <v>BRUNSWICK COUNTY TOURISM AUTHORITY</v>
          </cell>
          <cell r="C84">
            <v>11581.2</v>
          </cell>
        </row>
        <row r="85">
          <cell r="A85">
            <v>91010</v>
          </cell>
          <cell r="B85" t="str">
            <v>TOWN OF CALABASH</v>
          </cell>
          <cell r="C85">
            <v>30525.27</v>
          </cell>
        </row>
        <row r="86">
          <cell r="A86">
            <v>91011</v>
          </cell>
          <cell r="B86" t="str">
            <v>CITY OF SOUTHPORT</v>
          </cell>
          <cell r="C86">
            <v>170093.99</v>
          </cell>
        </row>
        <row r="87">
          <cell r="A87">
            <v>91012</v>
          </cell>
          <cell r="B87" t="str">
            <v>CITY OF NORTHWEST</v>
          </cell>
          <cell r="C87">
            <v>7628.71</v>
          </cell>
        </row>
        <row r="88">
          <cell r="A88">
            <v>91013</v>
          </cell>
          <cell r="B88" t="str">
            <v>SOUTHEAST BRUNSWICK SANITARY DISTRICT</v>
          </cell>
          <cell r="C88">
            <v>33972.910000000003</v>
          </cell>
        </row>
        <row r="89">
          <cell r="A89">
            <v>91014</v>
          </cell>
          <cell r="B89" t="str">
            <v>TOWN OF HOLDEN BEACH</v>
          </cell>
          <cell r="C89">
            <v>98530.09</v>
          </cell>
        </row>
        <row r="90">
          <cell r="A90">
            <v>91015</v>
          </cell>
          <cell r="B90" t="str">
            <v>CAPE FEAR REGIONAL JETPORT</v>
          </cell>
          <cell r="C90">
            <v>17475.47</v>
          </cell>
        </row>
        <row r="91">
          <cell r="A91">
            <v>91017</v>
          </cell>
          <cell r="B91" t="str">
            <v>CITY OF SOUTHPORT ABC BOARD</v>
          </cell>
          <cell r="C91">
            <v>13122.92</v>
          </cell>
        </row>
        <row r="92">
          <cell r="A92">
            <v>91020</v>
          </cell>
          <cell r="B92" t="str">
            <v>TOWN OF BELVILLE</v>
          </cell>
          <cell r="C92">
            <v>13714.62</v>
          </cell>
        </row>
        <row r="93">
          <cell r="A93">
            <v>91021</v>
          </cell>
          <cell r="B93" t="str">
            <v>TOWN OF OAK ISLAND</v>
          </cell>
          <cell r="C93">
            <v>437293.88</v>
          </cell>
        </row>
        <row r="94">
          <cell r="A94">
            <v>91024</v>
          </cell>
          <cell r="B94" t="str">
            <v>TOWN OF CAROLINA SHORES</v>
          </cell>
          <cell r="C94">
            <v>47198.87</v>
          </cell>
        </row>
        <row r="95">
          <cell r="A95">
            <v>91026</v>
          </cell>
          <cell r="B95" t="str">
            <v>TOWN OF NAVASSA</v>
          </cell>
          <cell r="C95">
            <v>47235.53</v>
          </cell>
        </row>
        <row r="96">
          <cell r="A96">
            <v>91027</v>
          </cell>
          <cell r="B96" t="str">
            <v>OAK ISLAND ABC BD</v>
          </cell>
          <cell r="C96">
            <v>14495.89</v>
          </cell>
        </row>
        <row r="97">
          <cell r="A97">
            <v>91032</v>
          </cell>
          <cell r="B97" t="str">
            <v>TOWN OF ST JAMES</v>
          </cell>
          <cell r="C97">
            <v>19389.87</v>
          </cell>
        </row>
        <row r="98">
          <cell r="A98">
            <v>91041</v>
          </cell>
          <cell r="B98" t="str">
            <v>TOWN OF SUNSET BEACH</v>
          </cell>
          <cell r="C98">
            <v>178639.54</v>
          </cell>
        </row>
        <row r="99">
          <cell r="A99">
            <v>91042</v>
          </cell>
          <cell r="B99" t="str">
            <v>BRUNSWICK REGIONAL WATER AND SEWER H2GO</v>
          </cell>
          <cell r="C99">
            <v>115345.57</v>
          </cell>
        </row>
        <row r="100">
          <cell r="A100">
            <v>91047</v>
          </cell>
          <cell r="B100" t="str">
            <v>TOWN OF SUNSET BEACH ABC BOARD</v>
          </cell>
          <cell r="C100">
            <v>18028.490000000002</v>
          </cell>
        </row>
        <row r="101">
          <cell r="A101">
            <v>91051</v>
          </cell>
          <cell r="B101" t="str">
            <v>TOWN OF CASWELL BEACH</v>
          </cell>
          <cell r="C101">
            <v>33299.519999999997</v>
          </cell>
        </row>
        <row r="102">
          <cell r="A102">
            <v>91057</v>
          </cell>
          <cell r="B102" t="str">
            <v>SHALLOTTE ABC BOARD</v>
          </cell>
          <cell r="C102">
            <v>10701.43</v>
          </cell>
        </row>
        <row r="103">
          <cell r="A103">
            <v>91061</v>
          </cell>
          <cell r="B103" t="str">
            <v>TOWN OF OCEAN ISLE BEACH</v>
          </cell>
          <cell r="C103">
            <v>185817.86</v>
          </cell>
        </row>
        <row r="104">
          <cell r="A104">
            <v>91067</v>
          </cell>
          <cell r="B104" t="str">
            <v>OCEAN ISLE BEACH ABC BOARD</v>
          </cell>
          <cell r="C104">
            <v>9145.5</v>
          </cell>
        </row>
        <row r="105">
          <cell r="A105">
            <v>91071</v>
          </cell>
          <cell r="B105" t="str">
            <v>CITY OF BOILING SPRG LAKES</v>
          </cell>
          <cell r="C105">
            <v>107390.02</v>
          </cell>
        </row>
        <row r="106">
          <cell r="A106">
            <v>91077</v>
          </cell>
          <cell r="B106" t="str">
            <v>BOILING SPRING LAKES ABC BOARD</v>
          </cell>
          <cell r="C106">
            <v>2844.76</v>
          </cell>
        </row>
        <row r="107">
          <cell r="A107">
            <v>91081</v>
          </cell>
          <cell r="B107" t="str">
            <v>TOWN OF SHALLOTTE</v>
          </cell>
          <cell r="C107">
            <v>190608.11</v>
          </cell>
        </row>
        <row r="108">
          <cell r="A108">
            <v>91091</v>
          </cell>
          <cell r="B108" t="str">
            <v>VILLAGE OF BALD HEAD ISLAND</v>
          </cell>
          <cell r="C108">
            <v>242147.15</v>
          </cell>
        </row>
        <row r="109">
          <cell r="A109">
            <v>91101</v>
          </cell>
          <cell r="B109" t="str">
            <v>BUNCOMBE COUNTY</v>
          </cell>
          <cell r="C109">
            <v>6369471.71</v>
          </cell>
        </row>
        <row r="110">
          <cell r="A110">
            <v>91102</v>
          </cell>
          <cell r="B110" t="str">
            <v>LAND-OF-SKY REGIONAL COUNCIL</v>
          </cell>
          <cell r="C110">
            <v>161217.85999999999</v>
          </cell>
        </row>
        <row r="111">
          <cell r="A111">
            <v>91104</v>
          </cell>
          <cell r="B111" t="str">
            <v>WOODFIN ABC COMMISSION</v>
          </cell>
          <cell r="C111">
            <v>7841.5</v>
          </cell>
        </row>
        <row r="112">
          <cell r="A112">
            <v>91107</v>
          </cell>
          <cell r="B112" t="str">
            <v>WESTERN NC REGIONAL AIR QUALITY</v>
          </cell>
          <cell r="C112">
            <v>35656.78</v>
          </cell>
        </row>
        <row r="113">
          <cell r="A113">
            <v>91108</v>
          </cell>
          <cell r="B113" t="str">
            <v>METRO SEWERAGE DIST OF BUNCOMBE COUNTY</v>
          </cell>
          <cell r="C113">
            <v>653593.38</v>
          </cell>
        </row>
        <row r="114">
          <cell r="A114">
            <v>91109</v>
          </cell>
          <cell r="B114" t="str">
            <v>WOODFIN SANITARY WATER AND SEWER DIST</v>
          </cell>
          <cell r="C114">
            <v>52821.48</v>
          </cell>
        </row>
        <row r="115">
          <cell r="A115">
            <v>91111</v>
          </cell>
          <cell r="B115" t="str">
            <v>TOWN OF BILTMORE FOREST</v>
          </cell>
          <cell r="C115">
            <v>113814.14</v>
          </cell>
        </row>
        <row r="116">
          <cell r="A116">
            <v>91120</v>
          </cell>
          <cell r="B116" t="str">
            <v>WEST BUNCOMBE FIRE DEPT</v>
          </cell>
          <cell r="C116">
            <v>51466.63</v>
          </cell>
        </row>
        <row r="117">
          <cell r="A117">
            <v>91121</v>
          </cell>
          <cell r="B117" t="str">
            <v>CITY OF ASHEVILLE</v>
          </cell>
          <cell r="C117">
            <v>4668215.2</v>
          </cell>
        </row>
        <row r="118">
          <cell r="A118">
            <v>91127</v>
          </cell>
          <cell r="B118" t="str">
            <v>ASHEVILLE ABC BOARD</v>
          </cell>
          <cell r="C118">
            <v>160012.03</v>
          </cell>
        </row>
        <row r="119">
          <cell r="A119">
            <v>91128</v>
          </cell>
          <cell r="B119" t="str">
            <v>ASHEVILLE REGIONAL AIRPORT AUTHORITY</v>
          </cell>
          <cell r="C119">
            <v>247626.75</v>
          </cell>
        </row>
        <row r="120">
          <cell r="A120">
            <v>91138</v>
          </cell>
          <cell r="B120" t="str">
            <v>SKYLAND VOL FIRE DEPT</v>
          </cell>
          <cell r="C120">
            <v>195822.78</v>
          </cell>
        </row>
        <row r="121">
          <cell r="A121">
            <v>91141</v>
          </cell>
          <cell r="B121" t="str">
            <v>TOWN OF WEAVERVILLE</v>
          </cell>
          <cell r="C121">
            <v>259024.41</v>
          </cell>
        </row>
        <row r="122">
          <cell r="A122">
            <v>91147</v>
          </cell>
          <cell r="B122" t="str">
            <v>WEAVERVILLE ABC BOARD</v>
          </cell>
          <cell r="C122">
            <v>14428.59</v>
          </cell>
        </row>
        <row r="123">
          <cell r="A123">
            <v>91151</v>
          </cell>
          <cell r="B123" t="str">
            <v>TOWN OF BLACK MOUNTAIN</v>
          </cell>
          <cell r="C123">
            <v>265563.67</v>
          </cell>
        </row>
        <row r="124">
          <cell r="A124">
            <v>91154</v>
          </cell>
          <cell r="B124" t="str">
            <v>BLACK MTN ABC BOARD</v>
          </cell>
          <cell r="C124">
            <v>11031.76</v>
          </cell>
        </row>
        <row r="125">
          <cell r="A125">
            <v>91161</v>
          </cell>
          <cell r="B125" t="str">
            <v>TOWN OF MONTREAT</v>
          </cell>
          <cell r="C125">
            <v>39612.639999999999</v>
          </cell>
        </row>
        <row r="126">
          <cell r="A126">
            <v>91171</v>
          </cell>
          <cell r="B126" t="str">
            <v>TOWN OF WOODFIN</v>
          </cell>
          <cell r="C126">
            <v>108457.15</v>
          </cell>
        </row>
        <row r="127">
          <cell r="A127">
            <v>91201</v>
          </cell>
          <cell r="B127" t="str">
            <v>BURKE COUNTY</v>
          </cell>
          <cell r="C127">
            <v>1055634.83</v>
          </cell>
        </row>
        <row r="128">
          <cell r="A128">
            <v>91202</v>
          </cell>
          <cell r="B128" t="str">
            <v>BURKE-CATAWBA DIST CONFINEMENT</v>
          </cell>
          <cell r="C128">
            <v>98483.79</v>
          </cell>
        </row>
        <row r="129">
          <cell r="A129">
            <v>91203</v>
          </cell>
          <cell r="B129" t="str">
            <v>BURKE CO HEALTH DEPT</v>
          </cell>
          <cell r="C129">
            <v>137099.06</v>
          </cell>
        </row>
        <row r="130">
          <cell r="A130">
            <v>91206</v>
          </cell>
          <cell r="B130" t="str">
            <v>BURKE CO DEPT OF SOCIAL SERVICES</v>
          </cell>
          <cell r="C130">
            <v>441655</v>
          </cell>
        </row>
        <row r="131">
          <cell r="A131">
            <v>91208</v>
          </cell>
          <cell r="B131" t="str">
            <v>BURKE COUNTY TOURISM DEV. AUTHORITY</v>
          </cell>
          <cell r="C131">
            <v>6701.2</v>
          </cell>
        </row>
        <row r="132">
          <cell r="A132">
            <v>91211</v>
          </cell>
          <cell r="B132" t="str">
            <v>TOWN OF VALDESE</v>
          </cell>
          <cell r="C132">
            <v>205268.23</v>
          </cell>
        </row>
        <row r="133">
          <cell r="A133">
            <v>91213</v>
          </cell>
          <cell r="B133" t="str">
            <v>VALDESE HOUSING AUTHORITY</v>
          </cell>
          <cell r="C133">
            <v>11721.01</v>
          </cell>
        </row>
        <row r="134">
          <cell r="A134">
            <v>91214</v>
          </cell>
          <cell r="B134" t="str">
            <v>TOWN OF RUTHERFORD COLLEGE</v>
          </cell>
          <cell r="C134">
            <v>11806.91</v>
          </cell>
        </row>
        <row r="135">
          <cell r="A135">
            <v>91217</v>
          </cell>
          <cell r="B135" t="str">
            <v>MORGANTON ABC BOARD</v>
          </cell>
          <cell r="C135">
            <v>14531.74</v>
          </cell>
        </row>
        <row r="136">
          <cell r="A136">
            <v>91221</v>
          </cell>
          <cell r="B136" t="str">
            <v>TOWN OF DREXEL</v>
          </cell>
          <cell r="C136">
            <v>57643.74</v>
          </cell>
        </row>
        <row r="137">
          <cell r="A137">
            <v>91231</v>
          </cell>
          <cell r="B137" t="str">
            <v>CITY OF MORGANTON</v>
          </cell>
          <cell r="C137">
            <v>907952.12</v>
          </cell>
        </row>
        <row r="138">
          <cell r="A138">
            <v>91233</v>
          </cell>
          <cell r="B138" t="str">
            <v>MORGANTON HOUSING AUTHORITY</v>
          </cell>
          <cell r="C138">
            <v>22381.89</v>
          </cell>
        </row>
        <row r="139">
          <cell r="A139">
            <v>91241</v>
          </cell>
          <cell r="B139" t="str">
            <v>TOWN OF GLEN ALPINE</v>
          </cell>
          <cell r="C139">
            <v>29020.19</v>
          </cell>
        </row>
        <row r="140">
          <cell r="A140">
            <v>91251</v>
          </cell>
          <cell r="B140" t="str">
            <v>TOWN OF HILDEBRAN</v>
          </cell>
          <cell r="C140">
            <v>17207.91</v>
          </cell>
        </row>
        <row r="141">
          <cell r="A141">
            <v>91261</v>
          </cell>
          <cell r="B141" t="str">
            <v>TOWN OF CONNELLY SPRINGS</v>
          </cell>
          <cell r="C141">
            <v>4921.62</v>
          </cell>
        </row>
        <row r="142">
          <cell r="A142">
            <v>91301</v>
          </cell>
          <cell r="B142" t="str">
            <v>CABARRUS COUNTY</v>
          </cell>
          <cell r="C142">
            <v>3634284.41</v>
          </cell>
        </row>
        <row r="143">
          <cell r="A143">
            <v>91302</v>
          </cell>
          <cell r="B143" t="str">
            <v>WATER &amp; SEWER AUTH OF CABARRUS CNTY</v>
          </cell>
          <cell r="C143">
            <v>256040.47</v>
          </cell>
        </row>
        <row r="144">
          <cell r="A144">
            <v>91306</v>
          </cell>
          <cell r="B144" t="str">
            <v>CABARRUS CO PUBLIC HEALTH AUTH</v>
          </cell>
          <cell r="C144">
            <v>913944.23</v>
          </cell>
        </row>
        <row r="145">
          <cell r="A145">
            <v>91308</v>
          </cell>
          <cell r="B145" t="str">
            <v>CABARRUS COUNTY TOURISM AUTHORITY</v>
          </cell>
          <cell r="C145">
            <v>81846.03</v>
          </cell>
        </row>
        <row r="146">
          <cell r="A146">
            <v>91311</v>
          </cell>
          <cell r="B146" t="str">
            <v>CITY OF CONCORD</v>
          </cell>
          <cell r="C146">
            <v>3635419.91</v>
          </cell>
        </row>
        <row r="147">
          <cell r="A147">
            <v>91317</v>
          </cell>
          <cell r="B147" t="str">
            <v>CONCORD ABC BOARD</v>
          </cell>
          <cell r="C147">
            <v>55268.480000000003</v>
          </cell>
        </row>
        <row r="148">
          <cell r="A148">
            <v>91321</v>
          </cell>
          <cell r="B148" t="str">
            <v>TOWN OF MOUNT PLEASANT</v>
          </cell>
          <cell r="C148">
            <v>46430.78</v>
          </cell>
        </row>
        <row r="149">
          <cell r="A149">
            <v>91327</v>
          </cell>
          <cell r="B149" t="str">
            <v>MT PLEASANT ABC BOARD</v>
          </cell>
          <cell r="C149">
            <v>4873.43</v>
          </cell>
        </row>
        <row r="150">
          <cell r="A150">
            <v>91331</v>
          </cell>
          <cell r="B150" t="str">
            <v>CITY OF KANNAPOLIS</v>
          </cell>
          <cell r="C150">
            <v>1293706.05</v>
          </cell>
        </row>
        <row r="151">
          <cell r="A151">
            <v>91341</v>
          </cell>
          <cell r="B151" t="str">
            <v>TOWN OF MIDLAND</v>
          </cell>
          <cell r="C151">
            <v>14437.97</v>
          </cell>
        </row>
        <row r="152">
          <cell r="A152">
            <v>91401</v>
          </cell>
          <cell r="B152" t="str">
            <v>CALDWELL COUNTY</v>
          </cell>
          <cell r="C152">
            <v>1665858.47</v>
          </cell>
        </row>
        <row r="153">
          <cell r="A153">
            <v>91411</v>
          </cell>
          <cell r="B153" t="str">
            <v>TOWN OF GRANITE FALLS</v>
          </cell>
          <cell r="C153">
            <v>184234.83</v>
          </cell>
        </row>
        <row r="154">
          <cell r="A154">
            <v>91417</v>
          </cell>
          <cell r="B154" t="str">
            <v>GRANITE FALLS ABC BOARD</v>
          </cell>
          <cell r="C154">
            <v>5523.81</v>
          </cell>
        </row>
        <row r="155">
          <cell r="A155">
            <v>91421</v>
          </cell>
          <cell r="B155" t="str">
            <v>TOWN OF SAWMILLS</v>
          </cell>
          <cell r="C155">
            <v>38840.82</v>
          </cell>
        </row>
        <row r="156">
          <cell r="A156">
            <v>91423</v>
          </cell>
          <cell r="B156" t="str">
            <v>LENOIR HOUSING AUTHORITY</v>
          </cell>
          <cell r="C156">
            <v>19786.169999999998</v>
          </cell>
        </row>
        <row r="157">
          <cell r="A157">
            <v>91431</v>
          </cell>
          <cell r="B157" t="str">
            <v>TOWN OF HUDSON</v>
          </cell>
          <cell r="C157">
            <v>88726.05</v>
          </cell>
        </row>
        <row r="158">
          <cell r="A158">
            <v>91441</v>
          </cell>
          <cell r="B158" t="str">
            <v>TOWN OF HARRISBURG</v>
          </cell>
          <cell r="C158">
            <v>350488.21</v>
          </cell>
        </row>
        <row r="159">
          <cell r="A159">
            <v>91451</v>
          </cell>
          <cell r="B159" t="str">
            <v>CITY OF LENOIR</v>
          </cell>
          <cell r="C159">
            <v>719186.38</v>
          </cell>
        </row>
        <row r="160">
          <cell r="A160">
            <v>91457</v>
          </cell>
          <cell r="B160" t="str">
            <v>CITY OF LENOIR ABC BRD</v>
          </cell>
          <cell r="C160">
            <v>29814.83</v>
          </cell>
        </row>
        <row r="161">
          <cell r="A161">
            <v>91461</v>
          </cell>
          <cell r="B161" t="str">
            <v>TOWN OF CAJAH'S MOUNTAIN</v>
          </cell>
          <cell r="C161">
            <v>3124.44</v>
          </cell>
        </row>
        <row r="162">
          <cell r="A162">
            <v>91501</v>
          </cell>
          <cell r="B162" t="str">
            <v>CAMDEN COUNTY</v>
          </cell>
          <cell r="C162">
            <v>236941.69</v>
          </cell>
        </row>
        <row r="163">
          <cell r="A163">
            <v>91504</v>
          </cell>
          <cell r="B163" t="str">
            <v>CAMDEN COUNTY ABC BOARD</v>
          </cell>
          <cell r="C163">
            <v>6938.79</v>
          </cell>
        </row>
        <row r="164">
          <cell r="A164">
            <v>91601</v>
          </cell>
          <cell r="B164" t="str">
            <v>CARTERET COUNTY</v>
          </cell>
          <cell r="C164">
            <v>1390327.92</v>
          </cell>
        </row>
        <row r="165">
          <cell r="A165">
            <v>91604</v>
          </cell>
          <cell r="B165" t="str">
            <v>CARTERET COUNTY ABC BOARD</v>
          </cell>
          <cell r="C165">
            <v>55839.06</v>
          </cell>
        </row>
        <row r="166">
          <cell r="A166">
            <v>91608</v>
          </cell>
          <cell r="B166" t="str">
            <v>WESTERN CARTERET INTERLOCAL COOPERATION AGENCY</v>
          </cell>
          <cell r="C166">
            <v>52378.559999999998</v>
          </cell>
        </row>
        <row r="167">
          <cell r="A167">
            <v>91611</v>
          </cell>
          <cell r="B167" t="str">
            <v>TOWN OF MOREHEAD CITY</v>
          </cell>
          <cell r="C167">
            <v>614656.17000000004</v>
          </cell>
        </row>
        <row r="168">
          <cell r="A168">
            <v>91621</v>
          </cell>
          <cell r="B168" t="str">
            <v>TOWN OF NEWPORT</v>
          </cell>
          <cell r="C168">
            <v>124283.42</v>
          </cell>
        </row>
        <row r="169">
          <cell r="A169">
            <v>91631</v>
          </cell>
          <cell r="B169" t="str">
            <v>TOWN OF BEAUFORT</v>
          </cell>
          <cell r="C169">
            <v>239433.46</v>
          </cell>
        </row>
        <row r="170">
          <cell r="A170">
            <v>91633</v>
          </cell>
          <cell r="B170" t="str">
            <v>BEAUFORT HOUSING AUTH</v>
          </cell>
          <cell r="C170">
            <v>10219.19</v>
          </cell>
        </row>
        <row r="171">
          <cell r="A171">
            <v>91641</v>
          </cell>
          <cell r="B171" t="str">
            <v>TOWN OF PINE KNOLL SHORES</v>
          </cell>
          <cell r="C171">
            <v>115065.09</v>
          </cell>
        </row>
        <row r="172">
          <cell r="A172">
            <v>91651</v>
          </cell>
          <cell r="B172" t="str">
            <v>TOWN OF EMERALD ISLE</v>
          </cell>
          <cell r="C172">
            <v>238247.14</v>
          </cell>
        </row>
        <row r="173">
          <cell r="A173">
            <v>91661</v>
          </cell>
          <cell r="B173" t="str">
            <v>TOWN OF INDIAN BEACH</v>
          </cell>
          <cell r="C173">
            <v>66913.820000000007</v>
          </cell>
        </row>
        <row r="174">
          <cell r="A174">
            <v>91671</v>
          </cell>
          <cell r="B174" t="str">
            <v>TOWN OF CAPE CARTERET</v>
          </cell>
          <cell r="C174">
            <v>47244.94</v>
          </cell>
        </row>
        <row r="175">
          <cell r="A175">
            <v>91681</v>
          </cell>
          <cell r="B175" t="str">
            <v>TOWN OF ATLANTIC BEACH</v>
          </cell>
          <cell r="C175">
            <v>400102.46</v>
          </cell>
        </row>
        <row r="176">
          <cell r="A176">
            <v>91691</v>
          </cell>
          <cell r="B176" t="str">
            <v>TOWN OF CEDAR POINT</v>
          </cell>
          <cell r="C176">
            <v>11105.62</v>
          </cell>
        </row>
        <row r="177">
          <cell r="A177">
            <v>91701</v>
          </cell>
          <cell r="B177" t="str">
            <v>CASWELL COUNTY</v>
          </cell>
          <cell r="C177">
            <v>564446.93000000005</v>
          </cell>
        </row>
        <row r="178">
          <cell r="A178">
            <v>91704</v>
          </cell>
          <cell r="B178" t="str">
            <v>CASWELL COUNTY ABC BOARD</v>
          </cell>
          <cell r="C178">
            <v>8607.86</v>
          </cell>
        </row>
        <row r="179">
          <cell r="A179">
            <v>91706</v>
          </cell>
          <cell r="B179" t="str">
            <v>CASWELL CO DEPT OF SOCIAL SERVICES</v>
          </cell>
          <cell r="C179">
            <v>166002.10999999999</v>
          </cell>
        </row>
        <row r="180">
          <cell r="A180">
            <v>91719</v>
          </cell>
          <cell r="B180" t="str">
            <v>TOWN OF YANCEYVILLE</v>
          </cell>
          <cell r="C180">
            <v>22115.77</v>
          </cell>
        </row>
        <row r="181">
          <cell r="A181">
            <v>91801</v>
          </cell>
          <cell r="B181" t="str">
            <v>CATAWBA COUNTY</v>
          </cell>
          <cell r="C181">
            <v>3845158.35</v>
          </cell>
        </row>
        <row r="182">
          <cell r="A182">
            <v>91804</v>
          </cell>
          <cell r="B182" t="str">
            <v>CATAWBA COUNTY ABC BOARD</v>
          </cell>
          <cell r="C182">
            <v>105464.52</v>
          </cell>
        </row>
        <row r="183">
          <cell r="A183">
            <v>91811</v>
          </cell>
          <cell r="B183" t="str">
            <v>CITY OF HICKORY</v>
          </cell>
          <cell r="C183">
            <v>2056779.12</v>
          </cell>
        </row>
        <row r="184">
          <cell r="A184">
            <v>91812</v>
          </cell>
          <cell r="B184" t="str">
            <v>HICKORY CONOVER TOURISM DEV AUTH</v>
          </cell>
          <cell r="C184">
            <v>28370.39</v>
          </cell>
        </row>
        <row r="185">
          <cell r="A185">
            <v>91813</v>
          </cell>
          <cell r="B185" t="str">
            <v>HICKORY PUBLIC HOUSING AUTHORITY</v>
          </cell>
          <cell r="C185">
            <v>41692.79</v>
          </cell>
        </row>
        <row r="186">
          <cell r="A186">
            <v>91818</v>
          </cell>
          <cell r="B186" t="str">
            <v>WESTERN PIEDMONT COUNCIL OF GVMTS</v>
          </cell>
          <cell r="C186">
            <v>468317.05</v>
          </cell>
        </row>
        <row r="187">
          <cell r="A187">
            <v>91819</v>
          </cell>
          <cell r="B187" t="str">
            <v>WESTERN PIEDMONT REGIONAL TRANSIT AUTHORITY</v>
          </cell>
          <cell r="C187">
            <v>156994.41</v>
          </cell>
        </row>
        <row r="188">
          <cell r="A188">
            <v>91821</v>
          </cell>
          <cell r="B188" t="str">
            <v>CITY OF CLAREMONT</v>
          </cell>
          <cell r="C188">
            <v>75806.77</v>
          </cell>
        </row>
        <row r="189">
          <cell r="A189">
            <v>91831</v>
          </cell>
          <cell r="B189" t="str">
            <v>TOWN OF MAIDEN</v>
          </cell>
          <cell r="C189">
            <v>165489.25</v>
          </cell>
        </row>
        <row r="190">
          <cell r="A190">
            <v>91841</v>
          </cell>
          <cell r="B190" t="str">
            <v>THE TOWN OF LONGVIEW</v>
          </cell>
          <cell r="C190">
            <v>125257.59</v>
          </cell>
        </row>
        <row r="191">
          <cell r="A191">
            <v>91851</v>
          </cell>
          <cell r="B191" t="str">
            <v>TOWN OF CONOVER</v>
          </cell>
          <cell r="C191">
            <v>362200.99</v>
          </cell>
        </row>
        <row r="192">
          <cell r="A192">
            <v>91861</v>
          </cell>
          <cell r="B192" t="str">
            <v>TOWN OF BROOKFORD</v>
          </cell>
          <cell r="C192">
            <v>7332.89</v>
          </cell>
        </row>
        <row r="193">
          <cell r="A193">
            <v>91871</v>
          </cell>
          <cell r="B193" t="str">
            <v>CITY OF NEWTON</v>
          </cell>
          <cell r="C193">
            <v>615146.46</v>
          </cell>
        </row>
        <row r="194">
          <cell r="A194">
            <v>91881</v>
          </cell>
          <cell r="B194" t="str">
            <v>TOWN OF CATAWBA</v>
          </cell>
          <cell r="C194">
            <v>5098.6400000000003</v>
          </cell>
        </row>
        <row r="195">
          <cell r="A195">
            <v>91901</v>
          </cell>
          <cell r="B195" t="str">
            <v>CHATHAM COUNTY</v>
          </cell>
          <cell r="C195">
            <v>1743893.92</v>
          </cell>
        </row>
        <row r="196">
          <cell r="A196">
            <v>91903</v>
          </cell>
          <cell r="B196" t="str">
            <v>CHATHAM CO HOUSING AUTH</v>
          </cell>
          <cell r="C196">
            <v>6537</v>
          </cell>
        </row>
        <row r="197">
          <cell r="A197">
            <v>91904</v>
          </cell>
          <cell r="B197" t="str">
            <v>CHATHAM COUNTY ABC BOARD</v>
          </cell>
          <cell r="C197">
            <v>16612.080000000002</v>
          </cell>
        </row>
        <row r="198">
          <cell r="A198">
            <v>91908</v>
          </cell>
          <cell r="B198" t="str">
            <v>GOLDSTON-GULF SANITARY DISTRICT</v>
          </cell>
          <cell r="C198">
            <v>5166.92</v>
          </cell>
        </row>
        <row r="199">
          <cell r="A199">
            <v>91911</v>
          </cell>
          <cell r="B199" t="str">
            <v>TOWN OF SILER CITY</v>
          </cell>
          <cell r="C199">
            <v>231598.93</v>
          </cell>
        </row>
        <row r="200">
          <cell r="A200">
            <v>91917</v>
          </cell>
          <cell r="B200" t="str">
            <v>SILER CITY ABC BOARD</v>
          </cell>
          <cell r="C200">
            <v>6945.38</v>
          </cell>
        </row>
        <row r="201">
          <cell r="A201">
            <v>91921</v>
          </cell>
          <cell r="B201" t="str">
            <v>TOWN OF PITTSBORO</v>
          </cell>
          <cell r="C201">
            <v>166029.18</v>
          </cell>
        </row>
        <row r="202">
          <cell r="A202">
            <v>92001</v>
          </cell>
          <cell r="B202" t="str">
            <v>CHEROKEE COUNTY</v>
          </cell>
          <cell r="C202">
            <v>863075.18</v>
          </cell>
        </row>
        <row r="203">
          <cell r="A203">
            <v>92005</v>
          </cell>
          <cell r="B203" t="str">
            <v>NANTAHALA REGIONAL LIBRARY</v>
          </cell>
          <cell r="C203">
            <v>23807.88</v>
          </cell>
        </row>
        <row r="204">
          <cell r="A204">
            <v>92011</v>
          </cell>
          <cell r="B204" t="str">
            <v>TOWN OF MURPHY</v>
          </cell>
          <cell r="C204">
            <v>94487.1</v>
          </cell>
        </row>
        <row r="205">
          <cell r="A205">
            <v>92017</v>
          </cell>
          <cell r="B205" t="str">
            <v>MURPHY ABC BOARD</v>
          </cell>
          <cell r="C205">
            <v>18378.2</v>
          </cell>
        </row>
        <row r="206">
          <cell r="A206">
            <v>92021</v>
          </cell>
          <cell r="B206" t="str">
            <v>TOWN OF ANDREWS</v>
          </cell>
          <cell r="C206">
            <v>56797.99</v>
          </cell>
        </row>
        <row r="207">
          <cell r="A207">
            <v>92101</v>
          </cell>
          <cell r="B207" t="str">
            <v>CHOWAN COUNTY</v>
          </cell>
          <cell r="C207">
            <v>385403.07</v>
          </cell>
        </row>
        <row r="208">
          <cell r="A208">
            <v>92104</v>
          </cell>
          <cell r="B208" t="str">
            <v>CHOWAN COUNTY ABC BOARD</v>
          </cell>
          <cell r="C208">
            <v>5362.87</v>
          </cell>
        </row>
        <row r="209">
          <cell r="A209">
            <v>92109</v>
          </cell>
          <cell r="B209" t="str">
            <v>ALBEMARLE REGNL PLANNING &amp; DEVELOPMENT COMM</v>
          </cell>
          <cell r="C209">
            <v>81663.56</v>
          </cell>
        </row>
        <row r="210">
          <cell r="A210">
            <v>92111</v>
          </cell>
          <cell r="B210" t="str">
            <v>TOWN OF EDENTON</v>
          </cell>
          <cell r="C210">
            <v>241524.03</v>
          </cell>
        </row>
        <row r="211">
          <cell r="A211">
            <v>92113</v>
          </cell>
          <cell r="B211" t="str">
            <v>THE NEW EDENTON HOUSING AUTH</v>
          </cell>
          <cell r="C211">
            <v>12477</v>
          </cell>
        </row>
        <row r="212">
          <cell r="A212">
            <v>92201</v>
          </cell>
          <cell r="B212" t="str">
            <v>CLAY COUNTY</v>
          </cell>
          <cell r="C212">
            <v>466555.83</v>
          </cell>
        </row>
        <row r="213">
          <cell r="A213">
            <v>92214</v>
          </cell>
          <cell r="B213" t="str">
            <v>CLAY COUNTY ABC BOARD</v>
          </cell>
          <cell r="C213">
            <v>9828.8799999999992</v>
          </cell>
        </row>
        <row r="214">
          <cell r="A214">
            <v>92301</v>
          </cell>
          <cell r="B214" t="str">
            <v>CLEVELAND COUNTY</v>
          </cell>
          <cell r="C214">
            <v>2605917.56</v>
          </cell>
        </row>
        <row r="215">
          <cell r="A215">
            <v>92302</v>
          </cell>
          <cell r="B215" t="str">
            <v>CLEVELAND COUNTY WATER</v>
          </cell>
          <cell r="C215">
            <v>142815.22</v>
          </cell>
        </row>
        <row r="216">
          <cell r="A216">
            <v>92311</v>
          </cell>
          <cell r="B216" t="str">
            <v>CITY OF SHELBY</v>
          </cell>
          <cell r="C216">
            <v>1034114.67</v>
          </cell>
        </row>
        <row r="217">
          <cell r="A217">
            <v>92317</v>
          </cell>
          <cell r="B217" t="str">
            <v>SHELBY ABC BOARD</v>
          </cell>
          <cell r="C217">
            <v>22934.21</v>
          </cell>
        </row>
        <row r="218">
          <cell r="A218">
            <v>92321</v>
          </cell>
          <cell r="B218" t="str">
            <v>CITY OF KINGS MOUNTAIN</v>
          </cell>
          <cell r="C218">
            <v>602728.48</v>
          </cell>
        </row>
        <row r="219">
          <cell r="A219">
            <v>92327</v>
          </cell>
          <cell r="B219" t="str">
            <v>KINGS MOUNTAIN ABC BOARD</v>
          </cell>
          <cell r="C219">
            <v>7041.69</v>
          </cell>
        </row>
        <row r="220">
          <cell r="A220">
            <v>92331</v>
          </cell>
          <cell r="B220" t="str">
            <v>TOWN OF BOILING SPRINGS</v>
          </cell>
          <cell r="C220">
            <v>66231.38</v>
          </cell>
        </row>
        <row r="221">
          <cell r="A221">
            <v>92341</v>
          </cell>
          <cell r="B221" t="str">
            <v>TOWN OF LAWNDALE</v>
          </cell>
          <cell r="C221">
            <v>3267.72</v>
          </cell>
        </row>
        <row r="222">
          <cell r="A222">
            <v>92351</v>
          </cell>
          <cell r="B222" t="str">
            <v>TOWN OF GROVER</v>
          </cell>
          <cell r="C222">
            <v>12788.92</v>
          </cell>
        </row>
        <row r="223">
          <cell r="A223">
            <v>92401</v>
          </cell>
          <cell r="B223" t="str">
            <v>COLUMBUS COUNTY</v>
          </cell>
          <cell r="C223">
            <v>1332379.25</v>
          </cell>
        </row>
        <row r="224">
          <cell r="A224">
            <v>92403</v>
          </cell>
          <cell r="B224" t="str">
            <v>WHITEVILLE HOUSING AUTHORITY</v>
          </cell>
          <cell r="C224">
            <v>6224.4</v>
          </cell>
        </row>
        <row r="225">
          <cell r="A225">
            <v>92411</v>
          </cell>
          <cell r="B225" t="str">
            <v>CITY OF WHITEVILLE</v>
          </cell>
          <cell r="C225">
            <v>212765.28</v>
          </cell>
        </row>
        <row r="226">
          <cell r="A226">
            <v>92417</v>
          </cell>
          <cell r="B226" t="str">
            <v>WHITEVILLE ABC BOARD</v>
          </cell>
          <cell r="C226">
            <v>6522.41</v>
          </cell>
        </row>
        <row r="227">
          <cell r="A227">
            <v>92421</v>
          </cell>
          <cell r="B227" t="str">
            <v>TOWN OF BRUNSWICK</v>
          </cell>
          <cell r="C227">
            <v>9320.2999999999993</v>
          </cell>
        </row>
        <row r="228">
          <cell r="A228">
            <v>92427</v>
          </cell>
          <cell r="B228" t="str">
            <v>LAKE WACCAMAW ABC BOARD</v>
          </cell>
          <cell r="C228">
            <v>1693.16</v>
          </cell>
        </row>
        <row r="229">
          <cell r="A229">
            <v>92431</v>
          </cell>
          <cell r="B229" t="str">
            <v>TOWN OF FAIR BLUFF</v>
          </cell>
          <cell r="C229">
            <v>16532.62</v>
          </cell>
        </row>
        <row r="230">
          <cell r="A230">
            <v>92441</v>
          </cell>
          <cell r="B230" t="str">
            <v>TOWN OF CHADBOURN</v>
          </cell>
          <cell r="C230">
            <v>48364.15</v>
          </cell>
        </row>
        <row r="231">
          <cell r="A231">
            <v>92444</v>
          </cell>
          <cell r="B231" t="str">
            <v>WEST COLUMBUS ABC BOARD</v>
          </cell>
          <cell r="C231">
            <v>3182.44</v>
          </cell>
        </row>
        <row r="232">
          <cell r="A232">
            <v>92451</v>
          </cell>
          <cell r="B232" t="str">
            <v>TOWN OF TABOR CITY</v>
          </cell>
          <cell r="C232">
            <v>79859.87</v>
          </cell>
        </row>
        <row r="233">
          <cell r="A233">
            <v>92461</v>
          </cell>
          <cell r="B233" t="str">
            <v>TOWN OF LAKE WACCAMAW</v>
          </cell>
          <cell r="C233">
            <v>43080.7</v>
          </cell>
        </row>
        <row r="234">
          <cell r="A234">
            <v>92501</v>
          </cell>
          <cell r="B234" t="str">
            <v>CRAVEN COUNTY</v>
          </cell>
          <cell r="C234">
            <v>2001121.78</v>
          </cell>
        </row>
        <row r="235">
          <cell r="A235">
            <v>92502</v>
          </cell>
          <cell r="B235" t="str">
            <v>FIRST CRAVEN SANITARY DIST</v>
          </cell>
          <cell r="C235">
            <v>15228.84</v>
          </cell>
        </row>
        <row r="236">
          <cell r="A236">
            <v>92504</v>
          </cell>
          <cell r="B236" t="str">
            <v>CRAVEN CO ABC BD</v>
          </cell>
          <cell r="C236">
            <v>50659.74</v>
          </cell>
        </row>
        <row r="237">
          <cell r="A237">
            <v>92505</v>
          </cell>
          <cell r="B237" t="str">
            <v>CRAVEN-PAMLICO-CARTERET REGIONAL LIBRARY</v>
          </cell>
          <cell r="C237">
            <v>127842.43</v>
          </cell>
        </row>
        <row r="238">
          <cell r="A238">
            <v>92506</v>
          </cell>
          <cell r="B238" t="str">
            <v>COASTAL CAROLINA REGIONAL AIRPORT</v>
          </cell>
          <cell r="C238">
            <v>34609.71</v>
          </cell>
        </row>
        <row r="239">
          <cell r="A239">
            <v>92507</v>
          </cell>
          <cell r="B239" t="str">
            <v>NEUSE RIVER COUNCIL OF GOVERNMENTS</v>
          </cell>
          <cell r="C239">
            <v>38660.58</v>
          </cell>
        </row>
        <row r="240">
          <cell r="A240">
            <v>92508</v>
          </cell>
          <cell r="B240" t="str">
            <v>COASTAL REGIONAL SOLID WASTE MNGT AUTH</v>
          </cell>
          <cell r="C240">
            <v>159816</v>
          </cell>
        </row>
        <row r="241">
          <cell r="A241">
            <v>92511</v>
          </cell>
          <cell r="B241" t="str">
            <v>CITY OF NEW BERN</v>
          </cell>
          <cell r="C241">
            <v>1640990.82</v>
          </cell>
        </row>
        <row r="242">
          <cell r="A242">
            <v>92513</v>
          </cell>
          <cell r="B242" t="str">
            <v>TRILLIUM HEALTH RESOURCES</v>
          </cell>
          <cell r="C242">
            <v>1761601.36</v>
          </cell>
        </row>
        <row r="243">
          <cell r="A243">
            <v>92521</v>
          </cell>
          <cell r="B243" t="str">
            <v>TOWN OF TRENT WOODS</v>
          </cell>
          <cell r="C243">
            <v>40372.620000000003</v>
          </cell>
        </row>
        <row r="244">
          <cell r="A244">
            <v>92531</v>
          </cell>
          <cell r="B244" t="str">
            <v>CITY OF HAVELOCK</v>
          </cell>
          <cell r="C244">
            <v>370926.78</v>
          </cell>
        </row>
        <row r="245">
          <cell r="A245">
            <v>92541</v>
          </cell>
          <cell r="B245" t="str">
            <v>TOWN OF RIVER BEND</v>
          </cell>
          <cell r="C245">
            <v>60143.35</v>
          </cell>
        </row>
        <row r="246">
          <cell r="A246">
            <v>92551</v>
          </cell>
          <cell r="B246" t="str">
            <v>TOWN OF VANCEBORO</v>
          </cell>
          <cell r="C246">
            <v>21253.67</v>
          </cell>
        </row>
        <row r="247">
          <cell r="A247">
            <v>92561</v>
          </cell>
          <cell r="B247" t="str">
            <v>TOWN OF BRIDGETON</v>
          </cell>
          <cell r="C247">
            <v>11018.5</v>
          </cell>
        </row>
        <row r="248">
          <cell r="A248">
            <v>92571</v>
          </cell>
          <cell r="B248" t="str">
            <v>TOWN OF COVE CITY</v>
          </cell>
          <cell r="C248">
            <v>7102.1</v>
          </cell>
        </row>
        <row r="249">
          <cell r="A249">
            <v>92601</v>
          </cell>
          <cell r="B249" t="str">
            <v>CUMBERLAND COUNTY</v>
          </cell>
          <cell r="C249">
            <v>6697593.5300000003</v>
          </cell>
        </row>
        <row r="250">
          <cell r="A250">
            <v>92602</v>
          </cell>
          <cell r="B250" t="str">
            <v>WESTAREA VOLUNTEER FIRE DEPT</v>
          </cell>
          <cell r="C250">
            <v>2450.3200000000002</v>
          </cell>
        </row>
        <row r="251">
          <cell r="A251">
            <v>92604</v>
          </cell>
          <cell r="B251" t="str">
            <v>CUMBERLAND CO ABC BOARD</v>
          </cell>
          <cell r="C251">
            <v>193974.42</v>
          </cell>
        </row>
        <row r="252">
          <cell r="A252">
            <v>92607</v>
          </cell>
          <cell r="B252" t="str">
            <v>MID-CAROLINA COUNCIL OF GOVERNMENTS</v>
          </cell>
          <cell r="C252">
            <v>40699.43</v>
          </cell>
        </row>
        <row r="253">
          <cell r="A253">
            <v>92611</v>
          </cell>
          <cell r="B253" t="str">
            <v>CITY OF FAYETTEVILLE</v>
          </cell>
          <cell r="C253">
            <v>5875981.5</v>
          </cell>
        </row>
        <row r="254">
          <cell r="A254">
            <v>92613</v>
          </cell>
          <cell r="B254" t="str">
            <v>FAYETTEVILLE METROPOLITAN HOUSING AUTH</v>
          </cell>
          <cell r="C254">
            <v>139518.66</v>
          </cell>
        </row>
        <row r="255">
          <cell r="A255">
            <v>92614</v>
          </cell>
          <cell r="B255" t="str">
            <v>PUBLIC WORKS COMM CTY OF FAYETTEVILLE</v>
          </cell>
          <cell r="C255">
            <v>4938040.5999999996</v>
          </cell>
        </row>
        <row r="256">
          <cell r="A256">
            <v>92621</v>
          </cell>
          <cell r="B256" t="str">
            <v>TOWN OF STEDMAN</v>
          </cell>
          <cell r="C256">
            <v>13553.42</v>
          </cell>
        </row>
        <row r="257">
          <cell r="A257">
            <v>92631</v>
          </cell>
          <cell r="B257" t="str">
            <v>TOWN OF HOPE MILLS</v>
          </cell>
          <cell r="C257">
            <v>416152.81</v>
          </cell>
        </row>
        <row r="258">
          <cell r="A258">
            <v>92641</v>
          </cell>
          <cell r="B258" t="str">
            <v>TOWN OF WADE</v>
          </cell>
          <cell r="C258">
            <v>6991.68</v>
          </cell>
        </row>
        <row r="259">
          <cell r="A259">
            <v>92651</v>
          </cell>
          <cell r="B259" t="str">
            <v>TOWN OF LINDEN</v>
          </cell>
          <cell r="C259">
            <v>2540.58</v>
          </cell>
        </row>
        <row r="260">
          <cell r="A260">
            <v>92661</v>
          </cell>
          <cell r="B260" t="str">
            <v>TOWN OF SPRING LAKE</v>
          </cell>
          <cell r="C260">
            <v>546521.55000000005</v>
          </cell>
        </row>
        <row r="261">
          <cell r="A261">
            <v>92671</v>
          </cell>
          <cell r="B261" t="str">
            <v>TOWN OF FALCON</v>
          </cell>
          <cell r="C261">
            <v>5417.05</v>
          </cell>
        </row>
        <row r="262">
          <cell r="A262">
            <v>92681</v>
          </cell>
          <cell r="B262" t="str">
            <v>TOWN OF EASTOVER</v>
          </cell>
          <cell r="C262">
            <v>12159.02</v>
          </cell>
        </row>
        <row r="263">
          <cell r="A263">
            <v>92701</v>
          </cell>
          <cell r="B263" t="str">
            <v>CURRITUCK COUNTY</v>
          </cell>
          <cell r="C263">
            <v>1394893.77</v>
          </cell>
        </row>
        <row r="264">
          <cell r="A264">
            <v>92704</v>
          </cell>
          <cell r="B264" t="str">
            <v>CURRITUCK CO ABC BOARD</v>
          </cell>
          <cell r="C264">
            <v>19607.259999999998</v>
          </cell>
        </row>
        <row r="265">
          <cell r="A265">
            <v>92801</v>
          </cell>
          <cell r="B265" t="str">
            <v>DARE COUNTY</v>
          </cell>
          <cell r="C265">
            <v>2645230.56</v>
          </cell>
        </row>
        <row r="266">
          <cell r="A266">
            <v>92802</v>
          </cell>
          <cell r="B266" t="str">
            <v>DARE COUNTY TOURISM BOARD</v>
          </cell>
          <cell r="C266">
            <v>57706.16</v>
          </cell>
        </row>
        <row r="267">
          <cell r="A267">
            <v>92804</v>
          </cell>
          <cell r="B267" t="str">
            <v>DARE COUNTY ABC BOARD</v>
          </cell>
          <cell r="C267">
            <v>66559.11</v>
          </cell>
        </row>
        <row r="268">
          <cell r="A268">
            <v>92811</v>
          </cell>
          <cell r="B268" t="str">
            <v>TOWN OF NAGS HEAD</v>
          </cell>
          <cell r="C268">
            <v>479568.67</v>
          </cell>
        </row>
        <row r="269">
          <cell r="A269">
            <v>92821</v>
          </cell>
          <cell r="B269" t="str">
            <v>TOWN OF KILL DEVIL HILLS</v>
          </cell>
          <cell r="C269">
            <v>501804.14</v>
          </cell>
        </row>
        <row r="270">
          <cell r="A270">
            <v>92831</v>
          </cell>
          <cell r="B270" t="str">
            <v>TOWN OF MANTEO</v>
          </cell>
          <cell r="C270">
            <v>134107.66</v>
          </cell>
        </row>
        <row r="271">
          <cell r="A271">
            <v>92841</v>
          </cell>
          <cell r="B271" t="str">
            <v>TOWN OF SOUTHERN SHORES</v>
          </cell>
          <cell r="C271">
            <v>125072.28</v>
          </cell>
        </row>
        <row r="272">
          <cell r="A272">
            <v>92851</v>
          </cell>
          <cell r="B272" t="str">
            <v>TOWN OF KITTY HAWK</v>
          </cell>
          <cell r="C272">
            <v>192126.16</v>
          </cell>
        </row>
        <row r="273">
          <cell r="A273">
            <v>92861</v>
          </cell>
          <cell r="B273" t="str">
            <v>TOWN OF DUCK</v>
          </cell>
          <cell r="C273">
            <v>135764.57</v>
          </cell>
        </row>
        <row r="274">
          <cell r="A274">
            <v>92901</v>
          </cell>
          <cell r="B274" t="str">
            <v>DAVIDSON COUNTY</v>
          </cell>
          <cell r="C274">
            <v>2725234.28</v>
          </cell>
        </row>
        <row r="275">
          <cell r="A275">
            <v>92911</v>
          </cell>
          <cell r="B275" t="str">
            <v>CITY OF THOMASVILLE</v>
          </cell>
          <cell r="C275">
            <v>988074.59</v>
          </cell>
        </row>
        <row r="276">
          <cell r="A276">
            <v>92913</v>
          </cell>
          <cell r="B276" t="str">
            <v>THOMASVILLE HOUSING AUTHORITY</v>
          </cell>
          <cell r="C276">
            <v>56980.31</v>
          </cell>
        </row>
        <row r="277">
          <cell r="A277">
            <v>92914</v>
          </cell>
          <cell r="B277" t="str">
            <v>THOMASVILLE ABC BOARD</v>
          </cell>
          <cell r="C277">
            <v>14201.86</v>
          </cell>
        </row>
        <row r="278">
          <cell r="A278">
            <v>92917</v>
          </cell>
          <cell r="B278" t="str">
            <v>LEXINGTON ABC BOARD</v>
          </cell>
          <cell r="C278">
            <v>16093.97</v>
          </cell>
        </row>
        <row r="279">
          <cell r="A279">
            <v>92921</v>
          </cell>
          <cell r="B279" t="str">
            <v>TOWN OF DENTON</v>
          </cell>
          <cell r="C279">
            <v>47485.89</v>
          </cell>
        </row>
        <row r="280">
          <cell r="A280">
            <v>92931</v>
          </cell>
          <cell r="B280" t="str">
            <v>CITY OF LEXINGTON</v>
          </cell>
          <cell r="C280">
            <v>1185078.8799999999</v>
          </cell>
        </row>
        <row r="281">
          <cell r="A281">
            <v>92941</v>
          </cell>
          <cell r="B281" t="str">
            <v>TOWN OF MIDWAY</v>
          </cell>
          <cell r="C281">
            <v>5800.37</v>
          </cell>
        </row>
        <row r="282">
          <cell r="A282">
            <v>93001</v>
          </cell>
          <cell r="B282" t="str">
            <v>DAVIE COUNTY</v>
          </cell>
          <cell r="C282">
            <v>1079124.3999999999</v>
          </cell>
        </row>
        <row r="283">
          <cell r="A283">
            <v>93009</v>
          </cell>
          <cell r="B283" t="str">
            <v>DAVIE SOIL AND WATER CONSERVATION DIST</v>
          </cell>
          <cell r="C283">
            <v>5770.45</v>
          </cell>
        </row>
        <row r="284">
          <cell r="A284">
            <v>93011</v>
          </cell>
          <cell r="B284" t="str">
            <v>TOWN OF MOCKSVILLE</v>
          </cell>
          <cell r="C284">
            <v>154957.62</v>
          </cell>
        </row>
        <row r="285">
          <cell r="A285">
            <v>93021</v>
          </cell>
          <cell r="B285" t="str">
            <v>TOWN OF BERMUDA RUN</v>
          </cell>
          <cell r="C285">
            <v>13963.15</v>
          </cell>
        </row>
        <row r="286">
          <cell r="A286">
            <v>93027</v>
          </cell>
          <cell r="B286" t="str">
            <v>COOLEEMEE ABC BOARD</v>
          </cell>
          <cell r="C286">
            <v>6210.89</v>
          </cell>
        </row>
        <row r="287">
          <cell r="A287">
            <v>93031</v>
          </cell>
          <cell r="B287" t="str">
            <v>TOWN OF COOLEEMEE</v>
          </cell>
          <cell r="C287">
            <v>23728.55</v>
          </cell>
        </row>
        <row r="288">
          <cell r="A288">
            <v>93101</v>
          </cell>
          <cell r="B288" t="str">
            <v>DUPLIN COUNTY</v>
          </cell>
          <cell r="C288">
            <v>1558580.7</v>
          </cell>
        </row>
        <row r="289">
          <cell r="A289">
            <v>93103</v>
          </cell>
          <cell r="B289" t="str">
            <v>DUPLIN COUNTY TOURISM DEVELOPMENT AUTHORITY</v>
          </cell>
          <cell r="C289">
            <v>6012.16</v>
          </cell>
        </row>
        <row r="290">
          <cell r="A290">
            <v>93108</v>
          </cell>
          <cell r="B290" t="str">
            <v>EASTPOINTE HUMAN SERVICES</v>
          </cell>
          <cell r="C290">
            <v>1177629.3799999999</v>
          </cell>
        </row>
        <row r="291">
          <cell r="A291">
            <v>93111</v>
          </cell>
          <cell r="B291" t="str">
            <v>TOWN OF BEULAVILLE</v>
          </cell>
          <cell r="C291">
            <v>28174.57</v>
          </cell>
        </row>
        <row r="292">
          <cell r="A292">
            <v>93121</v>
          </cell>
          <cell r="B292" t="str">
            <v>TOWN OF KENANSVILLE</v>
          </cell>
          <cell r="C292">
            <v>31032.58</v>
          </cell>
        </row>
        <row r="293">
          <cell r="A293">
            <v>93127</v>
          </cell>
          <cell r="B293" t="str">
            <v>KENANSVILLE ABC BOARD</v>
          </cell>
          <cell r="C293">
            <v>3229.76</v>
          </cell>
        </row>
        <row r="294">
          <cell r="A294">
            <v>93131</v>
          </cell>
          <cell r="B294" t="str">
            <v>TOWN OF WARSAW</v>
          </cell>
          <cell r="C294">
            <v>93827.23</v>
          </cell>
        </row>
        <row r="295">
          <cell r="A295">
            <v>93137</v>
          </cell>
          <cell r="B295" t="str">
            <v>WARSAW ABC BOARD</v>
          </cell>
          <cell r="C295">
            <v>2953.43</v>
          </cell>
        </row>
        <row r="296">
          <cell r="A296">
            <v>93141</v>
          </cell>
          <cell r="B296" t="str">
            <v>TOWN OF FAISON</v>
          </cell>
          <cell r="C296">
            <v>16087.87</v>
          </cell>
        </row>
        <row r="297">
          <cell r="A297">
            <v>93151</v>
          </cell>
          <cell r="B297" t="str">
            <v>TOWN OF WALLACE</v>
          </cell>
          <cell r="C297">
            <v>160775.82</v>
          </cell>
        </row>
        <row r="298">
          <cell r="A298">
            <v>93157</v>
          </cell>
          <cell r="B298" t="str">
            <v>WALLACE ABC BD</v>
          </cell>
          <cell r="C298">
            <v>6823.32</v>
          </cell>
        </row>
        <row r="299">
          <cell r="A299">
            <v>93161</v>
          </cell>
          <cell r="B299" t="str">
            <v>TOWN OF ROSE HILL</v>
          </cell>
          <cell r="C299">
            <v>51773.47</v>
          </cell>
        </row>
        <row r="300">
          <cell r="A300">
            <v>93171</v>
          </cell>
          <cell r="B300" t="str">
            <v>TOWN OF CALYPSO</v>
          </cell>
          <cell r="C300">
            <v>2322.04</v>
          </cell>
        </row>
        <row r="301">
          <cell r="A301">
            <v>93181</v>
          </cell>
          <cell r="B301" t="str">
            <v>TOWN OF TEACHEY</v>
          </cell>
          <cell r="C301">
            <v>5787.31</v>
          </cell>
        </row>
        <row r="302">
          <cell r="A302">
            <v>93191</v>
          </cell>
          <cell r="B302" t="str">
            <v>TOWN OF MAGNOLIA</v>
          </cell>
          <cell r="C302">
            <v>16585.349999999999</v>
          </cell>
        </row>
        <row r="303">
          <cell r="A303">
            <v>93201</v>
          </cell>
          <cell r="B303" t="str">
            <v>DURHAM COUNTY</v>
          </cell>
          <cell r="C303">
            <v>7788677.8200000003</v>
          </cell>
        </row>
        <row r="304">
          <cell r="A304">
            <v>93204</v>
          </cell>
          <cell r="B304" t="str">
            <v>DURHAM COUNTY ABC BOARD</v>
          </cell>
          <cell r="C304">
            <v>169803.69</v>
          </cell>
        </row>
        <row r="305">
          <cell r="A305">
            <v>93209</v>
          </cell>
          <cell r="B305" t="str">
            <v>ALLIANCE BEHAVIORAL HEALTHCRE</v>
          </cell>
          <cell r="C305">
            <v>2328064.71</v>
          </cell>
        </row>
        <row r="306">
          <cell r="A306">
            <v>93211</v>
          </cell>
          <cell r="B306" t="str">
            <v>CITY OF DURHAM</v>
          </cell>
          <cell r="C306">
            <v>10204404.300000001</v>
          </cell>
        </row>
        <row r="307">
          <cell r="A307">
            <v>93212</v>
          </cell>
          <cell r="B307" t="str">
            <v>DURHAM CONVENTION &amp; VISITORS BUREAU</v>
          </cell>
          <cell r="C307">
            <v>244862.24</v>
          </cell>
        </row>
        <row r="308">
          <cell r="A308">
            <v>93219</v>
          </cell>
          <cell r="B308" t="str">
            <v>TRIANGLE J COUNCIL OF GOVERNMENTS</v>
          </cell>
          <cell r="C308">
            <v>129471.25</v>
          </cell>
        </row>
        <row r="309">
          <cell r="A309">
            <v>93301</v>
          </cell>
          <cell r="B309" t="str">
            <v>EDGECOMBE COUNTY</v>
          </cell>
          <cell r="C309">
            <v>1097553.08</v>
          </cell>
        </row>
        <row r="310">
          <cell r="A310">
            <v>93304</v>
          </cell>
          <cell r="B310" t="str">
            <v>EDGECOMBE COUNTY ABC BOARD</v>
          </cell>
          <cell r="C310">
            <v>20870.68</v>
          </cell>
        </row>
        <row r="311">
          <cell r="A311">
            <v>93305</v>
          </cell>
          <cell r="B311" t="str">
            <v>EDGECOMBE COUNTY MEMORIAL LIBRARY</v>
          </cell>
          <cell r="C311">
            <v>20942.88</v>
          </cell>
        </row>
        <row r="312">
          <cell r="A312">
            <v>93309</v>
          </cell>
          <cell r="B312" t="str">
            <v>UPPER COASTAL PLAIN COUNCIL OF GOVERNMENTS</v>
          </cell>
          <cell r="C312">
            <v>99537.62</v>
          </cell>
        </row>
        <row r="313">
          <cell r="A313">
            <v>93311</v>
          </cell>
          <cell r="B313" t="str">
            <v>TOWN OF TARBORO</v>
          </cell>
          <cell r="C313">
            <v>566417.26</v>
          </cell>
        </row>
        <row r="314">
          <cell r="A314">
            <v>93317</v>
          </cell>
          <cell r="B314" t="str">
            <v>TARBORO REDEVELOPMENT COMMISSION</v>
          </cell>
          <cell r="C314">
            <v>21797.59</v>
          </cell>
        </row>
        <row r="315">
          <cell r="A315">
            <v>93321</v>
          </cell>
          <cell r="B315" t="str">
            <v>CITY OF ROCKY MOUNT</v>
          </cell>
          <cell r="C315">
            <v>3382414.96</v>
          </cell>
        </row>
        <row r="316">
          <cell r="A316">
            <v>93323</v>
          </cell>
          <cell r="B316" t="str">
            <v>ROCKY MOUNT-WILSON AIRPORT AUTHORITY</v>
          </cell>
          <cell r="C316">
            <v>9435.43</v>
          </cell>
        </row>
        <row r="317">
          <cell r="A317">
            <v>93331</v>
          </cell>
          <cell r="B317" t="str">
            <v>TOWN OF PINETOPS</v>
          </cell>
          <cell r="C317">
            <v>65250.99</v>
          </cell>
        </row>
        <row r="318">
          <cell r="A318">
            <v>93333</v>
          </cell>
          <cell r="B318" t="str">
            <v>ROCKY MT HOUSING AUTHORITY</v>
          </cell>
          <cell r="C318">
            <v>102856.65</v>
          </cell>
        </row>
        <row r="319">
          <cell r="A319">
            <v>93341</v>
          </cell>
          <cell r="B319" t="str">
            <v>TOWN OF MACCLESFIELD</v>
          </cell>
          <cell r="C319">
            <v>14255.5</v>
          </cell>
        </row>
        <row r="320">
          <cell r="A320">
            <v>93351</v>
          </cell>
          <cell r="B320" t="str">
            <v>TOWN OF PRINCEVILLE</v>
          </cell>
          <cell r="C320">
            <v>9872.36</v>
          </cell>
        </row>
        <row r="321">
          <cell r="A321">
            <v>93401</v>
          </cell>
          <cell r="B321" t="str">
            <v>FORSYTH COUNTY</v>
          </cell>
          <cell r="C321">
            <v>6853482.3899999997</v>
          </cell>
        </row>
        <row r="322">
          <cell r="A322">
            <v>93402</v>
          </cell>
          <cell r="B322" t="str">
            <v>AIRPORT COMMISSION OF FORSYTH COUNTY</v>
          </cell>
          <cell r="C322">
            <v>39484.559999999998</v>
          </cell>
        </row>
        <row r="323">
          <cell r="A323">
            <v>93406</v>
          </cell>
          <cell r="B323" t="str">
            <v>PIEDMONT TRIAD REGIONAL COUNCIL</v>
          </cell>
          <cell r="C323">
            <v>258772.74</v>
          </cell>
        </row>
        <row r="324">
          <cell r="A324">
            <v>93411</v>
          </cell>
          <cell r="B324" t="str">
            <v>CITY OF WINSTON-SALEM</v>
          </cell>
          <cell r="C324">
            <v>8965258.6500000004</v>
          </cell>
        </row>
        <row r="325">
          <cell r="A325">
            <v>93413</v>
          </cell>
          <cell r="B325" t="str">
            <v>WINSTON-SALEM HOUSING AUTHORITY</v>
          </cell>
          <cell r="C325">
            <v>379792.76</v>
          </cell>
        </row>
        <row r="326">
          <cell r="A326">
            <v>93417</v>
          </cell>
          <cell r="B326" t="str">
            <v>TRIAD MUNICIPAL ABC BOARD</v>
          </cell>
          <cell r="C326">
            <v>186966.17</v>
          </cell>
        </row>
        <row r="327">
          <cell r="A327">
            <v>93421</v>
          </cell>
          <cell r="B327" t="str">
            <v>TOWN OF KERNERSVILLE</v>
          </cell>
          <cell r="C327">
            <v>954135.29</v>
          </cell>
        </row>
        <row r="328">
          <cell r="A328">
            <v>93431</v>
          </cell>
          <cell r="B328" t="str">
            <v>TOWN OF RURAL HALL</v>
          </cell>
          <cell r="C328">
            <v>68106.5</v>
          </cell>
        </row>
        <row r="329">
          <cell r="A329">
            <v>93441</v>
          </cell>
          <cell r="B329" t="str">
            <v>VILLAGE OF CLEMMONS</v>
          </cell>
          <cell r="C329">
            <v>78286.12</v>
          </cell>
        </row>
        <row r="330">
          <cell r="A330">
            <v>93442</v>
          </cell>
          <cell r="B330" t="str">
            <v>CLEMMONS FIRE DEPARTMENT</v>
          </cell>
          <cell r="C330">
            <v>65679.22</v>
          </cell>
        </row>
        <row r="331">
          <cell r="A331">
            <v>93451</v>
          </cell>
          <cell r="B331" t="str">
            <v>TOWN OF LEWISVILLE</v>
          </cell>
          <cell r="C331">
            <v>45716</v>
          </cell>
        </row>
        <row r="332">
          <cell r="A332">
            <v>93461</v>
          </cell>
          <cell r="B332" t="str">
            <v>TOWN OF WALKERTOWN</v>
          </cell>
          <cell r="C332">
            <v>8763.84</v>
          </cell>
        </row>
        <row r="333">
          <cell r="A333">
            <v>93471</v>
          </cell>
          <cell r="B333" t="str">
            <v>VILLAGE OF TOBACCOVILLE</v>
          </cell>
          <cell r="C333">
            <v>8892.32</v>
          </cell>
        </row>
        <row r="334">
          <cell r="A334">
            <v>93501</v>
          </cell>
          <cell r="B334" t="str">
            <v>FRANKLIN COUNTY</v>
          </cell>
          <cell r="C334">
            <v>1804126.77</v>
          </cell>
        </row>
        <row r="335">
          <cell r="A335">
            <v>93511</v>
          </cell>
          <cell r="B335" t="str">
            <v>TOWN OF FRANKLINTON</v>
          </cell>
          <cell r="C335">
            <v>50009.62</v>
          </cell>
        </row>
        <row r="336">
          <cell r="A336">
            <v>93517</v>
          </cell>
          <cell r="B336" t="str">
            <v>FRANKLINTON ABC BOARD</v>
          </cell>
          <cell r="C336">
            <v>4538.6400000000003</v>
          </cell>
        </row>
        <row r="337">
          <cell r="A337">
            <v>93521</v>
          </cell>
          <cell r="B337" t="str">
            <v>TOWN OF LOUISBURG</v>
          </cell>
          <cell r="C337">
            <v>223246.95</v>
          </cell>
        </row>
        <row r="338">
          <cell r="A338">
            <v>93527</v>
          </cell>
          <cell r="B338" t="str">
            <v>LOUISBURG ABC BOARD</v>
          </cell>
          <cell r="C338">
            <v>11035.7</v>
          </cell>
        </row>
        <row r="339">
          <cell r="A339">
            <v>93531</v>
          </cell>
          <cell r="B339" t="str">
            <v>TOWN OF BUNN</v>
          </cell>
          <cell r="C339">
            <v>11788.28</v>
          </cell>
        </row>
        <row r="340">
          <cell r="A340">
            <v>93537</v>
          </cell>
          <cell r="B340" t="str">
            <v>ABC BOARD - TOWN OF BUNN</v>
          </cell>
          <cell r="C340">
            <v>4241.51</v>
          </cell>
        </row>
        <row r="341">
          <cell r="A341">
            <v>93541</v>
          </cell>
          <cell r="B341" t="str">
            <v>TOWN OF YOUNGSVILLE</v>
          </cell>
          <cell r="C341">
            <v>52146.46</v>
          </cell>
        </row>
        <row r="342">
          <cell r="A342">
            <v>93601</v>
          </cell>
          <cell r="B342" t="str">
            <v>GASTON COUNTY</v>
          </cell>
          <cell r="C342">
            <v>5558464.96</v>
          </cell>
        </row>
        <row r="343">
          <cell r="A343">
            <v>93602</v>
          </cell>
          <cell r="B343" t="str">
            <v>TOWN OF STANLEY</v>
          </cell>
          <cell r="C343">
            <v>91453.95</v>
          </cell>
        </row>
        <row r="344">
          <cell r="A344">
            <v>93604</v>
          </cell>
          <cell r="B344" t="str">
            <v>CRAMERTON ABC BOARD</v>
          </cell>
          <cell r="C344">
            <v>16372.45</v>
          </cell>
        </row>
        <row r="345">
          <cell r="A345">
            <v>93609</v>
          </cell>
          <cell r="B345" t="str">
            <v>PARTNERS BEHAVIORAL HEALTH MANAGEMENT</v>
          </cell>
          <cell r="C345">
            <v>1828677.91</v>
          </cell>
        </row>
        <row r="346">
          <cell r="A346">
            <v>93610</v>
          </cell>
          <cell r="B346" t="str">
            <v>TOWN OF MCADENVILLE</v>
          </cell>
          <cell r="C346">
            <v>6459.07</v>
          </cell>
        </row>
        <row r="347">
          <cell r="A347">
            <v>93611</v>
          </cell>
          <cell r="B347" t="str">
            <v>CITY OF GASTONIA</v>
          </cell>
          <cell r="C347">
            <v>3375519.62</v>
          </cell>
        </row>
        <row r="348">
          <cell r="A348">
            <v>93617</v>
          </cell>
          <cell r="B348" t="str">
            <v>GASTONIA ABC BOARD</v>
          </cell>
          <cell r="C348">
            <v>53912.52</v>
          </cell>
        </row>
        <row r="349">
          <cell r="A349">
            <v>93618</v>
          </cell>
          <cell r="B349" t="str">
            <v>GASTON COUNTY ECONOMIC DEV. COMMISSION</v>
          </cell>
          <cell r="C349">
            <v>25051.18</v>
          </cell>
        </row>
        <row r="350">
          <cell r="A350">
            <v>93621</v>
          </cell>
          <cell r="B350" t="str">
            <v>CITY OF BELMONT</v>
          </cell>
          <cell r="C350">
            <v>458650.9</v>
          </cell>
        </row>
        <row r="351">
          <cell r="A351">
            <v>93623</v>
          </cell>
          <cell r="B351" t="str">
            <v>BELMONT HOUSING AUTHORITY</v>
          </cell>
          <cell r="C351">
            <v>8365.67</v>
          </cell>
        </row>
        <row r="352">
          <cell r="A352">
            <v>93631</v>
          </cell>
          <cell r="B352" t="str">
            <v>TOWN OF CRAMERTON</v>
          </cell>
          <cell r="C352">
            <v>105757.28</v>
          </cell>
        </row>
        <row r="353">
          <cell r="A353">
            <v>93641</v>
          </cell>
          <cell r="B353" t="str">
            <v>CITY OF CHERRYVILLE</v>
          </cell>
          <cell r="C353">
            <v>208215.98</v>
          </cell>
        </row>
        <row r="354">
          <cell r="A354">
            <v>93647</v>
          </cell>
          <cell r="B354" t="str">
            <v>CHERRYVILLE ABC BOARD</v>
          </cell>
          <cell r="C354">
            <v>9827.48</v>
          </cell>
        </row>
        <row r="355">
          <cell r="A355">
            <v>93651</v>
          </cell>
          <cell r="B355" t="str">
            <v>TOWN OF DALLAS</v>
          </cell>
          <cell r="C355">
            <v>203987.42</v>
          </cell>
        </row>
        <row r="356">
          <cell r="A356">
            <v>93661</v>
          </cell>
          <cell r="B356" t="str">
            <v>CITY OF LOWELL</v>
          </cell>
          <cell r="C356">
            <v>66947.61</v>
          </cell>
        </row>
        <row r="357">
          <cell r="A357">
            <v>93671</v>
          </cell>
          <cell r="B357" t="str">
            <v>BESSEMER CITY</v>
          </cell>
          <cell r="C357">
            <v>187843.31</v>
          </cell>
        </row>
        <row r="358">
          <cell r="A358">
            <v>93681</v>
          </cell>
          <cell r="B358" t="str">
            <v>TOWN OF RANLO</v>
          </cell>
          <cell r="C358">
            <v>59051.14</v>
          </cell>
        </row>
        <row r="359">
          <cell r="A359">
            <v>93691</v>
          </cell>
          <cell r="B359" t="str">
            <v>CITY OF MOUNT HOLLY</v>
          </cell>
          <cell r="C359">
            <v>498869.79</v>
          </cell>
        </row>
        <row r="360">
          <cell r="A360">
            <v>93701</v>
          </cell>
          <cell r="B360" t="str">
            <v>GATES COUNTY</v>
          </cell>
          <cell r="C360">
            <v>219010.73</v>
          </cell>
        </row>
        <row r="361">
          <cell r="A361">
            <v>93704</v>
          </cell>
          <cell r="B361" t="str">
            <v>GATES COUNTY ABC BOARD</v>
          </cell>
          <cell r="C361">
            <v>2030.16</v>
          </cell>
        </row>
        <row r="362">
          <cell r="A362">
            <v>93801</v>
          </cell>
          <cell r="B362" t="str">
            <v>GRAHAM COUNTY</v>
          </cell>
          <cell r="C362">
            <v>205695.24</v>
          </cell>
        </row>
        <row r="363">
          <cell r="A363">
            <v>93803</v>
          </cell>
          <cell r="B363" t="str">
            <v>GRAHAM CO HEALTH DEPT</v>
          </cell>
          <cell r="C363">
            <v>48471.5</v>
          </cell>
        </row>
        <row r="364">
          <cell r="A364">
            <v>93806</v>
          </cell>
          <cell r="B364" t="str">
            <v>GRAHAM COUNTY DEPT OF S S</v>
          </cell>
          <cell r="C364">
            <v>42552.42</v>
          </cell>
        </row>
        <row r="365">
          <cell r="A365">
            <v>93821</v>
          </cell>
          <cell r="B365" t="str">
            <v>TOWN OF ROBBINSVILLE</v>
          </cell>
          <cell r="C365">
            <v>54684.81</v>
          </cell>
        </row>
        <row r="366">
          <cell r="A366">
            <v>93901</v>
          </cell>
          <cell r="B366" t="str">
            <v>GRANVILLE COUNTY</v>
          </cell>
          <cell r="C366">
            <v>959406.95</v>
          </cell>
        </row>
        <row r="367">
          <cell r="A367">
            <v>93904</v>
          </cell>
          <cell r="B367" t="str">
            <v>GRANVILLE CO ABC BD</v>
          </cell>
          <cell r="C367">
            <v>20649.14</v>
          </cell>
        </row>
        <row r="368">
          <cell r="A368">
            <v>93906</v>
          </cell>
          <cell r="B368" t="str">
            <v>GRANVILLE COUNTY HOSPITAL</v>
          </cell>
          <cell r="C368">
            <v>1531380.48</v>
          </cell>
        </row>
        <row r="369">
          <cell r="A369">
            <v>93908</v>
          </cell>
          <cell r="B369" t="str">
            <v>GRANVILLE-VANCE PUBLIC HEALTH</v>
          </cell>
          <cell r="C369">
            <v>243682.52</v>
          </cell>
        </row>
        <row r="370">
          <cell r="A370">
            <v>93910</v>
          </cell>
          <cell r="B370" t="str">
            <v>SOUTH GRANVILLE WATER AND SEWER AUTHORITY</v>
          </cell>
          <cell r="C370">
            <v>124943.65</v>
          </cell>
        </row>
        <row r="371">
          <cell r="A371">
            <v>93911</v>
          </cell>
          <cell r="B371" t="str">
            <v>CITY OF OXFORD</v>
          </cell>
          <cell r="C371">
            <v>321853.03999999998</v>
          </cell>
        </row>
        <row r="372">
          <cell r="A372">
            <v>93913</v>
          </cell>
          <cell r="B372" t="str">
            <v>OXFORD HOUSING AUTHORITY</v>
          </cell>
          <cell r="C372">
            <v>32427.7</v>
          </cell>
        </row>
        <row r="373">
          <cell r="A373">
            <v>93914</v>
          </cell>
          <cell r="B373" t="str">
            <v>TOWN OF STOVALL</v>
          </cell>
          <cell r="C373">
            <v>6762.08</v>
          </cell>
        </row>
        <row r="374">
          <cell r="A374">
            <v>93921</v>
          </cell>
          <cell r="B374" t="str">
            <v>CITY OF CREEDMOOR</v>
          </cell>
          <cell r="C374">
            <v>137542.51999999999</v>
          </cell>
        </row>
        <row r="375">
          <cell r="A375">
            <v>93931</v>
          </cell>
          <cell r="B375" t="str">
            <v>TOWN OF BUTNER</v>
          </cell>
          <cell r="C375">
            <v>238501.86</v>
          </cell>
        </row>
        <row r="376">
          <cell r="A376">
            <v>94001</v>
          </cell>
          <cell r="B376" t="str">
            <v>GREENE COUNTY</v>
          </cell>
          <cell r="C376">
            <v>461320.33</v>
          </cell>
        </row>
        <row r="377">
          <cell r="A377">
            <v>94002</v>
          </cell>
          <cell r="B377" t="str">
            <v>MAURY SANITARY LAND DISTRICT</v>
          </cell>
          <cell r="C377">
            <v>4785.87</v>
          </cell>
        </row>
        <row r="378">
          <cell r="A378">
            <v>94004</v>
          </cell>
          <cell r="B378" t="str">
            <v>GREENE COUNTY ABC BOARD</v>
          </cell>
          <cell r="C378">
            <v>4601.3500000000004</v>
          </cell>
        </row>
        <row r="379">
          <cell r="A379">
            <v>94005</v>
          </cell>
          <cell r="B379" t="str">
            <v>NEUSE REGIONAL LIBRARY-GREENE COUNTY</v>
          </cell>
          <cell r="C379">
            <v>2452.52</v>
          </cell>
        </row>
        <row r="380">
          <cell r="A380">
            <v>94011</v>
          </cell>
          <cell r="B380" t="str">
            <v>TOWN OF HOOKERTON</v>
          </cell>
          <cell r="C380">
            <v>11857.95</v>
          </cell>
        </row>
        <row r="381">
          <cell r="A381">
            <v>94021</v>
          </cell>
          <cell r="B381" t="str">
            <v>TOWN OF SNOW HILL</v>
          </cell>
          <cell r="C381">
            <v>48100.27</v>
          </cell>
        </row>
        <row r="382">
          <cell r="A382">
            <v>94031</v>
          </cell>
          <cell r="B382" t="str">
            <v>TOWN OF WALSTONBURG</v>
          </cell>
          <cell r="C382">
            <v>7086.72</v>
          </cell>
        </row>
        <row r="383">
          <cell r="A383">
            <v>94101</v>
          </cell>
          <cell r="B383" t="str">
            <v>GUILFORD COUNTY</v>
          </cell>
          <cell r="C383">
            <v>9082874.8599999994</v>
          </cell>
        </row>
        <row r="384">
          <cell r="A384">
            <v>94102</v>
          </cell>
          <cell r="B384" t="str">
            <v>GUIL-RAND FIRE DEPARTMENT</v>
          </cell>
          <cell r="C384">
            <v>109831.08</v>
          </cell>
        </row>
        <row r="385">
          <cell r="A385">
            <v>94108</v>
          </cell>
          <cell r="B385" t="str">
            <v>PINECROFT-SEDGEFIELD FIRE DIST INC</v>
          </cell>
          <cell r="C385">
            <v>141635.35999999999</v>
          </cell>
        </row>
        <row r="386">
          <cell r="A386">
            <v>94109</v>
          </cell>
          <cell r="B386" t="str">
            <v>ALAMANCE COMM FIRE DIST</v>
          </cell>
          <cell r="C386">
            <v>34308.53</v>
          </cell>
        </row>
        <row r="387">
          <cell r="A387">
            <v>94111</v>
          </cell>
          <cell r="B387" t="str">
            <v>CITY OF GREENSBORO</v>
          </cell>
          <cell r="C387">
            <v>12055216.26</v>
          </cell>
        </row>
        <row r="388">
          <cell r="A388">
            <v>94112</v>
          </cell>
          <cell r="B388" t="str">
            <v>PIEDMONT TRIAD REG WATER AUTH</v>
          </cell>
          <cell r="C388">
            <v>76727.23</v>
          </cell>
        </row>
        <row r="389">
          <cell r="A389">
            <v>94117</v>
          </cell>
          <cell r="B389" t="str">
            <v>GREENSBORO ABC BD</v>
          </cell>
          <cell r="C389">
            <v>182766.8</v>
          </cell>
        </row>
        <row r="390">
          <cell r="A390">
            <v>94118</v>
          </cell>
          <cell r="B390" t="str">
            <v>GUILFORD FIRE DISTRICT # 13 INC</v>
          </cell>
          <cell r="C390">
            <v>64547.74</v>
          </cell>
        </row>
        <row r="391">
          <cell r="A391">
            <v>94121</v>
          </cell>
          <cell r="B391" t="str">
            <v>CITY OF HIGH POINT</v>
          </cell>
          <cell r="C391">
            <v>5648220.7400000002</v>
          </cell>
        </row>
        <row r="392">
          <cell r="A392">
            <v>94127</v>
          </cell>
          <cell r="B392" t="str">
            <v>HIGH POINT ABC BD</v>
          </cell>
          <cell r="C392">
            <v>77193.210000000006</v>
          </cell>
        </row>
        <row r="393">
          <cell r="A393">
            <v>94131</v>
          </cell>
          <cell r="B393" t="str">
            <v>TOWN OF JAMESTOWN</v>
          </cell>
          <cell r="C393">
            <v>104615.2</v>
          </cell>
        </row>
        <row r="394">
          <cell r="A394">
            <v>94151</v>
          </cell>
          <cell r="B394" t="str">
            <v>TOWN OF GIBSONVILLE</v>
          </cell>
          <cell r="C394">
            <v>198961.68</v>
          </cell>
        </row>
        <row r="395">
          <cell r="A395">
            <v>94157</v>
          </cell>
          <cell r="B395" t="str">
            <v>GIBSONVILLE ABC BOARD</v>
          </cell>
          <cell r="C395">
            <v>5164.3100000000004</v>
          </cell>
        </row>
        <row r="396">
          <cell r="A396">
            <v>94161</v>
          </cell>
          <cell r="B396" t="str">
            <v>TOWN OF OAK RIDGE</v>
          </cell>
          <cell r="C396">
            <v>22912.52</v>
          </cell>
        </row>
        <row r="397">
          <cell r="A397">
            <v>94168</v>
          </cell>
          <cell r="B397" t="str">
            <v>COLFAX VOLUNTEER FIRE DEPARTMENT</v>
          </cell>
          <cell r="C397">
            <v>22540.27</v>
          </cell>
        </row>
        <row r="398">
          <cell r="A398">
            <v>94171</v>
          </cell>
          <cell r="B398" t="str">
            <v>TOWN OF SUMMERFIELD</v>
          </cell>
          <cell r="C398">
            <v>32386.33</v>
          </cell>
        </row>
        <row r="399">
          <cell r="A399">
            <v>94172</v>
          </cell>
          <cell r="B399" t="str">
            <v>SUMMERFIELD FIRE DISTRICT</v>
          </cell>
          <cell r="C399">
            <v>104259.5</v>
          </cell>
        </row>
        <row r="400">
          <cell r="A400">
            <v>94201</v>
          </cell>
          <cell r="B400" t="str">
            <v>HALIFAX COUNTY</v>
          </cell>
          <cell r="C400">
            <v>1635512.15</v>
          </cell>
        </row>
        <row r="401">
          <cell r="A401">
            <v>94204</v>
          </cell>
          <cell r="B401" t="str">
            <v>HALIFAX COUNTY ABC BOARD</v>
          </cell>
          <cell r="C401">
            <v>18471.009999999998</v>
          </cell>
        </row>
        <row r="402">
          <cell r="A402">
            <v>94205</v>
          </cell>
          <cell r="B402" t="str">
            <v>HALIFAX COUNTY TOURISM DEVELOPMENT AUTHORITY</v>
          </cell>
          <cell r="C402">
            <v>11769.76</v>
          </cell>
        </row>
        <row r="403">
          <cell r="A403">
            <v>94209</v>
          </cell>
          <cell r="B403" t="str">
            <v>ROANOKE RAPIDS SANITARY DISTRICT</v>
          </cell>
          <cell r="C403">
            <v>156050.97</v>
          </cell>
        </row>
        <row r="404">
          <cell r="A404">
            <v>94211</v>
          </cell>
          <cell r="B404" t="str">
            <v>TOWN OF ENFIELD</v>
          </cell>
          <cell r="C404">
            <v>63943.5</v>
          </cell>
        </row>
        <row r="405">
          <cell r="A405">
            <v>94221</v>
          </cell>
          <cell r="B405" t="str">
            <v>CITY OF ROANOKE RAPIDS</v>
          </cell>
          <cell r="C405">
            <v>486207.1</v>
          </cell>
        </row>
        <row r="406">
          <cell r="A406">
            <v>94231</v>
          </cell>
          <cell r="B406" t="str">
            <v>TOWN OF WELDON</v>
          </cell>
          <cell r="C406">
            <v>89897.25</v>
          </cell>
        </row>
        <row r="407">
          <cell r="A407">
            <v>94241</v>
          </cell>
          <cell r="B407" t="str">
            <v>TOWN OF SCOTLAND NECK</v>
          </cell>
          <cell r="C407">
            <v>55125.919999999998</v>
          </cell>
        </row>
        <row r="408">
          <cell r="A408">
            <v>94251</v>
          </cell>
          <cell r="B408" t="str">
            <v>TOWN OF HOBGOOD</v>
          </cell>
          <cell r="C408">
            <v>9677.59</v>
          </cell>
        </row>
        <row r="409">
          <cell r="A409">
            <v>94261</v>
          </cell>
          <cell r="B409" t="str">
            <v>TOWN OF LITTLETON</v>
          </cell>
          <cell r="C409">
            <v>19409.43</v>
          </cell>
        </row>
        <row r="410">
          <cell r="A410">
            <v>94301</v>
          </cell>
          <cell r="B410" t="str">
            <v>HARNETT COUNTY</v>
          </cell>
          <cell r="C410">
            <v>3065671.05</v>
          </cell>
        </row>
        <row r="411">
          <cell r="A411">
            <v>94311</v>
          </cell>
          <cell r="B411" t="str">
            <v>CITY OF DUNN</v>
          </cell>
          <cell r="C411">
            <v>371563.2</v>
          </cell>
        </row>
        <row r="412">
          <cell r="A412">
            <v>94313</v>
          </cell>
          <cell r="B412" t="str">
            <v>DUNN HOUSING AUTHORITY</v>
          </cell>
          <cell r="C412">
            <v>14194.6</v>
          </cell>
        </row>
        <row r="413">
          <cell r="A413">
            <v>94317</v>
          </cell>
          <cell r="B413" t="str">
            <v>DUNN ABC BOARD</v>
          </cell>
          <cell r="C413">
            <v>10719.35</v>
          </cell>
        </row>
        <row r="414">
          <cell r="A414">
            <v>94321</v>
          </cell>
          <cell r="B414" t="str">
            <v>TOWN OF LILLINGTON</v>
          </cell>
          <cell r="C414">
            <v>120686.37</v>
          </cell>
        </row>
        <row r="415">
          <cell r="A415">
            <v>94331</v>
          </cell>
          <cell r="B415" t="str">
            <v>TOWN OF ERWIN</v>
          </cell>
          <cell r="C415">
            <v>79182.12</v>
          </cell>
        </row>
        <row r="416">
          <cell r="A416">
            <v>94341</v>
          </cell>
          <cell r="B416" t="str">
            <v>TOWN OF COATS</v>
          </cell>
          <cell r="C416">
            <v>38623.660000000003</v>
          </cell>
        </row>
        <row r="417">
          <cell r="A417">
            <v>94347</v>
          </cell>
          <cell r="B417" t="str">
            <v>TOWN OF ANGIER ABC BOARD</v>
          </cell>
          <cell r="C417">
            <v>6483.89</v>
          </cell>
        </row>
        <row r="418">
          <cell r="A418">
            <v>94351</v>
          </cell>
          <cell r="B418" t="str">
            <v>TOWN OF ANGIER</v>
          </cell>
          <cell r="C418">
            <v>111785.13</v>
          </cell>
        </row>
        <row r="419">
          <cell r="A419">
            <v>94401</v>
          </cell>
          <cell r="B419" t="str">
            <v>HAYWOOD COUNTY</v>
          </cell>
          <cell r="C419">
            <v>1613627.2</v>
          </cell>
        </row>
        <row r="420">
          <cell r="A420">
            <v>94403</v>
          </cell>
          <cell r="B420" t="str">
            <v>HAYWOOD COUNTY TOURISM DEVELOPMENT AUTHORITY</v>
          </cell>
          <cell r="C420">
            <v>16659.03</v>
          </cell>
        </row>
        <row r="421">
          <cell r="A421">
            <v>94408</v>
          </cell>
          <cell r="B421" t="str">
            <v>JUNALUSKA SANITARY DISTRICT</v>
          </cell>
          <cell r="C421">
            <v>17934.95</v>
          </cell>
        </row>
        <row r="422">
          <cell r="A422">
            <v>94411</v>
          </cell>
          <cell r="B422" t="str">
            <v>TOWN OF WAYNESVILLE</v>
          </cell>
          <cell r="C422">
            <v>585990.54</v>
          </cell>
        </row>
        <row r="423">
          <cell r="A423">
            <v>94412</v>
          </cell>
          <cell r="B423" t="str">
            <v>WAYNESVILLE ABC BOARD</v>
          </cell>
          <cell r="C423">
            <v>14142.96</v>
          </cell>
        </row>
        <row r="424">
          <cell r="A424">
            <v>94421</v>
          </cell>
          <cell r="B424" t="str">
            <v>TOWN OF MAGGIE VALLEY</v>
          </cell>
          <cell r="C424">
            <v>77726.42</v>
          </cell>
        </row>
        <row r="425">
          <cell r="A425">
            <v>94427</v>
          </cell>
          <cell r="B425" t="str">
            <v>MAGGIE VALLEY ABC BOARD</v>
          </cell>
          <cell r="C425">
            <v>10757.71</v>
          </cell>
        </row>
        <row r="426">
          <cell r="A426">
            <v>94428</v>
          </cell>
          <cell r="B426" t="str">
            <v>MAGGIE VALLEY SANITARY DIST</v>
          </cell>
          <cell r="C426">
            <v>36851.620000000003</v>
          </cell>
        </row>
        <row r="427">
          <cell r="A427">
            <v>94431</v>
          </cell>
          <cell r="B427" t="str">
            <v>TOWN OF CANTON</v>
          </cell>
          <cell r="C427">
            <v>304045.34999999998</v>
          </cell>
        </row>
        <row r="428">
          <cell r="A428">
            <v>94437</v>
          </cell>
          <cell r="B428" t="str">
            <v>CANTON ABC BOARD</v>
          </cell>
          <cell r="C428">
            <v>13413.12</v>
          </cell>
        </row>
        <row r="429">
          <cell r="A429">
            <v>94501</v>
          </cell>
          <cell r="B429" t="str">
            <v>COUNTY OF HENDERSON</v>
          </cell>
          <cell r="C429">
            <v>2853870.53</v>
          </cell>
        </row>
        <row r="430">
          <cell r="A430">
            <v>94511</v>
          </cell>
          <cell r="B430" t="str">
            <v>CITY OF HENDERSONVILLE</v>
          </cell>
          <cell r="C430">
            <v>890338.96</v>
          </cell>
        </row>
        <row r="431">
          <cell r="A431">
            <v>94517</v>
          </cell>
          <cell r="B431" t="str">
            <v>HENDERSONVILLE ABC BD</v>
          </cell>
          <cell r="C431">
            <v>31791.79</v>
          </cell>
        </row>
        <row r="432">
          <cell r="A432">
            <v>94521</v>
          </cell>
          <cell r="B432" t="str">
            <v>TOWN OF LAUREL PARK</v>
          </cell>
          <cell r="C432">
            <v>64723.5</v>
          </cell>
        </row>
        <row r="433">
          <cell r="A433">
            <v>94527</v>
          </cell>
          <cell r="B433" t="str">
            <v>LAUREL PARK ABC BOARD</v>
          </cell>
          <cell r="C433">
            <v>2986.99</v>
          </cell>
        </row>
        <row r="434">
          <cell r="A434">
            <v>94531</v>
          </cell>
          <cell r="B434" t="str">
            <v>THE VILLAGE OF FLAT ROCK</v>
          </cell>
          <cell r="C434">
            <v>12698.63</v>
          </cell>
        </row>
        <row r="435">
          <cell r="A435">
            <v>94532</v>
          </cell>
          <cell r="B435" t="str">
            <v>BLUE RIDGE FIRE DEPARTMENT</v>
          </cell>
          <cell r="C435">
            <v>48849.31</v>
          </cell>
        </row>
        <row r="436">
          <cell r="A436">
            <v>94541</v>
          </cell>
          <cell r="B436" t="str">
            <v>TOWN OF FLETCHER</v>
          </cell>
          <cell r="C436">
            <v>129411.98</v>
          </cell>
        </row>
        <row r="437">
          <cell r="A437">
            <v>94547</v>
          </cell>
          <cell r="B437" t="str">
            <v>FLETCHER ABC BOARD</v>
          </cell>
          <cell r="C437">
            <v>9094.68</v>
          </cell>
        </row>
        <row r="438">
          <cell r="A438">
            <v>94551</v>
          </cell>
          <cell r="B438" t="str">
            <v>TOWN OF MILLS RIVER</v>
          </cell>
          <cell r="C438">
            <v>25718.1</v>
          </cell>
        </row>
        <row r="439">
          <cell r="A439">
            <v>94601</v>
          </cell>
          <cell r="B439" t="str">
            <v>HERTFORD COUNTY</v>
          </cell>
          <cell r="C439">
            <v>537000.54</v>
          </cell>
        </row>
        <row r="440">
          <cell r="A440">
            <v>94604</v>
          </cell>
          <cell r="B440" t="str">
            <v>HERTFORD COUNTY ABC BOARD</v>
          </cell>
          <cell r="C440">
            <v>14502</v>
          </cell>
        </row>
        <row r="441">
          <cell r="A441">
            <v>94606</v>
          </cell>
          <cell r="B441" t="str">
            <v>HERTFORD COUNTY PUBLIC HEALTH AUTHORITY</v>
          </cell>
          <cell r="C441">
            <v>102034.16</v>
          </cell>
        </row>
        <row r="442">
          <cell r="A442">
            <v>94611</v>
          </cell>
          <cell r="B442" t="str">
            <v>TOWN OF AHOSKIE</v>
          </cell>
          <cell r="C442">
            <v>187145.62</v>
          </cell>
        </row>
        <row r="443">
          <cell r="A443">
            <v>94621</v>
          </cell>
          <cell r="B443" t="str">
            <v>TOWN OF MURFREESBORO</v>
          </cell>
          <cell r="C443">
            <v>69631.41</v>
          </cell>
        </row>
        <row r="444">
          <cell r="A444">
            <v>94631</v>
          </cell>
          <cell r="B444" t="str">
            <v>TOWN OF WINTON</v>
          </cell>
          <cell r="C444">
            <v>20549.580000000002</v>
          </cell>
        </row>
        <row r="445">
          <cell r="A445">
            <v>94641</v>
          </cell>
          <cell r="B445" t="str">
            <v>TOWN OF COFIELD</v>
          </cell>
          <cell r="C445">
            <v>4762.91</v>
          </cell>
        </row>
        <row r="446">
          <cell r="A446">
            <v>94701</v>
          </cell>
          <cell r="B446" t="str">
            <v>HOKE COUNTY</v>
          </cell>
          <cell r="C446">
            <v>1155891.8400000001</v>
          </cell>
        </row>
        <row r="447">
          <cell r="A447">
            <v>94704</v>
          </cell>
          <cell r="B447" t="str">
            <v>HOKE COUNTY ABC BOARD</v>
          </cell>
          <cell r="C447">
            <v>8058.28</v>
          </cell>
        </row>
        <row r="448">
          <cell r="A448">
            <v>94711</v>
          </cell>
          <cell r="B448" t="str">
            <v>TOWN OF RAEFORD</v>
          </cell>
          <cell r="C448">
            <v>168065.41</v>
          </cell>
        </row>
        <row r="449">
          <cell r="A449">
            <v>94801</v>
          </cell>
          <cell r="B449" t="str">
            <v>HYDE COUNTY</v>
          </cell>
          <cell r="C449">
            <v>345761.46</v>
          </cell>
        </row>
        <row r="450">
          <cell r="A450">
            <v>94804</v>
          </cell>
          <cell r="B450" t="str">
            <v>HYDE COUNTY ABC BOARD</v>
          </cell>
          <cell r="C450">
            <v>2753.83</v>
          </cell>
        </row>
        <row r="451">
          <cell r="A451">
            <v>94812</v>
          </cell>
          <cell r="B451" t="str">
            <v>OCRACOKE SANITARY DIST</v>
          </cell>
          <cell r="C451">
            <v>20766.419999999998</v>
          </cell>
        </row>
        <row r="452">
          <cell r="A452">
            <v>94901</v>
          </cell>
          <cell r="B452" t="str">
            <v>IREDELL COUNTY</v>
          </cell>
          <cell r="C452">
            <v>3458043.82</v>
          </cell>
        </row>
        <row r="453">
          <cell r="A453">
            <v>94908</v>
          </cell>
          <cell r="B453" t="str">
            <v>GREATER STATESVILLE DEVELOPMENT CORP</v>
          </cell>
          <cell r="C453">
            <v>3618.63</v>
          </cell>
        </row>
        <row r="454">
          <cell r="A454">
            <v>94911</v>
          </cell>
          <cell r="B454" t="str">
            <v>CITY OF STATESVILLE</v>
          </cell>
          <cell r="C454">
            <v>1437336.82</v>
          </cell>
        </row>
        <row r="455">
          <cell r="A455">
            <v>94917</v>
          </cell>
          <cell r="B455" t="str">
            <v>STATESVILLE ABC BOARD</v>
          </cell>
          <cell r="C455">
            <v>27816</v>
          </cell>
        </row>
        <row r="456">
          <cell r="A456">
            <v>94921</v>
          </cell>
          <cell r="B456" t="str">
            <v>CITY OF MOORESVILLE</v>
          </cell>
          <cell r="C456">
            <v>1763659.66</v>
          </cell>
        </row>
        <row r="457">
          <cell r="A457">
            <v>94923</v>
          </cell>
          <cell r="B457" t="str">
            <v>MOORESVILLE HOUSING AUTHORITY</v>
          </cell>
          <cell r="C457">
            <v>15966.15</v>
          </cell>
        </row>
        <row r="458">
          <cell r="A458">
            <v>94927</v>
          </cell>
          <cell r="B458" t="str">
            <v>MOORESVILLE ABC BOARD</v>
          </cell>
          <cell r="C458">
            <v>20061.34</v>
          </cell>
        </row>
        <row r="459">
          <cell r="A459">
            <v>94931</v>
          </cell>
          <cell r="B459" t="str">
            <v>TOWN OF TROUTMAN</v>
          </cell>
          <cell r="C459">
            <v>101032.52</v>
          </cell>
        </row>
        <row r="460">
          <cell r="A460">
            <v>94937</v>
          </cell>
          <cell r="B460" t="str">
            <v>TOWN OF TROUTMAN ABC BOARD</v>
          </cell>
          <cell r="C460">
            <v>1620.49</v>
          </cell>
        </row>
        <row r="461">
          <cell r="A461">
            <v>94941</v>
          </cell>
          <cell r="B461" t="str">
            <v>MI CONNECTION COMMUNICATIONS SYSTEM</v>
          </cell>
          <cell r="C461">
            <v>248810.82</v>
          </cell>
        </row>
        <row r="462">
          <cell r="A462">
            <v>94947</v>
          </cell>
          <cell r="B462" t="str">
            <v>VALDESE ABC BOARD</v>
          </cell>
          <cell r="C462">
            <v>1125.18</v>
          </cell>
        </row>
        <row r="463">
          <cell r="A463">
            <v>95001</v>
          </cell>
          <cell r="B463" t="str">
            <v>JACKSON COUNTY</v>
          </cell>
          <cell r="C463">
            <v>1230480.6499999999</v>
          </cell>
        </row>
        <row r="464">
          <cell r="A464">
            <v>95002</v>
          </cell>
          <cell r="B464" t="str">
            <v>TUCKASEIGEE WATER AUTHORITY</v>
          </cell>
          <cell r="C464">
            <v>106939.05</v>
          </cell>
        </row>
        <row r="465">
          <cell r="A465">
            <v>95005</v>
          </cell>
          <cell r="B465" t="str">
            <v>FONTANA REGIONAL LIBRARY</v>
          </cell>
          <cell r="C465">
            <v>115399.53</v>
          </cell>
        </row>
        <row r="466">
          <cell r="A466">
            <v>95008</v>
          </cell>
          <cell r="B466" t="str">
            <v>SOUTHWESTERN NC PLANNING &amp; ECON.DEV.COMMIS.</v>
          </cell>
          <cell r="C466">
            <v>68090.84</v>
          </cell>
        </row>
        <row r="467">
          <cell r="A467">
            <v>95009</v>
          </cell>
          <cell r="B467" t="str">
            <v>VAYA HEALTH</v>
          </cell>
          <cell r="C467">
            <v>2002290.14</v>
          </cell>
        </row>
        <row r="468">
          <cell r="A468">
            <v>95011</v>
          </cell>
          <cell r="B468" t="str">
            <v>TOWN OF SYLVA</v>
          </cell>
          <cell r="C468">
            <v>89092.71</v>
          </cell>
        </row>
        <row r="469">
          <cell r="A469">
            <v>95017</v>
          </cell>
          <cell r="B469" t="str">
            <v>JACKSON COUNTY ABC BOARD</v>
          </cell>
          <cell r="C469">
            <v>17647.990000000002</v>
          </cell>
        </row>
        <row r="470">
          <cell r="A470">
            <v>95101</v>
          </cell>
          <cell r="B470" t="str">
            <v>JOHNSTON COUNTY</v>
          </cell>
          <cell r="C470">
            <v>3950764.86</v>
          </cell>
        </row>
        <row r="471">
          <cell r="A471">
            <v>95103</v>
          </cell>
          <cell r="B471" t="str">
            <v>BENSON HOUSING AUTHORITY</v>
          </cell>
          <cell r="C471">
            <v>30191.26</v>
          </cell>
        </row>
        <row r="472">
          <cell r="A472">
            <v>95104</v>
          </cell>
          <cell r="B472" t="str">
            <v>JOHNSTON COUNTY ABC BOARD</v>
          </cell>
          <cell r="C472">
            <v>61268.85</v>
          </cell>
        </row>
        <row r="473">
          <cell r="A473">
            <v>95105</v>
          </cell>
          <cell r="B473" t="str">
            <v>PUBLIC LIBRARY OF JOHNSTON CO AND SMITHFIELD</v>
          </cell>
          <cell r="C473">
            <v>35729.96</v>
          </cell>
        </row>
        <row r="474">
          <cell r="A474">
            <v>95106</v>
          </cell>
          <cell r="B474" t="str">
            <v>TOWN OF ARCHER LODGE</v>
          </cell>
          <cell r="C474">
            <v>8073.19</v>
          </cell>
        </row>
        <row r="475">
          <cell r="A475">
            <v>95110</v>
          </cell>
          <cell r="B475" t="str">
            <v>JOHNSTON HEALTH CENTER</v>
          </cell>
          <cell r="C475">
            <v>1943181.54</v>
          </cell>
        </row>
        <row r="476">
          <cell r="A476">
            <v>95111</v>
          </cell>
          <cell r="B476" t="str">
            <v>TOWN OF SMITHFIELD</v>
          </cell>
          <cell r="C476">
            <v>496429.25</v>
          </cell>
        </row>
        <row r="477">
          <cell r="A477">
            <v>95113</v>
          </cell>
          <cell r="B477" t="str">
            <v>SMITHFIELD HOUSING AUTHORITY</v>
          </cell>
          <cell r="C477">
            <v>74446.759999999995</v>
          </cell>
        </row>
        <row r="478">
          <cell r="A478">
            <v>95121</v>
          </cell>
          <cell r="B478" t="str">
            <v>TOWN OF SELMA</v>
          </cell>
          <cell r="C478">
            <v>242310.35</v>
          </cell>
        </row>
        <row r="479">
          <cell r="A479">
            <v>95122</v>
          </cell>
          <cell r="B479" t="str">
            <v>TOWN OF MICRO</v>
          </cell>
          <cell r="C479">
            <v>4596.54</v>
          </cell>
        </row>
        <row r="480">
          <cell r="A480">
            <v>95123</v>
          </cell>
          <cell r="B480" t="str">
            <v>SELMA HOUSING AUTHORITY</v>
          </cell>
          <cell r="C480">
            <v>29610.61</v>
          </cell>
        </row>
        <row r="481">
          <cell r="A481">
            <v>95131</v>
          </cell>
          <cell r="B481" t="str">
            <v>TOWN OF CLAYTON</v>
          </cell>
          <cell r="C481">
            <v>811028.86</v>
          </cell>
        </row>
        <row r="482">
          <cell r="A482">
            <v>95141</v>
          </cell>
          <cell r="B482" t="str">
            <v>TOWN OF BENSON</v>
          </cell>
          <cell r="C482">
            <v>148359.60999999999</v>
          </cell>
        </row>
        <row r="483">
          <cell r="A483">
            <v>95151</v>
          </cell>
          <cell r="B483" t="str">
            <v>TOWN OF FOUR OAKS</v>
          </cell>
          <cell r="C483">
            <v>51039.87</v>
          </cell>
        </row>
        <row r="484">
          <cell r="A484">
            <v>95161</v>
          </cell>
          <cell r="B484" t="str">
            <v>TOWN OF PINE LEVEL</v>
          </cell>
          <cell r="C484">
            <v>41171.79</v>
          </cell>
        </row>
        <row r="485">
          <cell r="A485">
            <v>95171</v>
          </cell>
          <cell r="B485" t="str">
            <v>TOWN OF KENLY</v>
          </cell>
          <cell r="C485">
            <v>47352.800000000003</v>
          </cell>
        </row>
        <row r="486">
          <cell r="A486">
            <v>95181</v>
          </cell>
          <cell r="B486" t="str">
            <v>TOWN OF PRINCETON</v>
          </cell>
          <cell r="C486">
            <v>32737.29</v>
          </cell>
        </row>
        <row r="487">
          <cell r="A487">
            <v>95191</v>
          </cell>
          <cell r="B487" t="str">
            <v>TOWN OF WILSON'S MILLS</v>
          </cell>
          <cell r="C487">
            <v>35124.83</v>
          </cell>
        </row>
        <row r="488">
          <cell r="A488">
            <v>95201</v>
          </cell>
          <cell r="B488" t="str">
            <v>JONES COUNTY</v>
          </cell>
          <cell r="C488">
            <v>324382.05</v>
          </cell>
        </row>
        <row r="489">
          <cell r="A489">
            <v>95204</v>
          </cell>
          <cell r="B489" t="str">
            <v>JONES COUNTY ABC BOARD</v>
          </cell>
          <cell r="C489">
            <v>6627.08</v>
          </cell>
        </row>
        <row r="490">
          <cell r="A490">
            <v>95205</v>
          </cell>
          <cell r="B490" t="str">
            <v>NEUSE REGIONAL LIBRARY-JONES COUNTY</v>
          </cell>
          <cell r="C490">
            <v>2149.2399999999998</v>
          </cell>
        </row>
        <row r="491">
          <cell r="A491">
            <v>95211</v>
          </cell>
          <cell r="B491" t="str">
            <v>TOWN OF POLLOCKSVILLE</v>
          </cell>
          <cell r="C491">
            <v>3345.46</v>
          </cell>
        </row>
        <row r="492">
          <cell r="A492">
            <v>95221</v>
          </cell>
          <cell r="B492" t="str">
            <v>TOWN OF MAYSVILLE</v>
          </cell>
          <cell r="C492">
            <v>24433.53</v>
          </cell>
        </row>
        <row r="493">
          <cell r="A493">
            <v>95301</v>
          </cell>
          <cell r="B493" t="str">
            <v>LEE COUNTY</v>
          </cell>
          <cell r="C493">
            <v>1161384.1100000001</v>
          </cell>
        </row>
        <row r="494">
          <cell r="A494">
            <v>95311</v>
          </cell>
          <cell r="B494" t="str">
            <v>CITY OF SANFORD</v>
          </cell>
          <cell r="C494">
            <v>1353611.39</v>
          </cell>
        </row>
        <row r="495">
          <cell r="A495">
            <v>95317</v>
          </cell>
          <cell r="B495" t="str">
            <v>SANFORD ABC BOARD</v>
          </cell>
          <cell r="C495">
            <v>27496.49</v>
          </cell>
        </row>
        <row r="496">
          <cell r="A496">
            <v>95321</v>
          </cell>
          <cell r="B496" t="str">
            <v>TOWN OF BROADWAY</v>
          </cell>
          <cell r="C496">
            <v>27476.22</v>
          </cell>
        </row>
        <row r="497">
          <cell r="A497">
            <v>95401</v>
          </cell>
          <cell r="B497" t="str">
            <v>LENOIR COUNTY</v>
          </cell>
          <cell r="C497">
            <v>1369020.65</v>
          </cell>
        </row>
        <row r="498">
          <cell r="A498">
            <v>95404</v>
          </cell>
          <cell r="B498" t="str">
            <v>LENOIR COUNTY ABC BOARD</v>
          </cell>
          <cell r="C498">
            <v>23078.97</v>
          </cell>
        </row>
        <row r="499">
          <cell r="A499">
            <v>95405</v>
          </cell>
          <cell r="B499" t="str">
            <v>NEUSE REGIONAL LIBRARY</v>
          </cell>
          <cell r="C499">
            <v>19532.45</v>
          </cell>
        </row>
        <row r="500">
          <cell r="A500">
            <v>95411</v>
          </cell>
          <cell r="B500" t="str">
            <v>CITY OF KINSTON</v>
          </cell>
          <cell r="C500">
            <v>1098228.3799999999</v>
          </cell>
        </row>
        <row r="501">
          <cell r="A501">
            <v>95413</v>
          </cell>
          <cell r="B501" t="str">
            <v>HOUSING AUTH FOR THE CTY OF KINSTON</v>
          </cell>
          <cell r="C501">
            <v>130765.98</v>
          </cell>
        </row>
        <row r="502">
          <cell r="A502">
            <v>95415</v>
          </cell>
          <cell r="B502" t="str">
            <v>KINSTON-LENOIR CO PUB LIBRARY</v>
          </cell>
          <cell r="C502">
            <v>31391.19</v>
          </cell>
        </row>
        <row r="503">
          <cell r="A503">
            <v>95421</v>
          </cell>
          <cell r="B503" t="str">
            <v>TOWN OF PINK HILL</v>
          </cell>
          <cell r="C503">
            <v>19590.32</v>
          </cell>
        </row>
        <row r="504">
          <cell r="A504">
            <v>95431</v>
          </cell>
          <cell r="B504" t="str">
            <v>TOWN OF LAGRANGE</v>
          </cell>
          <cell r="C504">
            <v>66123.850000000006</v>
          </cell>
        </row>
        <row r="505">
          <cell r="A505">
            <v>95501</v>
          </cell>
          <cell r="B505" t="str">
            <v>LINCOLN COUNTY</v>
          </cell>
          <cell r="C505">
            <v>2309249.29</v>
          </cell>
        </row>
        <row r="506">
          <cell r="A506">
            <v>95504</v>
          </cell>
          <cell r="B506" t="str">
            <v>LINCOLN COUNTY ABC BOARD</v>
          </cell>
          <cell r="C506">
            <v>10287.07</v>
          </cell>
        </row>
        <row r="507">
          <cell r="A507">
            <v>95511</v>
          </cell>
          <cell r="B507" t="str">
            <v>CITY OF LINCOLNTON</v>
          </cell>
          <cell r="C507">
            <v>509340.02</v>
          </cell>
        </row>
        <row r="508">
          <cell r="A508">
            <v>95513</v>
          </cell>
          <cell r="B508" t="str">
            <v>LINCOLNTON HOUSING AUTHORITY</v>
          </cell>
          <cell r="C508">
            <v>34360.18</v>
          </cell>
        </row>
        <row r="509">
          <cell r="A509">
            <v>95517</v>
          </cell>
          <cell r="B509" t="str">
            <v>TOWN OF LINCOLNTON ABC BOARD</v>
          </cell>
          <cell r="C509">
            <v>11099.99</v>
          </cell>
        </row>
        <row r="510">
          <cell r="A510">
            <v>95601</v>
          </cell>
          <cell r="B510" t="str">
            <v>MACON COUNTY</v>
          </cell>
          <cell r="C510">
            <v>1263012.71</v>
          </cell>
        </row>
        <row r="511">
          <cell r="A511">
            <v>95611</v>
          </cell>
          <cell r="B511" t="str">
            <v>TOWN OF FRANKLIN</v>
          </cell>
          <cell r="C511">
            <v>204619.09</v>
          </cell>
        </row>
        <row r="512">
          <cell r="A512">
            <v>95617</v>
          </cell>
          <cell r="B512" t="str">
            <v>HIGHLANDS ABC BOARD</v>
          </cell>
          <cell r="C512">
            <v>8730.31</v>
          </cell>
        </row>
        <row r="513">
          <cell r="A513">
            <v>95621</v>
          </cell>
          <cell r="B513" t="str">
            <v>TOWN OF HIGHLANDS</v>
          </cell>
          <cell r="C513">
            <v>260138.02</v>
          </cell>
        </row>
        <row r="514">
          <cell r="A514">
            <v>95701</v>
          </cell>
          <cell r="B514" t="str">
            <v>MADISON COUNTY</v>
          </cell>
          <cell r="C514">
            <v>604598.17000000004</v>
          </cell>
        </row>
        <row r="515">
          <cell r="A515">
            <v>95711</v>
          </cell>
          <cell r="B515" t="str">
            <v>TOWN OF MARS HILL</v>
          </cell>
          <cell r="C515">
            <v>60575.8</v>
          </cell>
        </row>
        <row r="516">
          <cell r="A516">
            <v>95721</v>
          </cell>
          <cell r="B516" t="str">
            <v>TOWN OF MARSHALL</v>
          </cell>
          <cell r="C516">
            <v>31048.06</v>
          </cell>
        </row>
        <row r="517">
          <cell r="A517">
            <v>95733</v>
          </cell>
          <cell r="B517" t="str">
            <v>HOT SPRINGS HOUSING AUTHORITY</v>
          </cell>
          <cell r="C517">
            <v>7565.12</v>
          </cell>
        </row>
        <row r="518">
          <cell r="A518">
            <v>95801</v>
          </cell>
          <cell r="B518" t="str">
            <v>MARTIN COUNTY</v>
          </cell>
          <cell r="C518">
            <v>492639.1</v>
          </cell>
        </row>
        <row r="519">
          <cell r="A519">
            <v>95802</v>
          </cell>
          <cell r="B519" t="str">
            <v>MARTIN CO TRAVEL &amp; TOURISM AUTH</v>
          </cell>
          <cell r="C519">
            <v>5777.09</v>
          </cell>
        </row>
        <row r="520">
          <cell r="A520">
            <v>95804</v>
          </cell>
          <cell r="B520" t="str">
            <v>MARTIN COUNTY ABC BOARD</v>
          </cell>
          <cell r="C520">
            <v>7856.59</v>
          </cell>
        </row>
        <row r="521">
          <cell r="A521">
            <v>95811</v>
          </cell>
          <cell r="B521" t="str">
            <v>TOWN OF WILLIAMSTON</v>
          </cell>
          <cell r="C521">
            <v>262611.96000000002</v>
          </cell>
        </row>
        <row r="522">
          <cell r="A522">
            <v>95813</v>
          </cell>
          <cell r="B522" t="str">
            <v>WILLIAMSTON HOUSING AUTHORITY</v>
          </cell>
          <cell r="C522">
            <v>71429.14</v>
          </cell>
        </row>
        <row r="523">
          <cell r="A523">
            <v>95821</v>
          </cell>
          <cell r="B523" t="str">
            <v>TOWN OF OAK CITY</v>
          </cell>
          <cell r="C523">
            <v>2011.84</v>
          </cell>
        </row>
        <row r="524">
          <cell r="A524">
            <v>95831</v>
          </cell>
          <cell r="B524" t="str">
            <v>TOWN OF HAMILTON</v>
          </cell>
          <cell r="C524">
            <v>20645.45</v>
          </cell>
        </row>
        <row r="525">
          <cell r="A525">
            <v>95841</v>
          </cell>
          <cell r="B525" t="str">
            <v>TOWN OF JAMESVILLE</v>
          </cell>
          <cell r="C525">
            <v>12838.9</v>
          </cell>
        </row>
        <row r="526">
          <cell r="A526">
            <v>95851</v>
          </cell>
          <cell r="B526" t="str">
            <v>TOWN OF ROBERSONVILLE</v>
          </cell>
          <cell r="C526">
            <v>142997.09</v>
          </cell>
        </row>
        <row r="527">
          <cell r="A527">
            <v>95853</v>
          </cell>
          <cell r="B527" t="str">
            <v>ROBERSONVILLE HOUSING AUTHORITY</v>
          </cell>
          <cell r="C527">
            <v>15957</v>
          </cell>
        </row>
        <row r="528">
          <cell r="A528">
            <v>95901</v>
          </cell>
          <cell r="B528" t="str">
            <v>MCDOWELL COUNTY</v>
          </cell>
          <cell r="C528">
            <v>894780.33</v>
          </cell>
        </row>
        <row r="529">
          <cell r="A529">
            <v>95908</v>
          </cell>
          <cell r="B529" t="str">
            <v>PLEASANT GARDEN FIRE DEPT</v>
          </cell>
          <cell r="C529">
            <v>26699.759999999998</v>
          </cell>
        </row>
        <row r="530">
          <cell r="A530">
            <v>95911</v>
          </cell>
          <cell r="B530" t="str">
            <v>TOWN OF MARION</v>
          </cell>
          <cell r="C530">
            <v>256697.64</v>
          </cell>
        </row>
        <row r="531">
          <cell r="A531">
            <v>95917</v>
          </cell>
          <cell r="B531" t="str">
            <v>MARION ABC BOARD</v>
          </cell>
          <cell r="C531">
            <v>11591.12</v>
          </cell>
        </row>
        <row r="532">
          <cell r="A532">
            <v>95921</v>
          </cell>
          <cell r="B532" t="str">
            <v>TOWN OF OLD FORT</v>
          </cell>
          <cell r="C532">
            <v>25012.86</v>
          </cell>
        </row>
        <row r="533">
          <cell r="A533">
            <v>96001</v>
          </cell>
          <cell r="B533" t="str">
            <v>MECKLENBURG COUNTY</v>
          </cell>
          <cell r="C533">
            <v>21493968.41</v>
          </cell>
        </row>
        <row r="534">
          <cell r="A534">
            <v>96003</v>
          </cell>
          <cell r="B534" t="str">
            <v>CHARLOTTE HOUSING AUTHORITY</v>
          </cell>
          <cell r="C534">
            <v>717558.55</v>
          </cell>
        </row>
        <row r="535">
          <cell r="A535">
            <v>96004</v>
          </cell>
          <cell r="B535" t="str">
            <v>MECKLENBURG COUNTY ABC BOARD</v>
          </cell>
          <cell r="C535">
            <v>500331.48</v>
          </cell>
        </row>
        <row r="536">
          <cell r="A536">
            <v>96005</v>
          </cell>
          <cell r="B536" t="str">
            <v>CHARLOTTE MECKLENBURG PUBLIC LIBRARY</v>
          </cell>
          <cell r="C536">
            <v>1319874.8400000001</v>
          </cell>
        </row>
        <row r="537">
          <cell r="A537">
            <v>96008</v>
          </cell>
          <cell r="B537" t="str">
            <v>MECKLENBURG EMER MED SVCS AGCY</v>
          </cell>
          <cell r="C537">
            <v>2319759.66</v>
          </cell>
        </row>
        <row r="538">
          <cell r="A538">
            <v>96009</v>
          </cell>
          <cell r="B538" t="str">
            <v>CENTRALINA COUNCIL OF GOVERNMENTS</v>
          </cell>
          <cell r="C538">
            <v>213205.54</v>
          </cell>
        </row>
        <row r="539">
          <cell r="A539">
            <v>96011</v>
          </cell>
          <cell r="B539" t="str">
            <v>CITY OF CHARLOTTE</v>
          </cell>
          <cell r="C539">
            <v>30490654.809999999</v>
          </cell>
        </row>
        <row r="540">
          <cell r="A540">
            <v>96012</v>
          </cell>
          <cell r="B540" t="str">
            <v>CHARLOTTE REGIONAL VISITORS AUTHORITY</v>
          </cell>
          <cell r="C540">
            <v>1227286.1100000001</v>
          </cell>
        </row>
        <row r="541">
          <cell r="A541">
            <v>96018</v>
          </cell>
          <cell r="B541" t="str">
            <v>CHARLOTTE FIREMEN'S RET SYS</v>
          </cell>
          <cell r="C541">
            <v>20816.02</v>
          </cell>
        </row>
        <row r="542">
          <cell r="A542">
            <v>96021</v>
          </cell>
          <cell r="B542" t="str">
            <v>TOWN OF PINEVILLE</v>
          </cell>
          <cell r="C542">
            <v>348072</v>
          </cell>
        </row>
        <row r="543">
          <cell r="A543">
            <v>96031</v>
          </cell>
          <cell r="B543" t="str">
            <v>TOWN OF MINT HILL</v>
          </cell>
          <cell r="C543">
            <v>343067.94</v>
          </cell>
        </row>
        <row r="544">
          <cell r="A544">
            <v>96041</v>
          </cell>
          <cell r="B544" t="str">
            <v>TOWN OF HUNTERSVILLE</v>
          </cell>
          <cell r="C544">
            <v>760331.49</v>
          </cell>
        </row>
        <row r="545">
          <cell r="A545">
            <v>96051</v>
          </cell>
          <cell r="B545" t="str">
            <v>TOWN OF CORNELIUS</v>
          </cell>
          <cell r="C545">
            <v>447496.18</v>
          </cell>
        </row>
        <row r="546">
          <cell r="A546">
            <v>96061</v>
          </cell>
          <cell r="B546" t="str">
            <v>TOWN OF STALLINGS</v>
          </cell>
          <cell r="C546">
            <v>163295</v>
          </cell>
        </row>
        <row r="547">
          <cell r="A547">
            <v>96071</v>
          </cell>
          <cell r="B547" t="str">
            <v>TOWN OF MATTHEWS</v>
          </cell>
          <cell r="C547">
            <v>601187.62</v>
          </cell>
        </row>
        <row r="548">
          <cell r="A548">
            <v>96081</v>
          </cell>
          <cell r="B548" t="str">
            <v>TOWN OF DAVIDSON</v>
          </cell>
          <cell r="C548">
            <v>241286.98</v>
          </cell>
        </row>
        <row r="549">
          <cell r="A549">
            <v>96101</v>
          </cell>
          <cell r="B549" t="str">
            <v>MITCHELL COUNTY</v>
          </cell>
          <cell r="C549">
            <v>406062.02</v>
          </cell>
        </row>
        <row r="550">
          <cell r="A550">
            <v>96102</v>
          </cell>
          <cell r="B550" t="str">
            <v>MITCHELL SOIL &amp; WATER CONSERVATION DIST</v>
          </cell>
          <cell r="C550">
            <v>4192.87</v>
          </cell>
        </row>
        <row r="551">
          <cell r="A551">
            <v>96111</v>
          </cell>
          <cell r="B551" t="str">
            <v>TOWN OF SPRUCE PINE</v>
          </cell>
          <cell r="C551">
            <v>88704.74</v>
          </cell>
        </row>
        <row r="552">
          <cell r="A552">
            <v>96121</v>
          </cell>
          <cell r="B552" t="str">
            <v>TOWN OF BAKERSVILLE</v>
          </cell>
          <cell r="C552">
            <v>9550.99</v>
          </cell>
        </row>
        <row r="553">
          <cell r="A553">
            <v>96201</v>
          </cell>
          <cell r="B553" t="str">
            <v>MONTGOMERY COUNTY</v>
          </cell>
          <cell r="C553">
            <v>543344.09</v>
          </cell>
        </row>
        <row r="554">
          <cell r="A554">
            <v>96204</v>
          </cell>
          <cell r="B554" t="str">
            <v>MONTGOMERY-MUNICIPAL ABC BOARD</v>
          </cell>
          <cell r="C554">
            <v>9259.8799999999992</v>
          </cell>
        </row>
        <row r="555">
          <cell r="A555">
            <v>96211</v>
          </cell>
          <cell r="B555" t="str">
            <v>TOWN OF STAR</v>
          </cell>
          <cell r="C555">
            <v>17551.46</v>
          </cell>
        </row>
        <row r="556">
          <cell r="A556">
            <v>96221</v>
          </cell>
          <cell r="B556" t="str">
            <v>TOWN OF TROY</v>
          </cell>
          <cell r="C556">
            <v>105993.03</v>
          </cell>
        </row>
        <row r="557">
          <cell r="A557">
            <v>96231</v>
          </cell>
          <cell r="B557" t="str">
            <v>TOWN OF BISCOE</v>
          </cell>
          <cell r="C557">
            <v>49677.440000000002</v>
          </cell>
        </row>
        <row r="558">
          <cell r="A558">
            <v>96241</v>
          </cell>
          <cell r="B558" t="str">
            <v>TOWN OF CANDOR</v>
          </cell>
          <cell r="C558">
            <v>23317.599999999999</v>
          </cell>
        </row>
        <row r="559">
          <cell r="A559">
            <v>96251</v>
          </cell>
          <cell r="B559" t="str">
            <v>TOWN OF MOUNT GILEAD</v>
          </cell>
          <cell r="C559">
            <v>40415.919999999998</v>
          </cell>
        </row>
        <row r="560">
          <cell r="A560">
            <v>96301</v>
          </cell>
          <cell r="B560" t="str">
            <v>MOORE COUNTY</v>
          </cell>
          <cell r="C560">
            <v>2084751.76</v>
          </cell>
        </row>
        <row r="561">
          <cell r="A561">
            <v>96302</v>
          </cell>
          <cell r="B561" t="str">
            <v>TOWN OF TAYLORTOWN</v>
          </cell>
          <cell r="C561">
            <v>12087.69</v>
          </cell>
        </row>
        <row r="562">
          <cell r="A562">
            <v>96304</v>
          </cell>
          <cell r="B562" t="str">
            <v>MOORE COUNTY ABC BOARD</v>
          </cell>
          <cell r="C562">
            <v>28971.4</v>
          </cell>
        </row>
        <row r="563">
          <cell r="A563">
            <v>96305</v>
          </cell>
          <cell r="B563" t="str">
            <v>MOORE COUNTY TOURISM DEVELOPMENT AUTHORITY</v>
          </cell>
          <cell r="C563">
            <v>33688.550000000003</v>
          </cell>
        </row>
        <row r="564">
          <cell r="A564">
            <v>96310</v>
          </cell>
          <cell r="B564" t="str">
            <v>MOORE COUNTY AIRPORT AUTHORITY</v>
          </cell>
          <cell r="C564">
            <v>29357.23</v>
          </cell>
        </row>
        <row r="565">
          <cell r="A565">
            <v>96311</v>
          </cell>
          <cell r="B565" t="str">
            <v>TOWN OF SOUTHERN PINES</v>
          </cell>
          <cell r="C565">
            <v>609721.63</v>
          </cell>
        </row>
        <row r="566">
          <cell r="A566">
            <v>96312</v>
          </cell>
          <cell r="B566" t="str">
            <v>TOWN OF CAMERON</v>
          </cell>
          <cell r="C566">
            <v>3479.05</v>
          </cell>
        </row>
        <row r="567">
          <cell r="A567">
            <v>96318</v>
          </cell>
          <cell r="B567" t="str">
            <v>SANDHILLS CENTER</v>
          </cell>
          <cell r="C567">
            <v>1174353.58</v>
          </cell>
        </row>
        <row r="568">
          <cell r="A568">
            <v>96321</v>
          </cell>
          <cell r="B568" t="str">
            <v>TOWN OF VASS</v>
          </cell>
          <cell r="C568">
            <v>19104.939999999999</v>
          </cell>
        </row>
        <row r="569">
          <cell r="A569">
            <v>96331</v>
          </cell>
          <cell r="B569" t="str">
            <v>TOWN OF ABERDEEN</v>
          </cell>
          <cell r="C569">
            <v>302018.87</v>
          </cell>
        </row>
        <row r="570">
          <cell r="A570">
            <v>96341</v>
          </cell>
          <cell r="B570" t="str">
            <v>TOWN OF ROBBINS</v>
          </cell>
          <cell r="C570">
            <v>41905.199999999997</v>
          </cell>
        </row>
        <row r="571">
          <cell r="A571">
            <v>96351</v>
          </cell>
          <cell r="B571" t="str">
            <v>VILLAGE OF PINEHURST</v>
          </cell>
          <cell r="C571">
            <v>506250.23999999999</v>
          </cell>
        </row>
        <row r="572">
          <cell r="A572">
            <v>96361</v>
          </cell>
          <cell r="B572" t="str">
            <v>TOWN OF PINEBLUFF</v>
          </cell>
          <cell r="C572">
            <v>26124</v>
          </cell>
        </row>
        <row r="573">
          <cell r="A573">
            <v>96371</v>
          </cell>
          <cell r="B573" t="str">
            <v>VILLAGE OF WHISPERING PINES</v>
          </cell>
          <cell r="C573">
            <v>71861.67</v>
          </cell>
        </row>
        <row r="574">
          <cell r="A574">
            <v>96381</v>
          </cell>
          <cell r="B574" t="str">
            <v>FOXFIRE VILLAGE</v>
          </cell>
          <cell r="C574">
            <v>16380.71</v>
          </cell>
        </row>
        <row r="575">
          <cell r="A575">
            <v>96391</v>
          </cell>
          <cell r="B575" t="str">
            <v>TOWN OF CARTHAGE</v>
          </cell>
          <cell r="C575">
            <v>82140.899999999994</v>
          </cell>
        </row>
        <row r="576">
          <cell r="A576">
            <v>96401</v>
          </cell>
          <cell r="B576" t="str">
            <v>NASH COUNTY</v>
          </cell>
          <cell r="C576">
            <v>2141133.3199999998</v>
          </cell>
        </row>
        <row r="577">
          <cell r="A577">
            <v>96404</v>
          </cell>
          <cell r="B577" t="str">
            <v>NASH COUNTY ABC BOARD</v>
          </cell>
          <cell r="C577">
            <v>62860.89</v>
          </cell>
        </row>
        <row r="578">
          <cell r="A578">
            <v>96405</v>
          </cell>
          <cell r="B578" t="str">
            <v>BRASWELL MEMORIAL LIBRARY</v>
          </cell>
          <cell r="C578">
            <v>90010.86</v>
          </cell>
        </row>
        <row r="579">
          <cell r="A579">
            <v>96411</v>
          </cell>
          <cell r="B579" t="str">
            <v>TOWN OF SPRING HOPE</v>
          </cell>
          <cell r="C579">
            <v>30766.53</v>
          </cell>
        </row>
        <row r="580">
          <cell r="A580">
            <v>96421</v>
          </cell>
          <cell r="B580" t="str">
            <v>TOWN OF NASHVILLE</v>
          </cell>
          <cell r="C580">
            <v>185496.66</v>
          </cell>
        </row>
        <row r="581">
          <cell r="A581">
            <v>96431</v>
          </cell>
          <cell r="B581" t="str">
            <v>TOWN OF MIDDLESEX</v>
          </cell>
          <cell r="C581">
            <v>21848.79</v>
          </cell>
        </row>
        <row r="582">
          <cell r="A582">
            <v>96441</v>
          </cell>
          <cell r="B582" t="str">
            <v>TOWN OF WHITAKERS</v>
          </cell>
          <cell r="C582">
            <v>15351.51</v>
          </cell>
        </row>
        <row r="583">
          <cell r="A583">
            <v>96451</v>
          </cell>
          <cell r="B583" t="str">
            <v>TOWN OF BAILEY</v>
          </cell>
          <cell r="C583">
            <v>8535.73</v>
          </cell>
        </row>
        <row r="584">
          <cell r="A584">
            <v>96461</v>
          </cell>
          <cell r="B584" t="str">
            <v>TOWN OF SHARPSBURG</v>
          </cell>
          <cell r="C584">
            <v>72030.850000000006</v>
          </cell>
        </row>
        <row r="585">
          <cell r="A585">
            <v>96501</v>
          </cell>
          <cell r="B585" t="str">
            <v>NEW HANOVER COUNTY</v>
          </cell>
          <cell r="C585">
            <v>6947458.8300000001</v>
          </cell>
        </row>
        <row r="586">
          <cell r="A586">
            <v>96502</v>
          </cell>
          <cell r="B586" t="str">
            <v>NEW HANOVER AIRPORT AUTH</v>
          </cell>
          <cell r="C586">
            <v>215466.08</v>
          </cell>
        </row>
        <row r="587">
          <cell r="A587">
            <v>96503</v>
          </cell>
          <cell r="B587" t="str">
            <v>WILMINGTON HOUSING AUTHORITY</v>
          </cell>
          <cell r="C587">
            <v>320388.37</v>
          </cell>
        </row>
        <row r="588">
          <cell r="A588">
            <v>96504</v>
          </cell>
          <cell r="B588" t="str">
            <v>NEW HANOVER COUNTY ABC BOARD</v>
          </cell>
          <cell r="C588">
            <v>206958.64</v>
          </cell>
        </row>
        <row r="589">
          <cell r="A589">
            <v>96507</v>
          </cell>
          <cell r="B589" t="str">
            <v>CAPE FEAR PUBLIC UTILITY AUTHORITY</v>
          </cell>
          <cell r="C589">
            <v>1125154.73</v>
          </cell>
        </row>
        <row r="590">
          <cell r="A590">
            <v>96508</v>
          </cell>
          <cell r="B590" t="str">
            <v>LOWER CAPE FEAR WATER &amp; SEWER AUTH</v>
          </cell>
          <cell r="C590">
            <v>11724.36</v>
          </cell>
        </row>
        <row r="591">
          <cell r="A591">
            <v>96511</v>
          </cell>
          <cell r="B591" t="str">
            <v>TOWN OF WRIGHTSVILLE BEACH</v>
          </cell>
          <cell r="C591">
            <v>294294.28000000003</v>
          </cell>
        </row>
        <row r="592">
          <cell r="A592">
            <v>96512</v>
          </cell>
          <cell r="B592" t="str">
            <v>CAPE FEAR PUBLIC TRANSPORTATION AUTHORITY</v>
          </cell>
          <cell r="C592">
            <v>79724.990000000005</v>
          </cell>
        </row>
        <row r="593">
          <cell r="A593">
            <v>96521</v>
          </cell>
          <cell r="B593" t="str">
            <v>TOWN OF CAROLINA BEACH</v>
          </cell>
          <cell r="C593">
            <v>427905.03</v>
          </cell>
        </row>
        <row r="594">
          <cell r="A594">
            <v>96531</v>
          </cell>
          <cell r="B594" t="str">
            <v>CITY OF WILMINGTON</v>
          </cell>
          <cell r="C594">
            <v>4035511.38</v>
          </cell>
        </row>
        <row r="595">
          <cell r="A595">
            <v>96541</v>
          </cell>
          <cell r="B595" t="str">
            <v>TOWN OF KURE BEACH</v>
          </cell>
          <cell r="C595">
            <v>170179.71</v>
          </cell>
        </row>
        <row r="596">
          <cell r="A596">
            <v>96601</v>
          </cell>
          <cell r="B596" t="str">
            <v>NORTHAMPTON COUNTY</v>
          </cell>
          <cell r="C596">
            <v>825607.21</v>
          </cell>
        </row>
        <row r="597">
          <cell r="A597">
            <v>96604</v>
          </cell>
          <cell r="B597" t="str">
            <v>NORTHAMPTON COUNTY ABC BOARD</v>
          </cell>
          <cell r="C597">
            <v>4896.1499999999996</v>
          </cell>
        </row>
        <row r="598">
          <cell r="A598">
            <v>96611</v>
          </cell>
          <cell r="B598" t="str">
            <v>TOWN OF RICH SQUARE</v>
          </cell>
          <cell r="C598">
            <v>12911.22</v>
          </cell>
        </row>
        <row r="599">
          <cell r="A599">
            <v>96612</v>
          </cell>
          <cell r="B599" t="str">
            <v>CHOANOKE PUBLIC TRANSPORTATION AUTH</v>
          </cell>
          <cell r="C599">
            <v>31707.24</v>
          </cell>
        </row>
        <row r="600">
          <cell r="A600">
            <v>96621</v>
          </cell>
          <cell r="B600" t="str">
            <v>TOWN OF WOODLAND</v>
          </cell>
          <cell r="C600">
            <v>12605.04</v>
          </cell>
        </row>
        <row r="601">
          <cell r="A601">
            <v>96631</v>
          </cell>
          <cell r="B601" t="str">
            <v>TOWN OF GARYSBURG</v>
          </cell>
          <cell r="C601">
            <v>12532.91</v>
          </cell>
        </row>
        <row r="602">
          <cell r="A602">
            <v>96641</v>
          </cell>
          <cell r="B602" t="str">
            <v>TOWN OF CONWAY</v>
          </cell>
          <cell r="C602">
            <v>22010.240000000002</v>
          </cell>
        </row>
        <row r="603">
          <cell r="A603">
            <v>96651</v>
          </cell>
          <cell r="B603" t="str">
            <v>TOWN OF GASTON</v>
          </cell>
          <cell r="C603">
            <v>9566.34</v>
          </cell>
        </row>
        <row r="604">
          <cell r="A604">
            <v>96661</v>
          </cell>
          <cell r="B604" t="str">
            <v>TOWN OF JACKSON</v>
          </cell>
          <cell r="C604">
            <v>10878.91</v>
          </cell>
        </row>
        <row r="605">
          <cell r="A605">
            <v>96671</v>
          </cell>
          <cell r="B605" t="str">
            <v>TOWN OF SEVERN</v>
          </cell>
          <cell r="C605">
            <v>8886.56</v>
          </cell>
        </row>
        <row r="606">
          <cell r="A606">
            <v>96681</v>
          </cell>
          <cell r="B606" t="str">
            <v>TOWN OF SEABOARD</v>
          </cell>
          <cell r="C606">
            <v>15491.97</v>
          </cell>
        </row>
        <row r="607">
          <cell r="A607">
            <v>96701</v>
          </cell>
          <cell r="B607" t="str">
            <v>ONSLOW COUNTY</v>
          </cell>
          <cell r="C607">
            <v>3929619.07</v>
          </cell>
        </row>
        <row r="608">
          <cell r="A608">
            <v>96704</v>
          </cell>
          <cell r="B608" t="str">
            <v>ONSLOW COUNTY ABC BOARD</v>
          </cell>
          <cell r="C608">
            <v>106960.89</v>
          </cell>
        </row>
        <row r="609">
          <cell r="A609">
            <v>96708</v>
          </cell>
          <cell r="B609" t="str">
            <v>ONSLOW WATER &amp; SEWER AUTHORITY</v>
          </cell>
          <cell r="C609">
            <v>480567.68</v>
          </cell>
        </row>
        <row r="610">
          <cell r="A610">
            <v>96711</v>
          </cell>
          <cell r="B610" t="str">
            <v>CITY OF JACKSONVILLE</v>
          </cell>
          <cell r="C610">
            <v>1894102.22</v>
          </cell>
        </row>
        <row r="611">
          <cell r="A611">
            <v>96721</v>
          </cell>
          <cell r="B611" t="str">
            <v>TOWN OF SWANSBORO</v>
          </cell>
          <cell r="C611">
            <v>104621.36</v>
          </cell>
        </row>
        <row r="612">
          <cell r="A612">
            <v>96731</v>
          </cell>
          <cell r="B612" t="str">
            <v>TOWN OF HOLLY RIDGE</v>
          </cell>
          <cell r="C612">
            <v>80631.55</v>
          </cell>
        </row>
        <row r="613">
          <cell r="A613">
            <v>96733</v>
          </cell>
          <cell r="B613" t="str">
            <v>HOLLY RIDGE HOUSING AUTHORITY</v>
          </cell>
          <cell r="C613">
            <v>4498.5200000000004</v>
          </cell>
        </row>
        <row r="614">
          <cell r="A614">
            <v>96741</v>
          </cell>
          <cell r="B614" t="str">
            <v>TOWN OF RICHLANDS</v>
          </cell>
          <cell r="C614">
            <v>44667.78</v>
          </cell>
        </row>
        <row r="615">
          <cell r="A615">
            <v>96751</v>
          </cell>
          <cell r="B615" t="str">
            <v>TOWN OF N TOPSAIL BEACH</v>
          </cell>
          <cell r="C615">
            <v>119909.43</v>
          </cell>
        </row>
        <row r="616">
          <cell r="A616">
            <v>96801</v>
          </cell>
          <cell r="B616" t="str">
            <v>ORANGE COUNTY</v>
          </cell>
          <cell r="C616">
            <v>3782424.64</v>
          </cell>
        </row>
        <row r="617">
          <cell r="A617">
            <v>96804</v>
          </cell>
          <cell r="B617" t="str">
            <v>ORANGE COUNTY ABC BOARD</v>
          </cell>
          <cell r="C617">
            <v>109632.67</v>
          </cell>
        </row>
        <row r="618">
          <cell r="A618">
            <v>96808</v>
          </cell>
          <cell r="B618" t="str">
            <v>ORANGE WATER AND SEWER AUTHORITY</v>
          </cell>
          <cell r="C618">
            <v>612313.68999999994</v>
          </cell>
        </row>
        <row r="619">
          <cell r="A619">
            <v>96811</v>
          </cell>
          <cell r="B619" t="str">
            <v>TOWN OF CHAPEL HILL</v>
          </cell>
          <cell r="C619">
            <v>2828120.43</v>
          </cell>
        </row>
        <row r="620">
          <cell r="A620">
            <v>96821</v>
          </cell>
          <cell r="B620" t="str">
            <v>TOWN OF CARRBORO</v>
          </cell>
          <cell r="C620">
            <v>606075.74</v>
          </cell>
        </row>
        <row r="621">
          <cell r="A621">
            <v>96831</v>
          </cell>
          <cell r="B621" t="str">
            <v>TOWN OF HILLSBOROUGH</v>
          </cell>
          <cell r="C621">
            <v>437767.04</v>
          </cell>
        </row>
        <row r="622">
          <cell r="A622">
            <v>96901</v>
          </cell>
          <cell r="B622" t="str">
            <v>PAMLICO COUNTY</v>
          </cell>
          <cell r="C622">
            <v>449406.94</v>
          </cell>
        </row>
        <row r="623">
          <cell r="A623">
            <v>96911</v>
          </cell>
          <cell r="B623" t="str">
            <v>TOWN OF BAYBORO</v>
          </cell>
          <cell r="C623">
            <v>2452.13</v>
          </cell>
        </row>
        <row r="624">
          <cell r="A624">
            <v>96912</v>
          </cell>
          <cell r="B624" t="str">
            <v>TOWN OF ORIENTAL</v>
          </cell>
          <cell r="C624">
            <v>26729.279999999999</v>
          </cell>
        </row>
        <row r="625">
          <cell r="A625">
            <v>96918</v>
          </cell>
          <cell r="B625" t="str">
            <v>BAY RIVER METRO SEWERAGE DISTRICT</v>
          </cell>
          <cell r="C625">
            <v>16749.66</v>
          </cell>
        </row>
        <row r="626">
          <cell r="A626">
            <v>97001</v>
          </cell>
          <cell r="B626" t="str">
            <v>PASQUOTANK COUNTY</v>
          </cell>
          <cell r="C626">
            <v>742552.9</v>
          </cell>
        </row>
        <row r="627">
          <cell r="A627">
            <v>97002</v>
          </cell>
          <cell r="B627" t="str">
            <v>PASQUOTANK-CAMDEN AMBULANCE SERVICE</v>
          </cell>
          <cell r="C627">
            <v>185928.29</v>
          </cell>
        </row>
        <row r="628">
          <cell r="A628">
            <v>97004</v>
          </cell>
          <cell r="B628" t="str">
            <v>PASQUOTANK CO ABC BOARD</v>
          </cell>
          <cell r="C628">
            <v>8806.36</v>
          </cell>
        </row>
        <row r="629">
          <cell r="A629">
            <v>97005</v>
          </cell>
          <cell r="B629" t="str">
            <v>EAST ALBEMARLE REGIONAL LIBRARY</v>
          </cell>
          <cell r="C629">
            <v>14967.8</v>
          </cell>
        </row>
        <row r="630">
          <cell r="A630">
            <v>97008</v>
          </cell>
          <cell r="B630" t="str">
            <v>ALBEMARLE DISTRICT JAIL COMMISSION</v>
          </cell>
          <cell r="C630">
            <v>139745.68</v>
          </cell>
        </row>
        <row r="631">
          <cell r="A631">
            <v>97011</v>
          </cell>
          <cell r="B631" t="str">
            <v>ELIZABETH CITY</v>
          </cell>
          <cell r="C631">
            <v>918572.95</v>
          </cell>
        </row>
        <row r="632">
          <cell r="A632">
            <v>97012</v>
          </cell>
          <cell r="B632" t="str">
            <v>ELIZABETH CITY-PASQUOTANK CO AIRPORT AUTH</v>
          </cell>
          <cell r="C632">
            <v>18023.54</v>
          </cell>
        </row>
        <row r="633">
          <cell r="A633">
            <v>97013</v>
          </cell>
          <cell r="B633" t="str">
            <v>ELIZABETH CITY PASQUOTANK COUNTY TDA</v>
          </cell>
          <cell r="C633">
            <v>11938.57</v>
          </cell>
        </row>
        <row r="634">
          <cell r="A634">
            <v>97015</v>
          </cell>
          <cell r="B634" t="str">
            <v>PASQUOTANK-CAMDEN LIBRARY</v>
          </cell>
          <cell r="C634">
            <v>25312.84</v>
          </cell>
        </row>
        <row r="635">
          <cell r="A635">
            <v>97018</v>
          </cell>
          <cell r="B635" t="str">
            <v>ELIZABETH CTY-PASQUOTANK CO INDUSTRL DEVELOPMENT C</v>
          </cell>
          <cell r="C635">
            <v>8583.6</v>
          </cell>
        </row>
        <row r="636">
          <cell r="A636">
            <v>97101</v>
          </cell>
          <cell r="B636" t="str">
            <v>PENDER COUNTY</v>
          </cell>
          <cell r="C636">
            <v>1330859.4099999999</v>
          </cell>
        </row>
        <row r="637">
          <cell r="A637">
            <v>97104</v>
          </cell>
          <cell r="B637" t="str">
            <v>PENDER COUNTY ABC BOARD</v>
          </cell>
          <cell r="C637">
            <v>32872.47</v>
          </cell>
        </row>
        <row r="638">
          <cell r="A638">
            <v>97111</v>
          </cell>
          <cell r="B638" t="str">
            <v>TOWN OF BURGAW</v>
          </cell>
          <cell r="C638">
            <v>129965.59</v>
          </cell>
        </row>
        <row r="639">
          <cell r="A639">
            <v>97121</v>
          </cell>
          <cell r="B639" t="str">
            <v>TOWN OF TOPSAIL BEACH</v>
          </cell>
          <cell r="C639">
            <v>76175.850000000006</v>
          </cell>
        </row>
        <row r="640">
          <cell r="A640">
            <v>97131</v>
          </cell>
          <cell r="B640" t="str">
            <v>TOWN OF SURF CITY</v>
          </cell>
          <cell r="C640">
            <v>265411.49</v>
          </cell>
        </row>
        <row r="641">
          <cell r="A641">
            <v>97201</v>
          </cell>
          <cell r="B641" t="str">
            <v>PERQUIMANS COUNTY</v>
          </cell>
          <cell r="C641">
            <v>262236.90999999997</v>
          </cell>
        </row>
        <row r="642">
          <cell r="A642">
            <v>97211</v>
          </cell>
          <cell r="B642" t="str">
            <v>TOWN OF HERTFORD</v>
          </cell>
          <cell r="C642">
            <v>77866.37</v>
          </cell>
        </row>
        <row r="643">
          <cell r="A643">
            <v>97213</v>
          </cell>
          <cell r="B643" t="str">
            <v>HERTFORD HOUSING AUTH</v>
          </cell>
          <cell r="C643">
            <v>21662.31</v>
          </cell>
        </row>
        <row r="644">
          <cell r="A644">
            <v>97217</v>
          </cell>
          <cell r="B644" t="str">
            <v>TOWN OF HERTFORD ABC BOARD</v>
          </cell>
          <cell r="C644">
            <v>6450.3</v>
          </cell>
        </row>
        <row r="645">
          <cell r="A645">
            <v>97221</v>
          </cell>
          <cell r="B645" t="str">
            <v>TOWN OF WINFALL</v>
          </cell>
          <cell r="C645">
            <v>6192.47</v>
          </cell>
        </row>
        <row r="646">
          <cell r="A646">
            <v>97301</v>
          </cell>
          <cell r="B646" t="str">
            <v>PERSON COUNTY</v>
          </cell>
          <cell r="C646">
            <v>1231027.8799999999</v>
          </cell>
        </row>
        <row r="647">
          <cell r="A647">
            <v>97304</v>
          </cell>
          <cell r="B647" t="str">
            <v>PERSON CO ABC BD</v>
          </cell>
          <cell r="C647">
            <v>13751.59</v>
          </cell>
        </row>
        <row r="648">
          <cell r="A648">
            <v>97311</v>
          </cell>
          <cell r="B648" t="str">
            <v>CITY OF ROXBORO</v>
          </cell>
          <cell r="C648">
            <v>427971.84000000003</v>
          </cell>
        </row>
        <row r="649">
          <cell r="A649">
            <v>97401</v>
          </cell>
          <cell r="B649" t="str">
            <v>PITT COUNTY</v>
          </cell>
          <cell r="C649">
            <v>3585248.73</v>
          </cell>
        </row>
        <row r="650">
          <cell r="A650">
            <v>97402</v>
          </cell>
          <cell r="B650" t="str">
            <v>PITT-GREENVILLE CONV &amp; VISTORS</v>
          </cell>
          <cell r="C650">
            <v>26436.66</v>
          </cell>
        </row>
        <row r="651">
          <cell r="A651">
            <v>97404</v>
          </cell>
          <cell r="B651" t="str">
            <v>PITT COUNTY ABC BOARD</v>
          </cell>
          <cell r="C651">
            <v>90667.81</v>
          </cell>
        </row>
        <row r="652">
          <cell r="A652">
            <v>97405</v>
          </cell>
          <cell r="B652" t="str">
            <v>SHEPPARD MEMORIAL LIBRARY</v>
          </cell>
          <cell r="C652">
            <v>71138.850000000006</v>
          </cell>
        </row>
        <row r="653">
          <cell r="A653">
            <v>97408</v>
          </cell>
          <cell r="B653" t="str">
            <v>CONTENNEA METROPOLITAN SEWERAGE DIST</v>
          </cell>
          <cell r="C653">
            <v>25129.97</v>
          </cell>
        </row>
        <row r="654">
          <cell r="A654">
            <v>97411</v>
          </cell>
          <cell r="B654" t="str">
            <v>CITY OF GREENVILLE</v>
          </cell>
          <cell r="C654">
            <v>3028532.57</v>
          </cell>
        </row>
        <row r="655">
          <cell r="A655">
            <v>97412</v>
          </cell>
          <cell r="B655" t="str">
            <v>GREENVILLE UTILITIES COMMISSION</v>
          </cell>
          <cell r="C655">
            <v>2270407.41</v>
          </cell>
        </row>
        <row r="656">
          <cell r="A656">
            <v>97413</v>
          </cell>
          <cell r="B656" t="str">
            <v>GREENVILLE HOUSING AUTHORITY</v>
          </cell>
          <cell r="C656">
            <v>148219.56</v>
          </cell>
        </row>
        <row r="657">
          <cell r="A657">
            <v>97421</v>
          </cell>
          <cell r="B657" t="str">
            <v>TOWN OF FARMVILLE</v>
          </cell>
          <cell r="C657">
            <v>210610.72</v>
          </cell>
        </row>
        <row r="658">
          <cell r="A658">
            <v>97423</v>
          </cell>
          <cell r="B658" t="str">
            <v>FARMVILLE HOUSING AUTHORITY</v>
          </cell>
          <cell r="C658">
            <v>40514.76</v>
          </cell>
        </row>
        <row r="659">
          <cell r="A659">
            <v>97431</v>
          </cell>
          <cell r="B659" t="str">
            <v>TOWN OF GRIFTON</v>
          </cell>
          <cell r="C659">
            <v>50715.32</v>
          </cell>
        </row>
        <row r="660">
          <cell r="A660">
            <v>97441</v>
          </cell>
          <cell r="B660" t="str">
            <v>TOWN OF BETHEL</v>
          </cell>
          <cell r="C660">
            <v>21551.56</v>
          </cell>
        </row>
        <row r="661">
          <cell r="A661">
            <v>97451</v>
          </cell>
          <cell r="B661" t="str">
            <v>TOWN OF WINTERVILLE</v>
          </cell>
          <cell r="C661">
            <v>257107.71</v>
          </cell>
        </row>
        <row r="662">
          <cell r="A662" t="str">
            <v>97461M</v>
          </cell>
          <cell r="B662" t="str">
            <v>TOWN OF AYDEN</v>
          </cell>
          <cell r="C662">
            <v>234518.87</v>
          </cell>
        </row>
        <row r="663">
          <cell r="A663" t="str">
            <v>97463M</v>
          </cell>
          <cell r="B663" t="str">
            <v>AYDEN HOUSING AUTHORITY</v>
          </cell>
          <cell r="C663">
            <v>8702.26</v>
          </cell>
        </row>
        <row r="664">
          <cell r="A664">
            <v>97461</v>
          </cell>
          <cell r="B664" t="str">
            <v>TOWN OF AYDEN</v>
          </cell>
          <cell r="C664">
            <v>243221.13</v>
          </cell>
        </row>
        <row r="665">
          <cell r="A665">
            <v>97471</v>
          </cell>
          <cell r="B665" t="str">
            <v>TOWN OF GRIMESLAND</v>
          </cell>
          <cell r="C665">
            <v>12311.93</v>
          </cell>
        </row>
        <row r="666">
          <cell r="A666">
            <v>97481</v>
          </cell>
          <cell r="B666" t="str">
            <v>VILLAGE OF SIMPSON</v>
          </cell>
          <cell r="C666">
            <v>4407.68</v>
          </cell>
        </row>
        <row r="667">
          <cell r="A667">
            <v>97501</v>
          </cell>
          <cell r="B667" t="str">
            <v>POLK COUNTY</v>
          </cell>
          <cell r="C667">
            <v>543678.36</v>
          </cell>
        </row>
        <row r="668">
          <cell r="A668">
            <v>97511</v>
          </cell>
          <cell r="B668" t="str">
            <v>TOWN OF TRYON</v>
          </cell>
          <cell r="C668">
            <v>102058.77</v>
          </cell>
        </row>
        <row r="669">
          <cell r="A669">
            <v>97521</v>
          </cell>
          <cell r="B669" t="str">
            <v>TOWN OF COLUMBUS</v>
          </cell>
          <cell r="C669">
            <v>58326.6</v>
          </cell>
        </row>
        <row r="670">
          <cell r="A670">
            <v>97527</v>
          </cell>
          <cell r="B670" t="str">
            <v>COLUMBUS ABC BOARD</v>
          </cell>
          <cell r="C670">
            <v>3761.73</v>
          </cell>
        </row>
        <row r="671">
          <cell r="A671">
            <v>97531</v>
          </cell>
          <cell r="B671" t="str">
            <v>CITY OF SALUDA</v>
          </cell>
          <cell r="C671">
            <v>29948.85</v>
          </cell>
        </row>
        <row r="672">
          <cell r="A672">
            <v>97601</v>
          </cell>
          <cell r="B672" t="str">
            <v>RANDOLPH COUNTY</v>
          </cell>
          <cell r="C672">
            <v>2483068.88</v>
          </cell>
        </row>
        <row r="673">
          <cell r="A673">
            <v>97607</v>
          </cell>
          <cell r="B673" t="str">
            <v>ASHEBORO ABC BOARD</v>
          </cell>
          <cell r="C673">
            <v>18882.38</v>
          </cell>
        </row>
        <row r="674">
          <cell r="A674">
            <v>97611</v>
          </cell>
          <cell r="B674" t="str">
            <v>CITY OF ASHEBORO</v>
          </cell>
          <cell r="C674">
            <v>1130810.3999999999</v>
          </cell>
        </row>
        <row r="675">
          <cell r="A675">
            <v>97613</v>
          </cell>
          <cell r="B675" t="str">
            <v>ASHEBORO HOUSING AUTH</v>
          </cell>
          <cell r="C675">
            <v>63111.42</v>
          </cell>
        </row>
        <row r="676">
          <cell r="A676">
            <v>97621</v>
          </cell>
          <cell r="B676" t="str">
            <v>CITY OF RANDLEMAN</v>
          </cell>
          <cell r="C676">
            <v>187775.93</v>
          </cell>
        </row>
        <row r="677">
          <cell r="A677">
            <v>97623</v>
          </cell>
          <cell r="B677" t="str">
            <v>CITY OF RANDLEMAN HOUSING AUTHORITY</v>
          </cell>
          <cell r="C677">
            <v>11408.9</v>
          </cell>
        </row>
        <row r="678">
          <cell r="A678">
            <v>97627</v>
          </cell>
          <cell r="B678" t="str">
            <v>CITY OF RANDLEMAN ABC BOARD</v>
          </cell>
          <cell r="C678">
            <v>5463.33</v>
          </cell>
        </row>
        <row r="679">
          <cell r="A679">
            <v>97631</v>
          </cell>
          <cell r="B679" t="str">
            <v>TOWN OF LIBERTY</v>
          </cell>
          <cell r="C679">
            <v>92382.77</v>
          </cell>
        </row>
        <row r="680">
          <cell r="A680">
            <v>97637</v>
          </cell>
          <cell r="B680" t="str">
            <v>LIBERTY ABC BOARD</v>
          </cell>
          <cell r="C680">
            <v>3307.56</v>
          </cell>
        </row>
        <row r="681">
          <cell r="A681">
            <v>97641</v>
          </cell>
          <cell r="B681" t="str">
            <v>TOWN OF RAMSEUR</v>
          </cell>
          <cell r="C681">
            <v>30439.01</v>
          </cell>
        </row>
        <row r="682">
          <cell r="A682">
            <v>97651</v>
          </cell>
          <cell r="B682" t="str">
            <v>CITY OF ARCHDALE</v>
          </cell>
          <cell r="C682">
            <v>232693.75</v>
          </cell>
        </row>
        <row r="683">
          <cell r="A683">
            <v>97661</v>
          </cell>
          <cell r="B683" t="str">
            <v>CITY OF TRINITY</v>
          </cell>
          <cell r="C683">
            <v>25899.94</v>
          </cell>
        </row>
        <row r="684">
          <cell r="A684">
            <v>97701</v>
          </cell>
          <cell r="B684" t="str">
            <v>RICHMOND COUNTY</v>
          </cell>
          <cell r="C684">
            <v>1244784.92</v>
          </cell>
        </row>
        <row r="685">
          <cell r="A685">
            <v>97705</v>
          </cell>
          <cell r="B685" t="str">
            <v>SANDHILL REGIONAL LIBRARY</v>
          </cell>
          <cell r="C685">
            <v>23599.25</v>
          </cell>
        </row>
        <row r="686">
          <cell r="A686">
            <v>97711</v>
          </cell>
          <cell r="B686" t="str">
            <v>CITY OF ROCKINGHAM</v>
          </cell>
          <cell r="C686">
            <v>457009.62</v>
          </cell>
        </row>
        <row r="687">
          <cell r="A687">
            <v>97713</v>
          </cell>
          <cell r="B687" t="str">
            <v>ROCKINGHAM HOUSING AUTHORITY</v>
          </cell>
          <cell r="C687">
            <v>21943.34</v>
          </cell>
        </row>
        <row r="688">
          <cell r="A688">
            <v>97717</v>
          </cell>
          <cell r="B688" t="str">
            <v>HAMLET ABC BOARD</v>
          </cell>
          <cell r="C688">
            <v>2473.4699999999998</v>
          </cell>
        </row>
        <row r="689">
          <cell r="A689">
            <v>97721</v>
          </cell>
          <cell r="B689" t="str">
            <v>CITY OF HAMLET</v>
          </cell>
          <cell r="C689">
            <v>271324.76</v>
          </cell>
        </row>
        <row r="690">
          <cell r="A690">
            <v>97727</v>
          </cell>
          <cell r="B690" t="str">
            <v>CITY OF ROCKINGHAM ABC BOARD</v>
          </cell>
          <cell r="C690">
            <v>11178.52</v>
          </cell>
        </row>
        <row r="691">
          <cell r="A691">
            <v>97731</v>
          </cell>
          <cell r="B691" t="str">
            <v>TOWN OF ELLERBE</v>
          </cell>
          <cell r="C691">
            <v>19915.73</v>
          </cell>
        </row>
        <row r="692">
          <cell r="A692">
            <v>97801</v>
          </cell>
          <cell r="B692" t="str">
            <v>ROBESON COUNTY</v>
          </cell>
          <cell r="C692">
            <v>3252423.91</v>
          </cell>
        </row>
        <row r="693">
          <cell r="A693">
            <v>97802</v>
          </cell>
          <cell r="B693" t="str">
            <v>LUMBER RIVER COUNCIL OF GOVERNMENTS</v>
          </cell>
          <cell r="C693">
            <v>84582.720000000001</v>
          </cell>
        </row>
        <row r="694">
          <cell r="A694">
            <v>97803</v>
          </cell>
          <cell r="B694" t="str">
            <v>ROBESON COUNTY HOUSING AUTHORITY</v>
          </cell>
          <cell r="C694">
            <v>39273.5</v>
          </cell>
        </row>
        <row r="695">
          <cell r="A695">
            <v>97805</v>
          </cell>
          <cell r="B695" t="str">
            <v>ROBESON COUNTY PUBLIC LIBRARY</v>
          </cell>
          <cell r="C695">
            <v>42170.28</v>
          </cell>
        </row>
        <row r="696">
          <cell r="A696">
            <v>97811</v>
          </cell>
          <cell r="B696" t="str">
            <v>CITY OF LUMBERTON</v>
          </cell>
          <cell r="C696">
            <v>1170323.8600000001</v>
          </cell>
        </row>
        <row r="697">
          <cell r="A697">
            <v>97817</v>
          </cell>
          <cell r="B697" t="str">
            <v>LUMBERTON ABC BOARD</v>
          </cell>
          <cell r="C697">
            <v>13790.33</v>
          </cell>
        </row>
        <row r="698">
          <cell r="A698">
            <v>97818</v>
          </cell>
          <cell r="B698" t="str">
            <v>LUMBERTON AIRPORT COMM</v>
          </cell>
          <cell r="C698">
            <v>10225.219999999999</v>
          </cell>
        </row>
        <row r="699">
          <cell r="A699">
            <v>97821</v>
          </cell>
          <cell r="B699" t="str">
            <v>TOWN OF FAIRMONT</v>
          </cell>
          <cell r="C699">
            <v>68059.789999999994</v>
          </cell>
        </row>
        <row r="700">
          <cell r="A700">
            <v>97823</v>
          </cell>
          <cell r="B700" t="str">
            <v>FAIRMONT HOUSING AUTHORITY</v>
          </cell>
          <cell r="C700">
            <v>11236.36</v>
          </cell>
        </row>
        <row r="701">
          <cell r="A701">
            <v>97831</v>
          </cell>
          <cell r="B701" t="str">
            <v>TOWN OF ST PAULS</v>
          </cell>
          <cell r="C701">
            <v>86433.49</v>
          </cell>
        </row>
        <row r="702">
          <cell r="A702">
            <v>97837</v>
          </cell>
          <cell r="B702" t="str">
            <v>ST PAUL'S BRD OF ALCOHOLIC CTL</v>
          </cell>
          <cell r="C702">
            <v>7118.4</v>
          </cell>
        </row>
        <row r="703">
          <cell r="A703">
            <v>97840</v>
          </cell>
          <cell r="B703" t="str">
            <v>TOWN OF MAXTON</v>
          </cell>
          <cell r="C703">
            <v>115822.16</v>
          </cell>
        </row>
        <row r="704">
          <cell r="A704">
            <v>97841</v>
          </cell>
          <cell r="B704" t="str">
            <v>TOWN OF PARKTON</v>
          </cell>
          <cell r="C704">
            <v>6778.58</v>
          </cell>
        </row>
        <row r="705">
          <cell r="A705">
            <v>97847</v>
          </cell>
          <cell r="B705" t="str">
            <v>MAXTON ABC BOARD</v>
          </cell>
          <cell r="C705">
            <v>2336.88</v>
          </cell>
        </row>
        <row r="706">
          <cell r="A706">
            <v>97851</v>
          </cell>
          <cell r="B706" t="str">
            <v>TOWN OF PEMBROKE</v>
          </cell>
          <cell r="C706">
            <v>115501.54</v>
          </cell>
        </row>
        <row r="707">
          <cell r="A707">
            <v>97853</v>
          </cell>
          <cell r="B707" t="str">
            <v>PEMBROKE HOUSING AUTHORITY</v>
          </cell>
          <cell r="C707">
            <v>40633.69</v>
          </cell>
        </row>
        <row r="708">
          <cell r="A708">
            <v>97861</v>
          </cell>
          <cell r="B708" t="str">
            <v>TOWN OF ROWLAND</v>
          </cell>
          <cell r="C708">
            <v>26837.61</v>
          </cell>
        </row>
        <row r="709">
          <cell r="A709">
            <v>97871</v>
          </cell>
          <cell r="B709" t="str">
            <v>TOWN OF RED SPRINGS</v>
          </cell>
          <cell r="C709">
            <v>295105.89</v>
          </cell>
        </row>
        <row r="710">
          <cell r="A710">
            <v>97877</v>
          </cell>
          <cell r="B710" t="str">
            <v>RED SPRINGS ABC BOARD</v>
          </cell>
          <cell r="C710">
            <v>2779.92</v>
          </cell>
        </row>
        <row r="711">
          <cell r="A711">
            <v>97901</v>
          </cell>
          <cell r="B711" t="str">
            <v>ROCKINGHAM COUNTY</v>
          </cell>
          <cell r="C711">
            <v>2084645.48</v>
          </cell>
        </row>
        <row r="712">
          <cell r="A712">
            <v>97911</v>
          </cell>
          <cell r="B712" t="str">
            <v>CITY OF REIDSVILLE</v>
          </cell>
          <cell r="C712">
            <v>644048.35</v>
          </cell>
        </row>
        <row r="713">
          <cell r="A713">
            <v>97913</v>
          </cell>
          <cell r="B713" t="str">
            <v>THE NEW REIDSVILLE HOUSING AUTH</v>
          </cell>
          <cell r="C713">
            <v>27203.83</v>
          </cell>
        </row>
        <row r="714">
          <cell r="A714">
            <v>97917</v>
          </cell>
          <cell r="B714" t="str">
            <v>REIDSVILLE ABC BOARD</v>
          </cell>
          <cell r="C714">
            <v>13764.36</v>
          </cell>
        </row>
        <row r="715">
          <cell r="A715">
            <v>97921</v>
          </cell>
          <cell r="B715" t="str">
            <v>TOWN OF MAYODAN</v>
          </cell>
          <cell r="C715">
            <v>111642.37</v>
          </cell>
        </row>
        <row r="716">
          <cell r="A716">
            <v>97931</v>
          </cell>
          <cell r="B716" t="str">
            <v>TOWN OF STONEVILLE</v>
          </cell>
          <cell r="C716">
            <v>33195.64</v>
          </cell>
        </row>
        <row r="717">
          <cell r="A717">
            <v>97941</v>
          </cell>
          <cell r="B717" t="str">
            <v>TOWN OF MADISON</v>
          </cell>
          <cell r="C717">
            <v>115094.14</v>
          </cell>
        </row>
        <row r="718">
          <cell r="A718">
            <v>97947</v>
          </cell>
          <cell r="B718" t="str">
            <v>MADISON ABC BOARD</v>
          </cell>
          <cell r="C718">
            <v>13148.63</v>
          </cell>
        </row>
        <row r="719">
          <cell r="A719">
            <v>97948</v>
          </cell>
          <cell r="B719" t="str">
            <v>MADISON-MAYODAN RECREATION COMM</v>
          </cell>
          <cell r="C719">
            <v>11621.97</v>
          </cell>
        </row>
        <row r="720">
          <cell r="A720">
            <v>97951</v>
          </cell>
          <cell r="B720" t="str">
            <v>CITY OF EDEN</v>
          </cell>
          <cell r="C720">
            <v>633574.65</v>
          </cell>
        </row>
        <row r="721">
          <cell r="A721">
            <v>97957</v>
          </cell>
          <cell r="B721" t="str">
            <v>EDEN ABC BOARD</v>
          </cell>
          <cell r="C721">
            <v>13052.77</v>
          </cell>
        </row>
        <row r="722">
          <cell r="A722">
            <v>98001</v>
          </cell>
          <cell r="B722" t="str">
            <v>ROWAN COUNTY</v>
          </cell>
          <cell r="C722">
            <v>2616829.2999999998</v>
          </cell>
        </row>
        <row r="723">
          <cell r="A723">
            <v>98002</v>
          </cell>
          <cell r="B723" t="str">
            <v>ROWAN CONVENTION &amp; VISTORS BUREAU</v>
          </cell>
          <cell r="C723">
            <v>4737.4799999999996</v>
          </cell>
        </row>
        <row r="724">
          <cell r="A724">
            <v>98003</v>
          </cell>
          <cell r="B724" t="str">
            <v>ROWAN CO HOUSING AUTHORITY</v>
          </cell>
          <cell r="C724">
            <v>72872.41</v>
          </cell>
        </row>
        <row r="725">
          <cell r="A725">
            <v>98004</v>
          </cell>
          <cell r="B725" t="str">
            <v>ROWAN COUNTY ABC BOARD</v>
          </cell>
          <cell r="C725">
            <v>81879.759999999995</v>
          </cell>
        </row>
        <row r="726">
          <cell r="A726">
            <v>98008</v>
          </cell>
          <cell r="B726" t="str">
            <v>ROWAN CO SOIL &amp; WATER CONV DIST</v>
          </cell>
          <cell r="C726">
            <v>3731.25</v>
          </cell>
        </row>
        <row r="727">
          <cell r="A727">
            <v>98011</v>
          </cell>
          <cell r="B727" t="str">
            <v>CITY OF SALISBURY</v>
          </cell>
          <cell r="C727">
            <v>1591661.3</v>
          </cell>
        </row>
        <row r="728">
          <cell r="A728">
            <v>98013</v>
          </cell>
          <cell r="B728" t="str">
            <v>HOUSING AUTH OF THE CTY OF SALISBURY</v>
          </cell>
          <cell r="C728">
            <v>141746.74</v>
          </cell>
        </row>
        <row r="729">
          <cell r="A729">
            <v>98021</v>
          </cell>
          <cell r="B729" t="str">
            <v>TOWN OF EAST SPENCER</v>
          </cell>
          <cell r="C729">
            <v>27245.13</v>
          </cell>
        </row>
        <row r="730">
          <cell r="A730">
            <v>98023</v>
          </cell>
          <cell r="B730" t="str">
            <v>EAST SPENCER HOUSING AUTHORITY</v>
          </cell>
          <cell r="C730">
            <v>7199.78</v>
          </cell>
        </row>
        <row r="731">
          <cell r="A731">
            <v>98031</v>
          </cell>
          <cell r="B731" t="str">
            <v>TOWN OF SPENCER</v>
          </cell>
          <cell r="C731">
            <v>74400.47</v>
          </cell>
        </row>
        <row r="732">
          <cell r="A732">
            <v>98041</v>
          </cell>
          <cell r="B732" t="str">
            <v>TOWN OF CHINA GROVE</v>
          </cell>
          <cell r="C732">
            <v>95602.72</v>
          </cell>
        </row>
        <row r="733">
          <cell r="A733">
            <v>98051</v>
          </cell>
          <cell r="B733" t="str">
            <v>TOWN OF LANDIS</v>
          </cell>
          <cell r="C733">
            <v>141617.46</v>
          </cell>
        </row>
        <row r="734">
          <cell r="A734">
            <v>98061</v>
          </cell>
          <cell r="B734" t="str">
            <v>TOWN OF GRANITE QUARRY</v>
          </cell>
          <cell r="C734">
            <v>55302.94</v>
          </cell>
        </row>
        <row r="735">
          <cell r="A735">
            <v>98071</v>
          </cell>
          <cell r="B735" t="str">
            <v>TOWN OF ROCKWELL</v>
          </cell>
          <cell r="C735">
            <v>30464.18</v>
          </cell>
        </row>
        <row r="736">
          <cell r="A736">
            <v>98081</v>
          </cell>
          <cell r="B736" t="str">
            <v>TOWN OF FAITH</v>
          </cell>
          <cell r="C736">
            <v>8013.51</v>
          </cell>
        </row>
        <row r="737">
          <cell r="A737">
            <v>98091</v>
          </cell>
          <cell r="B737" t="str">
            <v>TOWN OF CLEVELAND</v>
          </cell>
          <cell r="C737">
            <v>27903.11</v>
          </cell>
        </row>
        <row r="738">
          <cell r="A738">
            <v>98101</v>
          </cell>
          <cell r="B738" t="str">
            <v>RUTHERFORD COUNTY</v>
          </cell>
          <cell r="C738">
            <v>1264504.67</v>
          </cell>
        </row>
        <row r="739">
          <cell r="A739">
            <v>98102</v>
          </cell>
          <cell r="B739" t="str">
            <v>BROAD RIVER WATER AUTHORITY</v>
          </cell>
          <cell r="C739">
            <v>75316.100000000006</v>
          </cell>
        </row>
        <row r="740">
          <cell r="A740">
            <v>98103</v>
          </cell>
          <cell r="B740" t="str">
            <v>RUTHERFORD POLK MCDOWELL DIST BRD OF HEALTH</v>
          </cell>
          <cell r="C740">
            <v>250406.86</v>
          </cell>
        </row>
        <row r="741">
          <cell r="A741">
            <v>98107</v>
          </cell>
          <cell r="B741" t="str">
            <v>FOREST CITY ABC BOARD 168</v>
          </cell>
          <cell r="C741">
            <v>9422.6299999999992</v>
          </cell>
        </row>
        <row r="742">
          <cell r="A742">
            <v>98109</v>
          </cell>
          <cell r="B742" t="str">
            <v>ISOTHERMAL PLANNING AND DEV COMM</v>
          </cell>
          <cell r="C742">
            <v>83279.89</v>
          </cell>
        </row>
        <row r="743">
          <cell r="A743">
            <v>98111</v>
          </cell>
          <cell r="B743" t="str">
            <v>TOWN OF FOREST CITY</v>
          </cell>
          <cell r="C743">
            <v>454903.8</v>
          </cell>
        </row>
        <row r="744">
          <cell r="A744">
            <v>98113</v>
          </cell>
          <cell r="B744" t="str">
            <v>FOREST CITY HOUSING AUTHORITY</v>
          </cell>
          <cell r="C744">
            <v>25001.439999999999</v>
          </cell>
        </row>
        <row r="745">
          <cell r="A745">
            <v>98121</v>
          </cell>
          <cell r="B745" t="str">
            <v>TOWN OF SPINDALE</v>
          </cell>
          <cell r="C745">
            <v>95547.88</v>
          </cell>
        </row>
        <row r="746">
          <cell r="A746">
            <v>98131</v>
          </cell>
          <cell r="B746" t="str">
            <v>TOWN OF LAKE LURE</v>
          </cell>
          <cell r="C746">
            <v>119074.04</v>
          </cell>
        </row>
        <row r="747">
          <cell r="A747">
            <v>98141</v>
          </cell>
          <cell r="B747" t="str">
            <v>TOWN OF RUTHERFORDTON</v>
          </cell>
          <cell r="C747">
            <v>135297.06</v>
          </cell>
        </row>
        <row r="748">
          <cell r="A748">
            <v>98147</v>
          </cell>
          <cell r="B748" t="str">
            <v>TOWN OF RUTHERFORDTON ABC BRD</v>
          </cell>
          <cell r="C748">
            <v>10696.96</v>
          </cell>
        </row>
        <row r="749">
          <cell r="A749">
            <v>98161</v>
          </cell>
          <cell r="B749" t="str">
            <v>TOWN OF ELLENBORO</v>
          </cell>
          <cell r="C749">
            <v>5373.22</v>
          </cell>
        </row>
        <row r="750">
          <cell r="A750">
            <v>98201</v>
          </cell>
          <cell r="B750" t="str">
            <v>SAMPSON COUNTY</v>
          </cell>
          <cell r="C750">
            <v>1507010.88</v>
          </cell>
        </row>
        <row r="751">
          <cell r="A751">
            <v>98205</v>
          </cell>
          <cell r="B751" t="str">
            <v>J C HOLIDAY MEM LIBRARY</v>
          </cell>
          <cell r="C751">
            <v>21656.19</v>
          </cell>
        </row>
        <row r="752">
          <cell r="A752">
            <v>98211</v>
          </cell>
          <cell r="B752" t="str">
            <v>CITY OF CLINTON</v>
          </cell>
          <cell r="C752">
            <v>397199.49</v>
          </cell>
        </row>
        <row r="753">
          <cell r="A753">
            <v>98218</v>
          </cell>
          <cell r="B753" t="str">
            <v>CLINTON ABC BOARD</v>
          </cell>
          <cell r="C753">
            <v>8526.1</v>
          </cell>
        </row>
        <row r="754">
          <cell r="A754">
            <v>98221</v>
          </cell>
          <cell r="B754" t="str">
            <v>TOWN OF SALEMBURG</v>
          </cell>
          <cell r="C754">
            <v>11112.23</v>
          </cell>
        </row>
        <row r="755">
          <cell r="A755">
            <v>98231</v>
          </cell>
          <cell r="B755" t="str">
            <v>TOWN OF NEWTON GROVE</v>
          </cell>
          <cell r="C755">
            <v>16564.939999999999</v>
          </cell>
        </row>
        <row r="756">
          <cell r="A756">
            <v>98237</v>
          </cell>
          <cell r="B756" t="str">
            <v>ROSEBORO ABC BOARD</v>
          </cell>
          <cell r="C756">
            <v>3817.74</v>
          </cell>
        </row>
        <row r="757">
          <cell r="A757">
            <v>98241</v>
          </cell>
          <cell r="B757" t="str">
            <v>TOWN OF GARLAND</v>
          </cell>
          <cell r="C757">
            <v>7467.94</v>
          </cell>
        </row>
        <row r="758">
          <cell r="A758">
            <v>98251</v>
          </cell>
          <cell r="B758" t="str">
            <v>TOWN OF TURKEY</v>
          </cell>
          <cell r="C758">
            <v>2395.2399999999998</v>
          </cell>
        </row>
        <row r="759">
          <cell r="A759">
            <v>98261</v>
          </cell>
          <cell r="B759" t="str">
            <v>TOWN OF ROSEBORO</v>
          </cell>
          <cell r="C759">
            <v>19407.86</v>
          </cell>
        </row>
        <row r="760">
          <cell r="A760">
            <v>98271</v>
          </cell>
          <cell r="B760" t="str">
            <v>TOWN OF AUTRYVILLE</v>
          </cell>
          <cell r="C760">
            <v>3923.2</v>
          </cell>
        </row>
        <row r="761">
          <cell r="A761">
            <v>98301</v>
          </cell>
          <cell r="B761" t="str">
            <v>SCOTLAND COUNTY</v>
          </cell>
          <cell r="C761">
            <v>898600.6</v>
          </cell>
        </row>
        <row r="762">
          <cell r="A762">
            <v>98304</v>
          </cell>
          <cell r="B762" t="str">
            <v>SCOTLAND COUNTY ABC BOARD</v>
          </cell>
          <cell r="C762">
            <v>13953.18</v>
          </cell>
        </row>
        <row r="763">
          <cell r="A763">
            <v>98308</v>
          </cell>
          <cell r="B763" t="str">
            <v>LAURINBURG-MAXTON AIRPORT COMMISSION</v>
          </cell>
          <cell r="C763">
            <v>16525.68</v>
          </cell>
        </row>
        <row r="764">
          <cell r="A764">
            <v>98311</v>
          </cell>
          <cell r="B764" t="str">
            <v>CITY OF LAURINBURG</v>
          </cell>
          <cell r="C764">
            <v>482185.97</v>
          </cell>
        </row>
        <row r="765">
          <cell r="A765">
            <v>98313</v>
          </cell>
          <cell r="B765" t="str">
            <v>LAURINBURG HOUSING AUTHORITY</v>
          </cell>
          <cell r="C765">
            <v>272640.74</v>
          </cell>
        </row>
        <row r="766">
          <cell r="A766">
            <v>98321</v>
          </cell>
          <cell r="B766" t="str">
            <v>TOWN OF WAGRAM</v>
          </cell>
          <cell r="C766">
            <v>10544.29</v>
          </cell>
        </row>
        <row r="767">
          <cell r="A767">
            <v>98331</v>
          </cell>
          <cell r="B767" t="str">
            <v>TOWN OF GIBSON</v>
          </cell>
          <cell r="C767">
            <v>6678.17</v>
          </cell>
        </row>
        <row r="768">
          <cell r="A768">
            <v>98401</v>
          </cell>
          <cell r="B768" t="str">
            <v>STANLY COUNTY</v>
          </cell>
          <cell r="C768">
            <v>1479388.47</v>
          </cell>
        </row>
        <row r="769">
          <cell r="A769">
            <v>98404</v>
          </cell>
          <cell r="B769" t="str">
            <v>LOCUST ABC BOARD</v>
          </cell>
          <cell r="C769">
            <v>8376.92</v>
          </cell>
        </row>
        <row r="770">
          <cell r="A770">
            <v>98411</v>
          </cell>
          <cell r="B770" t="str">
            <v>CITY OF ALBEMARLE</v>
          </cell>
          <cell r="C770">
            <v>907144.49</v>
          </cell>
        </row>
        <row r="771">
          <cell r="A771">
            <v>98414</v>
          </cell>
          <cell r="B771" t="str">
            <v>VILLAGE OF MISENHEIMER</v>
          </cell>
          <cell r="C771">
            <v>18061.77</v>
          </cell>
        </row>
        <row r="772">
          <cell r="A772">
            <v>98417</v>
          </cell>
          <cell r="B772" t="str">
            <v>ALBEMARLE ABC BOARD</v>
          </cell>
          <cell r="C772">
            <v>15438.2</v>
          </cell>
        </row>
        <row r="773">
          <cell r="A773">
            <v>98421</v>
          </cell>
          <cell r="B773" t="str">
            <v>TOWN OF NORWOOD</v>
          </cell>
          <cell r="C773">
            <v>50452.71</v>
          </cell>
        </row>
        <row r="774">
          <cell r="A774">
            <v>98427</v>
          </cell>
          <cell r="B774" t="str">
            <v>NORWOOD ABC BD</v>
          </cell>
          <cell r="C774">
            <v>3303.88</v>
          </cell>
        </row>
        <row r="775">
          <cell r="A775">
            <v>98431</v>
          </cell>
          <cell r="B775" t="str">
            <v>CITY OF LOCUST</v>
          </cell>
          <cell r="C775">
            <v>82786.559999999998</v>
          </cell>
        </row>
        <row r="776">
          <cell r="A776">
            <v>98441</v>
          </cell>
          <cell r="B776" t="str">
            <v>TOWN OF OAKBORO</v>
          </cell>
          <cell r="C776">
            <v>44922.59</v>
          </cell>
        </row>
        <row r="777">
          <cell r="A777">
            <v>98451</v>
          </cell>
          <cell r="B777" t="str">
            <v>TOWN OF BADIN</v>
          </cell>
          <cell r="C777">
            <v>26696.44</v>
          </cell>
        </row>
        <row r="778">
          <cell r="A778">
            <v>98471</v>
          </cell>
          <cell r="B778" t="str">
            <v>TOWN OF NEW LONDON</v>
          </cell>
          <cell r="C778">
            <v>3934.46</v>
          </cell>
        </row>
        <row r="779">
          <cell r="A779">
            <v>98481</v>
          </cell>
          <cell r="B779" t="str">
            <v>TOWN OF STANFIELD</v>
          </cell>
          <cell r="C779">
            <v>30725.66</v>
          </cell>
        </row>
        <row r="780">
          <cell r="A780">
            <v>98501</v>
          </cell>
          <cell r="B780" t="str">
            <v>STOKES COUNTY</v>
          </cell>
          <cell r="C780">
            <v>837926.02</v>
          </cell>
        </row>
        <row r="781">
          <cell r="A781">
            <v>98511</v>
          </cell>
          <cell r="B781" t="str">
            <v>TOWN OF WALNUT COVE</v>
          </cell>
          <cell r="C781">
            <v>23329.99</v>
          </cell>
        </row>
        <row r="782">
          <cell r="A782">
            <v>98517</v>
          </cell>
          <cell r="B782" t="str">
            <v>WALNUT COVE ABC BOARD</v>
          </cell>
          <cell r="C782">
            <v>3273.82</v>
          </cell>
        </row>
        <row r="783">
          <cell r="A783">
            <v>98521</v>
          </cell>
          <cell r="B783" t="str">
            <v>CITY OF KING</v>
          </cell>
          <cell r="C783">
            <v>295494.87</v>
          </cell>
        </row>
        <row r="784">
          <cell r="A784">
            <v>98601</v>
          </cell>
          <cell r="B784" t="str">
            <v>SURRY COUNTY</v>
          </cell>
          <cell r="C784">
            <v>1634846.49</v>
          </cell>
        </row>
        <row r="785">
          <cell r="A785">
            <v>98604</v>
          </cell>
          <cell r="B785" t="str">
            <v>YADKIN VALLEY ABC BOARD</v>
          </cell>
          <cell r="C785">
            <v>7854.38</v>
          </cell>
        </row>
        <row r="786">
          <cell r="A786">
            <v>98607</v>
          </cell>
          <cell r="B786" t="str">
            <v>PILOT MOUNTAIN ABC BOARD</v>
          </cell>
          <cell r="C786">
            <v>4218.6099999999997</v>
          </cell>
        </row>
        <row r="787">
          <cell r="A787">
            <v>98608</v>
          </cell>
          <cell r="B787" t="str">
            <v>YADKIN VALLEY SEWER AUTHORITY</v>
          </cell>
          <cell r="C787">
            <v>25288.2</v>
          </cell>
        </row>
        <row r="788">
          <cell r="A788">
            <v>98611</v>
          </cell>
          <cell r="B788" t="str">
            <v>TOWN OF PILOT MOUNTAIN</v>
          </cell>
          <cell r="C788">
            <v>57797.36</v>
          </cell>
        </row>
        <row r="789">
          <cell r="A789">
            <v>98621</v>
          </cell>
          <cell r="B789" t="str">
            <v>TOWN OF DOBSON</v>
          </cell>
          <cell r="C789">
            <v>62283.9</v>
          </cell>
        </row>
        <row r="790">
          <cell r="A790">
            <v>98627</v>
          </cell>
          <cell r="B790" t="str">
            <v>DOBSON ABC BD</v>
          </cell>
          <cell r="C790">
            <v>3575.57</v>
          </cell>
        </row>
        <row r="791">
          <cell r="A791">
            <v>98631</v>
          </cell>
          <cell r="B791" t="str">
            <v>CITY OF MOUNT AIRY</v>
          </cell>
          <cell r="C791">
            <v>508131.29</v>
          </cell>
        </row>
        <row r="792">
          <cell r="A792">
            <v>98637</v>
          </cell>
          <cell r="B792" t="str">
            <v>MOUNT AIRY ALCOHOLIC BOARD OF CONTROL</v>
          </cell>
          <cell r="C792">
            <v>16672.61</v>
          </cell>
        </row>
        <row r="793">
          <cell r="A793">
            <v>98641</v>
          </cell>
          <cell r="B793" t="str">
            <v>TOWN OF ELKIN</v>
          </cell>
          <cell r="C793">
            <v>148772.99</v>
          </cell>
        </row>
        <row r="794">
          <cell r="A794">
            <v>98701</v>
          </cell>
          <cell r="B794" t="str">
            <v>SWAIN COUNTY</v>
          </cell>
          <cell r="C794">
            <v>523932.85</v>
          </cell>
        </row>
        <row r="795">
          <cell r="A795">
            <v>98711</v>
          </cell>
          <cell r="B795" t="str">
            <v>TOWN OF BRYSON CITY</v>
          </cell>
          <cell r="C795">
            <v>71577.820000000007</v>
          </cell>
        </row>
        <row r="796">
          <cell r="A796">
            <v>98717</v>
          </cell>
          <cell r="B796" t="str">
            <v>BRYSON CITY ABC BOARD</v>
          </cell>
          <cell r="C796">
            <v>8771.7099999999991</v>
          </cell>
        </row>
        <row r="797">
          <cell r="A797">
            <v>98801</v>
          </cell>
          <cell r="B797" t="str">
            <v>TRANSYLVANIA COUNTY</v>
          </cell>
          <cell r="C797">
            <v>1082761.1000000001</v>
          </cell>
        </row>
        <row r="798">
          <cell r="A798">
            <v>98811</v>
          </cell>
          <cell r="B798" t="str">
            <v>CITY OF BREVARD</v>
          </cell>
          <cell r="C798">
            <v>335491.15000000002</v>
          </cell>
        </row>
        <row r="799">
          <cell r="A799">
            <v>98817</v>
          </cell>
          <cell r="B799" t="str">
            <v>BREVARD ABC BOARD</v>
          </cell>
          <cell r="C799">
            <v>14010.05</v>
          </cell>
        </row>
        <row r="800">
          <cell r="A800">
            <v>98901</v>
          </cell>
          <cell r="B800" t="str">
            <v>TYRRELL COUNTY</v>
          </cell>
          <cell r="C800">
            <v>163215.01999999999</v>
          </cell>
        </row>
        <row r="801">
          <cell r="A801">
            <v>98904</v>
          </cell>
          <cell r="B801" t="str">
            <v>TYRRELL CO ABC BOARD</v>
          </cell>
          <cell r="C801">
            <v>1642.56</v>
          </cell>
        </row>
        <row r="802">
          <cell r="A802">
            <v>98911</v>
          </cell>
          <cell r="B802" t="str">
            <v>TOWN OF COLUMBIA</v>
          </cell>
          <cell r="C802">
            <v>20020.240000000002</v>
          </cell>
        </row>
        <row r="803">
          <cell r="A803">
            <v>99001</v>
          </cell>
          <cell r="B803" t="str">
            <v>UNION COUNTY</v>
          </cell>
          <cell r="C803">
            <v>3958566.49</v>
          </cell>
        </row>
        <row r="804">
          <cell r="A804">
            <v>99011</v>
          </cell>
          <cell r="B804" t="str">
            <v>CITY OF MONROE</v>
          </cell>
          <cell r="C804">
            <v>1899632.22</v>
          </cell>
        </row>
        <row r="805">
          <cell r="A805">
            <v>99013</v>
          </cell>
          <cell r="B805" t="str">
            <v>CITY OF MONROE HOUSING AUTHORITY</v>
          </cell>
          <cell r="C805">
            <v>28477.32</v>
          </cell>
        </row>
        <row r="806">
          <cell r="A806">
            <v>99014</v>
          </cell>
          <cell r="B806" t="str">
            <v>INDIAN TRAIL ABC BOARD</v>
          </cell>
          <cell r="C806">
            <v>11820.69</v>
          </cell>
        </row>
        <row r="807">
          <cell r="A807">
            <v>99017</v>
          </cell>
          <cell r="B807" t="str">
            <v>MONROE ABC BOARD</v>
          </cell>
          <cell r="C807">
            <v>23294.35</v>
          </cell>
        </row>
        <row r="808">
          <cell r="A808">
            <v>99021</v>
          </cell>
          <cell r="B808" t="str">
            <v>TOWN OF MARSHVILLE</v>
          </cell>
          <cell r="C808">
            <v>66405.3</v>
          </cell>
        </row>
        <row r="809">
          <cell r="A809">
            <v>99022</v>
          </cell>
          <cell r="B809" t="str">
            <v>TOWN OF MINERAL SPRINGS</v>
          </cell>
          <cell r="C809">
            <v>11974.44</v>
          </cell>
        </row>
        <row r="810">
          <cell r="A810">
            <v>99031</v>
          </cell>
          <cell r="B810" t="str">
            <v>TOWN OF WINGATE</v>
          </cell>
          <cell r="C810">
            <v>59595.82</v>
          </cell>
        </row>
        <row r="811">
          <cell r="A811">
            <v>99041</v>
          </cell>
          <cell r="B811" t="str">
            <v>TOWN OF WAXHAW</v>
          </cell>
          <cell r="C811">
            <v>282617.76</v>
          </cell>
        </row>
        <row r="812">
          <cell r="A812">
            <v>99047</v>
          </cell>
          <cell r="B812" t="str">
            <v>WAXHAW ABC BOARD</v>
          </cell>
          <cell r="C812">
            <v>9763.7000000000007</v>
          </cell>
        </row>
        <row r="813">
          <cell r="A813">
            <v>99051</v>
          </cell>
          <cell r="B813" t="str">
            <v>TOWN OF INDIAN TRAIL</v>
          </cell>
          <cell r="C813">
            <v>158783.9</v>
          </cell>
        </row>
        <row r="814">
          <cell r="A814">
            <v>99061</v>
          </cell>
          <cell r="B814" t="str">
            <v>TOWN OF UNIONVILLE</v>
          </cell>
          <cell r="C814">
            <v>8410.99</v>
          </cell>
        </row>
        <row r="815">
          <cell r="A815">
            <v>99071</v>
          </cell>
          <cell r="B815" t="str">
            <v>TOWN OF WEDDINGTON</v>
          </cell>
          <cell r="C815">
            <v>13710.69</v>
          </cell>
        </row>
        <row r="816">
          <cell r="A816">
            <v>99081</v>
          </cell>
          <cell r="B816" t="str">
            <v>VILLAGE OF MARVIN</v>
          </cell>
          <cell r="C816">
            <v>9239.99</v>
          </cell>
        </row>
        <row r="817">
          <cell r="A817">
            <v>99091</v>
          </cell>
          <cell r="B817" t="str">
            <v>VILLAGE OF WESLEY CHAPEL</v>
          </cell>
          <cell r="C817">
            <v>4994.4399999999996</v>
          </cell>
        </row>
        <row r="818">
          <cell r="A818">
            <v>99101</v>
          </cell>
          <cell r="B818" t="str">
            <v>VANCE COUNTY</v>
          </cell>
          <cell r="C818">
            <v>1006565.27</v>
          </cell>
        </row>
        <row r="819">
          <cell r="A819">
            <v>99104</v>
          </cell>
          <cell r="B819" t="str">
            <v>VANCE COUNTY ABC BD</v>
          </cell>
          <cell r="C819">
            <v>25543.919999999998</v>
          </cell>
        </row>
        <row r="820">
          <cell r="A820">
            <v>99109</v>
          </cell>
          <cell r="B820" t="str">
            <v>KERR-TAR REGIONAL COUNCIL OF GOVTS</v>
          </cell>
          <cell r="C820">
            <v>58597.74</v>
          </cell>
        </row>
        <row r="821">
          <cell r="A821">
            <v>99110</v>
          </cell>
          <cell r="B821" t="str">
            <v>KERR AREA TRANSPORTATION AUTHORITY</v>
          </cell>
          <cell r="C821">
            <v>123992.65</v>
          </cell>
        </row>
        <row r="822">
          <cell r="A822">
            <v>99111</v>
          </cell>
          <cell r="B822" t="str">
            <v>CITY OF HENDERSON</v>
          </cell>
          <cell r="C822">
            <v>587063.1</v>
          </cell>
        </row>
        <row r="823">
          <cell r="A823">
            <v>99201</v>
          </cell>
          <cell r="B823" t="str">
            <v>WAKE COUNTY</v>
          </cell>
          <cell r="C823">
            <v>16630537.85</v>
          </cell>
        </row>
        <row r="824">
          <cell r="A824">
            <v>99202</v>
          </cell>
          <cell r="B824" t="str">
            <v>TOWN OF HOLLY SPRINGS</v>
          </cell>
          <cell r="C824">
            <v>1207449.74</v>
          </cell>
        </row>
        <row r="825">
          <cell r="A825">
            <v>99203</v>
          </cell>
          <cell r="B825" t="str">
            <v>TOWN OF ROLESVILLE</v>
          </cell>
          <cell r="C825">
            <v>138128.78</v>
          </cell>
        </row>
        <row r="826">
          <cell r="A826">
            <v>99204</v>
          </cell>
          <cell r="B826" t="str">
            <v>WAKE COUNTY ABC BOARD</v>
          </cell>
          <cell r="C826">
            <v>441547.84</v>
          </cell>
        </row>
        <row r="827">
          <cell r="A827">
            <v>99206</v>
          </cell>
          <cell r="B827" t="str">
            <v>TOWN OF MORRISVILLE</v>
          </cell>
          <cell r="C827">
            <v>1331612.92</v>
          </cell>
        </row>
        <row r="828">
          <cell r="A828">
            <v>99207</v>
          </cell>
          <cell r="B828" t="str">
            <v>WAKE COUNTY HOUSING AUTHORITY</v>
          </cell>
          <cell r="C828">
            <v>177544.7</v>
          </cell>
        </row>
        <row r="829">
          <cell r="A829">
            <v>99208</v>
          </cell>
          <cell r="B829" t="str">
            <v>BAYLEAF FIRE DEPARTMENT</v>
          </cell>
          <cell r="C829">
            <v>97509.21</v>
          </cell>
        </row>
        <row r="830">
          <cell r="A830">
            <v>99210</v>
          </cell>
          <cell r="B830" t="str">
            <v>ELECTRICITIES OF NC</v>
          </cell>
          <cell r="C830">
            <v>867924.78</v>
          </cell>
        </row>
        <row r="831">
          <cell r="A831">
            <v>99211</v>
          </cell>
          <cell r="B831" t="str">
            <v>CITY OF RALEIGH</v>
          </cell>
          <cell r="C831">
            <v>18340588.710000001</v>
          </cell>
        </row>
        <row r="832">
          <cell r="A832">
            <v>99212</v>
          </cell>
          <cell r="B832" t="str">
            <v>DURHAM HWY FIRE PROTECTION ASSOC</v>
          </cell>
          <cell r="C832">
            <v>32043.03</v>
          </cell>
        </row>
        <row r="833">
          <cell r="A833">
            <v>99213</v>
          </cell>
          <cell r="B833" t="str">
            <v>CITY OF RALEIGH HOUSING AUTHORITY</v>
          </cell>
          <cell r="C833">
            <v>380592.3</v>
          </cell>
        </row>
        <row r="834">
          <cell r="A834">
            <v>99218</v>
          </cell>
          <cell r="B834" t="str">
            <v>RALEIGH-DURHAM AIRPORT AUTHORITY</v>
          </cell>
          <cell r="C834">
            <v>1674667.37</v>
          </cell>
        </row>
        <row r="835">
          <cell r="A835">
            <v>99221</v>
          </cell>
          <cell r="B835" t="str">
            <v>TOWN OF CARY</v>
          </cell>
          <cell r="C835">
            <v>6080354.96</v>
          </cell>
        </row>
        <row r="836">
          <cell r="A836">
            <v>99222</v>
          </cell>
          <cell r="B836" t="str">
            <v>CENTENNIAL AUTHORITY</v>
          </cell>
          <cell r="C836">
            <v>16571.34</v>
          </cell>
        </row>
        <row r="837">
          <cell r="A837">
            <v>99231</v>
          </cell>
          <cell r="B837" t="str">
            <v>TOWN OF WENDELL</v>
          </cell>
          <cell r="C837">
            <v>170674.7</v>
          </cell>
        </row>
        <row r="838">
          <cell r="A838">
            <v>99241</v>
          </cell>
          <cell r="B838" t="str">
            <v>TOWN OF ZEBULON</v>
          </cell>
          <cell r="C838">
            <v>256913.26</v>
          </cell>
        </row>
        <row r="839">
          <cell r="A839">
            <v>99251</v>
          </cell>
          <cell r="B839" t="str">
            <v>TOWN OF GARNER</v>
          </cell>
          <cell r="C839">
            <v>772183.6</v>
          </cell>
        </row>
        <row r="840">
          <cell r="A840">
            <v>99252</v>
          </cell>
          <cell r="B840" t="str">
            <v>GARNER FIRE DEPT</v>
          </cell>
          <cell r="C840">
            <v>237606.74</v>
          </cell>
        </row>
        <row r="841">
          <cell r="A841">
            <v>99261</v>
          </cell>
          <cell r="B841" t="str">
            <v>TOWN OF FUQUAY-VARINA</v>
          </cell>
          <cell r="C841">
            <v>905361.5</v>
          </cell>
        </row>
        <row r="842">
          <cell r="A842">
            <v>99271</v>
          </cell>
          <cell r="B842" t="str">
            <v>TOWN OF APEX</v>
          </cell>
          <cell r="C842">
            <v>1965196.73</v>
          </cell>
        </row>
        <row r="843">
          <cell r="A843">
            <v>99281</v>
          </cell>
          <cell r="B843" t="str">
            <v>TOWN OF WAKE FOREST</v>
          </cell>
          <cell r="C843">
            <v>1110975.83</v>
          </cell>
        </row>
        <row r="844">
          <cell r="A844">
            <v>99291</v>
          </cell>
          <cell r="B844" t="str">
            <v>TOWN OF KNIGHTDALE</v>
          </cell>
          <cell r="C844">
            <v>339511.85</v>
          </cell>
        </row>
        <row r="845">
          <cell r="A845">
            <v>99301</v>
          </cell>
          <cell r="B845" t="str">
            <v>WARREN COUNTY</v>
          </cell>
          <cell r="C845">
            <v>823901.37</v>
          </cell>
        </row>
        <row r="846">
          <cell r="A846">
            <v>99304</v>
          </cell>
          <cell r="B846" t="str">
            <v>WARREN COUNTY ABC BOARD</v>
          </cell>
          <cell r="C846">
            <v>8236.34</v>
          </cell>
        </row>
        <row r="847">
          <cell r="A847">
            <v>99311</v>
          </cell>
          <cell r="B847" t="str">
            <v>TOWN OF NORLINA</v>
          </cell>
          <cell r="C847">
            <v>29080.85</v>
          </cell>
        </row>
        <row r="848">
          <cell r="A848">
            <v>99321</v>
          </cell>
          <cell r="B848" t="str">
            <v>TOWN OF WARRENTON</v>
          </cell>
          <cell r="C848">
            <v>95723.9</v>
          </cell>
        </row>
        <row r="849">
          <cell r="A849">
            <v>99401</v>
          </cell>
          <cell r="B849" t="str">
            <v>WASHINGTON COUNTY</v>
          </cell>
          <cell r="C849">
            <v>413423.39</v>
          </cell>
        </row>
        <row r="850">
          <cell r="A850">
            <v>99404</v>
          </cell>
          <cell r="B850" t="str">
            <v>WASHINGTON COUNTY ABC BOARD</v>
          </cell>
          <cell r="C850">
            <v>5670.57</v>
          </cell>
        </row>
        <row r="851">
          <cell r="A851">
            <v>99405</v>
          </cell>
          <cell r="B851" t="str">
            <v>PETTIGREW REGIONAL LIBRARY</v>
          </cell>
          <cell r="C851">
            <v>37755.47</v>
          </cell>
        </row>
        <row r="852">
          <cell r="A852">
            <v>99411</v>
          </cell>
          <cell r="B852" t="str">
            <v>TOWN OF PLYMOUTH</v>
          </cell>
          <cell r="C852">
            <v>87340.43</v>
          </cell>
        </row>
        <row r="853">
          <cell r="A853">
            <v>99413</v>
          </cell>
          <cell r="B853" t="str">
            <v>PLYMOUTH HOUSING AUTHORITY</v>
          </cell>
          <cell r="C853">
            <v>15517.46</v>
          </cell>
        </row>
        <row r="854">
          <cell r="A854">
            <v>99421</v>
          </cell>
          <cell r="B854" t="str">
            <v>TOWN OF ROPER</v>
          </cell>
          <cell r="C854">
            <v>5425.83</v>
          </cell>
        </row>
        <row r="855">
          <cell r="A855">
            <v>99431</v>
          </cell>
          <cell r="B855" t="str">
            <v>TOWN OF CRESWELL</v>
          </cell>
          <cell r="C855">
            <v>8235.16</v>
          </cell>
        </row>
        <row r="856">
          <cell r="A856">
            <v>99501</v>
          </cell>
          <cell r="B856" t="str">
            <v>WATAUGA COUNTY</v>
          </cell>
          <cell r="C856">
            <v>860942.17</v>
          </cell>
        </row>
        <row r="857">
          <cell r="A857">
            <v>99502</v>
          </cell>
          <cell r="B857" t="str">
            <v>REGION D COUNCIL OF GOVERNMENTS</v>
          </cell>
          <cell r="C857">
            <v>70621.81</v>
          </cell>
        </row>
        <row r="858">
          <cell r="A858">
            <v>99508</v>
          </cell>
          <cell r="B858" t="str">
            <v>BLOWING ROCK TOURISM DEVELOPMENT AUTHORITY</v>
          </cell>
          <cell r="C858">
            <v>10663.91</v>
          </cell>
        </row>
        <row r="859">
          <cell r="A859">
            <v>99509</v>
          </cell>
          <cell r="B859" t="str">
            <v>WATAUGA COUNTY DISTRICT U TDA</v>
          </cell>
          <cell r="C859">
            <v>12210.75</v>
          </cell>
        </row>
        <row r="860">
          <cell r="A860">
            <v>99511</v>
          </cell>
          <cell r="B860" t="str">
            <v>TOWN OF BOONE</v>
          </cell>
          <cell r="C860">
            <v>608442.87</v>
          </cell>
        </row>
        <row r="861">
          <cell r="A861">
            <v>99521</v>
          </cell>
          <cell r="B861" t="str">
            <v>TOWN OF BLOWING ROCK</v>
          </cell>
          <cell r="C861">
            <v>207271.34</v>
          </cell>
        </row>
        <row r="862">
          <cell r="A862">
            <v>99527</v>
          </cell>
          <cell r="B862" t="str">
            <v>BLOWING ROCK ABC BD</v>
          </cell>
          <cell r="C862">
            <v>6662.99</v>
          </cell>
        </row>
        <row r="863">
          <cell r="A863">
            <v>99531</v>
          </cell>
          <cell r="B863" t="str">
            <v>TOWN OF SEVEN DEVILS</v>
          </cell>
          <cell r="C863">
            <v>76574.2</v>
          </cell>
        </row>
        <row r="864">
          <cell r="A864">
            <v>99601</v>
          </cell>
          <cell r="B864" t="str">
            <v>WAYNE COUNTY</v>
          </cell>
          <cell r="C864">
            <v>2762866.06</v>
          </cell>
        </row>
        <row r="865">
          <cell r="A865">
            <v>99602</v>
          </cell>
          <cell r="B865" t="str">
            <v>FORK TOWNSHIP SANITARY DIST</v>
          </cell>
          <cell r="C865">
            <v>30210.42</v>
          </cell>
        </row>
        <row r="866">
          <cell r="A866">
            <v>99603</v>
          </cell>
          <cell r="B866" t="str">
            <v>EASTERN CAROLINA REG'L HOUSING AUTH</v>
          </cell>
          <cell r="C866">
            <v>95619.12</v>
          </cell>
        </row>
        <row r="867">
          <cell r="A867">
            <v>99604</v>
          </cell>
          <cell r="B867" t="str">
            <v>WAYNE COUNTY ABC BOARD</v>
          </cell>
          <cell r="C867">
            <v>60989.77</v>
          </cell>
        </row>
        <row r="868">
          <cell r="A868">
            <v>99609</v>
          </cell>
          <cell r="B868" t="str">
            <v>SOUTHERN WAYNE SANITARY DISTRICT</v>
          </cell>
          <cell r="C868">
            <v>10625.98</v>
          </cell>
        </row>
        <row r="869">
          <cell r="A869">
            <v>99610</v>
          </cell>
          <cell r="B869" t="str">
            <v>EASTERN WAYNE SANITARY DIST</v>
          </cell>
          <cell r="C869">
            <v>91548.23</v>
          </cell>
        </row>
        <row r="870">
          <cell r="A870">
            <v>99611</v>
          </cell>
          <cell r="B870" t="str">
            <v>CITY OF GOLDSBORO</v>
          </cell>
          <cell r="C870">
            <v>1569191.05</v>
          </cell>
        </row>
        <row r="871">
          <cell r="A871">
            <v>99613</v>
          </cell>
          <cell r="B871" t="str">
            <v>HOUSING AUTHORITY OF GOLDSBORO</v>
          </cell>
          <cell r="C871">
            <v>343923.36</v>
          </cell>
        </row>
        <row r="872">
          <cell r="A872">
            <v>99621</v>
          </cell>
          <cell r="B872" t="str">
            <v>TOWN OF MOUNT OLIVE</v>
          </cell>
          <cell r="C872">
            <v>177823.09</v>
          </cell>
        </row>
        <row r="873">
          <cell r="A873">
            <v>99623</v>
          </cell>
          <cell r="B873" t="str">
            <v>MT OLIVE HOUSING AUTHORITY</v>
          </cell>
          <cell r="C873">
            <v>9487.02</v>
          </cell>
        </row>
        <row r="874">
          <cell r="A874">
            <v>99631</v>
          </cell>
          <cell r="B874" t="str">
            <v>TOWN OF FREMONT</v>
          </cell>
          <cell r="C874">
            <v>51697.48</v>
          </cell>
        </row>
        <row r="875">
          <cell r="A875">
            <v>99651</v>
          </cell>
          <cell r="B875" t="str">
            <v>TOWN OF PIKEVILLE</v>
          </cell>
          <cell r="C875">
            <v>29238.94</v>
          </cell>
        </row>
        <row r="876">
          <cell r="A876">
            <v>99661</v>
          </cell>
          <cell r="B876" t="str">
            <v>VILLAGE OF WALNUT CREEK</v>
          </cell>
          <cell r="C876">
            <v>43148.81</v>
          </cell>
        </row>
        <row r="877">
          <cell r="A877">
            <v>99701</v>
          </cell>
          <cell r="B877" t="str">
            <v>WILKES COUNTY</v>
          </cell>
          <cell r="C877">
            <v>1391279.5</v>
          </cell>
        </row>
        <row r="878">
          <cell r="A878">
            <v>99705</v>
          </cell>
          <cell r="B878" t="str">
            <v>APPALACHIAN REGIONAL LIBRARY</v>
          </cell>
          <cell r="C878">
            <v>93269.38</v>
          </cell>
        </row>
        <row r="879">
          <cell r="A879">
            <v>99711</v>
          </cell>
          <cell r="B879" t="str">
            <v>TOWN OF N WILKESBORO</v>
          </cell>
          <cell r="C879">
            <v>225681.88</v>
          </cell>
        </row>
        <row r="880">
          <cell r="A880">
            <v>99717</v>
          </cell>
          <cell r="B880" t="str">
            <v>TOWN OF N WILKESBORO ABC BOARD</v>
          </cell>
          <cell r="C880">
            <v>8973.93</v>
          </cell>
        </row>
        <row r="881">
          <cell r="A881">
            <v>99721</v>
          </cell>
          <cell r="B881" t="str">
            <v>TOWN OF WILKESBORO</v>
          </cell>
          <cell r="C881">
            <v>270994.73</v>
          </cell>
        </row>
        <row r="882">
          <cell r="A882">
            <v>99727</v>
          </cell>
          <cell r="B882" t="str">
            <v>WILKESBORO ABC BOARD</v>
          </cell>
          <cell r="C882">
            <v>49308.21</v>
          </cell>
        </row>
        <row r="883">
          <cell r="A883">
            <v>99801</v>
          </cell>
          <cell r="B883" t="str">
            <v>WILSON COUNTY</v>
          </cell>
          <cell r="C883">
            <v>2325185.9300000002</v>
          </cell>
        </row>
        <row r="884">
          <cell r="A884">
            <v>99802</v>
          </cell>
          <cell r="B884" t="str">
            <v>WILSON COUNTY TOURISM DEVELOPMENT AUTH</v>
          </cell>
          <cell r="C884">
            <v>6755.72</v>
          </cell>
        </row>
        <row r="885">
          <cell r="A885">
            <v>99804</v>
          </cell>
          <cell r="B885" t="str">
            <v>WILSON COUNTY ABC BOARD</v>
          </cell>
          <cell r="C885">
            <v>47970.47</v>
          </cell>
        </row>
        <row r="886">
          <cell r="A886">
            <v>99811</v>
          </cell>
          <cell r="B886" t="str">
            <v>CITY OF WILSON</v>
          </cell>
          <cell r="C886">
            <v>3068778.47</v>
          </cell>
        </row>
        <row r="887">
          <cell r="A887">
            <v>99812</v>
          </cell>
          <cell r="B887" t="str">
            <v>WILSON ECONOMIC DEV COUNCIL</v>
          </cell>
          <cell r="C887">
            <v>21421.98</v>
          </cell>
        </row>
        <row r="888">
          <cell r="A888">
            <v>99818</v>
          </cell>
          <cell r="B888" t="str">
            <v>CITY OF WILSON CEMETERY COMMISSION</v>
          </cell>
          <cell r="C888">
            <v>13445.47</v>
          </cell>
        </row>
        <row r="889">
          <cell r="A889">
            <v>99821</v>
          </cell>
          <cell r="B889" t="str">
            <v>TOWN OF STANTONSBURG</v>
          </cell>
          <cell r="C889">
            <v>50520.73</v>
          </cell>
        </row>
        <row r="890">
          <cell r="A890">
            <v>99831</v>
          </cell>
          <cell r="B890" t="str">
            <v>TOWN OF BLACK CREEK</v>
          </cell>
          <cell r="C890">
            <v>27477.87</v>
          </cell>
        </row>
        <row r="891">
          <cell r="A891">
            <v>99841</v>
          </cell>
          <cell r="B891" t="str">
            <v>TOWN OF LUCAMA</v>
          </cell>
          <cell r="C891">
            <v>17368.88</v>
          </cell>
        </row>
        <row r="892">
          <cell r="A892">
            <v>99851</v>
          </cell>
          <cell r="B892" t="str">
            <v>TOWN OF ELM CITY</v>
          </cell>
          <cell r="C892">
            <v>8025.38</v>
          </cell>
        </row>
        <row r="893">
          <cell r="A893">
            <v>99901</v>
          </cell>
          <cell r="B893" t="str">
            <v>YADKIN COUNTY</v>
          </cell>
          <cell r="C893">
            <v>758558.05</v>
          </cell>
        </row>
        <row r="894">
          <cell r="A894">
            <v>99911</v>
          </cell>
          <cell r="B894" t="str">
            <v>TOWN OF YADKINVILLE</v>
          </cell>
          <cell r="C894">
            <v>126859.94</v>
          </cell>
        </row>
        <row r="895">
          <cell r="A895">
            <v>99921</v>
          </cell>
          <cell r="B895" t="str">
            <v>TOWN OF JONESVILLE</v>
          </cell>
          <cell r="C895">
            <v>60518.37</v>
          </cell>
        </row>
        <row r="896">
          <cell r="A896">
            <v>99931</v>
          </cell>
          <cell r="B896" t="str">
            <v>TOWN OF EAST BEND</v>
          </cell>
          <cell r="C896">
            <v>9991.64</v>
          </cell>
        </row>
        <row r="897">
          <cell r="A897">
            <v>99941</v>
          </cell>
          <cell r="B897" t="str">
            <v>TOWN OF BOONVILLE</v>
          </cell>
          <cell r="C897">
            <v>34874.080000000002</v>
          </cell>
        </row>
        <row r="898">
          <cell r="A898">
            <v>99991</v>
          </cell>
          <cell r="B898" t="str">
            <v>N C ASSOC OF CO COMMISSIONERS</v>
          </cell>
          <cell r="C898">
            <v>256527.41</v>
          </cell>
        </row>
        <row r="899">
          <cell r="A899">
            <v>99999</v>
          </cell>
          <cell r="B899" t="str">
            <v>N C LEAGUE OF MUNICIPALITIES</v>
          </cell>
          <cell r="C899">
            <v>529104.24</v>
          </cell>
        </row>
        <row r="900">
          <cell r="A900" t="str">
            <v>9XXXY</v>
          </cell>
          <cell r="B900" t="str">
            <v>CAROLINA COUNTY</v>
          </cell>
          <cell r="C900">
            <v>1197981.55</v>
          </cell>
        </row>
        <row r="901">
          <cell r="C901">
            <v>489372689.06999999</v>
          </cell>
          <cell r="F901"/>
        </row>
        <row r="903">
          <cell r="A903" t="str">
            <v xml:space="preserve">Following participants have been added by LGC for consistency - </v>
          </cell>
        </row>
        <row r="904">
          <cell r="A904">
            <v>91119</v>
          </cell>
          <cell r="B904" t="str">
            <v>WESTERN HIGHLAND AREA AUTHORITY</v>
          </cell>
          <cell r="C904">
            <v>0</v>
          </cell>
        </row>
        <row r="905">
          <cell r="A905">
            <v>92414</v>
          </cell>
          <cell r="B905" t="str">
            <v>BOLTON</v>
          </cell>
          <cell r="C905">
            <v>0</v>
          </cell>
        </row>
        <row r="906">
          <cell r="A906">
            <v>92608</v>
          </cell>
          <cell r="B906" t="str">
            <v>CUMBERLAND MEMORIAL AUDITORIUM COM</v>
          </cell>
          <cell r="C906">
            <v>0</v>
          </cell>
        </row>
        <row r="907">
          <cell r="A907">
            <v>93408</v>
          </cell>
          <cell r="B907" t="str">
            <v>CENTERPOINT HUMAN SERVICES</v>
          </cell>
          <cell r="C907">
            <v>0</v>
          </cell>
        </row>
        <row r="908">
          <cell r="A908">
            <v>94402</v>
          </cell>
          <cell r="B908" t="str">
            <v>HAYWOOD MEDICAL CENTER</v>
          </cell>
          <cell r="C908">
            <v>0</v>
          </cell>
        </row>
        <row r="909">
          <cell r="A909">
            <v>95412</v>
          </cell>
          <cell r="B909" t="str">
            <v>GLOBAL TRANSPARK DEVELOPMENT COMM</v>
          </cell>
          <cell r="C909">
            <v>0</v>
          </cell>
        </row>
        <row r="910">
          <cell r="A910">
            <v>93202</v>
          </cell>
          <cell r="B910" t="str">
            <v>PARKWOOD FIRE DEPARTMENT</v>
          </cell>
          <cell r="C910">
            <v>0</v>
          </cell>
        </row>
        <row r="911">
          <cell r="A911">
            <v>93677</v>
          </cell>
          <cell r="B911" t="str">
            <v>BESSEMER CITY A.B.C. BOARD</v>
          </cell>
          <cell r="C911">
            <v>0</v>
          </cell>
        </row>
        <row r="912">
          <cell r="A912">
            <v>94512</v>
          </cell>
          <cell r="B912" t="str">
            <v>HENDERSONVILLE WATER COMMISSION</v>
          </cell>
          <cell r="C912">
            <v>0</v>
          </cell>
        </row>
        <row r="913">
          <cell r="A913">
            <v>97010</v>
          </cell>
          <cell r="B913" t="str">
            <v>ALBEMARLE HOSPITAL AUTHORITY</v>
          </cell>
          <cell r="C913">
            <v>0</v>
          </cell>
        </row>
        <row r="914">
          <cell r="A914">
            <v>97491</v>
          </cell>
          <cell r="B914" t="str">
            <v>FOUNTAIN</v>
          </cell>
        </row>
        <row r="2341">
          <cell r="A2341"/>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4" Type="http://schemas.openxmlformats.org/officeDocument/2006/relationships/vmlDrawing" Target="../drawings/vmlDrawing9.v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4"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6"/>
  <sheetViews>
    <sheetView tabSelected="1" workbookViewId="0">
      <selection activeCell="A12" sqref="A12:K14"/>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023" t="s">
        <v>495</v>
      </c>
      <c r="B2" s="1024"/>
      <c r="C2" s="1024"/>
      <c r="D2" s="1024"/>
      <c r="E2" s="1024"/>
      <c r="F2" s="1024"/>
      <c r="G2" s="1024"/>
      <c r="H2" s="1024"/>
      <c r="I2" s="1024"/>
      <c r="J2" s="1024"/>
      <c r="K2" s="1025"/>
    </row>
    <row r="3" spans="1:11" ht="21" customHeight="1" x14ac:dyDescent="0.2">
      <c r="A3" s="1026"/>
      <c r="B3" s="1027"/>
      <c r="C3" s="1027"/>
      <c r="D3" s="1027"/>
      <c r="E3" s="1027"/>
      <c r="F3" s="1027"/>
      <c r="G3" s="1027"/>
      <c r="H3" s="1027"/>
      <c r="I3" s="1027"/>
      <c r="J3" s="1027"/>
      <c r="K3" s="1028"/>
    </row>
    <row r="4" spans="1:11" ht="8.25" customHeight="1" x14ac:dyDescent="0.2"/>
    <row r="5" spans="1:11" x14ac:dyDescent="0.2">
      <c r="A5" s="1019" t="s">
        <v>182</v>
      </c>
      <c r="B5" s="1019"/>
      <c r="C5" s="1019"/>
      <c r="D5" s="1019"/>
      <c r="E5" s="1019"/>
      <c r="F5" s="1019"/>
      <c r="G5" s="1019"/>
      <c r="H5" s="1019"/>
      <c r="I5" s="1019"/>
      <c r="J5" s="1019"/>
      <c r="K5" s="1019"/>
    </row>
    <row r="6" spans="1:11" x14ac:dyDescent="0.2">
      <c r="A6" s="1019"/>
      <c r="B6" s="1019"/>
      <c r="C6" s="1019"/>
      <c r="D6" s="1019"/>
      <c r="E6" s="1019"/>
      <c r="F6" s="1019"/>
      <c r="G6" s="1019"/>
      <c r="H6" s="1019"/>
      <c r="I6" s="1019"/>
      <c r="J6" s="1019"/>
      <c r="K6" s="1019"/>
    </row>
    <row r="7" spans="1:11" ht="24.75" customHeight="1" x14ac:dyDescent="0.2">
      <c r="A7" s="1019"/>
      <c r="B7" s="1019"/>
      <c r="C7" s="1019"/>
      <c r="D7" s="1019"/>
      <c r="E7" s="1019"/>
      <c r="F7" s="1019"/>
      <c r="G7" s="1019"/>
      <c r="H7" s="1019"/>
      <c r="I7" s="1019"/>
      <c r="J7" s="1019"/>
      <c r="K7" s="1019"/>
    </row>
    <row r="8" spans="1:11" ht="9.75" customHeight="1" x14ac:dyDescent="0.2"/>
    <row r="9" spans="1:11" ht="12.75" customHeight="1" x14ac:dyDescent="0.2">
      <c r="A9" s="1019" t="s">
        <v>1036</v>
      </c>
      <c r="B9" s="1019"/>
      <c r="C9" s="1019"/>
      <c r="D9" s="1019"/>
      <c r="E9" s="1019"/>
      <c r="F9" s="1019"/>
      <c r="G9" s="1019"/>
      <c r="H9" s="1019"/>
      <c r="I9" s="1019"/>
      <c r="J9" s="1019"/>
      <c r="K9" s="1019"/>
    </row>
    <row r="10" spans="1:11" ht="36.75" customHeight="1" x14ac:dyDescent="0.2">
      <c r="A10" s="1019"/>
      <c r="B10" s="1019"/>
      <c r="C10" s="1019"/>
      <c r="D10" s="1019"/>
      <c r="E10" s="1019"/>
      <c r="F10" s="1019"/>
      <c r="G10" s="1019"/>
      <c r="H10" s="1019"/>
      <c r="I10" s="1019"/>
      <c r="J10" s="1019"/>
      <c r="K10" s="1019"/>
    </row>
    <row r="11" spans="1:11" ht="9.75" customHeight="1" x14ac:dyDescent="0.2"/>
    <row r="12" spans="1:11" x14ac:dyDescent="0.2">
      <c r="A12" s="1019" t="s">
        <v>348</v>
      </c>
      <c r="B12" s="1019"/>
      <c r="C12" s="1019"/>
      <c r="D12" s="1019"/>
      <c r="E12" s="1019"/>
      <c r="F12" s="1019"/>
      <c r="G12" s="1019"/>
      <c r="H12" s="1019"/>
      <c r="I12" s="1019"/>
      <c r="J12" s="1019"/>
      <c r="K12" s="1019"/>
    </row>
    <row r="13" spans="1:11" x14ac:dyDescent="0.2">
      <c r="A13" s="1019"/>
      <c r="B13" s="1019"/>
      <c r="C13" s="1019"/>
      <c r="D13" s="1019"/>
      <c r="E13" s="1019"/>
      <c r="F13" s="1019"/>
      <c r="G13" s="1019"/>
      <c r="H13" s="1019"/>
      <c r="I13" s="1019"/>
      <c r="J13" s="1019"/>
      <c r="K13" s="1019"/>
    </row>
    <row r="14" spans="1:11" x14ac:dyDescent="0.2">
      <c r="A14" s="1019"/>
      <c r="B14" s="1019"/>
      <c r="C14" s="1019"/>
      <c r="D14" s="1019"/>
      <c r="E14" s="1019"/>
      <c r="F14" s="1019"/>
      <c r="G14" s="1019"/>
      <c r="H14" s="1019"/>
      <c r="I14" s="1019"/>
      <c r="J14" s="1019"/>
      <c r="K14" s="1019"/>
    </row>
    <row r="15" spans="1:11" ht="9.75" customHeight="1" x14ac:dyDescent="0.2"/>
    <row r="16" spans="1:11" ht="23.25" customHeight="1" x14ac:dyDescent="0.2">
      <c r="A16" s="1021" t="s">
        <v>4133</v>
      </c>
      <c r="B16" s="1022"/>
      <c r="C16" s="1022"/>
      <c r="D16" s="1022"/>
      <c r="E16" s="1022"/>
      <c r="F16" s="1022"/>
      <c r="G16" s="1022"/>
      <c r="H16" s="1022"/>
      <c r="I16" s="1022"/>
      <c r="J16" s="1022"/>
      <c r="K16" s="1022"/>
    </row>
    <row r="17" spans="1:11" ht="21" customHeight="1" x14ac:dyDescent="0.2">
      <c r="A17" s="1022"/>
      <c r="B17" s="1022"/>
      <c r="C17" s="1022"/>
      <c r="D17" s="1022"/>
      <c r="E17" s="1022"/>
      <c r="F17" s="1022"/>
      <c r="G17" s="1022"/>
      <c r="H17" s="1022"/>
      <c r="I17" s="1022"/>
      <c r="J17" s="1022"/>
      <c r="K17" s="1022"/>
    </row>
    <row r="18" spans="1:11" ht="36" customHeight="1" x14ac:dyDescent="0.2">
      <c r="A18" s="1022"/>
      <c r="B18" s="1022"/>
      <c r="C18" s="1022"/>
      <c r="D18" s="1022"/>
      <c r="E18" s="1022"/>
      <c r="F18" s="1022"/>
      <c r="G18" s="1022"/>
      <c r="H18" s="1022"/>
      <c r="I18" s="1022"/>
      <c r="J18" s="1022"/>
      <c r="K18" s="1022"/>
    </row>
    <row r="19" spans="1:11" ht="9.75" customHeight="1" x14ac:dyDescent="0.2"/>
    <row r="20" spans="1:11" x14ac:dyDescent="0.2">
      <c r="A20" s="1019" t="s">
        <v>63</v>
      </c>
      <c r="B20" s="1019"/>
      <c r="C20" s="1019"/>
      <c r="D20" s="1019"/>
      <c r="E20" s="1019"/>
      <c r="F20" s="1019"/>
      <c r="G20" s="1019"/>
      <c r="H20" s="1019"/>
      <c r="I20" s="1019"/>
      <c r="J20" s="1019"/>
      <c r="K20" s="1019"/>
    </row>
    <row r="21" spans="1:11" x14ac:dyDescent="0.2">
      <c r="A21" s="1019"/>
      <c r="B21" s="1019"/>
      <c r="C21" s="1019"/>
      <c r="D21" s="1019"/>
      <c r="E21" s="1019"/>
      <c r="F21" s="1019"/>
      <c r="G21" s="1019"/>
      <c r="H21" s="1019"/>
      <c r="I21" s="1019"/>
      <c r="J21" s="1019"/>
      <c r="K21" s="1019"/>
    </row>
    <row r="22" spans="1:11" ht="26.25" customHeight="1" x14ac:dyDescent="0.2">
      <c r="A22" s="1019"/>
      <c r="B22" s="1019"/>
      <c r="C22" s="1019"/>
      <c r="D22" s="1019"/>
      <c r="E22" s="1019"/>
      <c r="F22" s="1019"/>
      <c r="G22" s="1019"/>
      <c r="H22" s="1019"/>
      <c r="I22" s="1019"/>
      <c r="J22" s="1019"/>
      <c r="K22" s="1019"/>
    </row>
    <row r="23" spans="1:11" ht="9.75" customHeight="1" x14ac:dyDescent="0.2">
      <c r="A23" s="1019"/>
      <c r="B23" s="1019"/>
      <c r="C23" s="1019"/>
      <c r="D23" s="1019"/>
      <c r="E23" s="1019"/>
      <c r="F23" s="1019"/>
      <c r="G23" s="1019"/>
      <c r="H23" s="1019"/>
      <c r="I23" s="1019"/>
      <c r="J23" s="1019"/>
      <c r="K23" s="1019"/>
    </row>
    <row r="24" spans="1:11" x14ac:dyDescent="0.2">
      <c r="A24" s="1019" t="s">
        <v>181</v>
      </c>
      <c r="B24" s="1019"/>
      <c r="C24" s="1019"/>
      <c r="D24" s="1019"/>
      <c r="E24" s="1019"/>
      <c r="F24" s="1019"/>
      <c r="G24" s="1019"/>
      <c r="H24" s="1019"/>
      <c r="I24" s="1019"/>
      <c r="J24" s="1019"/>
      <c r="K24" s="1019"/>
    </row>
    <row r="25" spans="1:11" x14ac:dyDescent="0.2">
      <c r="A25" s="1019"/>
      <c r="B25" s="1019"/>
      <c r="C25" s="1019"/>
      <c r="D25" s="1019"/>
      <c r="E25" s="1019"/>
      <c r="F25" s="1019"/>
      <c r="G25" s="1019"/>
      <c r="H25" s="1019"/>
      <c r="I25" s="1019"/>
      <c r="J25" s="1019"/>
      <c r="K25" s="1019"/>
    </row>
    <row r="26" spans="1:11" ht="24.75" customHeight="1" x14ac:dyDescent="0.2">
      <c r="A26" s="1019"/>
      <c r="B26" s="1019"/>
      <c r="C26" s="1019"/>
      <c r="D26" s="1019"/>
      <c r="E26" s="1019"/>
      <c r="F26" s="1019"/>
      <c r="G26" s="1019"/>
      <c r="H26" s="1019"/>
      <c r="I26" s="1019"/>
      <c r="J26" s="1019"/>
      <c r="K26" s="1019"/>
    </row>
    <row r="27" spans="1:11" ht="9.75" customHeight="1" x14ac:dyDescent="0.2"/>
    <row r="28" spans="1:11" x14ac:dyDescent="0.2">
      <c r="A28" s="1019" t="s">
        <v>642</v>
      </c>
      <c r="B28" s="1019"/>
      <c r="C28" s="1019"/>
      <c r="D28" s="1019"/>
      <c r="E28" s="1019"/>
      <c r="F28" s="1019"/>
      <c r="G28" s="1019"/>
      <c r="H28" s="1019"/>
      <c r="I28" s="1019"/>
      <c r="J28" s="1019"/>
      <c r="K28" s="1019"/>
    </row>
    <row r="29" spans="1:11" x14ac:dyDescent="0.2">
      <c r="A29" s="1019"/>
      <c r="B29" s="1019"/>
      <c r="C29" s="1019"/>
      <c r="D29" s="1019"/>
      <c r="E29" s="1019"/>
      <c r="F29" s="1019"/>
      <c r="G29" s="1019"/>
      <c r="H29" s="1019"/>
      <c r="I29" s="1019"/>
      <c r="J29" s="1019"/>
      <c r="K29" s="1019"/>
    </row>
    <row r="30" spans="1:11" x14ac:dyDescent="0.2">
      <c r="A30" s="1019"/>
      <c r="B30" s="1019"/>
      <c r="C30" s="1019"/>
      <c r="D30" s="1019"/>
      <c r="E30" s="1019"/>
      <c r="F30" s="1019"/>
      <c r="G30" s="1019"/>
      <c r="H30" s="1019"/>
      <c r="I30" s="1019"/>
      <c r="J30" s="1019"/>
      <c r="K30" s="1019"/>
    </row>
    <row r="31" spans="1:11" x14ac:dyDescent="0.2">
      <c r="A31" s="1019"/>
      <c r="B31" s="1019"/>
      <c r="C31" s="1019"/>
      <c r="D31" s="1019"/>
      <c r="E31" s="1019"/>
      <c r="F31" s="1019"/>
      <c r="G31" s="1019"/>
      <c r="H31" s="1019"/>
      <c r="I31" s="1019"/>
      <c r="J31" s="1019"/>
      <c r="K31" s="1019"/>
    </row>
    <row r="32" spans="1:11" x14ac:dyDescent="0.2">
      <c r="A32" s="1019"/>
      <c r="B32" s="1019"/>
      <c r="C32" s="1019"/>
      <c r="D32" s="1019"/>
      <c r="E32" s="1019"/>
      <c r="F32" s="1019"/>
      <c r="G32" s="1019"/>
      <c r="H32" s="1019"/>
      <c r="I32" s="1019"/>
      <c r="J32" s="1019"/>
      <c r="K32" s="1019"/>
    </row>
    <row r="33" spans="1:11" x14ac:dyDescent="0.2">
      <c r="A33" s="1019"/>
      <c r="B33" s="1019"/>
      <c r="C33" s="1019"/>
      <c r="D33" s="1019"/>
      <c r="E33" s="1019"/>
      <c r="F33" s="1019"/>
      <c r="G33" s="1019"/>
      <c r="H33" s="1019"/>
      <c r="I33" s="1019"/>
      <c r="J33" s="1019"/>
      <c r="K33" s="1019"/>
    </row>
    <row r="34" spans="1:11" ht="9.75" customHeight="1" x14ac:dyDescent="0.2"/>
    <row r="35" spans="1:11" x14ac:dyDescent="0.2">
      <c r="A35" s="1019" t="s">
        <v>120</v>
      </c>
      <c r="B35" s="1019"/>
      <c r="C35" s="1019"/>
      <c r="D35" s="1019"/>
      <c r="E35" s="1019"/>
      <c r="F35" s="1019"/>
      <c r="G35" s="1019"/>
      <c r="H35" s="1019"/>
      <c r="I35" s="1019"/>
      <c r="J35" s="1019"/>
      <c r="K35" s="1019"/>
    </row>
    <row r="36" spans="1:11" x14ac:dyDescent="0.2">
      <c r="A36" s="1019"/>
      <c r="B36" s="1019"/>
      <c r="C36" s="1019"/>
      <c r="D36" s="1019"/>
      <c r="E36" s="1019"/>
      <c r="F36" s="1019"/>
      <c r="G36" s="1019"/>
      <c r="H36" s="1019"/>
      <c r="I36" s="1019"/>
      <c r="J36" s="1019"/>
      <c r="K36" s="1019"/>
    </row>
    <row r="37" spans="1:11" x14ac:dyDescent="0.2">
      <c r="A37" s="1019"/>
      <c r="B37" s="1019"/>
      <c r="C37" s="1019"/>
      <c r="D37" s="1019"/>
      <c r="E37" s="1019"/>
      <c r="F37" s="1019"/>
      <c r="G37" s="1019"/>
      <c r="H37" s="1019"/>
      <c r="I37" s="1019"/>
      <c r="J37" s="1019"/>
      <c r="K37" s="1019"/>
    </row>
    <row r="38" spans="1:11" ht="9.75" customHeight="1" x14ac:dyDescent="0.2"/>
    <row r="39" spans="1:11" x14ac:dyDescent="0.2">
      <c r="A39" s="1019" t="s">
        <v>544</v>
      </c>
      <c r="B39" s="1019"/>
      <c r="C39" s="1019"/>
      <c r="D39" s="1019"/>
      <c r="E39" s="1019"/>
      <c r="F39" s="1019"/>
      <c r="G39" s="1019"/>
      <c r="H39" s="1019"/>
      <c r="I39" s="1019"/>
      <c r="J39" s="1019"/>
      <c r="K39" s="1019"/>
    </row>
    <row r="40" spans="1:11" ht="36.75" customHeight="1" x14ac:dyDescent="0.2">
      <c r="A40" s="1019"/>
      <c r="B40" s="1019"/>
      <c r="C40" s="1019"/>
      <c r="D40" s="1019"/>
      <c r="E40" s="1019"/>
      <c r="F40" s="1019"/>
      <c r="G40" s="1019"/>
      <c r="H40" s="1019"/>
      <c r="I40" s="1019"/>
      <c r="J40" s="1019"/>
      <c r="K40" s="1019"/>
    </row>
    <row r="41" spans="1:11" ht="12" customHeight="1" x14ac:dyDescent="0.2">
      <c r="A41" s="24"/>
      <c r="B41" s="24"/>
      <c r="C41" s="24"/>
      <c r="D41" s="24"/>
      <c r="E41" s="24"/>
      <c r="F41" s="24"/>
      <c r="G41" s="24"/>
      <c r="H41" s="24"/>
      <c r="I41" s="24"/>
      <c r="J41" s="24"/>
      <c r="K41" s="24"/>
    </row>
    <row r="42" spans="1:11" ht="54" customHeight="1" x14ac:dyDescent="0.2">
      <c r="A42" s="1016" t="s">
        <v>4129</v>
      </c>
      <c r="B42" s="1017"/>
      <c r="C42" s="1017"/>
      <c r="D42" s="1017"/>
      <c r="E42" s="1017"/>
      <c r="F42" s="1017"/>
      <c r="G42" s="1017"/>
      <c r="H42" s="1017"/>
      <c r="I42" s="1017"/>
      <c r="J42" s="1017"/>
      <c r="K42" s="1017"/>
    </row>
    <row r="43" spans="1:11" ht="18.75" customHeight="1" x14ac:dyDescent="0.2"/>
    <row r="44" spans="1:11" x14ac:dyDescent="0.2">
      <c r="A44" s="4" t="s">
        <v>121</v>
      </c>
    </row>
    <row r="45" spans="1:11" ht="8.25" customHeight="1" x14ac:dyDescent="0.2">
      <c r="A45" s="4"/>
    </row>
    <row r="46" spans="1:11" ht="12.75" customHeight="1" x14ac:dyDescent="0.2">
      <c r="A46" s="1019" t="s">
        <v>292</v>
      </c>
      <c r="B46" s="1019"/>
      <c r="C46" s="1019"/>
      <c r="D46" s="1019"/>
      <c r="E46" s="1019"/>
      <c r="F46" s="1019"/>
      <c r="G46" s="1019"/>
      <c r="H46" s="1019"/>
      <c r="I46" s="1019"/>
      <c r="J46" s="1019"/>
      <c r="K46" s="1019"/>
    </row>
    <row r="47" spans="1:11" x14ac:dyDescent="0.2">
      <c r="A47" s="1019"/>
      <c r="B47" s="1019"/>
      <c r="C47" s="1019"/>
      <c r="D47" s="1019"/>
      <c r="E47" s="1019"/>
      <c r="F47" s="1019"/>
      <c r="G47" s="1019"/>
      <c r="H47" s="1019"/>
      <c r="I47" s="1019"/>
      <c r="J47" s="1019"/>
      <c r="K47" s="1019"/>
    </row>
    <row r="48" spans="1:11" x14ac:dyDescent="0.2">
      <c r="A48" s="1019"/>
      <c r="B48" s="1019"/>
      <c r="C48" s="1019"/>
      <c r="D48" s="1019"/>
      <c r="E48" s="1019"/>
      <c r="F48" s="1019"/>
      <c r="G48" s="1019"/>
      <c r="H48" s="1019"/>
      <c r="I48" s="1019"/>
      <c r="J48" s="1019"/>
      <c r="K48" s="1019"/>
    </row>
    <row r="49" spans="1:11" x14ac:dyDescent="0.2">
      <c r="A49" s="1019"/>
      <c r="B49" s="1019"/>
      <c r="C49" s="1019"/>
      <c r="D49" s="1019"/>
      <c r="E49" s="1019"/>
      <c r="F49" s="1019"/>
      <c r="G49" s="1019"/>
      <c r="H49" s="1019"/>
      <c r="I49" s="1019"/>
      <c r="J49" s="1019"/>
      <c r="K49" s="1019"/>
    </row>
    <row r="50" spans="1:11" ht="26.25" customHeight="1" x14ac:dyDescent="0.2">
      <c r="A50" s="1019"/>
      <c r="B50" s="1019"/>
      <c r="C50" s="1019"/>
      <c r="D50" s="1019"/>
      <c r="E50" s="1019"/>
      <c r="F50" s="1019"/>
      <c r="G50" s="1019"/>
      <c r="H50" s="1019"/>
      <c r="I50" s="1019"/>
      <c r="J50" s="1019"/>
      <c r="K50" s="1019"/>
    </row>
    <row r="51" spans="1:11" ht="41.45" customHeight="1" x14ac:dyDescent="0.2">
      <c r="A51" s="1019"/>
      <c r="B51" s="1019"/>
      <c r="C51" s="1019"/>
      <c r="D51" s="1019"/>
      <c r="E51" s="1019"/>
      <c r="F51" s="1019"/>
      <c r="G51" s="1019"/>
      <c r="H51" s="1019"/>
      <c r="I51" s="1019"/>
      <c r="J51" s="1019"/>
      <c r="K51" s="1019"/>
    </row>
    <row r="52" spans="1:11" ht="9.75" customHeight="1" x14ac:dyDescent="0.2">
      <c r="A52" s="24"/>
      <c r="B52" s="24"/>
      <c r="C52" s="24"/>
      <c r="D52" s="24"/>
      <c r="E52" s="24"/>
      <c r="F52" s="24"/>
      <c r="G52" s="24"/>
      <c r="H52" s="24"/>
      <c r="I52" s="24"/>
      <c r="J52" s="24"/>
      <c r="K52" s="24"/>
    </row>
    <row r="53" spans="1:11" x14ac:dyDescent="0.2">
      <c r="A53" s="1019" t="s">
        <v>234</v>
      </c>
      <c r="B53" s="1019"/>
      <c r="C53" s="1019"/>
      <c r="D53" s="1019"/>
      <c r="E53" s="1019"/>
      <c r="F53" s="1019"/>
      <c r="G53" s="1019"/>
      <c r="H53" s="1019"/>
      <c r="I53" s="1019"/>
      <c r="J53" s="1019"/>
      <c r="K53" s="1019"/>
    </row>
    <row r="54" spans="1:11" x14ac:dyDescent="0.2">
      <c r="A54" s="1019"/>
      <c r="B54" s="1019"/>
      <c r="C54" s="1019"/>
      <c r="D54" s="1019"/>
      <c r="E54" s="1019"/>
      <c r="F54" s="1019"/>
      <c r="G54" s="1019"/>
      <c r="H54" s="1019"/>
      <c r="I54" s="1019"/>
      <c r="J54" s="1019"/>
      <c r="K54" s="1019"/>
    </row>
    <row r="55" spans="1:11" x14ac:dyDescent="0.2">
      <c r="A55" s="1019"/>
      <c r="B55" s="1019"/>
      <c r="C55" s="1019"/>
      <c r="D55" s="1019"/>
      <c r="E55" s="1019"/>
      <c r="F55" s="1019"/>
      <c r="G55" s="1019"/>
      <c r="H55" s="1019"/>
      <c r="I55" s="1019"/>
      <c r="J55" s="1019"/>
      <c r="K55" s="1019"/>
    </row>
    <row r="56" spans="1:11" ht="23.25" customHeight="1" x14ac:dyDescent="0.2">
      <c r="A56" s="1019"/>
      <c r="B56" s="1019"/>
      <c r="C56" s="1019"/>
      <c r="D56" s="1019"/>
      <c r="E56" s="1019"/>
      <c r="F56" s="1019"/>
      <c r="G56" s="1019"/>
      <c r="H56" s="1019"/>
      <c r="I56" s="1019"/>
      <c r="J56" s="1019"/>
      <c r="K56" s="1019"/>
    </row>
    <row r="57" spans="1:11" ht="15.75" customHeight="1" x14ac:dyDescent="0.2">
      <c r="A57" s="1019"/>
      <c r="B57" s="1019"/>
      <c r="C57" s="1019"/>
      <c r="D57" s="1019"/>
      <c r="E57" s="1019"/>
      <c r="F57" s="1019"/>
      <c r="G57" s="1019"/>
      <c r="H57" s="1019"/>
      <c r="I57" s="1019"/>
      <c r="J57" s="1019"/>
      <c r="K57" s="1019"/>
    </row>
    <row r="58" spans="1:11" x14ac:dyDescent="0.2">
      <c r="A58" s="24"/>
      <c r="B58" s="24"/>
      <c r="C58" s="24"/>
      <c r="D58" s="24"/>
      <c r="E58" s="24"/>
      <c r="F58" s="24"/>
      <c r="G58" s="24"/>
      <c r="H58" s="24"/>
      <c r="I58" s="24"/>
      <c r="J58" s="24"/>
      <c r="K58" s="24"/>
    </row>
    <row r="59" spans="1:11" x14ac:dyDescent="0.2">
      <c r="A59" s="4" t="s">
        <v>519</v>
      </c>
      <c r="B59" s="24"/>
      <c r="C59" s="24"/>
      <c r="D59" s="24"/>
      <c r="E59" s="24"/>
      <c r="F59" s="24"/>
      <c r="G59" s="24"/>
      <c r="H59" s="24"/>
      <c r="I59" s="24"/>
      <c r="J59" s="24"/>
      <c r="K59" s="24"/>
    </row>
    <row r="60" spans="1:11" ht="10.5" customHeight="1" x14ac:dyDescent="0.2">
      <c r="A60" s="24"/>
      <c r="B60" s="24"/>
      <c r="C60" s="24"/>
      <c r="D60" s="24"/>
      <c r="E60" s="24"/>
      <c r="F60" s="24"/>
      <c r="G60" s="24"/>
      <c r="H60" s="24"/>
      <c r="I60" s="24"/>
      <c r="J60" s="24"/>
      <c r="K60" s="24"/>
    </row>
    <row r="61" spans="1:11" ht="12.75" customHeight="1" x14ac:dyDescent="0.2">
      <c r="A61" s="1029" t="s">
        <v>4130</v>
      </c>
      <c r="B61" s="1019"/>
      <c r="C61" s="1019"/>
      <c r="D61" s="1019"/>
      <c r="E61" s="1019"/>
      <c r="F61" s="1019"/>
      <c r="G61" s="1019"/>
      <c r="H61" s="1019"/>
      <c r="I61" s="1019"/>
      <c r="J61" s="1019"/>
      <c r="K61" s="1019"/>
    </row>
    <row r="62" spans="1:11" x14ac:dyDescent="0.2">
      <c r="A62" s="1019"/>
      <c r="B62" s="1019"/>
      <c r="C62" s="1019"/>
      <c r="D62" s="1019"/>
      <c r="E62" s="1019"/>
      <c r="F62" s="1019"/>
      <c r="G62" s="1019"/>
      <c r="H62" s="1019"/>
      <c r="I62" s="1019"/>
      <c r="J62" s="1019"/>
      <c r="K62" s="1019"/>
    </row>
    <row r="63" spans="1:11" x14ac:dyDescent="0.2">
      <c r="A63" s="1019"/>
      <c r="B63" s="1019"/>
      <c r="C63" s="1019"/>
      <c r="D63" s="1019"/>
      <c r="E63" s="1019"/>
      <c r="F63" s="1019"/>
      <c r="G63" s="1019"/>
      <c r="H63" s="1019"/>
      <c r="I63" s="1019"/>
      <c r="J63" s="1019"/>
      <c r="K63" s="1019"/>
    </row>
    <row r="64" spans="1:11" x14ac:dyDescent="0.2">
      <c r="A64" s="1019"/>
      <c r="B64" s="1019"/>
      <c r="C64" s="1019"/>
      <c r="D64" s="1019"/>
      <c r="E64" s="1019"/>
      <c r="F64" s="1019"/>
      <c r="G64" s="1019"/>
      <c r="H64" s="1019"/>
      <c r="I64" s="1019"/>
      <c r="J64" s="1019"/>
      <c r="K64" s="1019"/>
    </row>
    <row r="65" spans="1:11" ht="9" customHeight="1" x14ac:dyDescent="0.2">
      <c r="A65" s="1019"/>
      <c r="B65" s="1019"/>
      <c r="C65" s="1019"/>
      <c r="D65" s="1019"/>
      <c r="E65" s="1019"/>
      <c r="F65" s="1019"/>
      <c r="G65" s="1019"/>
      <c r="H65" s="1019"/>
      <c r="I65" s="1019"/>
      <c r="J65" s="1019"/>
      <c r="K65" s="1019"/>
    </row>
    <row r="66" spans="1:11" x14ac:dyDescent="0.2">
      <c r="A66" s="1019"/>
      <c r="B66" s="1019"/>
      <c r="C66" s="1019"/>
      <c r="D66" s="1019"/>
      <c r="E66" s="1019"/>
      <c r="F66" s="1019"/>
      <c r="G66" s="1019"/>
      <c r="H66" s="1019"/>
      <c r="I66" s="1019"/>
      <c r="J66" s="1019"/>
      <c r="K66" s="1019"/>
    </row>
    <row r="67" spans="1:11" ht="12.75" customHeight="1" x14ac:dyDescent="0.2">
      <c r="A67" s="24"/>
      <c r="B67" s="24"/>
      <c r="C67" s="24"/>
      <c r="D67" s="24"/>
      <c r="E67" s="24"/>
      <c r="F67" s="24"/>
      <c r="G67" s="24"/>
      <c r="H67" s="24"/>
      <c r="I67" s="24"/>
      <c r="J67" s="24"/>
      <c r="K67" s="24"/>
    </row>
    <row r="68" spans="1:11" x14ac:dyDescent="0.2">
      <c r="A68" s="4" t="s">
        <v>887</v>
      </c>
    </row>
    <row r="69" spans="1:11" ht="3.75" customHeight="1" x14ac:dyDescent="0.2"/>
    <row r="70" spans="1:11" ht="12.75" customHeight="1" x14ac:dyDescent="0.2">
      <c r="A70" s="1019" t="s">
        <v>921</v>
      </c>
      <c r="B70" s="1019"/>
      <c r="C70" s="1019"/>
      <c r="D70" s="1019"/>
      <c r="E70" s="1019"/>
      <c r="F70" s="1019"/>
      <c r="G70" s="1019"/>
      <c r="H70" s="1019"/>
      <c r="I70" s="1019"/>
      <c r="J70" s="1019"/>
      <c r="K70" s="1019"/>
    </row>
    <row r="71" spans="1:11" ht="12.75" customHeight="1" x14ac:dyDescent="0.2">
      <c r="A71" s="1019"/>
      <c r="B71" s="1019"/>
      <c r="C71" s="1019"/>
      <c r="D71" s="1019"/>
      <c r="E71" s="1019"/>
      <c r="F71" s="1019"/>
      <c r="G71" s="1019"/>
      <c r="H71" s="1019"/>
      <c r="I71" s="1019"/>
      <c r="J71" s="1019"/>
      <c r="K71" s="1019"/>
    </row>
    <row r="72" spans="1:11" ht="2.25" customHeight="1" x14ac:dyDescent="0.2"/>
    <row r="73" spans="1:11" ht="12.75" customHeight="1" x14ac:dyDescent="0.2">
      <c r="B73" s="4" t="s">
        <v>388</v>
      </c>
    </row>
    <row r="74" spans="1:11" ht="12.75" customHeight="1" x14ac:dyDescent="0.2">
      <c r="A74" s="1032"/>
      <c r="B74" s="1018" t="s">
        <v>291</v>
      </c>
      <c r="C74" s="1018"/>
      <c r="D74" s="1018"/>
      <c r="E74" s="1018"/>
      <c r="F74" s="1018"/>
      <c r="G74" s="1018"/>
      <c r="H74" s="1018"/>
      <c r="I74" s="1018"/>
      <c r="J74" s="1018"/>
      <c r="K74" s="1018"/>
    </row>
    <row r="75" spans="1:11" ht="26.25" customHeight="1" x14ac:dyDescent="0.2">
      <c r="A75" s="1032"/>
      <c r="B75" s="1018"/>
      <c r="C75" s="1018"/>
      <c r="D75" s="1018"/>
      <c r="E75" s="1018"/>
      <c r="F75" s="1018"/>
      <c r="G75" s="1018"/>
      <c r="H75" s="1018"/>
      <c r="I75" s="1018"/>
      <c r="J75" s="1018"/>
      <c r="K75" s="1018"/>
    </row>
    <row r="76" spans="1:11" x14ac:dyDescent="0.2">
      <c r="A76" s="27" t="s">
        <v>539</v>
      </c>
      <c r="B76" s="1018" t="s">
        <v>489</v>
      </c>
      <c r="C76" s="1018"/>
      <c r="D76" s="1018"/>
      <c r="E76" s="1018"/>
      <c r="F76" s="1018"/>
      <c r="G76" s="1018"/>
      <c r="H76" s="1018"/>
      <c r="I76" s="1018"/>
      <c r="J76" s="1018"/>
      <c r="K76" s="1018"/>
    </row>
    <row r="77" spans="1:11" ht="37.5" customHeight="1" x14ac:dyDescent="0.2">
      <c r="A77" s="27"/>
      <c r="B77" s="1018"/>
      <c r="C77" s="1018"/>
      <c r="D77" s="1018"/>
      <c r="E77" s="1018"/>
      <c r="F77" s="1018"/>
      <c r="G77" s="1018"/>
      <c r="H77" s="1018"/>
      <c r="I77" s="1018"/>
      <c r="J77" s="1018"/>
      <c r="K77" s="1018"/>
    </row>
    <row r="78" spans="1:11" x14ac:dyDescent="0.2">
      <c r="A78" s="27" t="s">
        <v>540</v>
      </c>
      <c r="B78" s="4" t="s">
        <v>389</v>
      </c>
    </row>
    <row r="79" spans="1:11" x14ac:dyDescent="0.2">
      <c r="A79" s="27" t="s">
        <v>801</v>
      </c>
      <c r="B79" s="4" t="s">
        <v>390</v>
      </c>
    </row>
    <row r="80" spans="1:11" ht="40.9" customHeight="1" x14ac:dyDescent="0.2">
      <c r="A80" s="27" t="s">
        <v>807</v>
      </c>
      <c r="B80" s="1020" t="s">
        <v>4131</v>
      </c>
      <c r="C80" s="1020"/>
      <c r="D80" s="1020"/>
      <c r="E80" s="1020"/>
      <c r="F80" s="1020"/>
      <c r="G80" s="1020"/>
      <c r="H80" s="1020"/>
      <c r="I80" s="1020"/>
      <c r="J80" s="1020"/>
      <c r="K80" s="1020"/>
    </row>
    <row r="81" spans="1:11" ht="13.15" customHeight="1" x14ac:dyDescent="0.2">
      <c r="A81" s="27" t="s">
        <v>823</v>
      </c>
      <c r="B81" s="1020" t="s">
        <v>4132</v>
      </c>
      <c r="C81" s="1020"/>
      <c r="D81" s="1020"/>
      <c r="E81" s="1020"/>
      <c r="F81" s="1020"/>
      <c r="G81" s="1020"/>
      <c r="H81" s="1020"/>
      <c r="I81" s="1020"/>
      <c r="J81" s="1020"/>
      <c r="K81" s="1020"/>
    </row>
    <row r="82" spans="1:11" ht="31.15" customHeight="1" x14ac:dyDescent="0.2">
      <c r="A82" s="27"/>
      <c r="B82" s="1020"/>
      <c r="C82" s="1020"/>
      <c r="D82" s="1020"/>
      <c r="E82" s="1020"/>
      <c r="F82" s="1020"/>
      <c r="G82" s="1020"/>
      <c r="H82" s="1020"/>
      <c r="I82" s="1020"/>
      <c r="J82" s="1020"/>
      <c r="K82" s="1020"/>
    </row>
    <row r="83" spans="1:11" x14ac:dyDescent="0.2">
      <c r="A83" s="27" t="s">
        <v>715</v>
      </c>
      <c r="B83" s="1029" t="s">
        <v>4134</v>
      </c>
      <c r="C83" s="1029"/>
      <c r="D83" s="1029"/>
      <c r="E83" s="1029"/>
      <c r="F83" s="1029"/>
      <c r="G83" s="1029"/>
      <c r="H83" s="1029"/>
      <c r="I83" s="1029"/>
      <c r="J83" s="1029"/>
      <c r="K83" s="1029"/>
    </row>
    <row r="84" spans="1:11" ht="41.45" customHeight="1" x14ac:dyDescent="0.2">
      <c r="A84" s="27"/>
      <c r="B84" s="1029"/>
      <c r="C84" s="1029"/>
      <c r="D84" s="1029"/>
      <c r="E84" s="1029"/>
      <c r="F84" s="1029"/>
      <c r="G84" s="1029"/>
      <c r="H84" s="1029"/>
      <c r="I84" s="1029"/>
      <c r="J84" s="1029"/>
      <c r="K84" s="1029"/>
    </row>
    <row r="85" spans="1:11" x14ac:dyDescent="0.2">
      <c r="A85" s="27" t="s">
        <v>716</v>
      </c>
      <c r="B85" s="4" t="s">
        <v>345</v>
      </c>
    </row>
    <row r="86" spans="1:11" x14ac:dyDescent="0.2">
      <c r="A86" s="27" t="s">
        <v>785</v>
      </c>
      <c r="B86" s="4" t="s">
        <v>346</v>
      </c>
    </row>
    <row r="87" spans="1:11" x14ac:dyDescent="0.2">
      <c r="A87" s="1009" t="s">
        <v>993</v>
      </c>
      <c r="B87" s="1020" t="s">
        <v>347</v>
      </c>
      <c r="C87" s="1020"/>
      <c r="D87" s="1020"/>
      <c r="E87" s="1020"/>
      <c r="F87" s="1020"/>
      <c r="G87" s="1020"/>
      <c r="H87" s="1020"/>
      <c r="I87" s="1020"/>
      <c r="J87" s="1020"/>
      <c r="K87" s="1020"/>
    </row>
    <row r="88" spans="1:11" x14ac:dyDescent="0.2">
      <c r="A88" s="27"/>
      <c r="B88" s="1020"/>
      <c r="C88" s="1020"/>
      <c r="D88" s="1020"/>
      <c r="E88" s="1020"/>
      <c r="F88" s="1020"/>
      <c r="G88" s="1020"/>
      <c r="H88" s="1020"/>
      <c r="I88" s="1020"/>
      <c r="J88" s="1020"/>
      <c r="K88" s="1020"/>
    </row>
    <row r="89" spans="1:11" x14ac:dyDescent="0.2">
      <c r="A89" s="980" t="s">
        <v>786</v>
      </c>
      <c r="B89" s="1031" t="s">
        <v>379</v>
      </c>
      <c r="C89" s="1031"/>
      <c r="D89" s="1031"/>
      <c r="E89" s="1031"/>
      <c r="F89" s="1031"/>
      <c r="G89" s="1031"/>
      <c r="H89" s="1031"/>
      <c r="I89" s="1031"/>
      <c r="J89" s="1031"/>
      <c r="K89" s="1031"/>
    </row>
    <row r="90" spans="1:11" x14ac:dyDescent="0.2">
      <c r="A90" s="27"/>
      <c r="B90" s="1031"/>
      <c r="C90" s="1031"/>
      <c r="D90" s="1031"/>
      <c r="E90" s="1031"/>
      <c r="F90" s="1031"/>
      <c r="G90" s="1031"/>
      <c r="H90" s="1031"/>
      <c r="I90" s="1031"/>
      <c r="J90" s="1031"/>
      <c r="K90" s="1031"/>
    </row>
    <row r="91" spans="1:11" x14ac:dyDescent="0.2">
      <c r="A91" s="27" t="s">
        <v>496</v>
      </c>
      <c r="B91" s="1018" t="s">
        <v>83</v>
      </c>
      <c r="C91" s="1018"/>
      <c r="D91" s="1018"/>
      <c r="E91" s="1018"/>
      <c r="F91" s="1018"/>
      <c r="G91" s="1018"/>
      <c r="H91" s="1018"/>
      <c r="I91" s="1018"/>
      <c r="J91" s="1018"/>
      <c r="K91" s="1018"/>
    </row>
    <row r="92" spans="1:11" ht="25.5" customHeight="1" x14ac:dyDescent="0.2">
      <c r="A92" s="27"/>
      <c r="B92" s="1018"/>
      <c r="C92" s="1018"/>
      <c r="D92" s="1018"/>
      <c r="E92" s="1018"/>
      <c r="F92" s="1018"/>
      <c r="G92" s="1018"/>
      <c r="H92" s="1018"/>
      <c r="I92" s="1018"/>
      <c r="J92" s="1018"/>
      <c r="K92" s="1018"/>
    </row>
    <row r="93" spans="1:11" x14ac:dyDescent="0.2">
      <c r="A93" s="27" t="s">
        <v>497</v>
      </c>
      <c r="B93" s="1018" t="s">
        <v>518</v>
      </c>
      <c r="C93" s="1018"/>
      <c r="D93" s="1018"/>
      <c r="E93" s="1018"/>
      <c r="F93" s="1018"/>
      <c r="G93" s="1018"/>
      <c r="H93" s="1018"/>
      <c r="I93" s="1018"/>
      <c r="J93" s="1018"/>
      <c r="K93" s="1018"/>
    </row>
    <row r="94" spans="1:11" ht="24.75" customHeight="1" x14ac:dyDescent="0.2">
      <c r="A94" s="27"/>
      <c r="B94" s="1018"/>
      <c r="C94" s="1018"/>
      <c r="D94" s="1018"/>
      <c r="E94" s="1018"/>
      <c r="F94" s="1018"/>
      <c r="G94" s="1018"/>
      <c r="H94" s="1018"/>
      <c r="I94" s="1018"/>
      <c r="J94" s="1018"/>
      <c r="K94" s="1018"/>
    </row>
    <row r="95" spans="1:11" x14ac:dyDescent="0.2">
      <c r="A95" s="27" t="s">
        <v>498</v>
      </c>
      <c r="B95" s="1018" t="s">
        <v>1093</v>
      </c>
      <c r="C95" s="1019"/>
      <c r="D95" s="1019"/>
      <c r="E95" s="1019"/>
      <c r="F95" s="1019"/>
      <c r="G95" s="1019"/>
      <c r="H95" s="1019"/>
      <c r="I95" s="1019"/>
      <c r="J95" s="1019"/>
      <c r="K95" s="1019"/>
    </row>
    <row r="96" spans="1:11" x14ac:dyDescent="0.2">
      <c r="A96" s="27"/>
      <c r="B96" s="1019"/>
      <c r="C96" s="1019"/>
      <c r="D96" s="1019"/>
      <c r="E96" s="1019"/>
      <c r="F96" s="1019"/>
      <c r="G96" s="1019"/>
      <c r="H96" s="1019"/>
      <c r="I96" s="1019"/>
      <c r="J96" s="1019"/>
      <c r="K96" s="1019"/>
    </row>
    <row r="97" spans="1:11" x14ac:dyDescent="0.2">
      <c r="A97" s="27" t="s">
        <v>2047</v>
      </c>
      <c r="B97" s="4" t="s">
        <v>4135</v>
      </c>
      <c r="C97" s="4"/>
      <c r="D97" s="4"/>
      <c r="E97" s="4"/>
      <c r="F97" s="4"/>
      <c r="G97" s="4"/>
      <c r="H97" s="4"/>
      <c r="I97" s="24"/>
      <c r="J97" s="24"/>
      <c r="K97" s="24"/>
    </row>
    <row r="98" spans="1:11" x14ac:dyDescent="0.2">
      <c r="A98" s="27" t="s">
        <v>2048</v>
      </c>
      <c r="B98" s="4" t="s">
        <v>4136</v>
      </c>
      <c r="C98" s="226"/>
      <c r="D98" s="226"/>
      <c r="E98" s="226"/>
      <c r="F98" s="226"/>
      <c r="G98" s="226"/>
      <c r="H98" s="226"/>
      <c r="I98" s="226"/>
      <c r="J98" s="226"/>
      <c r="K98" s="226"/>
    </row>
    <row r="99" spans="1:11" x14ac:dyDescent="0.2">
      <c r="A99" s="27" t="s">
        <v>2048</v>
      </c>
      <c r="B99" s="4" t="s">
        <v>4137</v>
      </c>
      <c r="C99" s="226"/>
      <c r="D99" s="226"/>
      <c r="E99" s="226"/>
      <c r="F99" s="226"/>
      <c r="G99" s="226"/>
      <c r="H99" s="226"/>
      <c r="I99" s="226"/>
      <c r="J99" s="226"/>
      <c r="K99" s="226"/>
    </row>
    <row r="100" spans="1:11" x14ac:dyDescent="0.2">
      <c r="A100" s="27" t="s">
        <v>4138</v>
      </c>
      <c r="B100" s="4" t="s">
        <v>4139</v>
      </c>
      <c r="C100" s="24"/>
      <c r="D100" s="24"/>
      <c r="E100" s="24"/>
      <c r="F100" s="24"/>
      <c r="G100" s="24"/>
      <c r="H100" s="24"/>
      <c r="I100" s="24"/>
      <c r="J100" s="24"/>
      <c r="K100" s="24"/>
    </row>
    <row r="101" spans="1:11" x14ac:dyDescent="0.2">
      <c r="A101" s="27" t="s">
        <v>4141</v>
      </c>
      <c r="B101" s="4" t="s">
        <v>4140</v>
      </c>
      <c r="C101" s="24"/>
      <c r="D101" s="24"/>
      <c r="E101" s="24"/>
      <c r="F101" s="24"/>
      <c r="G101" s="24"/>
      <c r="H101" s="24"/>
      <c r="I101" s="24"/>
      <c r="J101" s="24"/>
      <c r="K101" s="24"/>
    </row>
    <row r="102" spans="1:11" x14ac:dyDescent="0.2">
      <c r="A102" s="27" t="s">
        <v>4142</v>
      </c>
      <c r="B102" s="4" t="s">
        <v>4140</v>
      </c>
      <c r="C102" s="226"/>
      <c r="D102" s="226"/>
      <c r="E102" s="226"/>
      <c r="F102" s="226"/>
      <c r="G102" s="226"/>
      <c r="H102" s="226"/>
      <c r="I102" s="226"/>
      <c r="J102" s="226"/>
      <c r="K102" s="226"/>
    </row>
    <row r="103" spans="1:11" x14ac:dyDescent="0.2">
      <c r="A103" s="27" t="s">
        <v>4143</v>
      </c>
      <c r="B103" s="4" t="s">
        <v>4140</v>
      </c>
      <c r="C103" s="226"/>
      <c r="D103" s="226"/>
      <c r="E103" s="226"/>
      <c r="F103" s="226"/>
      <c r="G103" s="226"/>
      <c r="H103" s="226"/>
      <c r="I103" s="226"/>
      <c r="J103" s="226"/>
      <c r="K103" s="226"/>
    </row>
    <row r="104" spans="1:11" x14ac:dyDescent="0.2">
      <c r="A104" s="1009" t="s">
        <v>4146</v>
      </c>
      <c r="B104" s="1020" t="s">
        <v>4144</v>
      </c>
      <c r="C104" s="1020"/>
      <c r="D104" s="1020"/>
      <c r="E104" s="1020"/>
      <c r="F104" s="1020"/>
      <c r="G104" s="1020"/>
      <c r="H104" s="1020"/>
      <c r="I104" s="1020"/>
      <c r="J104" s="1020"/>
      <c r="K104" s="1020"/>
    </row>
    <row r="105" spans="1:11" ht="42" customHeight="1" x14ac:dyDescent="0.2">
      <c r="A105" s="27"/>
      <c r="B105" s="1020"/>
      <c r="C105" s="1020"/>
      <c r="D105" s="1020"/>
      <c r="E105" s="1020"/>
      <c r="F105" s="1020"/>
      <c r="G105" s="1020"/>
      <c r="H105" s="1020"/>
      <c r="I105" s="1020"/>
      <c r="J105" s="1020"/>
      <c r="K105" s="1020"/>
    </row>
    <row r="106" spans="1:11" x14ac:dyDescent="0.2">
      <c r="A106" s="1009" t="s">
        <v>4147</v>
      </c>
      <c r="B106" s="1020" t="s">
        <v>4145</v>
      </c>
      <c r="C106" s="1020"/>
      <c r="D106" s="1020"/>
      <c r="E106" s="1020"/>
      <c r="F106" s="1020"/>
      <c r="G106" s="1020"/>
      <c r="H106" s="1020"/>
      <c r="I106" s="1020"/>
      <c r="J106" s="1020"/>
      <c r="K106" s="1020"/>
    </row>
    <row r="107" spans="1:11" ht="39" customHeight="1" x14ac:dyDescent="0.2">
      <c r="A107" s="33"/>
      <c r="B107" s="1020"/>
      <c r="C107" s="1020"/>
      <c r="D107" s="1020"/>
      <c r="E107" s="1020"/>
      <c r="F107" s="1020"/>
      <c r="G107" s="1020"/>
      <c r="H107" s="1020"/>
      <c r="I107" s="1020"/>
      <c r="J107" s="1020"/>
      <c r="K107" s="1020"/>
    </row>
    <row r="108" spans="1:11" ht="4.5" customHeight="1" x14ac:dyDescent="0.2">
      <c r="A108" s="4"/>
    </row>
    <row r="109" spans="1:11" ht="12.75" customHeight="1" x14ac:dyDescent="0.2">
      <c r="A109" s="4"/>
      <c r="B109" s="1030" t="s">
        <v>682</v>
      </c>
      <c r="C109" s="1030"/>
      <c r="D109" s="1030"/>
      <c r="E109" s="1030"/>
      <c r="F109" s="1030"/>
      <c r="G109" s="1030"/>
      <c r="H109" s="1030"/>
      <c r="I109" s="1030"/>
      <c r="J109" s="1030"/>
      <c r="K109" s="1030"/>
    </row>
    <row r="110" spans="1:11" x14ac:dyDescent="0.2">
      <c r="A110" s="4"/>
      <c r="B110" s="1030"/>
      <c r="C110" s="1030"/>
      <c r="D110" s="1030"/>
      <c r="E110" s="1030"/>
      <c r="F110" s="1030"/>
      <c r="G110" s="1030"/>
      <c r="H110" s="1030"/>
      <c r="I110" s="1030"/>
      <c r="J110" s="1030"/>
      <c r="K110" s="1030"/>
    </row>
    <row r="111" spans="1:11" ht="10.5" customHeight="1" x14ac:dyDescent="0.2">
      <c r="A111" s="4"/>
    </row>
    <row r="112" spans="1:11" x14ac:dyDescent="0.2">
      <c r="A112" s="4" t="s">
        <v>64</v>
      </c>
    </row>
    <row r="125" spans="1:12" x14ac:dyDescent="0.2">
      <c r="A125" s="4" t="s">
        <v>69</v>
      </c>
    </row>
    <row r="126" spans="1:12" x14ac:dyDescent="0.2">
      <c r="A126" s="1019" t="s">
        <v>644</v>
      </c>
      <c r="B126" s="1019"/>
      <c r="C126" s="1019"/>
      <c r="D126" s="1019"/>
      <c r="E126" s="1019"/>
      <c r="F126" s="1019"/>
      <c r="G126" s="1019"/>
      <c r="H126" s="1019"/>
      <c r="I126" s="1019"/>
      <c r="J126" s="1019"/>
      <c r="K126" s="1019"/>
      <c r="L126" s="1019"/>
    </row>
    <row r="127" spans="1:12" x14ac:dyDescent="0.2">
      <c r="A127" s="1019"/>
      <c r="B127" s="1019"/>
      <c r="C127" s="1019"/>
      <c r="D127" s="1019"/>
      <c r="E127" s="1019"/>
      <c r="F127" s="1019"/>
      <c r="G127" s="1019"/>
      <c r="H127" s="1019"/>
      <c r="I127" s="1019"/>
      <c r="J127" s="1019"/>
      <c r="K127" s="1019"/>
      <c r="L127" s="1019"/>
    </row>
    <row r="128" spans="1:12" x14ac:dyDescent="0.2">
      <c r="A128" s="1019"/>
      <c r="B128" s="1019"/>
      <c r="C128" s="1019"/>
      <c r="D128" s="1019"/>
      <c r="E128" s="1019"/>
      <c r="F128" s="1019"/>
      <c r="G128" s="1019"/>
      <c r="H128" s="1019"/>
      <c r="I128" s="1019"/>
      <c r="J128" s="1019"/>
      <c r="K128" s="1019"/>
      <c r="L128" s="1019"/>
    </row>
    <row r="129" spans="1:12" ht="30" customHeight="1" x14ac:dyDescent="0.2">
      <c r="A129" s="1019"/>
      <c r="B129" s="1019"/>
      <c r="C129" s="1019"/>
      <c r="D129" s="1019"/>
      <c r="E129" s="1019"/>
      <c r="F129" s="1019"/>
      <c r="G129" s="1019"/>
      <c r="H129" s="1019"/>
      <c r="I129" s="1019"/>
      <c r="J129" s="1019"/>
      <c r="K129" s="1019"/>
      <c r="L129" s="1019"/>
    </row>
    <row r="135" spans="1:12" x14ac:dyDescent="0.2">
      <c r="C135" s="355"/>
    </row>
    <row r="136" spans="1:12" x14ac:dyDescent="0.2">
      <c r="C136" s="243"/>
    </row>
  </sheetData>
  <customSheetViews>
    <customSheetView guid="{D2B860EA-92EC-4999-9A59-C624E1F8C7FB}" topLeftCell="A88">
      <selection activeCell="N101" sqref="N101"/>
      <rowBreaks count="1" manualBreakCount="1">
        <brk id="56" max="11" man="1"/>
      </rowBreaks>
      <pageMargins left="0.61" right="0.39" top="0.65" bottom="0.65" header="0.5" footer="0.5"/>
      <pageSetup scale="90" orientation="portrait" r:id="rId1"/>
      <headerFooter alignWithMargins="0">
        <oddHeader>&amp;RInstructions</oddHeader>
        <oddFooter>&amp;L&amp;8&amp;F &amp;R&amp;P</oddFooter>
      </headerFooter>
    </customSheetView>
    <customSheetView guid="{C1197650-3ED8-49E4-8E4C-0D1D4B503FC0}" topLeftCell="A88">
      <selection activeCell="N101" sqref="N101"/>
      <rowBreaks count="1" manualBreakCount="1">
        <brk id="56" max="11" man="1"/>
      </rowBreaks>
      <pageMargins left="0.61" right="0.39" top="0.65" bottom="0.65" header="0.5" footer="0.5"/>
      <pageSetup scale="90" orientation="portrait" r:id="rId2"/>
      <headerFooter alignWithMargins="0">
        <oddHeader>&amp;RInstructions</oddHeader>
        <oddFooter>&amp;L&amp;8&amp;F &amp;R&amp;P</oddFooter>
      </headerFooter>
    </customSheetView>
  </customSheetViews>
  <mergeCells count="31">
    <mergeCell ref="A126:L129"/>
    <mergeCell ref="B109:K110"/>
    <mergeCell ref="B91:K92"/>
    <mergeCell ref="B74:K75"/>
    <mergeCell ref="B87:K88"/>
    <mergeCell ref="B89:K90"/>
    <mergeCell ref="B80:K80"/>
    <mergeCell ref="B93:K94"/>
    <mergeCell ref="A74:A75"/>
    <mergeCell ref="B83:K84"/>
    <mergeCell ref="A2:K3"/>
    <mergeCell ref="B81:K82"/>
    <mergeCell ref="A24:K26"/>
    <mergeCell ref="A28:K33"/>
    <mergeCell ref="A5:K7"/>
    <mergeCell ref="A12:K14"/>
    <mergeCell ref="A61:K66"/>
    <mergeCell ref="B76:K77"/>
    <mergeCell ref="A70:K71"/>
    <mergeCell ref="A53:K57"/>
    <mergeCell ref="A9:K10"/>
    <mergeCell ref="A20:K22"/>
    <mergeCell ref="A23:K23"/>
    <mergeCell ref="A35:K37"/>
    <mergeCell ref="A39:K40"/>
    <mergeCell ref="A46:K51"/>
    <mergeCell ref="A42:K42"/>
    <mergeCell ref="B95:K96"/>
    <mergeCell ref="B104:K105"/>
    <mergeCell ref="B106:K107"/>
    <mergeCell ref="A16:K18"/>
  </mergeCells>
  <phoneticPr fontId="14" type="noConversion"/>
  <pageMargins left="0.61" right="0.39" top="0.65" bottom="0.65" header="0.5" footer="0.5"/>
  <pageSetup scale="90" orientation="portrait" r:id="rId3"/>
  <headerFooter alignWithMargins="0">
    <oddHeader>&amp;RInstructions</oddHeader>
    <oddFooter>&amp;L&amp;8&amp;F &amp;R&amp;P</oddFooter>
  </headerFooter>
  <rowBreaks count="1" manualBreakCount="1">
    <brk id="58" max="11" man="1"/>
  </rowBreaks>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30"/>
  <sheetViews>
    <sheetView topLeftCell="B18" zoomScale="98" zoomScaleNormal="98" workbookViewId="0">
      <selection activeCell="N31" sqref="N3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7.7109375" customWidth="1"/>
    <col min="15" max="15" width="10" bestFit="1" customWidth="1"/>
    <col min="16" max="16" width="1.7109375" customWidth="1"/>
    <col min="17" max="17" width="11.28515625" customWidth="1"/>
    <col min="18" max="19" width="11.42578125" customWidth="1"/>
    <col min="21" max="21" width="9.5703125" bestFit="1" customWidth="1"/>
  </cols>
  <sheetData>
    <row r="1" spans="1:16" ht="7.5" customHeight="1" x14ac:dyDescent="0.2"/>
    <row r="2" spans="1:16" ht="33.75" customHeight="1" x14ac:dyDescent="0.25">
      <c r="A2" s="1103" t="s">
        <v>863</v>
      </c>
      <c r="B2" s="1104"/>
      <c r="C2" s="1104"/>
      <c r="D2" s="1104"/>
      <c r="E2" s="1104"/>
      <c r="F2" s="1104"/>
      <c r="G2" s="1104"/>
      <c r="H2" s="1104"/>
      <c r="I2" s="1104"/>
      <c r="J2" s="1104"/>
      <c r="K2" s="1104"/>
      <c r="L2" s="1104"/>
      <c r="M2" s="1104"/>
      <c r="N2" s="1104"/>
      <c r="O2" s="1104"/>
      <c r="P2" s="1105"/>
    </row>
    <row r="3" spans="1:16" ht="11.25" customHeight="1" x14ac:dyDescent="0.2"/>
    <row r="4" spans="1:16" ht="91.5" customHeight="1" x14ac:dyDescent="0.2">
      <c r="B4" s="1106" t="s">
        <v>1130</v>
      </c>
      <c r="C4" s="1019"/>
      <c r="D4" s="1019"/>
      <c r="E4" s="1019"/>
      <c r="F4" s="1019"/>
      <c r="G4" s="1019"/>
      <c r="H4" s="1019"/>
      <c r="I4" s="1019"/>
      <c r="J4" s="1019"/>
      <c r="K4" s="1019"/>
      <c r="L4" s="1019"/>
      <c r="M4" s="1019"/>
      <c r="N4" s="1019"/>
      <c r="O4" s="1019"/>
      <c r="P4" s="1019"/>
    </row>
    <row r="5" spans="1:16" ht="5.25" customHeight="1" x14ac:dyDescent="0.2"/>
    <row r="6" spans="1:16" ht="9" customHeight="1" x14ac:dyDescent="0.2"/>
    <row r="7" spans="1:16" ht="12.75" customHeight="1" x14ac:dyDescent="0.2">
      <c r="B7" s="28" t="s">
        <v>513</v>
      </c>
      <c r="C7" s="1019" t="s">
        <v>862</v>
      </c>
      <c r="D7" s="1019"/>
      <c r="E7" s="1019"/>
      <c r="F7" s="1019"/>
      <c r="G7" s="1019"/>
      <c r="H7" s="1019"/>
      <c r="I7" s="1019"/>
      <c r="J7" s="1019"/>
      <c r="K7" s="1019"/>
      <c r="L7" s="1019"/>
      <c r="M7" s="1019"/>
      <c r="N7" s="1019"/>
      <c r="O7" s="1019"/>
      <c r="P7" s="1019"/>
    </row>
    <row r="8" spans="1:16" ht="12.75" customHeight="1" x14ac:dyDescent="0.2">
      <c r="B8" s="28"/>
      <c r="C8" s="1019"/>
      <c r="D8" s="1019"/>
      <c r="E8" s="1019"/>
      <c r="F8" s="1019"/>
      <c r="G8" s="1019"/>
      <c r="H8" s="1019"/>
      <c r="I8" s="1019"/>
      <c r="J8" s="1019"/>
      <c r="K8" s="1019"/>
      <c r="L8" s="1019"/>
      <c r="M8" s="1019"/>
      <c r="N8" s="1019"/>
      <c r="O8" s="1019"/>
      <c r="P8" s="1019"/>
    </row>
    <row r="9" spans="1:16" ht="5.25" customHeight="1" x14ac:dyDescent="0.2">
      <c r="B9" s="28"/>
      <c r="C9" s="24"/>
      <c r="D9" s="24"/>
      <c r="E9" s="24"/>
      <c r="F9" s="24"/>
      <c r="G9" s="24"/>
      <c r="H9" s="24"/>
      <c r="I9" s="24"/>
      <c r="J9" s="24"/>
      <c r="K9" s="24"/>
      <c r="L9" s="24"/>
      <c r="M9" s="24"/>
      <c r="N9" s="24"/>
      <c r="O9" s="24"/>
      <c r="P9" s="24"/>
    </row>
    <row r="10" spans="1:16" ht="12.75" customHeight="1" x14ac:dyDescent="0.2">
      <c r="B10" s="28" t="s">
        <v>514</v>
      </c>
      <c r="C10" s="1019" t="s">
        <v>159</v>
      </c>
      <c r="D10" s="1019"/>
      <c r="E10" s="1019"/>
      <c r="F10" s="1019"/>
      <c r="G10" s="1019"/>
      <c r="H10" s="1019"/>
      <c r="I10" s="1019"/>
      <c r="J10" s="1019"/>
      <c r="K10" s="1019"/>
      <c r="L10" s="1019"/>
      <c r="M10" s="1019"/>
      <c r="N10" s="1019"/>
      <c r="O10" s="1019"/>
    </row>
    <row r="11" spans="1:16" ht="12.75" customHeight="1" x14ac:dyDescent="0.2">
      <c r="B11" s="28"/>
      <c r="C11" s="1019"/>
      <c r="D11" s="1019"/>
      <c r="E11" s="1019"/>
      <c r="F11" s="1019"/>
      <c r="G11" s="1019"/>
      <c r="H11" s="1019"/>
      <c r="I11" s="1019"/>
      <c r="J11" s="1019"/>
      <c r="K11" s="1019"/>
      <c r="L11" s="1019"/>
      <c r="M11" s="1019"/>
      <c r="N11" s="1019"/>
      <c r="O11" s="1019"/>
    </row>
    <row r="12" spans="1:16" ht="5.25" customHeight="1" x14ac:dyDescent="0.2">
      <c r="B12" s="28"/>
    </row>
    <row r="13" spans="1:16" ht="12.75" customHeight="1" x14ac:dyDescent="0.2">
      <c r="B13" s="28" t="s">
        <v>806</v>
      </c>
      <c r="C13" s="1106" t="s">
        <v>1113</v>
      </c>
      <c r="D13" s="1019"/>
      <c r="E13" s="1019"/>
      <c r="F13" s="1019"/>
      <c r="G13" s="1019"/>
      <c r="H13" s="1019"/>
      <c r="I13" s="1019"/>
      <c r="J13" s="1019"/>
      <c r="K13" s="1019"/>
      <c r="L13" s="1019"/>
      <c r="M13" s="1019"/>
      <c r="N13" s="1019"/>
      <c r="O13" s="1019"/>
    </row>
    <row r="14" spans="1:16" ht="12.75" customHeight="1" x14ac:dyDescent="0.2">
      <c r="B14" s="28"/>
      <c r="C14" s="1019"/>
      <c r="D14" s="1019"/>
      <c r="E14" s="1019"/>
      <c r="F14" s="1019"/>
      <c r="G14" s="1019"/>
      <c r="H14" s="1019"/>
      <c r="I14" s="1019"/>
      <c r="J14" s="1019"/>
      <c r="K14" s="1019"/>
      <c r="L14" s="1019"/>
      <c r="M14" s="1019"/>
      <c r="N14" s="1019"/>
      <c r="O14" s="1019"/>
    </row>
    <row r="15" spans="1:16" ht="6" customHeight="1" x14ac:dyDescent="0.2"/>
    <row r="16" spans="1:16" x14ac:dyDescent="0.2">
      <c r="C16" s="1019"/>
      <c r="D16" s="1019"/>
      <c r="E16" s="1019"/>
      <c r="F16" s="1019"/>
      <c r="G16" s="1019"/>
      <c r="H16" s="1019"/>
      <c r="I16" s="1019"/>
      <c r="J16" s="1019"/>
      <c r="K16" s="1019"/>
      <c r="L16" s="1019"/>
      <c r="M16" s="1019"/>
      <c r="N16" s="1019"/>
      <c r="O16" s="1019"/>
    </row>
    <row r="17" spans="1:16" ht="25.5" customHeight="1" x14ac:dyDescent="0.2">
      <c r="A17" s="4" t="s">
        <v>539</v>
      </c>
      <c r="B17" s="1097" t="s">
        <v>158</v>
      </c>
      <c r="C17" s="1098"/>
      <c r="D17" s="1098"/>
      <c r="E17" s="1098"/>
      <c r="F17" s="1098"/>
      <c r="G17" s="1098"/>
      <c r="H17" s="1098"/>
      <c r="I17" s="1098"/>
      <c r="J17" s="1098"/>
      <c r="K17" s="1098"/>
      <c r="L17" s="1098"/>
      <c r="M17" s="1098"/>
      <c r="N17" s="1098"/>
      <c r="O17" s="1099"/>
      <c r="P17" s="4"/>
    </row>
    <row r="18" spans="1:16" ht="12.75" customHeight="1" x14ac:dyDescent="0.2">
      <c r="B18" s="4"/>
      <c r="H18" s="23"/>
    </row>
    <row r="19" spans="1:16" x14ac:dyDescent="0.2">
      <c r="B19" s="4"/>
      <c r="H19" s="23"/>
      <c r="J19" s="33" t="s">
        <v>1029</v>
      </c>
      <c r="K19" s="33"/>
      <c r="L19" s="33"/>
      <c r="M19" s="33"/>
      <c r="N19" s="199" t="s">
        <v>1114</v>
      </c>
    </row>
    <row r="20" spans="1:16" x14ac:dyDescent="0.2">
      <c r="H20" s="10"/>
      <c r="I20" s="10"/>
      <c r="J20" s="3" t="s">
        <v>506</v>
      </c>
      <c r="K20" s="3" t="s">
        <v>1030</v>
      </c>
      <c r="L20" s="3" t="s">
        <v>1031</v>
      </c>
      <c r="M20" s="3"/>
      <c r="N20" s="3" t="s">
        <v>1115</v>
      </c>
    </row>
    <row r="21" spans="1:16" ht="6" customHeight="1" x14ac:dyDescent="0.2">
      <c r="H21" s="10"/>
      <c r="I21" s="10"/>
    </row>
    <row r="22" spans="1:16" ht="13.5" customHeight="1" x14ac:dyDescent="0.2">
      <c r="B22" s="28" t="s">
        <v>513</v>
      </c>
      <c r="C22" s="1019" t="s">
        <v>864</v>
      </c>
      <c r="D22" s="1019"/>
      <c r="E22" s="1019"/>
      <c r="F22" s="1019"/>
      <c r="G22" s="1019"/>
      <c r="H22" s="1019"/>
      <c r="I22" s="10"/>
      <c r="J22" s="23"/>
    </row>
    <row r="23" spans="1:16" ht="24.75" customHeight="1" x14ac:dyDescent="0.2">
      <c r="B23" s="28"/>
      <c r="C23" s="1019"/>
      <c r="D23" s="1019"/>
      <c r="E23" s="1019"/>
      <c r="F23" s="1019"/>
      <c r="G23" s="1019"/>
      <c r="H23" s="1019"/>
      <c r="I23" s="10"/>
      <c r="J23" s="23"/>
    </row>
    <row r="24" spans="1:16" x14ac:dyDescent="0.2">
      <c r="D24" t="s">
        <v>61</v>
      </c>
      <c r="H24"/>
      <c r="I24" s="10"/>
      <c r="J24" s="298">
        <v>0</v>
      </c>
      <c r="K24" s="299"/>
      <c r="L24" s="299"/>
      <c r="M24" s="300"/>
      <c r="N24" s="299">
        <v>0</v>
      </c>
    </row>
    <row r="25" spans="1:16" x14ac:dyDescent="0.2">
      <c r="D25" t="s">
        <v>62</v>
      </c>
      <c r="H25"/>
      <c r="I25" s="10"/>
      <c r="J25" s="298">
        <v>0</v>
      </c>
      <c r="K25" s="5"/>
      <c r="L25" s="5"/>
      <c r="M25" s="5"/>
      <c r="N25" s="299">
        <v>0</v>
      </c>
    </row>
    <row r="26" spans="1:16" x14ac:dyDescent="0.2">
      <c r="D26" t="s">
        <v>206</v>
      </c>
      <c r="H26"/>
      <c r="I26" s="10"/>
      <c r="J26" s="298">
        <v>1200000</v>
      </c>
      <c r="K26" s="5"/>
      <c r="L26" s="5"/>
      <c r="M26" s="5"/>
      <c r="N26" s="299">
        <v>0</v>
      </c>
    </row>
    <row r="27" spans="1:16" x14ac:dyDescent="0.2">
      <c r="D27" t="s">
        <v>4115</v>
      </c>
      <c r="H27"/>
      <c r="I27" s="10"/>
      <c r="J27" s="298">
        <v>279755</v>
      </c>
      <c r="K27" s="5"/>
      <c r="L27" s="5"/>
      <c r="M27" s="5"/>
      <c r="N27" s="299">
        <v>0</v>
      </c>
    </row>
    <row r="28" spans="1:16" x14ac:dyDescent="0.2">
      <c r="D28" t="s">
        <v>4157</v>
      </c>
      <c r="H28"/>
      <c r="I28" s="10"/>
      <c r="J28" s="298">
        <v>48781</v>
      </c>
      <c r="K28" s="5"/>
      <c r="L28" s="5"/>
      <c r="M28" s="5"/>
      <c r="N28" s="299"/>
    </row>
    <row r="29" spans="1:16" x14ac:dyDescent="0.2">
      <c r="H29" s="10"/>
      <c r="I29" s="10"/>
      <c r="J29" s="89"/>
    </row>
    <row r="30" spans="1:16" ht="7.5" customHeight="1" x14ac:dyDescent="0.2">
      <c r="H30" s="10"/>
      <c r="I30" s="10"/>
      <c r="J30" s="23"/>
    </row>
    <row r="31" spans="1:16" ht="17.25" thickBot="1" x14ac:dyDescent="0.4">
      <c r="D31" t="s">
        <v>202</v>
      </c>
      <c r="H31" s="10"/>
      <c r="I31" s="45"/>
      <c r="J31" s="65">
        <f>SUM(J24:J29)</f>
        <v>1528536</v>
      </c>
      <c r="N31" s="5"/>
    </row>
    <row r="32" spans="1:16" ht="17.25" thickTop="1" x14ac:dyDescent="0.35">
      <c r="H32" s="10"/>
      <c r="I32" s="45"/>
      <c r="J32" s="5"/>
    </row>
    <row r="33" spans="1:16" x14ac:dyDescent="0.2">
      <c r="H33" s="10"/>
    </row>
    <row r="34" spans="1:16" ht="25.5" customHeight="1" x14ac:dyDescent="0.2">
      <c r="A34" s="4" t="s">
        <v>540</v>
      </c>
      <c r="B34" s="1097" t="s">
        <v>866</v>
      </c>
      <c r="C34" s="1098"/>
      <c r="D34" s="1098"/>
      <c r="E34" s="1098"/>
      <c r="F34" s="1098"/>
      <c r="G34" s="1098"/>
      <c r="H34" s="1098"/>
      <c r="I34" s="1098"/>
      <c r="J34" s="1098"/>
      <c r="K34" s="1098"/>
      <c r="L34" s="1098"/>
      <c r="M34" s="1098"/>
      <c r="N34" s="1098"/>
      <c r="O34" s="1099"/>
      <c r="P34" s="4"/>
    </row>
    <row r="35" spans="1:16" ht="19.5" customHeight="1" x14ac:dyDescent="0.2">
      <c r="H35" s="10"/>
      <c r="I35" s="10"/>
      <c r="J35" s="10"/>
      <c r="K35" s="10"/>
      <c r="L35" s="10"/>
      <c r="N35" s="10"/>
    </row>
    <row r="36" spans="1:16" ht="13.5" customHeight="1" x14ac:dyDescent="0.2">
      <c r="B36" s="4" t="s">
        <v>867</v>
      </c>
      <c r="H36" s="10"/>
      <c r="I36" s="10"/>
      <c r="J36" s="10"/>
      <c r="K36" s="10"/>
      <c r="L36" s="10"/>
      <c r="N36" s="10"/>
    </row>
    <row r="37" spans="1:16" ht="12.75" customHeight="1" x14ac:dyDescent="0.2">
      <c r="B37" s="28" t="s">
        <v>513</v>
      </c>
      <c r="C37" s="1019" t="s">
        <v>701</v>
      </c>
      <c r="D37" s="1019"/>
      <c r="E37" s="1019"/>
      <c r="F37" s="1019"/>
      <c r="G37" s="1019"/>
      <c r="H37"/>
      <c r="K37" s="1154">
        <v>3000000</v>
      </c>
      <c r="L37" s="10"/>
      <c r="N37" s="10"/>
    </row>
    <row r="38" spans="1:16" ht="15.75" customHeight="1" x14ac:dyDescent="0.2">
      <c r="B38" s="28"/>
      <c r="C38" s="1019"/>
      <c r="D38" s="1019"/>
      <c r="E38" s="1019"/>
      <c r="F38" s="1019"/>
      <c r="G38" s="1019"/>
      <c r="H38"/>
      <c r="K38" s="1154"/>
      <c r="L38" s="10"/>
    </row>
    <row r="39" spans="1:16" ht="4.5" customHeight="1" x14ac:dyDescent="0.2">
      <c r="H39"/>
      <c r="K39" s="10"/>
      <c r="L39" s="10"/>
      <c r="M39" s="1161" t="s">
        <v>1124</v>
      </c>
      <c r="N39" s="1161"/>
    </row>
    <row r="40" spans="1:16" ht="23.25" customHeight="1" x14ac:dyDescent="0.2">
      <c r="B40" s="28" t="s">
        <v>514</v>
      </c>
      <c r="C40" s="1106" t="s">
        <v>1125</v>
      </c>
      <c r="D40" s="1106"/>
      <c r="E40" s="1106"/>
      <c r="F40" s="1106"/>
      <c r="G40" s="1106"/>
      <c r="H40"/>
      <c r="I40" s="1161" t="s">
        <v>938</v>
      </c>
      <c r="J40" s="1160"/>
      <c r="K40" s="1161" t="s">
        <v>939</v>
      </c>
      <c r="L40" s="1133">
        <v>0</v>
      </c>
      <c r="M40" s="1161"/>
      <c r="N40" s="1161"/>
      <c r="O40" s="1133"/>
    </row>
    <row r="41" spans="1:16" ht="1.5" customHeight="1" x14ac:dyDescent="0.2">
      <c r="B41" s="28"/>
      <c r="C41" s="1106"/>
      <c r="D41" s="1106"/>
      <c r="E41" s="1106"/>
      <c r="F41" s="1106"/>
      <c r="G41" s="1106"/>
      <c r="H41"/>
      <c r="I41" s="1161"/>
      <c r="J41" s="1160"/>
      <c r="K41" s="1161"/>
      <c r="L41" s="1133"/>
      <c r="M41" s="1161"/>
      <c r="N41" s="1161"/>
      <c r="O41" s="1133"/>
    </row>
    <row r="42" spans="1:16" ht="12.75" customHeight="1" x14ac:dyDescent="0.2">
      <c r="H42"/>
      <c r="K42" s="10"/>
      <c r="L42" s="10"/>
      <c r="N42" s="10"/>
    </row>
    <row r="43" spans="1:16" ht="12.75" customHeight="1" x14ac:dyDescent="0.2">
      <c r="B43" s="4" t="s">
        <v>784</v>
      </c>
      <c r="H43"/>
      <c r="K43" s="10"/>
      <c r="L43" s="10"/>
      <c r="N43" s="10"/>
    </row>
    <row r="44" spans="1:16" ht="14.25" customHeight="1" x14ac:dyDescent="0.2">
      <c r="B44" s="28" t="s">
        <v>515</v>
      </c>
      <c r="C44" s="1032" t="s">
        <v>931</v>
      </c>
      <c r="D44" s="1032"/>
      <c r="E44" s="1032"/>
      <c r="F44" s="1032"/>
      <c r="G44" s="1032"/>
      <c r="H44"/>
      <c r="K44" s="298">
        <v>3365000</v>
      </c>
      <c r="L44" s="10"/>
    </row>
    <row r="45" spans="1:16" ht="4.5" customHeight="1" x14ac:dyDescent="0.2">
      <c r="H45"/>
      <c r="K45" s="282"/>
      <c r="L45" s="10"/>
    </row>
    <row r="46" spans="1:16" ht="14.25" customHeight="1" x14ac:dyDescent="0.2">
      <c r="B46" s="28" t="s">
        <v>541</v>
      </c>
      <c r="C46" s="1155" t="s">
        <v>499</v>
      </c>
      <c r="D46" s="1155"/>
      <c r="E46" s="1155"/>
      <c r="F46" s="1155"/>
      <c r="G46" s="1155"/>
      <c r="H46"/>
      <c r="J46" s="14"/>
      <c r="K46" s="298"/>
    </row>
    <row r="47" spans="1:16" ht="4.5" customHeight="1" x14ac:dyDescent="0.2">
      <c r="H47"/>
      <c r="K47" s="282"/>
      <c r="L47" s="10"/>
    </row>
    <row r="48" spans="1:16" ht="12.75" customHeight="1" x14ac:dyDescent="0.2">
      <c r="B48" s="28" t="s">
        <v>542</v>
      </c>
      <c r="C48" t="s">
        <v>500</v>
      </c>
      <c r="H48"/>
      <c r="K48" s="298"/>
      <c r="L48" s="10"/>
    </row>
    <row r="49" spans="1:17" ht="4.5" customHeight="1" x14ac:dyDescent="0.2">
      <c r="H49"/>
      <c r="K49" s="282"/>
      <c r="L49" s="10"/>
    </row>
    <row r="50" spans="1:17" ht="14.25" customHeight="1" x14ac:dyDescent="0.2">
      <c r="B50" s="28" t="s">
        <v>855</v>
      </c>
      <c r="C50" s="1032" t="s">
        <v>865</v>
      </c>
      <c r="D50" s="1032"/>
      <c r="E50" s="1032"/>
      <c r="F50" s="1032"/>
      <c r="G50" s="1032"/>
      <c r="H50"/>
      <c r="K50" s="301">
        <v>65000</v>
      </c>
      <c r="L50" s="10"/>
      <c r="N50" s="5"/>
    </row>
    <row r="51" spans="1:17" ht="12.75" customHeight="1" x14ac:dyDescent="0.2">
      <c r="D51" t="s">
        <v>179</v>
      </c>
      <c r="H51"/>
      <c r="K51" s="116">
        <f>K44-K46+K48-K50</f>
        <v>3300000</v>
      </c>
      <c r="L51" s="10"/>
      <c r="N51" s="10"/>
      <c r="O51" s="37"/>
    </row>
    <row r="52" spans="1:17" ht="12.75" customHeight="1" x14ac:dyDescent="0.2">
      <c r="H52"/>
      <c r="K52" s="10"/>
      <c r="L52" s="10"/>
      <c r="N52" s="10"/>
      <c r="O52" s="37"/>
    </row>
    <row r="53" spans="1:17" ht="12.75" customHeight="1" x14ac:dyDescent="0.2">
      <c r="B53" s="4" t="s">
        <v>501</v>
      </c>
      <c r="H53"/>
      <c r="K53" s="10"/>
      <c r="L53" s="10"/>
      <c r="N53" s="10"/>
      <c r="O53" s="37"/>
    </row>
    <row r="54" spans="1:17" ht="13.5" customHeight="1" x14ac:dyDescent="0.2">
      <c r="B54" s="28" t="s">
        <v>937</v>
      </c>
      <c r="C54" s="1019" t="s">
        <v>936</v>
      </c>
      <c r="D54" s="1019"/>
      <c r="E54" s="1019"/>
      <c r="F54" s="1019"/>
      <c r="G54" s="1019"/>
      <c r="H54"/>
      <c r="K54" s="1154">
        <v>3300000</v>
      </c>
      <c r="L54" s="10"/>
      <c r="N54" s="10"/>
    </row>
    <row r="55" spans="1:17" ht="12" customHeight="1" x14ac:dyDescent="0.2">
      <c r="B55" s="28"/>
      <c r="C55" s="1019"/>
      <c r="D55" s="1019"/>
      <c r="E55" s="1019"/>
      <c r="F55" s="1019"/>
      <c r="G55" s="1019"/>
      <c r="H55"/>
      <c r="K55" s="1154"/>
      <c r="L55" s="10"/>
      <c r="N55" s="10"/>
    </row>
    <row r="56" spans="1:17" ht="4.5" customHeight="1" x14ac:dyDescent="0.2">
      <c r="B56" s="28"/>
      <c r="H56"/>
      <c r="K56" s="10"/>
      <c r="L56" s="10"/>
      <c r="N56" s="10"/>
    </row>
    <row r="57" spans="1:17" ht="13.5" customHeight="1" x14ac:dyDescent="0.2">
      <c r="B57" s="28" t="s">
        <v>293</v>
      </c>
      <c r="C57" s="1019" t="s">
        <v>940</v>
      </c>
      <c r="D57" s="1019"/>
      <c r="E57" s="1019"/>
      <c r="F57" s="1019"/>
      <c r="G57" s="1019"/>
      <c r="H57"/>
      <c r="K57" s="1154">
        <v>15000</v>
      </c>
      <c r="L57" s="10"/>
      <c r="N57" s="10"/>
    </row>
    <row r="58" spans="1:17" ht="12.75" customHeight="1" x14ac:dyDescent="0.2">
      <c r="B58" s="28"/>
      <c r="C58" s="1019"/>
      <c r="D58" s="1019"/>
      <c r="E58" s="1019"/>
      <c r="F58" s="1019"/>
      <c r="G58" s="1019"/>
      <c r="H58"/>
      <c r="K58" s="1154"/>
      <c r="L58" s="10"/>
      <c r="N58" s="10"/>
    </row>
    <row r="59" spans="1:17" ht="12.75" customHeight="1" x14ac:dyDescent="0.2">
      <c r="B59" s="28"/>
      <c r="C59" s="24"/>
      <c r="D59" s="1019" t="s">
        <v>180</v>
      </c>
      <c r="E59" s="1019"/>
      <c r="F59" s="1019"/>
      <c r="G59" s="1019"/>
      <c r="H59"/>
      <c r="K59" s="116">
        <f>K54+K57</f>
        <v>3315000</v>
      </c>
      <c r="L59" s="10"/>
      <c r="N59" s="10"/>
    </row>
    <row r="60" spans="1:17" ht="19.5" customHeight="1" x14ac:dyDescent="0.2">
      <c r="G60" s="5"/>
      <c r="H60" s="10"/>
      <c r="I60" s="10"/>
      <c r="J60" s="10"/>
      <c r="K60" s="10"/>
      <c r="L60" s="10"/>
      <c r="N60" s="10"/>
    </row>
    <row r="61" spans="1:17" ht="25.5" customHeight="1" x14ac:dyDescent="0.2">
      <c r="A61" s="4" t="s">
        <v>801</v>
      </c>
      <c r="B61" s="1097" t="s">
        <v>1086</v>
      </c>
      <c r="C61" s="1098"/>
      <c r="D61" s="1098"/>
      <c r="E61" s="1098"/>
      <c r="F61" s="1098"/>
      <c r="G61" s="1098"/>
      <c r="H61" s="1098"/>
      <c r="I61" s="1098"/>
      <c r="J61" s="1098"/>
      <c r="K61" s="1098"/>
      <c r="L61" s="1098"/>
      <c r="M61" s="1098"/>
      <c r="N61" s="1098"/>
      <c r="O61" s="1099"/>
      <c r="P61" s="4"/>
      <c r="Q61" s="158"/>
    </row>
    <row r="62" spans="1:17" ht="10.5" customHeight="1" x14ac:dyDescent="0.2"/>
    <row r="63" spans="1:17" ht="27" customHeight="1" x14ac:dyDescent="0.2">
      <c r="B63" s="1019" t="s">
        <v>702</v>
      </c>
      <c r="C63" s="1019"/>
      <c r="D63" s="1019"/>
      <c r="E63" s="1019"/>
      <c r="F63" s="1019"/>
      <c r="G63" s="1019"/>
      <c r="H63" s="1019"/>
      <c r="I63" s="1019"/>
      <c r="J63" s="1019"/>
      <c r="K63" s="1019"/>
      <c r="L63" s="1019"/>
      <c r="M63" s="1019"/>
      <c r="N63" s="1019"/>
      <c r="O63" s="1019"/>
    </row>
    <row r="64" spans="1:17" ht="6" customHeight="1" x14ac:dyDescent="0.2"/>
    <row r="65" spans="1:15" ht="12.75" customHeight="1" x14ac:dyDescent="0.2">
      <c r="B65" s="28" t="s">
        <v>513</v>
      </c>
      <c r="C65" s="158" t="s">
        <v>1085</v>
      </c>
      <c r="H65" s="71"/>
      <c r="K65" s="298">
        <v>0</v>
      </c>
    </row>
    <row r="66" spans="1:15" ht="9" customHeight="1" x14ac:dyDescent="0.2"/>
    <row r="67" spans="1:15" ht="12.75" customHeight="1" x14ac:dyDescent="0.2">
      <c r="B67" s="28" t="s">
        <v>514</v>
      </c>
      <c r="C67" t="s">
        <v>932</v>
      </c>
      <c r="K67" s="298"/>
    </row>
    <row r="68" spans="1:15" ht="7.5" customHeight="1" x14ac:dyDescent="0.2"/>
    <row r="69" spans="1:15" ht="12.75" customHeight="1" x14ac:dyDescent="0.2">
      <c r="B69" s="28" t="s">
        <v>515</v>
      </c>
      <c r="C69" s="1019" t="s">
        <v>836</v>
      </c>
      <c r="D69" s="1019"/>
      <c r="E69" s="1019"/>
      <c r="F69" s="1019"/>
      <c r="G69" s="1019"/>
      <c r="K69" s="1154">
        <v>22500</v>
      </c>
    </row>
    <row r="70" spans="1:15" ht="12.75" customHeight="1" x14ac:dyDescent="0.2">
      <c r="B70" s="28"/>
      <c r="C70" s="1019"/>
      <c r="D70" s="1019"/>
      <c r="E70" s="1019"/>
      <c r="F70" s="1019"/>
      <c r="G70" s="1019"/>
      <c r="K70" s="1154"/>
    </row>
    <row r="71" spans="1:15" ht="7.5" customHeight="1" x14ac:dyDescent="0.2"/>
    <row r="72" spans="1:15" ht="12.75" customHeight="1" x14ac:dyDescent="0.2">
      <c r="B72" s="28" t="s">
        <v>541</v>
      </c>
      <c r="C72" t="s">
        <v>933</v>
      </c>
      <c r="K72" s="298"/>
    </row>
    <row r="73" spans="1:15" ht="12.75" customHeight="1" x14ac:dyDescent="0.2"/>
    <row r="74" spans="1:15" ht="12.75" customHeight="1" x14ac:dyDescent="0.2"/>
    <row r="75" spans="1:15" ht="25.5" customHeight="1" x14ac:dyDescent="0.2">
      <c r="A75" s="4" t="s">
        <v>807</v>
      </c>
      <c r="B75" s="1097" t="s">
        <v>536</v>
      </c>
      <c r="C75" s="1098"/>
      <c r="D75" s="1098"/>
      <c r="E75" s="1098"/>
      <c r="F75" s="1098"/>
      <c r="G75" s="1098"/>
      <c r="H75" s="1098"/>
      <c r="I75" s="1098"/>
      <c r="J75" s="1098"/>
      <c r="K75" s="1098"/>
      <c r="L75" s="1098"/>
      <c r="M75" s="1098"/>
      <c r="N75" s="1098"/>
      <c r="O75" s="1099"/>
    </row>
    <row r="76" spans="1:15" ht="19.5" customHeight="1" x14ac:dyDescent="0.2"/>
    <row r="77" spans="1:15" ht="12.75" customHeight="1" x14ac:dyDescent="0.2">
      <c r="L77" s="36" t="s">
        <v>509</v>
      </c>
      <c r="N77" s="36" t="s">
        <v>510</v>
      </c>
    </row>
    <row r="78" spans="1:15" ht="12.75" customHeight="1" x14ac:dyDescent="0.2">
      <c r="D78" t="s">
        <v>469</v>
      </c>
      <c r="E78" t="s">
        <v>4116</v>
      </c>
      <c r="L78" s="11">
        <f>R107-S107</f>
        <v>279755</v>
      </c>
      <c r="N78" s="11">
        <v>0</v>
      </c>
    </row>
    <row r="79" spans="1:15" ht="12.75" customHeight="1" x14ac:dyDescent="0.2">
      <c r="E79" t="s">
        <v>4159</v>
      </c>
      <c r="L79" s="11">
        <f>R108-S108</f>
        <v>48781</v>
      </c>
      <c r="N79" s="11">
        <v>0</v>
      </c>
    </row>
    <row r="80" spans="1:15" ht="12.75" customHeight="1" x14ac:dyDescent="0.2">
      <c r="E80" t="s">
        <v>380</v>
      </c>
      <c r="L80" s="11">
        <f>R109-S109</f>
        <v>1200000</v>
      </c>
      <c r="N80" s="11">
        <v>0</v>
      </c>
    </row>
    <row r="81" spans="5:17" ht="12.75" customHeight="1" x14ac:dyDescent="0.2">
      <c r="E81" t="s">
        <v>1018</v>
      </c>
      <c r="L81" s="11">
        <f>R110-S110</f>
        <v>3365000</v>
      </c>
      <c r="N81" s="11">
        <v>0</v>
      </c>
    </row>
    <row r="82" spans="5:17" ht="12.75" customHeight="1" x14ac:dyDescent="0.2">
      <c r="E82" t="s">
        <v>381</v>
      </c>
      <c r="L82" s="11">
        <f>R111-S111</f>
        <v>0</v>
      </c>
      <c r="N82" s="11">
        <v>0</v>
      </c>
    </row>
    <row r="83" spans="5:17" ht="12.75" customHeight="1" x14ac:dyDescent="0.2">
      <c r="E83" t="s">
        <v>382</v>
      </c>
      <c r="L83" s="11">
        <f>R112</f>
        <v>0</v>
      </c>
      <c r="N83" s="11">
        <f>S112</f>
        <v>0</v>
      </c>
    </row>
    <row r="84" spans="5:17" ht="12.75" customHeight="1" x14ac:dyDescent="0.2">
      <c r="E84" s="158" t="s">
        <v>1087</v>
      </c>
      <c r="H84" s="71"/>
      <c r="L84" s="11">
        <f>R113</f>
        <v>0</v>
      </c>
      <c r="N84" s="11">
        <f>S113</f>
        <v>0</v>
      </c>
    </row>
    <row r="85" spans="5:17" ht="12.75" customHeight="1" x14ac:dyDescent="0.2">
      <c r="E85" t="s">
        <v>472</v>
      </c>
      <c r="L85" s="11">
        <f>R114</f>
        <v>315000</v>
      </c>
      <c r="N85" s="11">
        <f>S114</f>
        <v>22500</v>
      </c>
      <c r="Q85" s="5"/>
    </row>
    <row r="86" spans="5:17" ht="12.75" customHeight="1" x14ac:dyDescent="0.2">
      <c r="E86" t="s">
        <v>294</v>
      </c>
      <c r="L86" s="11">
        <f>R115-S115</f>
        <v>65000</v>
      </c>
      <c r="N86" s="11">
        <v>0</v>
      </c>
    </row>
    <row r="87" spans="5:17" ht="12.75" customHeight="1" x14ac:dyDescent="0.2">
      <c r="F87" t="s">
        <v>229</v>
      </c>
      <c r="L87" s="11">
        <v>0</v>
      </c>
      <c r="N87" s="11">
        <f>S116-R116</f>
        <v>65000</v>
      </c>
    </row>
    <row r="88" spans="5:17" ht="12.75" customHeight="1" x14ac:dyDescent="0.2">
      <c r="F88" t="s">
        <v>1118</v>
      </c>
      <c r="H88" s="71"/>
      <c r="L88" s="11">
        <v>0</v>
      </c>
      <c r="N88" s="11">
        <f>S117-R117</f>
        <v>0</v>
      </c>
    </row>
    <row r="89" spans="5:17" ht="12.75" customHeight="1" x14ac:dyDescent="0.2">
      <c r="F89" t="s">
        <v>233</v>
      </c>
      <c r="L89" s="11">
        <v>0</v>
      </c>
      <c r="N89" s="11">
        <f>S118-R118</f>
        <v>15000</v>
      </c>
    </row>
    <row r="90" spans="5:17" ht="12.75" customHeight="1" x14ac:dyDescent="0.2">
      <c r="F90" t="s">
        <v>1034</v>
      </c>
      <c r="L90" s="11">
        <f>R119-S119</f>
        <v>22500</v>
      </c>
      <c r="N90" s="11">
        <v>0</v>
      </c>
    </row>
    <row r="91" spans="5:17" ht="12.75" customHeight="1" x14ac:dyDescent="0.2">
      <c r="F91" t="s">
        <v>383</v>
      </c>
      <c r="L91" s="11">
        <v>0</v>
      </c>
      <c r="N91" s="11">
        <f>S120-R120</f>
        <v>0</v>
      </c>
    </row>
    <row r="92" spans="5:17" ht="12.75" customHeight="1" x14ac:dyDescent="0.2">
      <c r="F92" t="s">
        <v>942</v>
      </c>
      <c r="L92" s="11">
        <v>0</v>
      </c>
      <c r="N92" s="11">
        <f>S121-R121</f>
        <v>3300000</v>
      </c>
    </row>
    <row r="93" spans="5:17" ht="12.75" customHeight="1" x14ac:dyDescent="0.2">
      <c r="F93" t="s">
        <v>384</v>
      </c>
      <c r="L93" s="11">
        <f>R122</f>
        <v>0</v>
      </c>
      <c r="N93" s="11">
        <f>S122</f>
        <v>0</v>
      </c>
    </row>
    <row r="94" spans="5:17" ht="12.75" customHeight="1" x14ac:dyDescent="0.2">
      <c r="F94" t="s">
        <v>61</v>
      </c>
      <c r="L94" s="11">
        <f>R123</f>
        <v>3000000</v>
      </c>
      <c r="N94" s="11">
        <f>S123</f>
        <v>3365000</v>
      </c>
    </row>
    <row r="95" spans="5:17" ht="12.75" customHeight="1" x14ac:dyDescent="0.2">
      <c r="F95" t="s">
        <v>62</v>
      </c>
      <c r="L95" s="11">
        <v>0</v>
      </c>
      <c r="N95" s="11">
        <f>S124-R124</f>
        <v>0</v>
      </c>
    </row>
    <row r="96" spans="5:17" ht="12.75" customHeight="1" x14ac:dyDescent="0.2">
      <c r="F96" t="s">
        <v>206</v>
      </c>
      <c r="L96" s="11">
        <v>0</v>
      </c>
      <c r="N96" s="11">
        <f>S125-R125</f>
        <v>1200000</v>
      </c>
    </row>
    <row r="97" spans="1:19" ht="12.75" customHeight="1" x14ac:dyDescent="0.2">
      <c r="F97" t="s">
        <v>4117</v>
      </c>
      <c r="L97" s="11">
        <v>0</v>
      </c>
      <c r="N97" s="11">
        <f>S126-R126</f>
        <v>279755</v>
      </c>
    </row>
    <row r="98" spans="1:19" ht="12.75" customHeight="1" x14ac:dyDescent="0.2">
      <c r="L98" s="11">
        <v>0</v>
      </c>
      <c r="N98" s="11">
        <f>S127-R127</f>
        <v>48781</v>
      </c>
    </row>
    <row r="99" spans="1:19" ht="12.75" customHeight="1" thickBot="1" x14ac:dyDescent="0.25">
      <c r="L99" s="58">
        <f>SUM(L78:L98)</f>
        <v>8296036</v>
      </c>
      <c r="N99" s="58">
        <f>SUM(N78:N98)</f>
        <v>8296036</v>
      </c>
    </row>
    <row r="100" spans="1:19" ht="12.75" customHeight="1" thickTop="1" x14ac:dyDescent="0.2">
      <c r="L100" s="5"/>
    </row>
    <row r="101" spans="1:19" ht="12.75" customHeight="1" x14ac:dyDescent="0.2"/>
    <row r="102" spans="1:19" ht="26.25" customHeight="1" x14ac:dyDescent="0.25">
      <c r="A102" s="1136" t="s">
        <v>1033</v>
      </c>
      <c r="B102" s="1137"/>
      <c r="C102" s="1137"/>
      <c r="D102" s="1137"/>
      <c r="E102" s="1137"/>
      <c r="F102" s="1137"/>
      <c r="G102" s="1137"/>
      <c r="H102" s="1137"/>
      <c r="I102" s="1137"/>
      <c r="J102" s="1137"/>
      <c r="K102" s="1137"/>
      <c r="L102" s="1137"/>
      <c r="M102" s="1137"/>
      <c r="N102" s="1137"/>
      <c r="O102" s="1137"/>
      <c r="P102" s="1158"/>
    </row>
    <row r="103" spans="1:19" ht="12.75" customHeight="1" x14ac:dyDescent="0.2"/>
    <row r="104" spans="1:19" ht="12.75" customHeight="1" x14ac:dyDescent="0.2">
      <c r="J104" s="1156" t="s">
        <v>297</v>
      </c>
      <c r="K104" s="1157"/>
      <c r="L104" s="1156" t="s">
        <v>696</v>
      </c>
      <c r="M104" s="1159"/>
      <c r="N104" s="1157"/>
      <c r="O104" s="1156" t="s">
        <v>697</v>
      </c>
      <c r="P104" s="1159"/>
      <c r="Q104" s="1157"/>
      <c r="R104" s="1156" t="s">
        <v>902</v>
      </c>
      <c r="S104" s="1157"/>
    </row>
    <row r="105" spans="1:19" x14ac:dyDescent="0.2">
      <c r="J105" s="95" t="s">
        <v>509</v>
      </c>
      <c r="K105" s="96" t="s">
        <v>510</v>
      </c>
      <c r="L105" s="50" t="s">
        <v>509</v>
      </c>
      <c r="M105" s="3"/>
      <c r="N105" s="51" t="s">
        <v>510</v>
      </c>
      <c r="O105" s="50" t="s">
        <v>509</v>
      </c>
      <c r="P105" s="8"/>
      <c r="Q105" s="51" t="s">
        <v>510</v>
      </c>
      <c r="R105" s="50" t="s">
        <v>858</v>
      </c>
      <c r="S105" s="51" t="s">
        <v>510</v>
      </c>
    </row>
    <row r="106" spans="1:19" ht="6.75" customHeight="1" x14ac:dyDescent="0.2">
      <c r="J106" s="97"/>
      <c r="R106" s="97"/>
      <c r="S106" s="99"/>
    </row>
    <row r="107" spans="1:19" ht="12.75" customHeight="1" x14ac:dyDescent="0.2">
      <c r="C107" t="s">
        <v>385</v>
      </c>
      <c r="F107" s="1"/>
      <c r="H107"/>
      <c r="J107" s="102">
        <f>J27</f>
        <v>279755</v>
      </c>
      <c r="K107" s="71"/>
      <c r="R107" s="9">
        <f t="shared" ref="R107:R127" si="0">J107+L107+O107</f>
        <v>279755</v>
      </c>
      <c r="S107" s="100">
        <f t="shared" ref="S107:S127" si="1">K107+N107+Q107</f>
        <v>0</v>
      </c>
    </row>
    <row r="108" spans="1:19" ht="12.75" customHeight="1" x14ac:dyDescent="0.2">
      <c r="C108" t="s">
        <v>4128</v>
      </c>
      <c r="F108" s="1"/>
      <c r="H108"/>
      <c r="J108" s="102">
        <f>J28</f>
        <v>48781</v>
      </c>
      <c r="K108" s="71"/>
      <c r="R108" s="9">
        <f t="shared" si="0"/>
        <v>48781</v>
      </c>
      <c r="S108" s="100"/>
    </row>
    <row r="109" spans="1:19" x14ac:dyDescent="0.2">
      <c r="C109" t="s">
        <v>386</v>
      </c>
      <c r="F109" s="1"/>
      <c r="H109"/>
      <c r="J109" s="102">
        <f>J26</f>
        <v>1200000</v>
      </c>
      <c r="K109" s="71"/>
      <c r="R109" s="9">
        <f t="shared" si="0"/>
        <v>1200000</v>
      </c>
      <c r="S109" s="100">
        <f t="shared" si="1"/>
        <v>0</v>
      </c>
    </row>
    <row r="110" spans="1:19" x14ac:dyDescent="0.2">
      <c r="C110" t="s">
        <v>387</v>
      </c>
      <c r="F110" s="1"/>
      <c r="H110"/>
      <c r="J110" s="102">
        <f>J24+J25</f>
        <v>0</v>
      </c>
      <c r="K110" s="71"/>
      <c r="L110" s="5">
        <f>K44</f>
        <v>3365000</v>
      </c>
      <c r="R110" s="9">
        <f t="shared" si="0"/>
        <v>3365000</v>
      </c>
      <c r="S110" s="100">
        <f t="shared" si="1"/>
        <v>0</v>
      </c>
    </row>
    <row r="111" spans="1:19" x14ac:dyDescent="0.2">
      <c r="C111" t="s">
        <v>228</v>
      </c>
      <c r="F111" s="1"/>
      <c r="H111"/>
      <c r="J111" s="102">
        <f>L24</f>
        <v>0</v>
      </c>
      <c r="K111" s="71"/>
      <c r="L111" s="5">
        <f>K48</f>
        <v>0</v>
      </c>
      <c r="R111" s="9">
        <f t="shared" si="0"/>
        <v>0</v>
      </c>
      <c r="S111" s="100">
        <f t="shared" si="1"/>
        <v>0</v>
      </c>
    </row>
    <row r="112" spans="1:19" x14ac:dyDescent="0.2">
      <c r="C112" t="s">
        <v>382</v>
      </c>
      <c r="F112" s="1"/>
      <c r="H112"/>
      <c r="J112" s="102">
        <f>K24</f>
        <v>0</v>
      </c>
      <c r="K112" s="71"/>
      <c r="L112" s="5">
        <f>K46</f>
        <v>0</v>
      </c>
      <c r="N112" s="5">
        <f>J40</f>
        <v>0</v>
      </c>
      <c r="Q112" s="5">
        <f>K67</f>
        <v>0</v>
      </c>
      <c r="R112" s="9">
        <f t="shared" si="0"/>
        <v>0</v>
      </c>
      <c r="S112" s="100">
        <f t="shared" si="1"/>
        <v>0</v>
      </c>
    </row>
    <row r="113" spans="3:21" x14ac:dyDescent="0.2">
      <c r="C113" t="str">
        <f>E84</f>
        <v>Deferred Charges - prepaid insurance cost</v>
      </c>
      <c r="F113" s="71"/>
      <c r="H113"/>
      <c r="J113" s="102">
        <f>N24+N25+N26+N27</f>
        <v>0</v>
      </c>
      <c r="K113" s="71"/>
      <c r="L113" s="5"/>
      <c r="N113" s="5">
        <f>O40</f>
        <v>0</v>
      </c>
      <c r="Q113" s="5">
        <f>K65</f>
        <v>0</v>
      </c>
      <c r="R113" s="9">
        <f t="shared" si="0"/>
        <v>0</v>
      </c>
      <c r="S113" s="100">
        <f t="shared" si="1"/>
        <v>0</v>
      </c>
    </row>
    <row r="114" spans="3:21" x14ac:dyDescent="0.2">
      <c r="C114" t="s">
        <v>941</v>
      </c>
      <c r="F114" s="71"/>
      <c r="H114"/>
      <c r="J114" s="102"/>
      <c r="K114" s="71"/>
      <c r="L114" s="5">
        <f>(K54+K57)-(K37+L40-J40-O40)</f>
        <v>315000</v>
      </c>
      <c r="Q114" s="5">
        <f>K69</f>
        <v>22500</v>
      </c>
      <c r="R114" s="9">
        <f t="shared" si="0"/>
        <v>315000</v>
      </c>
      <c r="S114" s="100">
        <f t="shared" si="1"/>
        <v>22500</v>
      </c>
    </row>
    <row r="115" spans="3:21" x14ac:dyDescent="0.2">
      <c r="C115" t="s">
        <v>294</v>
      </c>
      <c r="F115" s="1"/>
      <c r="H115"/>
      <c r="J115" s="102"/>
      <c r="K115" s="71"/>
      <c r="L115" s="5">
        <f>K50</f>
        <v>65000</v>
      </c>
      <c r="O115" s="5">
        <f>K65</f>
        <v>0</v>
      </c>
      <c r="R115" s="9">
        <f t="shared" si="0"/>
        <v>65000</v>
      </c>
      <c r="S115" s="100">
        <f t="shared" si="1"/>
        <v>0</v>
      </c>
      <c r="U115" s="976"/>
    </row>
    <row r="116" spans="3:21" x14ac:dyDescent="0.2">
      <c r="D116" t="s">
        <v>229</v>
      </c>
      <c r="F116" s="1"/>
      <c r="H116"/>
      <c r="J116" s="102"/>
      <c r="K116" s="71"/>
      <c r="L116" s="5"/>
      <c r="N116" s="5">
        <f>K50</f>
        <v>65000</v>
      </c>
      <c r="R116" s="9">
        <f t="shared" si="0"/>
        <v>0</v>
      </c>
      <c r="S116" s="100">
        <f t="shared" si="1"/>
        <v>65000</v>
      </c>
    </row>
    <row r="117" spans="3:21" x14ac:dyDescent="0.2">
      <c r="D117" s="158" t="s">
        <v>1116</v>
      </c>
      <c r="F117" s="71"/>
      <c r="H117"/>
      <c r="J117" s="102"/>
      <c r="K117" s="71">
        <f>SUM(N24:N27)</f>
        <v>0</v>
      </c>
      <c r="L117" s="5"/>
      <c r="N117" s="5"/>
      <c r="R117" s="9">
        <f t="shared" si="0"/>
        <v>0</v>
      </c>
      <c r="S117" s="100">
        <f t="shared" si="1"/>
        <v>0</v>
      </c>
    </row>
    <row r="118" spans="3:21" x14ac:dyDescent="0.2">
      <c r="D118" t="s">
        <v>230</v>
      </c>
      <c r="F118" s="71"/>
      <c r="H118"/>
      <c r="J118" s="102"/>
      <c r="K118" s="71"/>
      <c r="N118" s="5">
        <f>K57</f>
        <v>15000</v>
      </c>
      <c r="R118" s="9">
        <f t="shared" si="0"/>
        <v>0</v>
      </c>
      <c r="S118" s="100">
        <f t="shared" si="1"/>
        <v>15000</v>
      </c>
    </row>
    <row r="119" spans="3:21" x14ac:dyDescent="0.2">
      <c r="D119" t="s">
        <v>1034</v>
      </c>
      <c r="F119" s="71"/>
      <c r="H119"/>
      <c r="J119" s="102"/>
      <c r="K119" s="71"/>
      <c r="N119" s="5"/>
      <c r="O119" s="5">
        <f>K67+K69-K72</f>
        <v>22500</v>
      </c>
      <c r="R119" s="9">
        <f t="shared" si="0"/>
        <v>22500</v>
      </c>
      <c r="S119" s="100">
        <f t="shared" si="1"/>
        <v>0</v>
      </c>
    </row>
    <row r="120" spans="3:21" x14ac:dyDescent="0.2">
      <c r="D120" t="s">
        <v>383</v>
      </c>
      <c r="F120" s="1"/>
      <c r="H120"/>
      <c r="J120" s="102"/>
      <c r="K120" s="71">
        <f>K24</f>
        <v>0</v>
      </c>
      <c r="N120" s="5">
        <f>K46</f>
        <v>0</v>
      </c>
      <c r="R120" s="9">
        <f t="shared" si="0"/>
        <v>0</v>
      </c>
      <c r="S120" s="100">
        <f t="shared" si="1"/>
        <v>0</v>
      </c>
    </row>
    <row r="121" spans="3:21" x14ac:dyDescent="0.2">
      <c r="D121" t="s">
        <v>942</v>
      </c>
      <c r="F121" s="1"/>
      <c r="H121"/>
      <c r="J121" s="102"/>
      <c r="K121" s="71"/>
      <c r="N121" s="5">
        <f>K54</f>
        <v>3300000</v>
      </c>
      <c r="R121" s="9">
        <f t="shared" si="0"/>
        <v>0</v>
      </c>
      <c r="S121" s="100">
        <f t="shared" si="1"/>
        <v>3300000</v>
      </c>
    </row>
    <row r="122" spans="3:21" x14ac:dyDescent="0.2">
      <c r="D122" t="s">
        <v>231</v>
      </c>
      <c r="F122" s="1"/>
      <c r="H122"/>
      <c r="J122" s="102"/>
      <c r="K122" s="71">
        <f>L24</f>
        <v>0</v>
      </c>
      <c r="L122" s="5">
        <f>L40</f>
        <v>0</v>
      </c>
      <c r="N122" s="5">
        <f>K48</f>
        <v>0</v>
      </c>
      <c r="O122" s="5">
        <f>K72</f>
        <v>0</v>
      </c>
      <c r="R122" s="9">
        <f t="shared" si="0"/>
        <v>0</v>
      </c>
      <c r="S122" s="100">
        <f t="shared" si="1"/>
        <v>0</v>
      </c>
    </row>
    <row r="123" spans="3:21" x14ac:dyDescent="0.2">
      <c r="D123" t="s">
        <v>61</v>
      </c>
      <c r="F123" s="1"/>
      <c r="H123"/>
      <c r="J123" s="102"/>
      <c r="K123" s="71">
        <f>J24</f>
        <v>0</v>
      </c>
      <c r="L123" s="5">
        <f>K37</f>
        <v>3000000</v>
      </c>
      <c r="N123" s="5">
        <f>K44</f>
        <v>3365000</v>
      </c>
      <c r="R123" s="9">
        <f t="shared" si="0"/>
        <v>3000000</v>
      </c>
      <c r="S123" s="100">
        <f t="shared" si="1"/>
        <v>3365000</v>
      </c>
    </row>
    <row r="124" spans="3:21" x14ac:dyDescent="0.2">
      <c r="D124" t="s">
        <v>62</v>
      </c>
      <c r="F124" s="1"/>
      <c r="G124" s="266" t="s">
        <v>232</v>
      </c>
      <c r="H124"/>
      <c r="J124" s="102"/>
      <c r="K124" s="71">
        <f>J25</f>
        <v>0</v>
      </c>
      <c r="R124" s="9">
        <f t="shared" si="0"/>
        <v>0</v>
      </c>
      <c r="S124" s="100">
        <f t="shared" si="1"/>
        <v>0</v>
      </c>
    </row>
    <row r="125" spans="3:21" x14ac:dyDescent="0.2">
      <c r="D125" t="s">
        <v>206</v>
      </c>
      <c r="F125" s="1"/>
      <c r="H125"/>
      <c r="J125" s="102"/>
      <c r="K125" s="71">
        <f>J26</f>
        <v>1200000</v>
      </c>
      <c r="R125" s="9">
        <f t="shared" si="0"/>
        <v>0</v>
      </c>
      <c r="S125" s="100">
        <f t="shared" si="1"/>
        <v>1200000</v>
      </c>
    </row>
    <row r="126" spans="3:21" x14ac:dyDescent="0.2">
      <c r="D126" t="s">
        <v>4160</v>
      </c>
      <c r="F126" s="1"/>
      <c r="H126"/>
      <c r="J126" s="102"/>
      <c r="K126" s="71">
        <f>J27</f>
        <v>279755</v>
      </c>
      <c r="R126" s="9">
        <f t="shared" si="0"/>
        <v>0</v>
      </c>
      <c r="S126" s="100">
        <f t="shared" si="1"/>
        <v>279755</v>
      </c>
    </row>
    <row r="127" spans="3:21" x14ac:dyDescent="0.2">
      <c r="D127" t="s">
        <v>4157</v>
      </c>
      <c r="F127" s="1"/>
      <c r="H127"/>
      <c r="J127" s="102"/>
      <c r="K127" s="71">
        <f>J28</f>
        <v>48781</v>
      </c>
      <c r="R127" s="9">
        <f t="shared" si="0"/>
        <v>0</v>
      </c>
      <c r="S127" s="100">
        <f t="shared" si="1"/>
        <v>48781</v>
      </c>
    </row>
    <row r="128" spans="3:21" ht="5.25" customHeight="1" x14ac:dyDescent="0.2">
      <c r="F128" s="1"/>
      <c r="H128"/>
      <c r="J128" s="103"/>
      <c r="K128" s="71"/>
      <c r="R128" s="98"/>
      <c r="S128" s="101"/>
    </row>
    <row r="129" spans="6:19" ht="13.5" thickBot="1" x14ac:dyDescent="0.25">
      <c r="F129" s="1"/>
      <c r="H129"/>
      <c r="J129" s="88">
        <f t="shared" ref="J129:S129" si="2">SUM(J107:J128)</f>
        <v>1528536</v>
      </c>
      <c r="K129" s="15">
        <f t="shared" si="2"/>
        <v>1528536</v>
      </c>
      <c r="L129" s="15">
        <f t="shared" si="2"/>
        <v>6745000</v>
      </c>
      <c r="M129" s="5">
        <f t="shared" si="2"/>
        <v>0</v>
      </c>
      <c r="N129" s="15">
        <f t="shared" si="2"/>
        <v>6745000</v>
      </c>
      <c r="O129" s="15">
        <f t="shared" si="2"/>
        <v>22500</v>
      </c>
      <c r="P129" s="5">
        <f t="shared" si="2"/>
        <v>0</v>
      </c>
      <c r="Q129" s="15">
        <f t="shared" si="2"/>
        <v>22500</v>
      </c>
      <c r="R129" s="15">
        <f t="shared" si="2"/>
        <v>8296036</v>
      </c>
      <c r="S129" s="104">
        <f t="shared" si="2"/>
        <v>8296036</v>
      </c>
    </row>
    <row r="130" spans="6:19" ht="13.5" thickTop="1" x14ac:dyDescent="0.2">
      <c r="F130" s="1"/>
      <c r="H130"/>
    </row>
  </sheetData>
  <customSheetViews>
    <customSheetView guid="{D2B860EA-92EC-4999-9A59-C624E1F8C7FB}" topLeftCell="A46">
      <selection activeCell="F96" sqref="F96"/>
      <rowBreaks count="2" manualBreakCount="2">
        <brk id="71" max="16" man="1"/>
        <brk id="97" max="18" man="1"/>
      </rowBreaks>
      <pageMargins left="0.36" right="0.37" top="0.71" bottom="0.5" header="0.5" footer="0.5"/>
      <printOptions horizontalCentered="1"/>
      <pageSetup scale="69" orientation="portrait" r:id="rId1"/>
      <headerFooter alignWithMargins="0">
        <oddHeader>&amp;R&amp;"Arial,Bold"&amp;12Entry H</oddHeader>
        <oddFooter>&amp;L&amp;8&amp;D - County model&amp;R &amp;P</oddFooter>
      </headerFooter>
    </customSheetView>
    <customSheetView guid="{C1197650-3ED8-49E4-8E4C-0D1D4B503FC0}" topLeftCell="A46">
      <selection activeCell="F96" sqref="F96"/>
      <rowBreaks count="2" manualBreakCount="2">
        <brk id="71" max="16" man="1"/>
        <brk id="97" max="18" man="1"/>
      </rowBreaks>
      <pageMargins left="0.36" right="0.37" top="0.71" bottom="0.5" header="0.5" footer="0.5"/>
      <printOptions horizontalCentered="1"/>
      <pageSetup scale="69" orientation="portrait" r:id="rId2"/>
      <headerFooter alignWithMargins="0">
        <oddHeader>&amp;R&amp;"Arial,Bold"&amp;12Entry H</oddHeader>
        <oddFooter>&amp;L&amp;8&amp;D - County model&amp;R &amp;P</oddFooter>
      </headerFooter>
    </customSheetView>
  </customSheetViews>
  <mergeCells count="36">
    <mergeCell ref="K37:K38"/>
    <mergeCell ref="C37:G38"/>
    <mergeCell ref="C22:H23"/>
    <mergeCell ref="C40:G41"/>
    <mergeCell ref="J40:J41"/>
    <mergeCell ref="B34:O34"/>
    <mergeCell ref="L40:L41"/>
    <mergeCell ref="O40:O41"/>
    <mergeCell ref="I40:I41"/>
    <mergeCell ref="K40:K41"/>
    <mergeCell ref="M39:N41"/>
    <mergeCell ref="A2:P2"/>
    <mergeCell ref="B4:P4"/>
    <mergeCell ref="B17:O17"/>
    <mergeCell ref="C16:O16"/>
    <mergeCell ref="C7:P8"/>
    <mergeCell ref="C10:O11"/>
    <mergeCell ref="C13:O14"/>
    <mergeCell ref="B75:O75"/>
    <mergeCell ref="R104:S104"/>
    <mergeCell ref="A102:P102"/>
    <mergeCell ref="J104:K104"/>
    <mergeCell ref="L104:N104"/>
    <mergeCell ref="O104:Q104"/>
    <mergeCell ref="C54:G55"/>
    <mergeCell ref="D59:G59"/>
    <mergeCell ref="C44:G44"/>
    <mergeCell ref="C69:G70"/>
    <mergeCell ref="K69:K70"/>
    <mergeCell ref="B63:O63"/>
    <mergeCell ref="B61:O61"/>
    <mergeCell ref="K57:K58"/>
    <mergeCell ref="C57:G58"/>
    <mergeCell ref="K54:K55"/>
    <mergeCell ref="C46:G46"/>
    <mergeCell ref="C50:G50"/>
  </mergeCells>
  <phoneticPr fontId="14" type="noConversion"/>
  <printOptions horizontalCentered="1"/>
  <pageMargins left="0.36" right="0.37" top="0.71" bottom="0.5" header="0.5" footer="0.5"/>
  <pageSetup scale="69" orientation="portrait" r:id="rId3"/>
  <headerFooter alignWithMargins="0">
    <oddHeader>&amp;R&amp;"Arial,Bold"&amp;12Entry H</oddHeader>
    <oddFooter>&amp;L&amp;8&amp;D - County model&amp;R &amp;P</oddFooter>
  </headerFooter>
  <rowBreaks count="2" manualBreakCount="2">
    <brk id="72" max="16" man="1"/>
    <brk id="100" max="18" man="1"/>
  </rowBreaks>
  <drawing r:id="rId4"/>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48"/>
  <sheetViews>
    <sheetView workbookViewId="0">
      <selection activeCell="O25" sqref="O25"/>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103" t="s">
        <v>207</v>
      </c>
      <c r="B2" s="1104"/>
      <c r="C2" s="1104"/>
      <c r="D2" s="1104"/>
      <c r="E2" s="1104"/>
      <c r="F2" s="1104"/>
      <c r="G2" s="1104"/>
      <c r="H2" s="1104"/>
      <c r="I2" s="1104"/>
      <c r="J2" s="1104"/>
      <c r="K2" s="1104"/>
      <c r="L2" s="1104"/>
      <c r="M2" s="1104"/>
      <c r="N2" s="1104"/>
      <c r="O2" s="1104"/>
      <c r="P2" s="1105"/>
    </row>
    <row r="3" spans="1:16" ht="11.25" customHeight="1" x14ac:dyDescent="0.2"/>
    <row r="4" spans="1:16" ht="77.25" customHeight="1" x14ac:dyDescent="0.2">
      <c r="B4" s="1106" t="s">
        <v>262</v>
      </c>
      <c r="C4" s="1106"/>
      <c r="D4" s="1106"/>
      <c r="E4" s="1106"/>
      <c r="F4" s="1106"/>
      <c r="G4" s="1106"/>
      <c r="H4" s="1106"/>
      <c r="I4" s="1106"/>
      <c r="J4" s="1106"/>
      <c r="K4" s="1106"/>
      <c r="L4" s="1106"/>
      <c r="M4" s="1106"/>
      <c r="N4" s="1106"/>
      <c r="O4" s="1106"/>
      <c r="P4" s="1106"/>
    </row>
    <row r="5" spans="1:16" ht="5.25" customHeight="1" x14ac:dyDescent="0.2"/>
    <row r="6" spans="1:16" ht="12.75" customHeight="1" x14ac:dyDescent="0.2">
      <c r="B6" s="28" t="s">
        <v>513</v>
      </c>
      <c r="C6" s="1019" t="s">
        <v>730</v>
      </c>
      <c r="D6" s="1019"/>
      <c r="E6" s="1019"/>
      <c r="F6" s="1019"/>
      <c r="G6" s="1019"/>
      <c r="H6" s="1019"/>
      <c r="I6" s="1019"/>
      <c r="J6" s="1019"/>
      <c r="K6" s="1019"/>
      <c r="L6" s="1019"/>
      <c r="M6" s="1019"/>
      <c r="N6" s="1019"/>
      <c r="O6" s="1019"/>
      <c r="P6" s="24"/>
    </row>
    <row r="7" spans="1:16" ht="12" customHeight="1" x14ac:dyDescent="0.2">
      <c r="B7" s="28"/>
      <c r="C7" s="1019"/>
      <c r="D7" s="1019"/>
      <c r="E7" s="1019"/>
      <c r="F7" s="1019"/>
      <c r="G7" s="1019"/>
      <c r="H7" s="1019"/>
      <c r="I7" s="1019"/>
      <c r="J7" s="1019"/>
      <c r="K7" s="1019"/>
      <c r="L7" s="1019"/>
      <c r="M7" s="1019"/>
      <c r="N7" s="1019"/>
      <c r="O7" s="1019"/>
      <c r="P7" s="24"/>
    </row>
    <row r="8" spans="1:16" ht="5.25" customHeight="1" x14ac:dyDescent="0.2">
      <c r="B8" s="28"/>
      <c r="C8" s="24"/>
      <c r="D8" s="24"/>
      <c r="E8" s="24"/>
      <c r="F8" s="24"/>
      <c r="G8" s="24"/>
      <c r="H8" s="24"/>
      <c r="I8" s="24"/>
      <c r="J8" s="24"/>
      <c r="K8" s="24"/>
      <c r="L8" s="24"/>
      <c r="M8" s="24"/>
      <c r="N8" s="24"/>
      <c r="O8" s="24"/>
      <c r="P8" s="24"/>
    </row>
    <row r="9" spans="1:16" ht="12.75" customHeight="1" x14ac:dyDescent="0.2">
      <c r="B9" s="28" t="s">
        <v>514</v>
      </c>
      <c r="C9" s="1019" t="s">
        <v>340</v>
      </c>
      <c r="D9" s="1019"/>
      <c r="E9" s="1019"/>
      <c r="F9" s="1019"/>
      <c r="G9" s="1019"/>
      <c r="H9" s="1019"/>
      <c r="I9" s="1019"/>
      <c r="J9" s="1019"/>
      <c r="K9" s="1019"/>
      <c r="L9" s="1019"/>
      <c r="M9" s="1019"/>
      <c r="N9" s="1019"/>
      <c r="O9" s="1019"/>
    </row>
    <row r="10" spans="1:16" ht="51.75" customHeight="1" x14ac:dyDescent="0.2">
      <c r="B10" s="28"/>
      <c r="C10" s="1019"/>
      <c r="D10" s="1019"/>
      <c r="E10" s="1019"/>
      <c r="F10" s="1019"/>
      <c r="G10" s="1019"/>
      <c r="H10" s="1019"/>
      <c r="I10" s="1019"/>
      <c r="J10" s="1019"/>
      <c r="K10" s="1019"/>
      <c r="L10" s="1019"/>
      <c r="M10" s="1019"/>
      <c r="N10" s="1019"/>
      <c r="O10" s="1019"/>
    </row>
    <row r="11" spans="1:16" ht="5.25" customHeight="1" x14ac:dyDescent="0.2">
      <c r="B11" s="28"/>
    </row>
    <row r="12" spans="1:16" ht="12.75" customHeight="1" x14ac:dyDescent="0.2">
      <c r="B12" s="28" t="s">
        <v>806</v>
      </c>
      <c r="C12" s="1019" t="s">
        <v>283</v>
      </c>
      <c r="D12" s="1019"/>
      <c r="E12" s="1019"/>
      <c r="F12" s="1019"/>
      <c r="G12" s="1019"/>
      <c r="H12" s="1019"/>
      <c r="I12" s="1019"/>
      <c r="J12" s="1019"/>
      <c r="K12" s="1019"/>
      <c r="L12" s="1019"/>
      <c r="M12" s="1019"/>
      <c r="N12" s="1019"/>
      <c r="O12" s="1019"/>
    </row>
    <row r="13" spans="1:16" ht="12.75" customHeight="1" x14ac:dyDescent="0.2">
      <c r="C13" s="1019"/>
      <c r="D13" s="1019"/>
      <c r="E13" s="1019"/>
      <c r="F13" s="1019"/>
      <c r="G13" s="1019"/>
      <c r="H13" s="1019"/>
      <c r="I13" s="1019"/>
      <c r="J13" s="1019"/>
      <c r="K13" s="1019"/>
      <c r="L13" s="1019"/>
      <c r="M13" s="1019"/>
      <c r="N13" s="1019"/>
      <c r="O13" s="1019"/>
    </row>
    <row r="14" spans="1:16" ht="6" customHeight="1" x14ac:dyDescent="0.2"/>
    <row r="16" spans="1:16" ht="25.5" customHeight="1" x14ac:dyDescent="0.2">
      <c r="A16" s="4" t="s">
        <v>539</v>
      </c>
      <c r="B16" s="1097" t="s">
        <v>793</v>
      </c>
      <c r="C16" s="1098"/>
      <c r="D16" s="1098"/>
      <c r="E16" s="1098"/>
      <c r="F16" s="1098"/>
      <c r="G16" s="1098"/>
      <c r="H16" s="1098"/>
      <c r="I16" s="1098"/>
      <c r="J16" s="1098"/>
      <c r="K16" s="1098"/>
      <c r="L16" s="1098"/>
      <c r="M16" s="1098"/>
      <c r="N16" s="1098"/>
      <c r="O16" s="1099"/>
      <c r="P16" s="4"/>
    </row>
    <row r="17" spans="1:16" ht="3.75" customHeight="1" x14ac:dyDescent="0.2">
      <c r="B17" s="4"/>
      <c r="H17" s="23"/>
    </row>
    <row r="18" spans="1:16" x14ac:dyDescent="0.2">
      <c r="H18"/>
      <c r="K18" s="33" t="s">
        <v>506</v>
      </c>
    </row>
    <row r="19" spans="1:16" ht="14.25" customHeight="1" x14ac:dyDescent="0.2">
      <c r="B19" s="28" t="s">
        <v>513</v>
      </c>
      <c r="C19" s="1019" t="s">
        <v>791</v>
      </c>
      <c r="D19" s="1019"/>
      <c r="E19" s="1019"/>
      <c r="F19" s="1019"/>
      <c r="G19" s="1019"/>
      <c r="H19" s="1019"/>
      <c r="I19" s="1019"/>
      <c r="K19" s="1154">
        <v>8383</v>
      </c>
    </row>
    <row r="20" spans="1:16" ht="13.5" customHeight="1" x14ac:dyDescent="0.2">
      <c r="C20" s="1019"/>
      <c r="D20" s="1019"/>
      <c r="E20" s="1019"/>
      <c r="F20" s="1019"/>
      <c r="G20" s="1019"/>
      <c r="H20" s="1019"/>
      <c r="I20" s="1019"/>
      <c r="K20" s="1154"/>
    </row>
    <row r="21" spans="1:16" ht="13.5" customHeight="1" x14ac:dyDescent="0.2">
      <c r="H21"/>
      <c r="K21" s="23"/>
    </row>
    <row r="22" spans="1:16" ht="12.75" customHeight="1" x14ac:dyDescent="0.2">
      <c r="B22" s="28" t="s">
        <v>514</v>
      </c>
      <c r="C22" s="1019" t="s">
        <v>837</v>
      </c>
      <c r="D22" s="1019"/>
      <c r="E22" s="1019"/>
      <c r="F22" s="1019"/>
      <c r="G22" s="1019"/>
      <c r="H22" s="1019"/>
      <c r="I22" s="1019"/>
      <c r="K22" s="1154"/>
    </row>
    <row r="23" spans="1:16" x14ac:dyDescent="0.2">
      <c r="C23" s="1019"/>
      <c r="D23" s="1019"/>
      <c r="E23" s="1019"/>
      <c r="F23" s="1019"/>
      <c r="G23" s="1019"/>
      <c r="H23" s="1019"/>
      <c r="I23" s="1019"/>
      <c r="K23" s="1154"/>
    </row>
    <row r="24" spans="1:16" x14ac:dyDescent="0.2">
      <c r="H24"/>
      <c r="K24" s="71"/>
    </row>
    <row r="25" spans="1:16" ht="12.75" customHeight="1" x14ac:dyDescent="0.2">
      <c r="B25" s="28" t="s">
        <v>515</v>
      </c>
      <c r="C25" s="1019" t="s">
        <v>792</v>
      </c>
      <c r="D25" s="1019"/>
      <c r="E25" s="1019"/>
      <c r="F25" s="1019"/>
      <c r="G25" s="1019"/>
      <c r="H25" s="1019"/>
      <c r="I25" s="1019"/>
      <c r="K25" s="1154">
        <v>8932</v>
      </c>
    </row>
    <row r="26" spans="1:16" x14ac:dyDescent="0.2">
      <c r="C26" s="1019"/>
      <c r="D26" s="1019"/>
      <c r="E26" s="1019"/>
      <c r="F26" s="1019"/>
      <c r="G26" s="1019"/>
      <c r="H26" s="1019"/>
      <c r="I26" s="1019"/>
      <c r="K26" s="1154"/>
    </row>
    <row r="27" spans="1:16" x14ac:dyDescent="0.2">
      <c r="H27"/>
      <c r="K27" s="89"/>
    </row>
    <row r="28" spans="1:16" x14ac:dyDescent="0.2">
      <c r="G28" t="s">
        <v>143</v>
      </c>
      <c r="H28"/>
      <c r="K28" s="168">
        <f>K25-K19</f>
        <v>549</v>
      </c>
    </row>
    <row r="29" spans="1:16" x14ac:dyDescent="0.2">
      <c r="H29"/>
      <c r="K29" s="89"/>
    </row>
    <row r="30" spans="1:16" ht="25.5" customHeight="1" x14ac:dyDescent="0.2">
      <c r="A30" s="4" t="s">
        <v>540</v>
      </c>
      <c r="B30" s="1163" t="s">
        <v>1120</v>
      </c>
      <c r="C30" s="1164"/>
      <c r="D30" s="1164"/>
      <c r="E30" s="1164"/>
      <c r="F30" s="1164"/>
      <c r="G30" s="1164"/>
      <c r="H30" s="1164"/>
      <c r="I30" s="1164"/>
      <c r="J30" s="1164"/>
      <c r="K30" s="1164"/>
      <c r="L30" s="1164"/>
      <c r="M30" s="1164"/>
      <c r="N30" s="1164"/>
      <c r="O30" s="1165"/>
      <c r="P30" s="4"/>
    </row>
    <row r="31" spans="1:16" ht="6.75" customHeight="1" x14ac:dyDescent="0.2">
      <c r="H31" s="10"/>
      <c r="I31" s="10"/>
      <c r="J31" s="10"/>
      <c r="K31" s="10"/>
      <c r="L31" s="10"/>
      <c r="M31" s="10"/>
      <c r="O31" s="10"/>
    </row>
    <row r="32" spans="1:16" x14ac:dyDescent="0.2">
      <c r="B32" s="1162"/>
      <c r="C32" s="1162"/>
      <c r="D32" s="1162"/>
      <c r="E32" s="1162"/>
      <c r="F32" s="1162"/>
      <c r="G32" s="1162"/>
      <c r="H32" s="1162"/>
      <c r="I32" s="1162"/>
      <c r="J32" s="10"/>
      <c r="K32" s="121" t="s">
        <v>506</v>
      </c>
      <c r="L32" s="10"/>
      <c r="M32" s="10"/>
      <c r="O32" s="10"/>
    </row>
    <row r="33" spans="1:15" ht="6" customHeight="1" x14ac:dyDescent="0.2">
      <c r="H33" s="10"/>
      <c r="I33" s="10"/>
      <c r="J33" s="10"/>
      <c r="K33" s="118"/>
      <c r="L33" s="10"/>
      <c r="M33" s="10"/>
      <c r="O33" s="10"/>
    </row>
    <row r="34" spans="1:15" ht="12.75" customHeight="1" x14ac:dyDescent="0.2">
      <c r="B34" s="28" t="s">
        <v>513</v>
      </c>
      <c r="C34" s="1019" t="s">
        <v>841</v>
      </c>
      <c r="D34" s="1019"/>
      <c r="E34" s="1019"/>
      <c r="F34" s="1019"/>
      <c r="G34" s="1019"/>
      <c r="H34" s="1019"/>
      <c r="I34" s="1019"/>
      <c r="K34" s="1132"/>
      <c r="L34" s="10"/>
      <c r="M34" s="10"/>
      <c r="O34" s="10"/>
    </row>
    <row r="35" spans="1:15" ht="12.75" customHeight="1" x14ac:dyDescent="0.2">
      <c r="B35" s="28"/>
      <c r="C35" s="1019"/>
      <c r="D35" s="1019"/>
      <c r="E35" s="1019"/>
      <c r="F35" s="1019"/>
      <c r="G35" s="1019"/>
      <c r="H35" s="1019"/>
      <c r="I35" s="1019"/>
      <c r="K35" s="1132"/>
      <c r="M35" s="10"/>
      <c r="O35" s="10"/>
    </row>
    <row r="36" spans="1:15" ht="7.5" customHeight="1" x14ac:dyDescent="0.2">
      <c r="H36"/>
      <c r="L36" s="10"/>
      <c r="M36" s="10"/>
      <c r="O36" s="10"/>
    </row>
    <row r="37" spans="1:15" ht="12.75" customHeight="1" x14ac:dyDescent="0.2">
      <c r="B37" s="28" t="s">
        <v>514</v>
      </c>
      <c r="C37" s="1019" t="s">
        <v>842</v>
      </c>
      <c r="D37" s="1019"/>
      <c r="E37" s="1019"/>
      <c r="F37" s="1019"/>
      <c r="G37" s="1019"/>
      <c r="H37" s="1019"/>
      <c r="I37" s="1019"/>
      <c r="K37" s="1141"/>
      <c r="L37" s="10"/>
      <c r="M37" s="10"/>
      <c r="O37" s="10"/>
    </row>
    <row r="38" spans="1:15" ht="12.75" customHeight="1" x14ac:dyDescent="0.2">
      <c r="A38"/>
      <c r="C38" s="1019"/>
      <c r="D38" s="1019"/>
      <c r="E38" s="1019"/>
      <c r="F38" s="1019"/>
      <c r="G38" s="1019"/>
      <c r="H38" s="1019"/>
      <c r="I38" s="1019"/>
      <c r="K38" s="1141"/>
      <c r="L38" s="163"/>
    </row>
    <row r="39" spans="1:15" ht="12.75" customHeight="1" thickBot="1" x14ac:dyDescent="0.25">
      <c r="G39" t="s">
        <v>838</v>
      </c>
      <c r="H39"/>
      <c r="K39" s="58">
        <f>K37-K34</f>
        <v>0</v>
      </c>
      <c r="L39" s="163" t="s">
        <v>336</v>
      </c>
      <c r="M39" s="10"/>
      <c r="O39" s="10"/>
    </row>
    <row r="40" spans="1:15" ht="5.25" customHeight="1" thickTop="1" x14ac:dyDescent="0.2">
      <c r="H40"/>
      <c r="K40" s="5"/>
      <c r="L40" s="163"/>
      <c r="M40" s="10"/>
      <c r="O40" s="10"/>
    </row>
    <row r="41" spans="1:15" ht="12.75" customHeight="1" x14ac:dyDescent="0.2">
      <c r="B41" s="28" t="s">
        <v>515</v>
      </c>
      <c r="C41" s="1019" t="s">
        <v>284</v>
      </c>
      <c r="D41" s="1019"/>
      <c r="E41" s="1019"/>
      <c r="F41" s="1019"/>
      <c r="G41" s="1019"/>
      <c r="H41" s="1019"/>
      <c r="I41" s="1019"/>
      <c r="J41" s="24"/>
      <c r="L41" s="10"/>
      <c r="M41" s="10"/>
    </row>
    <row r="42" spans="1:15" ht="27" customHeight="1" x14ac:dyDescent="0.2">
      <c r="B42" s="28"/>
      <c r="C42" s="1019"/>
      <c r="D42" s="1019"/>
      <c r="E42" s="1019"/>
      <c r="F42" s="1019"/>
      <c r="G42" s="1019"/>
      <c r="H42" s="1019"/>
      <c r="I42" s="1019"/>
      <c r="J42" s="24"/>
      <c r="L42" s="10"/>
      <c r="M42" s="10"/>
    </row>
    <row r="43" spans="1:15" ht="36" customHeight="1" x14ac:dyDescent="0.2">
      <c r="B43" s="28"/>
      <c r="C43" s="24"/>
      <c r="D43" s="24"/>
      <c r="E43" s="24"/>
      <c r="F43" s="24"/>
      <c r="G43" s="24"/>
      <c r="H43"/>
      <c r="I43" s="24"/>
      <c r="J43" s="24"/>
      <c r="K43" s="67" t="s">
        <v>840</v>
      </c>
      <c r="L43" s="10"/>
      <c r="M43" s="10"/>
    </row>
    <row r="44" spans="1:15" x14ac:dyDescent="0.2">
      <c r="G44" t="s">
        <v>189</v>
      </c>
      <c r="H44"/>
      <c r="K44" s="287"/>
      <c r="L44" s="10"/>
      <c r="M44" s="10"/>
    </row>
    <row r="45" spans="1:15" x14ac:dyDescent="0.2">
      <c r="G45" t="s">
        <v>988</v>
      </c>
      <c r="H45"/>
      <c r="K45" s="287"/>
      <c r="L45" s="10"/>
      <c r="M45" s="10"/>
    </row>
    <row r="46" spans="1:15" x14ac:dyDescent="0.2">
      <c r="G46" t="s">
        <v>214</v>
      </c>
      <c r="H46"/>
      <c r="K46" s="287"/>
      <c r="L46" s="10"/>
      <c r="M46" s="10"/>
    </row>
    <row r="47" spans="1:15" x14ac:dyDescent="0.2">
      <c r="G47" t="s">
        <v>816</v>
      </c>
      <c r="H47"/>
      <c r="K47" s="287"/>
      <c r="L47" s="10"/>
      <c r="M47" s="10"/>
    </row>
    <row r="48" spans="1:15" x14ac:dyDescent="0.2">
      <c r="G48" t="s">
        <v>805</v>
      </c>
      <c r="H48"/>
      <c r="K48" s="287"/>
      <c r="L48" s="10"/>
      <c r="M48" s="10"/>
    </row>
    <row r="49" spans="1:15" x14ac:dyDescent="0.2">
      <c r="G49" t="s">
        <v>215</v>
      </c>
      <c r="H49"/>
      <c r="K49" s="287"/>
      <c r="L49" s="10"/>
      <c r="M49" s="10"/>
    </row>
    <row r="50" spans="1:15" x14ac:dyDescent="0.2">
      <c r="G50" t="s">
        <v>216</v>
      </c>
      <c r="H50"/>
      <c r="K50" s="287"/>
      <c r="L50" s="10"/>
      <c r="M50" s="10"/>
    </row>
    <row r="51" spans="1:15" x14ac:dyDescent="0.2">
      <c r="G51" t="s">
        <v>172</v>
      </c>
      <c r="H51"/>
      <c r="I51" s="1030"/>
      <c r="K51" s="287"/>
      <c r="L51" s="161"/>
      <c r="M51" s="161"/>
    </row>
    <row r="52" spans="1:15" x14ac:dyDescent="0.2">
      <c r="G52" s="280" t="s">
        <v>726</v>
      </c>
      <c r="H52"/>
      <c r="I52" s="1030"/>
      <c r="K52" s="287"/>
      <c r="L52" s="1170" t="str">
        <f>IF(K53=K39," ","Recheck numbers. Entry is out of balance.")</f>
        <v xml:space="preserve"> </v>
      </c>
      <c r="M52" s="161"/>
    </row>
    <row r="53" spans="1:15" ht="20.25" customHeight="1" thickBot="1" x14ac:dyDescent="0.25">
      <c r="H53"/>
      <c r="I53" s="1030"/>
      <c r="J53" s="180" t="s">
        <v>336</v>
      </c>
      <c r="K53" s="54">
        <f>SUM(K44:K52)</f>
        <v>0</v>
      </c>
      <c r="L53" s="1170"/>
      <c r="M53" s="179"/>
    </row>
    <row r="54" spans="1:15" ht="13.5" thickTop="1" x14ac:dyDescent="0.2">
      <c r="H54"/>
      <c r="L54" s="10"/>
      <c r="M54" s="10"/>
    </row>
    <row r="55" spans="1:15" ht="25.5" customHeight="1" x14ac:dyDescent="0.2">
      <c r="A55" s="4" t="s">
        <v>801</v>
      </c>
      <c r="B55" s="1097" t="s">
        <v>1002</v>
      </c>
      <c r="C55" s="1098"/>
      <c r="D55" s="1098"/>
      <c r="E55" s="1098"/>
      <c r="F55" s="1098"/>
      <c r="G55" s="1098"/>
      <c r="H55" s="1098"/>
      <c r="I55" s="1098"/>
      <c r="J55" s="1098"/>
      <c r="K55" s="1098"/>
      <c r="L55" s="1098"/>
      <c r="M55" s="1098"/>
      <c r="N55" s="1098"/>
      <c r="O55" s="1099"/>
    </row>
    <row r="56" spans="1:15" ht="5.25" customHeight="1" x14ac:dyDescent="0.2">
      <c r="H56"/>
      <c r="L56" s="10"/>
      <c r="M56" s="10"/>
    </row>
    <row r="57" spans="1:15" x14ac:dyDescent="0.2">
      <c r="B57" s="1168" t="s">
        <v>255</v>
      </c>
      <c r="C57" s="1168"/>
      <c r="D57" s="1168"/>
      <c r="E57" s="1168"/>
      <c r="H57"/>
      <c r="L57" s="10"/>
      <c r="M57" s="10"/>
    </row>
    <row r="58" spans="1:15" x14ac:dyDescent="0.2">
      <c r="H58"/>
      <c r="L58" s="10"/>
      <c r="M58" s="10"/>
    </row>
    <row r="59" spans="1:15" ht="26.45" customHeight="1" x14ac:dyDescent="0.2">
      <c r="B59" s="28" t="s">
        <v>513</v>
      </c>
      <c r="C59" s="1029" t="s">
        <v>4161</v>
      </c>
      <c r="D59" s="1019"/>
      <c r="E59" s="1019"/>
      <c r="F59" s="1019"/>
      <c r="G59" s="1019"/>
      <c r="H59" s="1019"/>
      <c r="I59" s="1019"/>
      <c r="K59" s="287">
        <v>2428826</v>
      </c>
      <c r="L59" s="10"/>
      <c r="M59" s="10"/>
    </row>
    <row r="60" spans="1:15" ht="5.25" customHeight="1" x14ac:dyDescent="0.2">
      <c r="H60"/>
      <c r="K60" s="297"/>
      <c r="L60" s="10"/>
      <c r="M60" s="10"/>
    </row>
    <row r="61" spans="1:15" ht="28.15" customHeight="1" x14ac:dyDescent="0.2">
      <c r="B61" s="28" t="s">
        <v>514</v>
      </c>
      <c r="C61" s="1029" t="s">
        <v>4162</v>
      </c>
      <c r="D61" s="1019"/>
      <c r="E61" s="1019"/>
      <c r="F61" s="1019"/>
      <c r="G61" s="1019"/>
      <c r="H61" s="1019"/>
      <c r="I61" s="1019"/>
      <c r="K61" s="287">
        <v>2551800</v>
      </c>
      <c r="L61" s="10"/>
      <c r="M61" s="10"/>
    </row>
    <row r="62" spans="1:15" ht="18" customHeight="1" thickBot="1" x14ac:dyDescent="0.25">
      <c r="G62" t="s">
        <v>838</v>
      </c>
      <c r="H62"/>
      <c r="K62" s="54">
        <f>K61-K59</f>
        <v>122974</v>
      </c>
      <c r="L62" s="163" t="s">
        <v>337</v>
      </c>
      <c r="M62" s="10"/>
    </row>
    <row r="63" spans="1:15" ht="4.5" customHeight="1" thickTop="1" x14ac:dyDescent="0.2">
      <c r="H63"/>
      <c r="L63" s="10"/>
      <c r="M63" s="10"/>
    </row>
    <row r="64" spans="1:15" ht="4.5" customHeight="1" x14ac:dyDescent="0.2">
      <c r="H64"/>
      <c r="L64" s="10"/>
      <c r="M64" s="10"/>
    </row>
    <row r="65" spans="1:15" x14ac:dyDescent="0.2">
      <c r="B65" s="28" t="s">
        <v>515</v>
      </c>
      <c r="C65" s="1169" t="s">
        <v>254</v>
      </c>
      <c r="D65" s="1169"/>
      <c r="E65" s="1169"/>
      <c r="F65" s="1169"/>
      <c r="G65" s="1169"/>
      <c r="H65" s="1169"/>
      <c r="I65" s="1169"/>
      <c r="L65" s="10"/>
      <c r="M65" s="10"/>
    </row>
    <row r="66" spans="1:15" x14ac:dyDescent="0.2">
      <c r="C66" s="1169"/>
      <c r="D66" s="1169"/>
      <c r="E66" s="1169"/>
      <c r="F66" s="1169"/>
      <c r="G66" s="1169"/>
      <c r="H66" s="1169"/>
      <c r="I66" s="1169"/>
      <c r="L66" s="10"/>
      <c r="M66" s="10"/>
    </row>
    <row r="67" spans="1:15" ht="36" customHeight="1" x14ac:dyDescent="0.2">
      <c r="H67"/>
      <c r="K67" s="67" t="s">
        <v>839</v>
      </c>
      <c r="L67" s="10"/>
      <c r="M67" s="10"/>
    </row>
    <row r="68" spans="1:15" x14ac:dyDescent="0.2">
      <c r="G68" t="s">
        <v>189</v>
      </c>
      <c r="H68"/>
      <c r="K68" s="287">
        <v>50000</v>
      </c>
      <c r="L68" s="10"/>
      <c r="M68" s="10"/>
    </row>
    <row r="69" spans="1:15" x14ac:dyDescent="0.2">
      <c r="G69" t="s">
        <v>988</v>
      </c>
      <c r="H69"/>
      <c r="K69" s="287">
        <v>40000</v>
      </c>
    </row>
    <row r="70" spans="1:15" x14ac:dyDescent="0.2">
      <c r="G70" t="s">
        <v>214</v>
      </c>
      <c r="H70"/>
      <c r="K70" s="287">
        <v>5000</v>
      </c>
    </row>
    <row r="71" spans="1:15" x14ac:dyDescent="0.2">
      <c r="G71" t="s">
        <v>816</v>
      </c>
      <c r="H71"/>
      <c r="K71" s="287">
        <v>17416</v>
      </c>
    </row>
    <row r="72" spans="1:15" x14ac:dyDescent="0.2">
      <c r="G72" t="s">
        <v>805</v>
      </c>
      <c r="H72"/>
      <c r="K72" s="287"/>
    </row>
    <row r="73" spans="1:15" x14ac:dyDescent="0.2">
      <c r="G73" t="s">
        <v>215</v>
      </c>
      <c r="H73"/>
      <c r="K73" s="287">
        <v>3000</v>
      </c>
    </row>
    <row r="74" spans="1:15" x14ac:dyDescent="0.2">
      <c r="G74" t="s">
        <v>216</v>
      </c>
      <c r="H74"/>
      <c r="K74" s="287">
        <v>7558</v>
      </c>
    </row>
    <row r="75" spans="1:15" x14ac:dyDescent="0.2">
      <c r="G75" t="s">
        <v>172</v>
      </c>
      <c r="H75"/>
      <c r="K75" s="287"/>
    </row>
    <row r="76" spans="1:15" ht="12.75" customHeight="1" x14ac:dyDescent="0.2">
      <c r="G76" s="280" t="s">
        <v>726</v>
      </c>
      <c r="H76"/>
      <c r="K76" s="287"/>
      <c r="L76" s="1030" t="str">
        <f>IF(K77=K62," ","Recheck numbers. Entry is out of balance.")</f>
        <v xml:space="preserve"> </v>
      </c>
    </row>
    <row r="77" spans="1:15" ht="20.25" customHeight="1" thickBot="1" x14ac:dyDescent="0.25">
      <c r="G77" s="164"/>
      <c r="H77"/>
      <c r="J77" s="163" t="s">
        <v>337</v>
      </c>
      <c r="K77" s="54">
        <f>SUM(K68:K76)</f>
        <v>122974</v>
      </c>
      <c r="L77" s="1030"/>
    </row>
    <row r="78" spans="1:15" ht="13.5" thickTop="1" x14ac:dyDescent="0.2">
      <c r="H78"/>
      <c r="L78" s="10"/>
      <c r="M78" s="10"/>
    </row>
    <row r="79" spans="1:15" x14ac:dyDescent="0.2">
      <c r="H79"/>
      <c r="L79" s="10"/>
      <c r="M79" s="10"/>
    </row>
    <row r="80" spans="1:15" ht="25.5" customHeight="1" x14ac:dyDescent="0.2">
      <c r="A80" s="4" t="s">
        <v>807</v>
      </c>
      <c r="B80" s="1097" t="s">
        <v>613</v>
      </c>
      <c r="C80" s="1166"/>
      <c r="D80" s="1166"/>
      <c r="E80" s="1166"/>
      <c r="F80" s="1166"/>
      <c r="G80" s="1166"/>
      <c r="H80" s="1166"/>
      <c r="I80" s="1166"/>
      <c r="J80" s="1166"/>
      <c r="K80" s="1166"/>
      <c r="L80" s="1166"/>
      <c r="M80" s="1166"/>
      <c r="N80" s="1166"/>
      <c r="O80" s="1167"/>
    </row>
    <row r="81" spans="2:17" x14ac:dyDescent="0.2">
      <c r="H81"/>
      <c r="L81" s="10"/>
      <c r="M81" s="10"/>
    </row>
    <row r="82" spans="2:17" x14ac:dyDescent="0.2">
      <c r="H82"/>
      <c r="L82" s="10"/>
      <c r="M82" s="10"/>
      <c r="N82" s="33" t="s">
        <v>506</v>
      </c>
    </row>
    <row r="83" spans="2:17" ht="15" customHeight="1" x14ac:dyDescent="0.2">
      <c r="B83" s="28" t="s">
        <v>513</v>
      </c>
      <c r="C83" s="1019" t="s">
        <v>782</v>
      </c>
      <c r="D83" s="1019"/>
      <c r="E83" s="1019"/>
      <c r="F83" s="1019"/>
      <c r="G83" s="1019"/>
      <c r="H83" s="1019"/>
      <c r="I83" s="1019"/>
      <c r="J83" s="1019"/>
      <c r="K83" s="1019"/>
      <c r="L83" s="1019"/>
      <c r="M83" s="10"/>
      <c r="N83" s="1132"/>
      <c r="Q83" s="10"/>
    </row>
    <row r="84" spans="2:17" ht="12.75" customHeight="1" x14ac:dyDescent="0.2">
      <c r="B84" s="28"/>
      <c r="C84" s="1019"/>
      <c r="D84" s="1019"/>
      <c r="E84" s="1019"/>
      <c r="F84" s="1019"/>
      <c r="G84" s="1019"/>
      <c r="H84" s="1019"/>
      <c r="I84" s="1019"/>
      <c r="J84" s="1019"/>
      <c r="K84" s="1019"/>
      <c r="L84" s="1019"/>
      <c r="M84" s="10"/>
      <c r="N84" s="1132"/>
      <c r="Q84" s="10"/>
    </row>
    <row r="85" spans="2:17" ht="12.75" customHeight="1" x14ac:dyDescent="0.2">
      <c r="B85" s="28"/>
      <c r="C85" s="24"/>
      <c r="D85" s="24"/>
      <c r="E85" s="24"/>
      <c r="F85" s="24"/>
      <c r="G85" s="24"/>
      <c r="H85" s="24"/>
      <c r="I85" s="24"/>
      <c r="J85" s="24"/>
      <c r="K85" s="24"/>
      <c r="M85" s="10"/>
      <c r="Q85" s="10"/>
    </row>
    <row r="86" spans="2:17" ht="12.75" customHeight="1" x14ac:dyDescent="0.2">
      <c r="B86" s="28" t="s">
        <v>514</v>
      </c>
      <c r="C86" s="1019" t="s">
        <v>847</v>
      </c>
      <c r="D86" s="1019"/>
      <c r="E86" s="1019"/>
      <c r="F86" s="1019"/>
      <c r="G86" s="1019"/>
      <c r="H86" s="1019"/>
      <c r="I86" s="1019"/>
      <c r="J86" s="1019"/>
      <c r="K86" s="1019"/>
      <c r="L86" s="1019"/>
      <c r="M86" s="10"/>
      <c r="N86" s="1132"/>
      <c r="Q86" s="10"/>
    </row>
    <row r="87" spans="2:17" ht="12.75" customHeight="1" x14ac:dyDescent="0.2">
      <c r="B87" s="28"/>
      <c r="C87" s="1019"/>
      <c r="D87" s="1019"/>
      <c r="E87" s="1019"/>
      <c r="F87" s="1019"/>
      <c r="G87" s="1019"/>
      <c r="H87" s="1019"/>
      <c r="I87" s="1019"/>
      <c r="J87" s="1019"/>
      <c r="K87" s="1019"/>
      <c r="L87" s="1019"/>
      <c r="M87" s="10"/>
      <c r="N87" s="1133"/>
      <c r="Q87" s="10"/>
    </row>
    <row r="88" spans="2:17" ht="16.5" customHeight="1" thickBot="1" x14ac:dyDescent="0.25">
      <c r="B88" s="28"/>
      <c r="C88" s="24"/>
      <c r="E88" s="24"/>
      <c r="F88" s="24"/>
      <c r="G88" s="1019" t="s">
        <v>142</v>
      </c>
      <c r="H88" s="1019"/>
      <c r="I88" s="1019"/>
      <c r="J88" s="1019"/>
      <c r="K88" s="1019"/>
      <c r="L88" s="1019"/>
      <c r="M88" s="10"/>
      <c r="N88" s="64">
        <f>N86-N83</f>
        <v>0</v>
      </c>
      <c r="O88" s="163" t="s">
        <v>466</v>
      </c>
      <c r="Q88" s="10"/>
    </row>
    <row r="89" spans="2:17" ht="12.75" customHeight="1" thickTop="1" x14ac:dyDescent="0.2">
      <c r="B89" s="28"/>
      <c r="C89" s="24"/>
      <c r="D89" s="24"/>
      <c r="E89" s="24"/>
      <c r="F89" s="24"/>
      <c r="G89" s="24"/>
      <c r="H89" s="24"/>
      <c r="I89" s="24"/>
      <c r="J89" s="24"/>
      <c r="K89" s="24"/>
      <c r="M89" s="10"/>
      <c r="Q89" s="10"/>
    </row>
    <row r="90" spans="2:17" ht="12.75" customHeight="1" x14ac:dyDescent="0.2">
      <c r="B90" s="28" t="s">
        <v>515</v>
      </c>
      <c r="C90" s="1019" t="s">
        <v>590</v>
      </c>
      <c r="D90" s="1019"/>
      <c r="E90" s="1019"/>
      <c r="F90" s="1019"/>
      <c r="G90" s="1019"/>
      <c r="H90" s="1019"/>
      <c r="I90" s="1019"/>
      <c r="J90" s="1019"/>
      <c r="K90" s="1019"/>
      <c r="L90" s="1019"/>
      <c r="M90" s="24"/>
      <c r="Q90" s="10"/>
    </row>
    <row r="91" spans="2:17" ht="38.25" customHeight="1" x14ac:dyDescent="0.2">
      <c r="B91" s="28"/>
      <c r="C91" s="1019"/>
      <c r="D91" s="1019"/>
      <c r="E91" s="1019"/>
      <c r="F91" s="1019"/>
      <c r="G91" s="1019"/>
      <c r="H91" s="1019"/>
      <c r="I91" s="1019"/>
      <c r="J91" s="1019"/>
      <c r="K91" s="1019"/>
      <c r="L91" s="1019"/>
      <c r="M91" s="24"/>
      <c r="Q91" s="10"/>
    </row>
    <row r="92" spans="2:17" ht="13.5" customHeight="1" x14ac:dyDescent="0.2">
      <c r="B92" s="28"/>
      <c r="F92" t="s">
        <v>189</v>
      </c>
      <c r="H92"/>
      <c r="K92" s="287"/>
      <c r="M92" s="23"/>
      <c r="Q92" s="10"/>
    </row>
    <row r="93" spans="2:17" x14ac:dyDescent="0.2">
      <c r="B93" s="28"/>
      <c r="F93" t="s">
        <v>988</v>
      </c>
      <c r="H93"/>
      <c r="K93" s="287"/>
      <c r="M93" s="23"/>
      <c r="Q93" s="10"/>
    </row>
    <row r="94" spans="2:17" x14ac:dyDescent="0.2">
      <c r="B94" s="28"/>
      <c r="F94" t="s">
        <v>214</v>
      </c>
      <c r="H94"/>
      <c r="K94" s="287"/>
      <c r="M94" s="23"/>
      <c r="Q94" s="10"/>
    </row>
    <row r="95" spans="2:17" x14ac:dyDescent="0.2">
      <c r="B95" s="28"/>
      <c r="F95" t="s">
        <v>816</v>
      </c>
      <c r="H95"/>
      <c r="K95" s="287"/>
      <c r="M95" s="23"/>
      <c r="Q95" s="10"/>
    </row>
    <row r="96" spans="2:17" ht="12.75" customHeight="1" x14ac:dyDescent="0.2">
      <c r="B96" s="28"/>
      <c r="F96" t="s">
        <v>805</v>
      </c>
      <c r="H96"/>
      <c r="K96" s="287"/>
      <c r="M96" s="23"/>
      <c r="Q96" s="10"/>
    </row>
    <row r="97" spans="1:17" ht="12.75" customHeight="1" x14ac:dyDescent="0.2">
      <c r="B97" s="28"/>
      <c r="F97" t="s">
        <v>215</v>
      </c>
      <c r="H97"/>
      <c r="K97" s="287"/>
      <c r="M97" s="23"/>
      <c r="Q97" s="10"/>
    </row>
    <row r="98" spans="1:17" x14ac:dyDescent="0.2">
      <c r="B98" s="28"/>
      <c r="F98" t="s">
        <v>216</v>
      </c>
      <c r="H98"/>
      <c r="K98" s="287"/>
      <c r="L98" s="10"/>
      <c r="M98" s="23"/>
      <c r="Q98" s="10"/>
    </row>
    <row r="99" spans="1:17" ht="12.75" customHeight="1" x14ac:dyDescent="0.2">
      <c r="B99" s="28"/>
      <c r="F99" t="s">
        <v>172</v>
      </c>
      <c r="H99"/>
      <c r="K99" s="287"/>
      <c r="L99" s="10"/>
      <c r="M99" s="23"/>
    </row>
    <row r="100" spans="1:17" ht="12.75" customHeight="1" x14ac:dyDescent="0.2">
      <c r="B100" s="28"/>
      <c r="F100" s="280" t="s">
        <v>726</v>
      </c>
      <c r="H100"/>
      <c r="K100" s="287"/>
      <c r="L100" s="1170" t="str">
        <f>IF(K101=N88," ","Recheck numbers. Entry is out of balance.")</f>
        <v xml:space="preserve"> </v>
      </c>
      <c r="M100" s="23"/>
    </row>
    <row r="101" spans="1:17" ht="27.75" customHeight="1" thickBot="1" x14ac:dyDescent="0.25">
      <c r="G101" t="s">
        <v>794</v>
      </c>
      <c r="H101"/>
      <c r="J101" s="163" t="s">
        <v>466</v>
      </c>
      <c r="K101" s="58">
        <f>SUM(K92:K100)</f>
        <v>0</v>
      </c>
      <c r="L101" s="1170"/>
      <c r="M101" s="23"/>
    </row>
    <row r="102" spans="1:17" ht="14.25" thickTop="1" x14ac:dyDescent="0.25">
      <c r="H102"/>
      <c r="K102" s="10"/>
      <c r="L102" s="10"/>
      <c r="M102" s="23"/>
      <c r="P102" s="115"/>
      <c r="Q102" s="115"/>
    </row>
    <row r="103" spans="1:17" ht="13.5" x14ac:dyDescent="0.25">
      <c r="H103"/>
      <c r="K103" s="10"/>
      <c r="L103" s="10"/>
      <c r="M103" s="23"/>
      <c r="N103" s="23"/>
      <c r="O103" s="117"/>
      <c r="P103" s="115"/>
      <c r="Q103" s="115"/>
    </row>
    <row r="104" spans="1:17" ht="25.5" customHeight="1" x14ac:dyDescent="0.25">
      <c r="B104" s="1097" t="s">
        <v>238</v>
      </c>
      <c r="C104" s="1166"/>
      <c r="D104" s="1166"/>
      <c r="E104" s="1166"/>
      <c r="F104" s="1166"/>
      <c r="G104" s="1166"/>
      <c r="H104" s="1166"/>
      <c r="I104" s="1166"/>
      <c r="J104" s="1166"/>
      <c r="K104" s="1166"/>
      <c r="L104" s="1166"/>
      <c r="M104" s="1166"/>
      <c r="N104" s="1166"/>
      <c r="O104" s="1167"/>
      <c r="P104" s="115"/>
      <c r="Q104" s="115"/>
    </row>
    <row r="105" spans="1:17" ht="13.5" x14ac:dyDescent="0.25">
      <c r="A105" s="4" t="s">
        <v>823</v>
      </c>
      <c r="H105"/>
      <c r="K105" s="10"/>
      <c r="L105" s="10"/>
      <c r="M105" s="23"/>
      <c r="N105" s="23"/>
      <c r="O105" s="117"/>
      <c r="P105" s="115"/>
      <c r="Q105" s="115"/>
    </row>
    <row r="106" spans="1:17" ht="13.5" x14ac:dyDescent="0.25">
      <c r="H106"/>
      <c r="K106" s="10"/>
      <c r="L106" s="121" t="s">
        <v>509</v>
      </c>
      <c r="M106" s="119"/>
      <c r="N106" s="122" t="s">
        <v>510</v>
      </c>
      <c r="O106" s="117"/>
      <c r="P106" s="115"/>
      <c r="Q106" s="115"/>
    </row>
    <row r="107" spans="1:17" ht="6.75" customHeight="1" x14ac:dyDescent="0.25">
      <c r="H107"/>
      <c r="K107" s="10"/>
      <c r="L107" s="118"/>
      <c r="M107" s="119"/>
      <c r="N107" s="120"/>
      <c r="O107" s="117"/>
      <c r="P107" s="115"/>
      <c r="Q107" s="115"/>
    </row>
    <row r="108" spans="1:17" x14ac:dyDescent="0.2">
      <c r="B108" s="123" t="s">
        <v>731</v>
      </c>
      <c r="E108" t="s">
        <v>728</v>
      </c>
      <c r="L108" s="11">
        <f t="shared" ref="L108:L123" si="0">R131</f>
        <v>8932</v>
      </c>
      <c r="N108" s="11">
        <f t="shared" ref="N108:N123" si="1">S131</f>
        <v>0</v>
      </c>
    </row>
    <row r="109" spans="1:17" x14ac:dyDescent="0.2">
      <c r="B109" s="123"/>
      <c r="D109" s="2"/>
      <c r="E109" t="s">
        <v>528</v>
      </c>
      <c r="L109" s="11">
        <f t="shared" si="0"/>
        <v>0</v>
      </c>
      <c r="N109" s="11">
        <f t="shared" si="1"/>
        <v>0</v>
      </c>
    </row>
    <row r="110" spans="1:17" ht="13.5" customHeight="1" x14ac:dyDescent="0.2">
      <c r="B110" s="123"/>
      <c r="E110" t="s">
        <v>259</v>
      </c>
      <c r="L110" s="11">
        <f t="shared" si="0"/>
        <v>0</v>
      </c>
      <c r="N110" s="11">
        <f t="shared" si="1"/>
        <v>0</v>
      </c>
    </row>
    <row r="111" spans="1:17" ht="13.5" customHeight="1" x14ac:dyDescent="0.2">
      <c r="B111" s="123"/>
      <c r="E111" t="s">
        <v>256</v>
      </c>
      <c r="L111" s="11">
        <f t="shared" si="0"/>
        <v>122974</v>
      </c>
      <c r="N111" s="11">
        <f t="shared" si="1"/>
        <v>0</v>
      </c>
    </row>
    <row r="112" spans="1:17" ht="12.75" customHeight="1" x14ac:dyDescent="0.2">
      <c r="B112" s="123"/>
      <c r="E112" t="s">
        <v>783</v>
      </c>
      <c r="L112" s="11">
        <f t="shared" si="0"/>
        <v>0</v>
      </c>
      <c r="N112" s="11">
        <f t="shared" si="1"/>
        <v>0</v>
      </c>
    </row>
    <row r="113" spans="2:15" x14ac:dyDescent="0.2">
      <c r="B113" s="123"/>
      <c r="F113" t="s">
        <v>189</v>
      </c>
      <c r="L113" s="11">
        <f t="shared" si="0"/>
        <v>0</v>
      </c>
      <c r="M113" s="72"/>
      <c r="N113" s="11">
        <f t="shared" si="1"/>
        <v>50000</v>
      </c>
    </row>
    <row r="114" spans="2:15" x14ac:dyDescent="0.2">
      <c r="B114" s="123"/>
      <c r="F114" t="s">
        <v>988</v>
      </c>
      <c r="L114" s="11">
        <f t="shared" si="0"/>
        <v>0</v>
      </c>
      <c r="M114" s="72"/>
      <c r="N114" s="11">
        <f t="shared" si="1"/>
        <v>40000</v>
      </c>
    </row>
    <row r="115" spans="2:15" x14ac:dyDescent="0.2">
      <c r="B115" s="123"/>
      <c r="F115" t="s">
        <v>214</v>
      </c>
      <c r="L115" s="11">
        <f t="shared" si="0"/>
        <v>0</v>
      </c>
      <c r="M115" s="72"/>
      <c r="N115" s="11">
        <f t="shared" si="1"/>
        <v>5000</v>
      </c>
    </row>
    <row r="116" spans="2:15" x14ac:dyDescent="0.2">
      <c r="F116" t="s">
        <v>816</v>
      </c>
      <c r="L116" s="11">
        <f t="shared" si="0"/>
        <v>0</v>
      </c>
      <c r="M116" s="72"/>
      <c r="N116" s="11">
        <f t="shared" si="1"/>
        <v>17416</v>
      </c>
    </row>
    <row r="117" spans="2:15" x14ac:dyDescent="0.2">
      <c r="F117" t="s">
        <v>805</v>
      </c>
      <c r="L117" s="11">
        <f t="shared" si="0"/>
        <v>0</v>
      </c>
      <c r="M117" s="72"/>
      <c r="N117" s="11">
        <f t="shared" si="1"/>
        <v>0</v>
      </c>
    </row>
    <row r="118" spans="2:15" x14ac:dyDescent="0.2">
      <c r="F118" t="s">
        <v>215</v>
      </c>
      <c r="L118" s="11">
        <f t="shared" si="0"/>
        <v>0</v>
      </c>
      <c r="M118" s="72"/>
      <c r="N118" s="11">
        <f t="shared" si="1"/>
        <v>3000</v>
      </c>
    </row>
    <row r="119" spans="2:15" x14ac:dyDescent="0.2">
      <c r="F119" t="s">
        <v>216</v>
      </c>
      <c r="L119" s="11">
        <f t="shared" si="0"/>
        <v>0</v>
      </c>
      <c r="M119" s="72"/>
      <c r="N119" s="11">
        <f t="shared" si="1"/>
        <v>7558</v>
      </c>
    </row>
    <row r="120" spans="2:15" x14ac:dyDescent="0.2">
      <c r="F120" t="s">
        <v>172</v>
      </c>
      <c r="L120" s="11">
        <f t="shared" si="0"/>
        <v>0</v>
      </c>
      <c r="M120" s="72"/>
      <c r="N120" s="11">
        <f t="shared" si="1"/>
        <v>0</v>
      </c>
    </row>
    <row r="121" spans="2:15" x14ac:dyDescent="0.2">
      <c r="F121" s="280" t="s">
        <v>726</v>
      </c>
      <c r="L121" s="11">
        <f t="shared" si="0"/>
        <v>0</v>
      </c>
      <c r="M121" s="72"/>
      <c r="N121" s="11">
        <f t="shared" si="1"/>
        <v>0</v>
      </c>
    </row>
    <row r="122" spans="2:15" x14ac:dyDescent="0.2">
      <c r="F122" t="s">
        <v>341</v>
      </c>
      <c r="L122" s="11">
        <f t="shared" si="0"/>
        <v>0</v>
      </c>
      <c r="M122" s="72"/>
      <c r="N122" s="11">
        <f t="shared" si="1"/>
        <v>549</v>
      </c>
    </row>
    <row r="123" spans="2:15" x14ac:dyDescent="0.2">
      <c r="F123" t="s">
        <v>732</v>
      </c>
      <c r="L123" s="11">
        <f t="shared" si="0"/>
        <v>0</v>
      </c>
      <c r="M123" s="72"/>
      <c r="N123" s="11">
        <f t="shared" si="1"/>
        <v>8383</v>
      </c>
    </row>
    <row r="124" spans="2:15" ht="13.5" thickBot="1" x14ac:dyDescent="0.25">
      <c r="L124" s="54">
        <f>SUM(L108:L123)</f>
        <v>131906</v>
      </c>
      <c r="M124" s="34"/>
      <c r="N124" s="54">
        <f>SUM(N108:N123)</f>
        <v>131906</v>
      </c>
    </row>
    <row r="125" spans="2:15" ht="13.5" thickTop="1" x14ac:dyDescent="0.2"/>
    <row r="126" spans="2:15" x14ac:dyDescent="0.2">
      <c r="B126" s="83"/>
      <c r="C126" s="83"/>
      <c r="D126" s="83"/>
      <c r="E126" s="83"/>
      <c r="F126" s="83"/>
      <c r="G126" s="83"/>
      <c r="H126" s="169"/>
      <c r="I126" s="83"/>
      <c r="J126" s="83"/>
      <c r="K126" s="83"/>
      <c r="L126" s="83"/>
      <c r="M126" s="83"/>
      <c r="N126" s="83"/>
      <c r="O126" s="83"/>
    </row>
    <row r="127" spans="2:15" ht="18" x14ac:dyDescent="0.25">
      <c r="B127" s="170" t="s">
        <v>92</v>
      </c>
      <c r="C127" s="83"/>
      <c r="D127" s="83"/>
      <c r="E127" s="83"/>
      <c r="F127" s="83"/>
      <c r="G127" s="83"/>
      <c r="H127" s="169"/>
      <c r="I127" s="83"/>
      <c r="J127" s="83"/>
      <c r="K127" s="83"/>
      <c r="L127" s="83"/>
      <c r="M127" s="83"/>
      <c r="N127" s="83"/>
      <c r="O127" s="83"/>
    </row>
    <row r="129" spans="1:19" x14ac:dyDescent="0.2">
      <c r="F129" s="1118" t="s">
        <v>297</v>
      </c>
      <c r="G129" s="1119"/>
      <c r="H129" s="1118" t="s">
        <v>696</v>
      </c>
      <c r="I129" s="1119"/>
      <c r="J129" s="162"/>
      <c r="K129" s="1118" t="s">
        <v>697</v>
      </c>
      <c r="L129" s="1119"/>
      <c r="M129" s="33"/>
      <c r="N129" s="1118" t="s">
        <v>698</v>
      </c>
      <c r="O129" s="1119"/>
      <c r="R129" s="1118" t="s">
        <v>902</v>
      </c>
      <c r="S129" s="1119"/>
    </row>
    <row r="130" spans="1:19" x14ac:dyDescent="0.2">
      <c r="F130" s="50" t="s">
        <v>509</v>
      </c>
      <c r="G130" s="85" t="s">
        <v>510</v>
      </c>
      <c r="H130" s="50" t="s">
        <v>509</v>
      </c>
      <c r="I130" s="51" t="s">
        <v>510</v>
      </c>
      <c r="K130" s="50" t="s">
        <v>858</v>
      </c>
      <c r="L130" s="51" t="s">
        <v>510</v>
      </c>
      <c r="M130" s="33"/>
      <c r="N130" s="50" t="s">
        <v>858</v>
      </c>
      <c r="O130" s="51" t="s">
        <v>510</v>
      </c>
      <c r="R130" s="50" t="s">
        <v>858</v>
      </c>
      <c r="S130" s="51" t="s">
        <v>93</v>
      </c>
    </row>
    <row r="131" spans="1:19" x14ac:dyDescent="0.2">
      <c r="A131" t="s">
        <v>728</v>
      </c>
      <c r="F131" s="5">
        <f>K25</f>
        <v>8932</v>
      </c>
      <c r="G131" s="1"/>
      <c r="H131"/>
      <c r="R131" s="5">
        <f>F131+H131+K131+N131</f>
        <v>8932</v>
      </c>
      <c r="S131" s="5">
        <f>G131+I131+L131+O131</f>
        <v>0</v>
      </c>
    </row>
    <row r="132" spans="1:19" x14ac:dyDescent="0.2">
      <c r="A132" t="s">
        <v>528</v>
      </c>
      <c r="F132" s="5">
        <f>K22</f>
        <v>0</v>
      </c>
      <c r="G132" s="1"/>
      <c r="H132"/>
      <c r="R132" s="5">
        <f t="shared" ref="R132:R146" si="2">F132+H132+K132+N132</f>
        <v>0</v>
      </c>
      <c r="S132" s="5">
        <f t="shared" ref="S132:S146" si="3">G132+I132+L132+O132</f>
        <v>0</v>
      </c>
    </row>
    <row r="133" spans="1:19" x14ac:dyDescent="0.2">
      <c r="A133" t="s">
        <v>257</v>
      </c>
      <c r="G133" s="1"/>
      <c r="H133" s="5">
        <f>K39</f>
        <v>0</v>
      </c>
      <c r="R133" s="5">
        <f t="shared" si="2"/>
        <v>0</v>
      </c>
      <c r="S133" s="5">
        <f t="shared" si="3"/>
        <v>0</v>
      </c>
    </row>
    <row r="134" spans="1:19" x14ac:dyDescent="0.2">
      <c r="A134" t="s">
        <v>258</v>
      </c>
      <c r="G134" s="1"/>
      <c r="H134" s="5"/>
      <c r="K134" s="25">
        <f>K62</f>
        <v>122974</v>
      </c>
      <c r="R134" s="5">
        <f t="shared" si="2"/>
        <v>122974</v>
      </c>
      <c r="S134" s="5">
        <f t="shared" si="3"/>
        <v>0</v>
      </c>
    </row>
    <row r="135" spans="1:19" x14ac:dyDescent="0.2">
      <c r="A135" t="s">
        <v>783</v>
      </c>
      <c r="G135" s="1"/>
      <c r="H135"/>
      <c r="N135" s="5">
        <f>N86</f>
        <v>0</v>
      </c>
      <c r="R135" s="5">
        <f t="shared" si="2"/>
        <v>0</v>
      </c>
      <c r="S135" s="5">
        <f t="shared" si="3"/>
        <v>0</v>
      </c>
    </row>
    <row r="136" spans="1:19" x14ac:dyDescent="0.2">
      <c r="B136" t="s">
        <v>189</v>
      </c>
      <c r="G136" s="1"/>
      <c r="H136"/>
      <c r="I136" s="5">
        <f t="shared" ref="I136:I144" si="4">K44-H44</f>
        <v>0</v>
      </c>
      <c r="L136" s="25">
        <f t="shared" ref="L136:L144" si="5">K68-H68</f>
        <v>50000</v>
      </c>
      <c r="O136" s="5">
        <f>K92</f>
        <v>0</v>
      </c>
      <c r="R136" s="5">
        <f t="shared" si="2"/>
        <v>0</v>
      </c>
      <c r="S136" s="5">
        <f t="shared" si="3"/>
        <v>50000</v>
      </c>
    </row>
    <row r="137" spans="1:19" x14ac:dyDescent="0.2">
      <c r="B137" t="s">
        <v>988</v>
      </c>
      <c r="G137" s="1"/>
      <c r="H137"/>
      <c r="I137" s="5">
        <f t="shared" si="4"/>
        <v>0</v>
      </c>
      <c r="L137" s="25">
        <f t="shared" si="5"/>
        <v>40000</v>
      </c>
      <c r="O137" s="5">
        <f>K93</f>
        <v>0</v>
      </c>
      <c r="R137" s="5">
        <f t="shared" si="2"/>
        <v>0</v>
      </c>
      <c r="S137" s="5">
        <f t="shared" si="3"/>
        <v>40000</v>
      </c>
    </row>
    <row r="138" spans="1:19" x14ac:dyDescent="0.2">
      <c r="B138" t="s">
        <v>214</v>
      </c>
      <c r="G138" s="1"/>
      <c r="H138"/>
      <c r="I138" s="5">
        <f t="shared" si="4"/>
        <v>0</v>
      </c>
      <c r="L138" s="25">
        <f t="shared" si="5"/>
        <v>5000</v>
      </c>
      <c r="O138" s="5">
        <f t="shared" ref="O138:O144" si="6">K94</f>
        <v>0</v>
      </c>
      <c r="R138" s="5">
        <f t="shared" si="2"/>
        <v>0</v>
      </c>
      <c r="S138" s="5">
        <f t="shared" si="3"/>
        <v>5000</v>
      </c>
    </row>
    <row r="139" spans="1:19" x14ac:dyDescent="0.2">
      <c r="B139" t="s">
        <v>816</v>
      </c>
      <c r="G139" s="1"/>
      <c r="H139"/>
      <c r="I139" s="5">
        <f t="shared" si="4"/>
        <v>0</v>
      </c>
      <c r="L139" s="25">
        <f t="shared" si="5"/>
        <v>17416</v>
      </c>
      <c r="O139" s="5">
        <f t="shared" si="6"/>
        <v>0</v>
      </c>
      <c r="R139" s="5">
        <f t="shared" si="2"/>
        <v>0</v>
      </c>
      <c r="S139" s="5">
        <f t="shared" si="3"/>
        <v>17416</v>
      </c>
    </row>
    <row r="140" spans="1:19" x14ac:dyDescent="0.2">
      <c r="B140" t="s">
        <v>805</v>
      </c>
      <c r="G140" s="1"/>
      <c r="H140"/>
      <c r="I140" s="5">
        <f t="shared" si="4"/>
        <v>0</v>
      </c>
      <c r="L140" s="25">
        <f t="shared" si="5"/>
        <v>0</v>
      </c>
      <c r="O140" s="5">
        <f t="shared" si="6"/>
        <v>0</v>
      </c>
      <c r="R140" s="5">
        <f t="shared" si="2"/>
        <v>0</v>
      </c>
      <c r="S140" s="5">
        <f t="shared" si="3"/>
        <v>0</v>
      </c>
    </row>
    <row r="141" spans="1:19" x14ac:dyDescent="0.2">
      <c r="B141" t="s">
        <v>215</v>
      </c>
      <c r="G141" s="1"/>
      <c r="H141"/>
      <c r="I141" s="5">
        <f t="shared" si="4"/>
        <v>0</v>
      </c>
      <c r="L141" s="25">
        <f t="shared" si="5"/>
        <v>3000</v>
      </c>
      <c r="O141" s="5">
        <f t="shared" si="6"/>
        <v>0</v>
      </c>
      <c r="R141" s="5">
        <f t="shared" si="2"/>
        <v>0</v>
      </c>
      <c r="S141" s="5">
        <f t="shared" si="3"/>
        <v>3000</v>
      </c>
    </row>
    <row r="142" spans="1:19" x14ac:dyDescent="0.2">
      <c r="B142" t="s">
        <v>216</v>
      </c>
      <c r="G142" s="1"/>
      <c r="H142"/>
      <c r="I142" s="5">
        <f t="shared" si="4"/>
        <v>0</v>
      </c>
      <c r="L142" s="25">
        <f t="shared" si="5"/>
        <v>7558</v>
      </c>
      <c r="O142" s="5">
        <f t="shared" si="6"/>
        <v>0</v>
      </c>
      <c r="R142" s="5">
        <f t="shared" si="2"/>
        <v>0</v>
      </c>
      <c r="S142" s="5">
        <f t="shared" si="3"/>
        <v>7558</v>
      </c>
    </row>
    <row r="143" spans="1:19" x14ac:dyDescent="0.2">
      <c r="B143" t="s">
        <v>172</v>
      </c>
      <c r="G143" s="1"/>
      <c r="H143"/>
      <c r="I143" s="5">
        <f t="shared" si="4"/>
        <v>0</v>
      </c>
      <c r="L143" s="25">
        <f t="shared" si="5"/>
        <v>0</v>
      </c>
      <c r="O143" s="5">
        <f t="shared" si="6"/>
        <v>0</v>
      </c>
      <c r="R143" s="5">
        <f t="shared" si="2"/>
        <v>0</v>
      </c>
      <c r="S143" s="5">
        <f t="shared" si="3"/>
        <v>0</v>
      </c>
    </row>
    <row r="144" spans="1:19" x14ac:dyDescent="0.2">
      <c r="B144" s="280" t="s">
        <v>726</v>
      </c>
      <c r="G144" s="1"/>
      <c r="H144"/>
      <c r="I144" s="5">
        <f t="shared" si="4"/>
        <v>0</v>
      </c>
      <c r="L144" s="25">
        <f t="shared" si="5"/>
        <v>0</v>
      </c>
      <c r="O144" s="5">
        <f t="shared" si="6"/>
        <v>0</v>
      </c>
      <c r="R144" s="5">
        <f t="shared" si="2"/>
        <v>0</v>
      </c>
      <c r="S144" s="5">
        <f t="shared" si="3"/>
        <v>0</v>
      </c>
    </row>
    <row r="145" spans="2:19" x14ac:dyDescent="0.2">
      <c r="B145" t="s">
        <v>342</v>
      </c>
      <c r="F145" t="str">
        <f>IF((K28+K22)&lt;0,-(K28+K22),"0")</f>
        <v>0</v>
      </c>
      <c r="G145" s="1">
        <f>IF((K28+K22)&gt;=0,(K28+K22),"0")</f>
        <v>549</v>
      </c>
      <c r="H145"/>
      <c r="L145" s="25"/>
      <c r="R145" s="5">
        <f t="shared" si="2"/>
        <v>0</v>
      </c>
      <c r="S145" s="5">
        <f t="shared" si="3"/>
        <v>549</v>
      </c>
    </row>
    <row r="146" spans="2:19" x14ac:dyDescent="0.2">
      <c r="B146" t="s">
        <v>732</v>
      </c>
      <c r="G146" s="1">
        <f>K19</f>
        <v>8383</v>
      </c>
      <c r="H146"/>
      <c r="I146" s="5"/>
      <c r="L146" s="25"/>
      <c r="O146" s="5">
        <f>N83</f>
        <v>0</v>
      </c>
      <c r="R146" s="5">
        <f t="shared" si="2"/>
        <v>0</v>
      </c>
      <c r="S146" s="5">
        <f t="shared" si="3"/>
        <v>8383</v>
      </c>
    </row>
    <row r="147" spans="2:19" ht="13.5" thickBot="1" x14ac:dyDescent="0.25">
      <c r="F147" s="15">
        <f>SUM(F131:F146)</f>
        <v>8932</v>
      </c>
      <c r="G147" s="15">
        <f>SUM(G131:G146)</f>
        <v>8932</v>
      </c>
      <c r="H147" s="15">
        <f>SUM(H131:H146)</f>
        <v>0</v>
      </c>
      <c r="I147" s="15">
        <f>SUM(I131:I146)</f>
        <v>0</v>
      </c>
      <c r="J147" s="15"/>
      <c r="K147" s="15">
        <f>SUM(K131:K146)</f>
        <v>122974</v>
      </c>
      <c r="L147" s="15">
        <f>SUM(L131:L146)</f>
        <v>122974</v>
      </c>
      <c r="M147" s="15"/>
      <c r="N147" s="15">
        <f>SUM(N131:N146)</f>
        <v>0</v>
      </c>
      <c r="O147" s="15">
        <f>SUM(O131:O146)</f>
        <v>0</v>
      </c>
      <c r="P147" s="15"/>
      <c r="Q147" s="15"/>
      <c r="R147" s="15">
        <f>SUM(R131:R146)</f>
        <v>131906</v>
      </c>
      <c r="S147" s="15">
        <f>SUM(S131:S146)</f>
        <v>131906</v>
      </c>
    </row>
    <row r="148" spans="2:19" ht="13.5" thickTop="1" x14ac:dyDescent="0.2">
      <c r="G148" s="1"/>
      <c r="H148"/>
    </row>
  </sheetData>
  <customSheetViews>
    <customSheetView guid="{D2B860EA-92EC-4999-9A59-C624E1F8C7FB}" topLeftCell="A22">
      <selection activeCell="L111" sqref="L111"/>
      <rowBreaks count="2" manualBreakCount="2">
        <brk id="54" max="16" man="1"/>
        <brk id="102" max="16" man="1"/>
      </rowBreaks>
      <pageMargins left="0.36" right="0.37" top="0.71" bottom="0.5" header="0.5" footer="0.5"/>
      <printOptions horizontalCentered="1"/>
      <pageSetup scale="75" orientation="portrait" r:id="rId1"/>
      <headerFooter alignWithMargins="0">
        <oddHeader>&amp;R&amp;"Arial,Bold"&amp;12Entry&amp;"Times New Roman,Bold" I</oddHeader>
        <oddFooter>&amp;L&amp;8&amp;D - County model&amp;R&amp;P</oddFooter>
      </headerFooter>
    </customSheetView>
    <customSheetView guid="{C1197650-3ED8-49E4-8E4C-0D1D4B503FC0}" topLeftCell="A22">
      <selection activeCell="L111" sqref="L111"/>
      <rowBreaks count="2" manualBreakCount="2">
        <brk id="54" max="16" man="1"/>
        <brk id="102" max="16" man="1"/>
      </rowBreaks>
      <pageMargins left="0.36" right="0.37" top="0.71" bottom="0.5" header="0.5" footer="0.5"/>
      <printOptions horizontalCentered="1"/>
      <pageSetup scale="75" orientation="portrait" r:id="rId2"/>
      <headerFooter alignWithMargins="0">
        <oddHeader>&amp;R&amp;"Arial,Bold"&amp;12Entry&amp;"Times New Roman,Bold" I</oddHeader>
        <oddFooter>&amp;L&amp;8&amp;D - County model&amp;R&amp;P</oddFooter>
      </headerFooter>
    </customSheetView>
  </customSheetViews>
  <mergeCells count="41">
    <mergeCell ref="K19:K20"/>
    <mergeCell ref="A2:P2"/>
    <mergeCell ref="B4:P4"/>
    <mergeCell ref="B16:O16"/>
    <mergeCell ref="C6:O7"/>
    <mergeCell ref="C9:O10"/>
    <mergeCell ref="C12:O13"/>
    <mergeCell ref="C19:I20"/>
    <mergeCell ref="C41:I42"/>
    <mergeCell ref="I51:I53"/>
    <mergeCell ref="L52:L53"/>
    <mergeCell ref="C83:L84"/>
    <mergeCell ref="B55:O55"/>
    <mergeCell ref="B80:O80"/>
    <mergeCell ref="B104:O104"/>
    <mergeCell ref="B57:E57"/>
    <mergeCell ref="C65:I66"/>
    <mergeCell ref="N83:N84"/>
    <mergeCell ref="N86:N87"/>
    <mergeCell ref="L76:L77"/>
    <mergeCell ref="G88:L88"/>
    <mergeCell ref="C90:L91"/>
    <mergeCell ref="L100:L101"/>
    <mergeCell ref="C59:I59"/>
    <mergeCell ref="C86:L87"/>
    <mergeCell ref="C61:I61"/>
    <mergeCell ref="N129:O129"/>
    <mergeCell ref="R129:S129"/>
    <mergeCell ref="F129:G129"/>
    <mergeCell ref="H129:I129"/>
    <mergeCell ref="K129:L129"/>
    <mergeCell ref="B32:I32"/>
    <mergeCell ref="B30:O30"/>
    <mergeCell ref="C22:I23"/>
    <mergeCell ref="C37:I38"/>
    <mergeCell ref="K34:K35"/>
    <mergeCell ref="C34:I35"/>
    <mergeCell ref="K25:K26"/>
    <mergeCell ref="C25:I26"/>
    <mergeCell ref="K22:K23"/>
    <mergeCell ref="K37:K38"/>
  </mergeCells>
  <phoneticPr fontId="14" type="noConversion"/>
  <printOptions horizontalCentered="1"/>
  <pageMargins left="0.36" right="0.37" top="0.71" bottom="0.5" header="0.5" footer="0.5"/>
  <pageSetup scale="75" orientation="portrait" r:id="rId3"/>
  <headerFooter alignWithMargins="0">
    <oddHeader>&amp;R&amp;"Arial,Bold"&amp;12Entry&amp;"Times New Roman,Bold" I</oddHeader>
    <oddFooter>&amp;L&amp;8&amp;D - County model&amp;R&amp;P</oddFooter>
  </headerFooter>
  <rowBreaks count="2" manualBreakCount="2">
    <brk id="54" max="16" man="1"/>
    <brk id="102" max="16" man="1"/>
  </rowBreaks>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254"/>
  <sheetViews>
    <sheetView topLeftCell="A22" workbookViewId="0">
      <selection activeCell="O51" sqref="O51"/>
    </sheetView>
  </sheetViews>
  <sheetFormatPr defaultRowHeight="12.75" x14ac:dyDescent="0.2"/>
  <cols>
    <col min="1" max="1" width="4" style="4"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customWidth="1"/>
    <col min="10" max="10" width="10.42578125" style="1" customWidth="1"/>
    <col min="11" max="11" width="1.85546875" style="1" customWidth="1"/>
    <col min="12" max="12" width="10.7109375" customWidth="1"/>
    <col min="13" max="13" width="0.7109375" customWidth="1"/>
    <col min="14" max="14" width="12.85546875" customWidth="1"/>
    <col min="15" max="15" width="12" customWidth="1"/>
    <col min="16" max="16" width="4.140625" customWidth="1"/>
    <col min="17" max="17" width="10.42578125" customWidth="1"/>
    <col min="18" max="18" width="10.140625" bestFit="1" customWidth="1"/>
    <col min="19" max="19" width="4.28515625" customWidth="1"/>
    <col min="20" max="20" width="10.85546875" customWidth="1"/>
    <col min="21" max="22" width="9.28515625" customWidth="1"/>
    <col min="23" max="23" width="12.28515625" customWidth="1"/>
    <col min="24" max="24" width="11.85546875" customWidth="1"/>
    <col min="25" max="26" width="9.28515625" customWidth="1"/>
    <col min="27" max="27" width="11.7109375" bestFit="1" customWidth="1"/>
    <col min="28" max="29" width="11.140625" bestFit="1" customWidth="1"/>
  </cols>
  <sheetData>
    <row r="1" spans="1:17" ht="7.5" customHeight="1" x14ac:dyDescent="0.2"/>
    <row r="2" spans="1:17" ht="33.75" customHeight="1" x14ac:dyDescent="0.25">
      <c r="A2" s="1103" t="s">
        <v>278</v>
      </c>
      <c r="B2" s="1104"/>
      <c r="C2" s="1104"/>
      <c r="D2" s="1104"/>
      <c r="E2" s="1104"/>
      <c r="F2" s="1104"/>
      <c r="G2" s="1104"/>
      <c r="H2" s="1104"/>
      <c r="I2" s="1104"/>
      <c r="J2" s="1104"/>
      <c r="K2" s="1104"/>
      <c r="L2" s="1104"/>
      <c r="M2" s="1104"/>
      <c r="N2" s="1104"/>
      <c r="O2" s="1104"/>
      <c r="P2" s="1105"/>
    </row>
    <row r="3" spans="1:17" ht="6" customHeight="1" x14ac:dyDescent="0.2"/>
    <row r="4" spans="1:17" ht="51.75" customHeight="1" x14ac:dyDescent="0.2">
      <c r="B4" s="1106" t="s">
        <v>376</v>
      </c>
      <c r="C4" s="1116"/>
      <c r="D4" s="1116"/>
      <c r="E4" s="1116"/>
      <c r="F4" s="1116"/>
      <c r="G4" s="1116"/>
      <c r="H4" s="1116"/>
      <c r="I4" s="1116"/>
      <c r="J4" s="1116"/>
      <c r="K4" s="1116"/>
      <c r="L4" s="1116"/>
      <c r="M4" s="1116"/>
      <c r="N4" s="1116"/>
      <c r="O4" s="1116"/>
      <c r="P4" s="1116"/>
    </row>
    <row r="5" spans="1:17" ht="4.5" customHeight="1" x14ac:dyDescent="0.2"/>
    <row r="6" spans="1:17" ht="12.75" customHeight="1" x14ac:dyDescent="0.2">
      <c r="B6" s="28" t="s">
        <v>513</v>
      </c>
      <c r="C6" s="1029" t="s">
        <v>343</v>
      </c>
      <c r="D6" s="1106"/>
      <c r="E6" s="1106"/>
      <c r="F6" s="1106"/>
      <c r="G6" s="1106"/>
      <c r="H6" s="1106"/>
      <c r="I6" s="1106"/>
      <c r="J6" s="1106"/>
      <c r="K6" s="1106"/>
      <c r="L6" s="1106"/>
      <c r="M6" s="1106"/>
      <c r="N6" s="1106"/>
      <c r="O6" s="1106"/>
      <c r="P6" s="24"/>
      <c r="Q6" s="107"/>
    </row>
    <row r="7" spans="1:17" ht="87.75" customHeight="1" x14ac:dyDescent="0.2">
      <c r="B7" s="28"/>
      <c r="C7" s="1106"/>
      <c r="D7" s="1106"/>
      <c r="E7" s="1106"/>
      <c r="F7" s="1106"/>
      <c r="G7" s="1106"/>
      <c r="H7" s="1106"/>
      <c r="I7" s="1106"/>
      <c r="J7" s="1106"/>
      <c r="K7" s="1106"/>
      <c r="L7" s="1106"/>
      <c r="M7" s="1106"/>
      <c r="N7" s="1106"/>
      <c r="O7" s="1106"/>
      <c r="P7" s="24"/>
    </row>
    <row r="8" spans="1:17" ht="3" customHeight="1" x14ac:dyDescent="0.2">
      <c r="B8" s="28"/>
      <c r="C8" s="24"/>
      <c r="D8" s="24"/>
      <c r="E8" s="24"/>
      <c r="F8" s="24"/>
      <c r="G8" s="24"/>
      <c r="H8" s="24"/>
      <c r="I8" s="24"/>
      <c r="J8" s="24"/>
      <c r="K8" s="24"/>
      <c r="L8" s="24"/>
      <c r="M8" s="24"/>
      <c r="N8" s="24"/>
      <c r="O8" s="24"/>
      <c r="P8" s="24"/>
    </row>
    <row r="9" spans="1:17" ht="13.5" customHeight="1" x14ac:dyDescent="0.2">
      <c r="B9" s="28" t="s">
        <v>514</v>
      </c>
      <c r="C9" s="1019" t="s">
        <v>845</v>
      </c>
      <c r="D9" s="1019"/>
      <c r="E9" s="1019"/>
      <c r="F9" s="1019"/>
      <c r="G9" s="1019"/>
      <c r="H9" s="1019"/>
      <c r="I9" s="1019"/>
      <c r="J9" s="1019"/>
      <c r="K9" s="1019"/>
      <c r="L9" s="1019"/>
      <c r="M9" s="1019"/>
      <c r="N9" s="1019"/>
      <c r="O9" s="1019"/>
    </row>
    <row r="10" spans="1:17" ht="24" customHeight="1" x14ac:dyDescent="0.2">
      <c r="B10" s="28"/>
      <c r="C10" s="1019"/>
      <c r="D10" s="1019"/>
      <c r="E10" s="1019"/>
      <c r="F10" s="1019"/>
      <c r="G10" s="1019"/>
      <c r="H10" s="1019"/>
      <c r="I10" s="1019"/>
      <c r="J10" s="1019"/>
      <c r="K10" s="1019"/>
      <c r="L10" s="1019"/>
      <c r="M10" s="1019"/>
      <c r="N10" s="1019"/>
      <c r="O10" s="1019"/>
    </row>
    <row r="11" spans="1:17" ht="3" customHeight="1" x14ac:dyDescent="0.2">
      <c r="B11" s="28"/>
    </row>
    <row r="12" spans="1:17" ht="12.75" customHeight="1" x14ac:dyDescent="0.2">
      <c r="B12" s="28" t="s">
        <v>806</v>
      </c>
      <c r="C12" s="1019" t="s">
        <v>377</v>
      </c>
      <c r="D12" s="1019"/>
      <c r="E12" s="1019"/>
      <c r="F12" s="1019"/>
      <c r="G12" s="1019"/>
      <c r="H12" s="1019"/>
      <c r="I12" s="1019"/>
      <c r="J12" s="1019"/>
      <c r="K12" s="1019"/>
      <c r="L12" s="1019"/>
      <c r="M12" s="1019"/>
      <c r="N12" s="1019"/>
      <c r="O12" s="1019"/>
    </row>
    <row r="13" spans="1:17" ht="53.25" customHeight="1" x14ac:dyDescent="0.2">
      <c r="B13" s="28"/>
      <c r="C13" s="1019"/>
      <c r="D13" s="1019"/>
      <c r="E13" s="1019"/>
      <c r="F13" s="1019"/>
      <c r="G13" s="1019"/>
      <c r="H13" s="1019"/>
      <c r="I13" s="1019"/>
      <c r="J13" s="1019"/>
      <c r="K13" s="1019"/>
      <c r="L13" s="1019"/>
      <c r="M13" s="1019"/>
      <c r="N13" s="1019"/>
      <c r="O13" s="1019"/>
    </row>
    <row r="14" spans="1:17" ht="3" customHeight="1" x14ac:dyDescent="0.2">
      <c r="B14" s="28"/>
    </row>
    <row r="15" spans="1:17" ht="12.75" customHeight="1" x14ac:dyDescent="0.2">
      <c r="B15" s="28" t="s">
        <v>541</v>
      </c>
      <c r="C15" s="1169" t="s">
        <v>378</v>
      </c>
      <c r="D15" s="1169"/>
      <c r="E15" s="1169"/>
      <c r="F15" s="1169"/>
      <c r="G15" s="1169"/>
      <c r="H15" s="1169"/>
      <c r="I15" s="1169"/>
      <c r="J15" s="1169"/>
      <c r="K15" s="1169"/>
      <c r="L15" s="1169"/>
      <c r="M15" s="1169"/>
      <c r="N15" s="1169"/>
      <c r="O15" s="1169"/>
    </row>
    <row r="16" spans="1:17" ht="53.25" customHeight="1" x14ac:dyDescent="0.2">
      <c r="B16" s="28"/>
      <c r="C16" s="1169"/>
      <c r="D16" s="1169"/>
      <c r="E16" s="1169"/>
      <c r="F16" s="1169"/>
      <c r="G16" s="1169"/>
      <c r="H16" s="1169"/>
      <c r="I16" s="1169"/>
      <c r="J16" s="1169"/>
      <c r="K16" s="1169"/>
      <c r="L16" s="1169"/>
      <c r="M16" s="1169"/>
      <c r="N16" s="1169"/>
      <c r="O16" s="1169"/>
    </row>
    <row r="17" spans="1:16" ht="3" customHeight="1" x14ac:dyDescent="0.2"/>
    <row r="18" spans="1:16" ht="12.75" customHeight="1" x14ac:dyDescent="0.2">
      <c r="B18" s="28" t="s">
        <v>542</v>
      </c>
      <c r="C18" s="1019" t="s">
        <v>1084</v>
      </c>
      <c r="D18" s="1019"/>
      <c r="E18" s="1019"/>
      <c r="F18" s="1019"/>
      <c r="G18" s="1019"/>
      <c r="H18" s="1019"/>
      <c r="I18" s="1019"/>
      <c r="J18" s="1019"/>
      <c r="K18" s="1019"/>
      <c r="L18" s="1019"/>
      <c r="M18" s="1019"/>
      <c r="N18" s="1019"/>
      <c r="O18" s="1019"/>
    </row>
    <row r="19" spans="1:16" ht="26.25" customHeight="1" x14ac:dyDescent="0.2">
      <c r="B19" s="28"/>
      <c r="C19" s="1019"/>
      <c r="D19" s="1019"/>
      <c r="E19" s="1019"/>
      <c r="F19" s="1019"/>
      <c r="G19" s="1019"/>
      <c r="H19" s="1019"/>
      <c r="I19" s="1019"/>
      <c r="J19" s="1019"/>
      <c r="K19" s="1019"/>
      <c r="L19" s="1019"/>
      <c r="M19" s="1019"/>
      <c r="N19" s="1019"/>
      <c r="O19" s="1019"/>
    </row>
    <row r="20" spans="1:16" ht="40.15" customHeight="1" x14ac:dyDescent="0.2">
      <c r="B20" s="615" t="s">
        <v>855</v>
      </c>
      <c r="C20" s="1179" t="s">
        <v>2080</v>
      </c>
      <c r="D20" s="1180"/>
      <c r="E20" s="1180"/>
      <c r="F20" s="1180"/>
      <c r="G20" s="1180"/>
      <c r="H20" s="1180"/>
      <c r="I20" s="1180"/>
      <c r="J20" s="1180"/>
      <c r="K20" s="1180"/>
      <c r="L20" s="1180"/>
      <c r="M20" s="1180"/>
      <c r="N20" s="1180"/>
      <c r="O20" s="1180"/>
    </row>
    <row r="21" spans="1:16" ht="3.75" customHeight="1" x14ac:dyDescent="0.2"/>
    <row r="22" spans="1:16" ht="38.25" customHeight="1" x14ac:dyDescent="0.2">
      <c r="A22" s="1010" t="s">
        <v>539</v>
      </c>
      <c r="B22" s="1100" t="s">
        <v>4217</v>
      </c>
      <c r="C22" s="1110"/>
      <c r="D22" s="1110"/>
      <c r="E22" s="1110"/>
      <c r="F22" s="1110"/>
      <c r="G22" s="1110"/>
      <c r="H22" s="1110"/>
      <c r="I22" s="1110"/>
      <c r="J22" s="1110"/>
      <c r="K22" s="1110"/>
      <c r="L22" s="1110"/>
      <c r="M22" s="1110"/>
      <c r="N22" s="1110"/>
      <c r="O22" s="1111"/>
      <c r="P22" s="4"/>
    </row>
    <row r="23" spans="1:16" ht="6.75" customHeight="1" x14ac:dyDescent="0.2">
      <c r="B23" s="4"/>
      <c r="H23" s="175"/>
      <c r="I23" s="175"/>
      <c r="J23" s="176"/>
      <c r="K23" s="176"/>
      <c r="L23" s="175"/>
      <c r="M23" s="175"/>
      <c r="N23" s="175"/>
    </row>
    <row r="24" spans="1:16" x14ac:dyDescent="0.2">
      <c r="B24" s="38" t="s">
        <v>8</v>
      </c>
      <c r="H24" s="173" t="s">
        <v>208</v>
      </c>
      <c r="I24" s="33"/>
      <c r="J24" s="1174" t="s">
        <v>210</v>
      </c>
      <c r="K24" s="1175"/>
      <c r="L24" s="1176"/>
      <c r="M24" s="33"/>
      <c r="N24" s="173" t="s">
        <v>213</v>
      </c>
    </row>
    <row r="25" spans="1:16" ht="12.75" customHeight="1" x14ac:dyDescent="0.2">
      <c r="H25" s="73" t="s">
        <v>209</v>
      </c>
      <c r="I25" s="33"/>
      <c r="J25" s="74" t="s">
        <v>211</v>
      </c>
      <c r="K25" s="75"/>
      <c r="L25" s="77" t="s">
        <v>770</v>
      </c>
      <c r="M25" s="33"/>
      <c r="N25" s="73" t="s">
        <v>209</v>
      </c>
    </row>
    <row r="26" spans="1:16" ht="2.25" customHeight="1" x14ac:dyDescent="0.2">
      <c r="B26" s="28"/>
      <c r="J26"/>
      <c r="K26"/>
    </row>
    <row r="27" spans="1:16" ht="12.75" customHeight="1" x14ac:dyDescent="0.2">
      <c r="B27" s="28"/>
      <c r="C27" t="s">
        <v>189</v>
      </c>
      <c r="H27" s="302"/>
      <c r="I27" s="283"/>
      <c r="J27" s="285"/>
      <c r="K27" s="34"/>
      <c r="L27" s="206">
        <f t="shared" ref="L27:L35" si="0">H27+J27-N27</f>
        <v>0</v>
      </c>
      <c r="M27" s="34"/>
      <c r="N27" s="285"/>
    </row>
    <row r="28" spans="1:16" x14ac:dyDescent="0.2">
      <c r="C28" t="s">
        <v>988</v>
      </c>
      <c r="H28" s="302"/>
      <c r="I28" s="283"/>
      <c r="J28" s="285"/>
      <c r="K28" s="34"/>
      <c r="L28" s="206">
        <f t="shared" si="0"/>
        <v>0</v>
      </c>
      <c r="M28" s="34"/>
      <c r="N28" s="285"/>
    </row>
    <row r="29" spans="1:16" x14ac:dyDescent="0.2">
      <c r="C29" t="s">
        <v>214</v>
      </c>
      <c r="H29" s="302"/>
      <c r="I29" s="283"/>
      <c r="J29" s="285"/>
      <c r="K29" s="34"/>
      <c r="L29" s="206">
        <f t="shared" si="0"/>
        <v>0</v>
      </c>
      <c r="M29" s="34"/>
      <c r="N29" s="285"/>
    </row>
    <row r="30" spans="1:16" x14ac:dyDescent="0.2">
      <c r="C30" t="s">
        <v>816</v>
      </c>
      <c r="H30" s="302"/>
      <c r="I30" s="283"/>
      <c r="J30" s="285"/>
      <c r="K30" s="34"/>
      <c r="L30" s="206">
        <f t="shared" si="0"/>
        <v>0</v>
      </c>
      <c r="M30" s="34"/>
      <c r="N30" s="285"/>
    </row>
    <row r="31" spans="1:16" x14ac:dyDescent="0.2">
      <c r="C31" t="s">
        <v>805</v>
      </c>
      <c r="H31" s="302"/>
      <c r="I31" s="283"/>
      <c r="J31" s="285"/>
      <c r="K31" s="34"/>
      <c r="L31" s="206">
        <f t="shared" si="0"/>
        <v>0</v>
      </c>
      <c r="M31" s="34"/>
      <c r="N31" s="285"/>
    </row>
    <row r="32" spans="1:16" x14ac:dyDescent="0.2">
      <c r="C32" t="s">
        <v>215</v>
      </c>
      <c r="H32" s="302"/>
      <c r="I32" s="283"/>
      <c r="J32" s="285"/>
      <c r="K32" s="34"/>
      <c r="L32" s="206">
        <f t="shared" si="0"/>
        <v>0</v>
      </c>
      <c r="M32" s="34"/>
      <c r="N32" s="285"/>
    </row>
    <row r="33" spans="2:14" ht="12.75" customHeight="1" x14ac:dyDescent="0.2">
      <c r="C33" t="s">
        <v>216</v>
      </c>
      <c r="H33" s="302"/>
      <c r="I33" s="283"/>
      <c r="J33" s="285"/>
      <c r="K33" s="34"/>
      <c r="L33" s="206">
        <f t="shared" si="0"/>
        <v>0</v>
      </c>
      <c r="M33" s="34"/>
      <c r="N33" s="285"/>
    </row>
    <row r="34" spans="2:14" ht="12.75" customHeight="1" x14ac:dyDescent="0.2">
      <c r="C34" t="s">
        <v>172</v>
      </c>
      <c r="H34" s="302"/>
      <c r="I34" s="283"/>
      <c r="J34" s="285"/>
      <c r="K34" s="34"/>
      <c r="L34" s="206">
        <f t="shared" si="0"/>
        <v>0</v>
      </c>
      <c r="M34" s="34"/>
      <c r="N34" s="285"/>
    </row>
    <row r="35" spans="2:14" ht="12.75" customHeight="1" x14ac:dyDescent="0.2">
      <c r="C35" s="280" t="s">
        <v>726</v>
      </c>
      <c r="H35" s="303"/>
      <c r="I35" s="916"/>
      <c r="J35" s="296"/>
      <c r="K35" s="235"/>
      <c r="L35" s="228">
        <f t="shared" si="0"/>
        <v>0</v>
      </c>
      <c r="M35" s="235"/>
      <c r="N35" s="296"/>
    </row>
    <row r="36" spans="2:14" ht="13.5" thickBot="1" x14ac:dyDescent="0.25">
      <c r="H36" s="227">
        <f>SUM(H27:H35)</f>
        <v>0</v>
      </c>
      <c r="J36" s="64">
        <f>SUM(J26:J35)</f>
        <v>0</v>
      </c>
      <c r="K36"/>
      <c r="L36" s="64">
        <f>SUM(L27:L35)</f>
        <v>0</v>
      </c>
      <c r="N36" s="64">
        <f>SUM(N27:N35)</f>
        <v>0</v>
      </c>
    </row>
    <row r="37" spans="2:14" ht="12.75" customHeight="1" thickTop="1" x14ac:dyDescent="0.2">
      <c r="H37" s="8"/>
      <c r="I37" s="8"/>
      <c r="J37" s="8"/>
      <c r="K37" s="8"/>
      <c r="L37" s="8"/>
      <c r="M37" s="8"/>
      <c r="N37" s="8"/>
    </row>
    <row r="38" spans="2:14" x14ac:dyDescent="0.2">
      <c r="B38" s="38" t="s">
        <v>9</v>
      </c>
      <c r="H38" s="173" t="s">
        <v>208</v>
      </c>
      <c r="I38" s="33"/>
      <c r="J38" s="1174" t="s">
        <v>210</v>
      </c>
      <c r="K38" s="1175"/>
      <c r="L38" s="1176"/>
      <c r="M38" s="33"/>
      <c r="N38" s="173" t="s">
        <v>213</v>
      </c>
    </row>
    <row r="39" spans="2:14" x14ac:dyDescent="0.2">
      <c r="H39" s="73" t="s">
        <v>209</v>
      </c>
      <c r="I39" s="33"/>
      <c r="J39" s="79" t="s">
        <v>771</v>
      </c>
      <c r="K39" s="75"/>
      <c r="L39" s="78" t="s">
        <v>212</v>
      </c>
      <c r="M39" s="33"/>
      <c r="N39" s="73" t="s">
        <v>209</v>
      </c>
    </row>
    <row r="40" spans="2:14" ht="2.25" customHeight="1" x14ac:dyDescent="0.2">
      <c r="J40"/>
      <c r="K40"/>
    </row>
    <row r="41" spans="2:14" x14ac:dyDescent="0.2">
      <c r="C41" t="s">
        <v>189</v>
      </c>
      <c r="H41" s="302">
        <v>246049</v>
      </c>
      <c r="I41" s="34"/>
      <c r="J41" s="61">
        <f>N41+L41-H41</f>
        <v>92081</v>
      </c>
      <c r="K41" s="72"/>
      <c r="L41" s="287">
        <v>34445</v>
      </c>
      <c r="M41" s="34"/>
      <c r="N41" s="287">
        <v>303685</v>
      </c>
    </row>
    <row r="42" spans="2:14" x14ac:dyDescent="0.2">
      <c r="C42" t="s">
        <v>988</v>
      </c>
      <c r="H42" s="302">
        <v>288839</v>
      </c>
      <c r="I42" s="34"/>
      <c r="J42" s="61">
        <f t="shared" ref="J42:J49" si="1">N42+L42-H42</f>
        <v>108098</v>
      </c>
      <c r="K42" s="72">
        <v>1</v>
      </c>
      <c r="L42" s="287">
        <v>40439</v>
      </c>
      <c r="M42" s="34"/>
      <c r="N42" s="287">
        <v>356498</v>
      </c>
    </row>
    <row r="43" spans="2:14" x14ac:dyDescent="0.2">
      <c r="C43" t="s">
        <v>214</v>
      </c>
      <c r="H43" s="302">
        <v>5347</v>
      </c>
      <c r="I43" s="34"/>
      <c r="J43" s="61">
        <f t="shared" si="1"/>
        <v>2004</v>
      </c>
      <c r="K43" s="72"/>
      <c r="L43" s="287">
        <v>750</v>
      </c>
      <c r="M43" s="34"/>
      <c r="N43" s="287">
        <v>6601</v>
      </c>
    </row>
    <row r="44" spans="2:14" x14ac:dyDescent="0.2">
      <c r="C44" t="s">
        <v>816</v>
      </c>
      <c r="H44" s="302">
        <v>26744</v>
      </c>
      <c r="I44" s="34"/>
      <c r="J44" s="61">
        <f t="shared" si="1"/>
        <v>10010</v>
      </c>
      <c r="K44" s="72"/>
      <c r="L44" s="287">
        <v>3745</v>
      </c>
      <c r="M44" s="34"/>
      <c r="N44" s="287">
        <v>33009</v>
      </c>
    </row>
    <row r="45" spans="2:14" x14ac:dyDescent="0.2">
      <c r="C45" t="s">
        <v>805</v>
      </c>
      <c r="H45" s="302">
        <v>0</v>
      </c>
      <c r="I45" s="34"/>
      <c r="J45" s="61">
        <f t="shared" si="1"/>
        <v>0</v>
      </c>
      <c r="K45" s="72"/>
      <c r="L45" s="287">
        <v>0</v>
      </c>
      <c r="M45" s="34"/>
      <c r="N45" s="287">
        <v>0</v>
      </c>
    </row>
    <row r="46" spans="2:14" x14ac:dyDescent="0.2">
      <c r="C46" t="s">
        <v>215</v>
      </c>
      <c r="H46" s="302">
        <v>492098</v>
      </c>
      <c r="I46" s="34"/>
      <c r="J46" s="61">
        <f t="shared" si="1"/>
        <v>184161</v>
      </c>
      <c r="K46" s="72"/>
      <c r="L46" s="287">
        <v>68893</v>
      </c>
      <c r="M46" s="34"/>
      <c r="N46" s="287">
        <v>607366</v>
      </c>
    </row>
    <row r="47" spans="2:14" x14ac:dyDescent="0.2">
      <c r="C47" t="s">
        <v>216</v>
      </c>
      <c r="H47" s="302">
        <v>10699</v>
      </c>
      <c r="I47" s="34"/>
      <c r="J47" s="61">
        <f t="shared" si="1"/>
        <v>4001</v>
      </c>
      <c r="K47" s="72"/>
      <c r="L47" s="287">
        <v>1496</v>
      </c>
      <c r="M47" s="34"/>
      <c r="N47" s="287">
        <v>13204</v>
      </c>
    </row>
    <row r="48" spans="2:14" x14ac:dyDescent="0.2">
      <c r="C48" t="s">
        <v>172</v>
      </c>
      <c r="H48" s="302">
        <v>0</v>
      </c>
      <c r="I48" s="34"/>
      <c r="J48" s="61">
        <f t="shared" si="1"/>
        <v>0</v>
      </c>
      <c r="K48" s="72"/>
      <c r="L48" s="287">
        <v>0</v>
      </c>
      <c r="M48" s="34"/>
      <c r="N48" s="287">
        <v>0</v>
      </c>
    </row>
    <row r="49" spans="1:16" x14ac:dyDescent="0.2">
      <c r="C49" s="280" t="s">
        <v>726</v>
      </c>
      <c r="H49" s="303">
        <v>0</v>
      </c>
      <c r="I49" s="34"/>
      <c r="J49" s="61">
        <f t="shared" si="1"/>
        <v>0</v>
      </c>
      <c r="K49" s="72"/>
      <c r="L49" s="287">
        <v>0</v>
      </c>
      <c r="M49" s="34"/>
      <c r="N49" s="296">
        <v>0</v>
      </c>
    </row>
    <row r="50" spans="1:16" ht="13.5" thickBot="1" x14ac:dyDescent="0.25">
      <c r="H50" s="227">
        <f>SUM(H41:H49)</f>
        <v>1069776</v>
      </c>
      <c r="I50" s="34"/>
      <c r="J50" s="54">
        <f>SUM(J41:J49)</f>
        <v>400355</v>
      </c>
      <c r="K50" s="72"/>
      <c r="L50" s="54">
        <f>SUM(L41:L49)</f>
        <v>149768</v>
      </c>
      <c r="M50" s="34"/>
      <c r="N50" s="234">
        <f>SUM(N41:N49)</f>
        <v>1320363</v>
      </c>
      <c r="O50" s="5">
        <f>+N50-H50</f>
        <v>250587</v>
      </c>
    </row>
    <row r="51" spans="1:16" ht="13.5" thickTop="1" x14ac:dyDescent="0.2">
      <c r="B51" s="80" t="s">
        <v>512</v>
      </c>
      <c r="C51" s="38" t="s">
        <v>411</v>
      </c>
      <c r="J51"/>
      <c r="K51"/>
    </row>
    <row r="52" spans="1:16" ht="4.5" customHeight="1" x14ac:dyDescent="0.2">
      <c r="J52"/>
      <c r="K52"/>
    </row>
    <row r="53" spans="1:16" ht="25.5" customHeight="1" x14ac:dyDescent="0.2">
      <c r="A53" s="4" t="s">
        <v>540</v>
      </c>
      <c r="B53" s="1097" t="s">
        <v>103</v>
      </c>
      <c r="C53" s="1098"/>
      <c r="D53" s="1098"/>
      <c r="E53" s="1098"/>
      <c r="F53" s="1098"/>
      <c r="G53" s="1098"/>
      <c r="H53" s="1098"/>
      <c r="I53" s="1098"/>
      <c r="J53" s="1098"/>
      <c r="K53" s="1098"/>
      <c r="L53" s="1098"/>
      <c r="M53" s="1098"/>
      <c r="N53" s="1098"/>
      <c r="O53" s="1099"/>
      <c r="P53" s="4"/>
    </row>
    <row r="54" spans="1:16" ht="8.25" customHeight="1" x14ac:dyDescent="0.2">
      <c r="J54" s="10"/>
      <c r="K54" s="10"/>
      <c r="L54" s="10"/>
      <c r="M54" s="23"/>
      <c r="N54" s="10"/>
    </row>
    <row r="55" spans="1:16" ht="15" customHeight="1" x14ac:dyDescent="0.2">
      <c r="B55" s="28" t="s">
        <v>513</v>
      </c>
      <c r="C55" t="s">
        <v>106</v>
      </c>
      <c r="J55"/>
      <c r="K55" s="10"/>
      <c r="L55" s="10"/>
      <c r="M55" s="23"/>
      <c r="N55" s="298"/>
    </row>
    <row r="56" spans="1:16" ht="4.5" customHeight="1" x14ac:dyDescent="0.2">
      <c r="J56"/>
      <c r="K56" s="10"/>
      <c r="L56" s="10"/>
      <c r="M56" s="23"/>
      <c r="N56" s="10"/>
    </row>
    <row r="57" spans="1:16" ht="4.5" customHeight="1" x14ac:dyDescent="0.2">
      <c r="J57"/>
      <c r="K57" s="10"/>
      <c r="L57" s="10"/>
      <c r="M57" s="23"/>
      <c r="N57" s="10"/>
    </row>
    <row r="58" spans="1:16" ht="12.75" customHeight="1" x14ac:dyDescent="0.2">
      <c r="B58" s="28" t="s">
        <v>514</v>
      </c>
      <c r="C58" t="s">
        <v>583</v>
      </c>
      <c r="J58"/>
      <c r="K58" s="10"/>
      <c r="L58" s="10"/>
      <c r="M58" s="23"/>
      <c r="N58" s="298"/>
      <c r="O58" s="163" t="s">
        <v>336</v>
      </c>
    </row>
    <row r="59" spans="1:16" ht="4.5" customHeight="1" x14ac:dyDescent="0.2">
      <c r="J59"/>
      <c r="K59" s="10"/>
      <c r="L59" s="10"/>
      <c r="M59" s="23"/>
      <c r="N59" s="10"/>
    </row>
    <row r="60" spans="1:16" ht="13.5" customHeight="1" x14ac:dyDescent="0.2">
      <c r="B60" s="28" t="s">
        <v>515</v>
      </c>
      <c r="C60" t="s">
        <v>591</v>
      </c>
      <c r="J60"/>
      <c r="K60" s="10"/>
      <c r="L60" s="10"/>
      <c r="M60" s="23"/>
      <c r="N60" s="298"/>
      <c r="O60" s="163" t="s">
        <v>337</v>
      </c>
    </row>
    <row r="61" spans="1:16" ht="4.5" customHeight="1" x14ac:dyDescent="0.2">
      <c r="J61"/>
      <c r="K61" s="10"/>
      <c r="L61" s="10"/>
      <c r="M61" s="23"/>
      <c r="N61" s="10"/>
    </row>
    <row r="62" spans="1:16" ht="12.75" customHeight="1" x14ac:dyDescent="0.2">
      <c r="B62" s="28" t="s">
        <v>541</v>
      </c>
      <c r="C62" s="1019" t="s">
        <v>453</v>
      </c>
      <c r="D62" s="1019"/>
      <c r="E62" s="1019"/>
      <c r="F62" s="1019"/>
      <c r="G62" s="1019"/>
      <c r="H62" s="1019"/>
      <c r="I62" s="1019"/>
      <c r="J62" s="1019"/>
      <c r="K62" s="10"/>
      <c r="L62" s="10"/>
      <c r="M62" s="23"/>
      <c r="N62" s="1154">
        <v>0</v>
      </c>
      <c r="O62" s="1177" t="s">
        <v>466</v>
      </c>
    </row>
    <row r="63" spans="1:16" ht="8.25" customHeight="1" x14ac:dyDescent="0.2">
      <c r="C63" s="1019"/>
      <c r="D63" s="1019"/>
      <c r="E63" s="1019"/>
      <c r="F63" s="1019"/>
      <c r="G63" s="1019"/>
      <c r="H63" s="1019"/>
      <c r="I63" s="1019"/>
      <c r="J63" s="1019"/>
      <c r="K63" s="10"/>
      <c r="L63" s="10"/>
      <c r="M63" s="23"/>
      <c r="N63" s="1154"/>
      <c r="O63" s="1177"/>
    </row>
    <row r="64" spans="1:16" ht="4.5" customHeight="1" x14ac:dyDescent="0.2">
      <c r="C64" s="1019"/>
      <c r="D64" s="1019"/>
      <c r="E64" s="1019"/>
      <c r="F64" s="1019"/>
      <c r="G64" s="1019"/>
      <c r="H64" s="1019"/>
      <c r="I64" s="1019"/>
      <c r="J64" s="1019"/>
      <c r="K64" s="10"/>
      <c r="L64" s="10"/>
      <c r="M64" s="23"/>
      <c r="N64" s="10"/>
    </row>
    <row r="65" spans="2:15" ht="4.5" customHeight="1" x14ac:dyDescent="0.2">
      <c r="C65" s="24"/>
      <c r="D65" s="24"/>
      <c r="E65" s="24"/>
      <c r="F65" s="24"/>
      <c r="G65" s="24"/>
      <c r="H65" s="24"/>
      <c r="I65" s="24"/>
      <c r="J65" s="24"/>
      <c r="K65" s="10"/>
      <c r="L65" s="10"/>
      <c r="M65" s="23"/>
      <c r="N65" s="10"/>
    </row>
    <row r="66" spans="2:15" ht="12.75" customHeight="1" thickBot="1" x14ac:dyDescent="0.25">
      <c r="B66" s="28" t="s">
        <v>542</v>
      </c>
      <c r="C66" t="s">
        <v>913</v>
      </c>
      <c r="J66"/>
      <c r="K66" s="10"/>
      <c r="L66" s="10"/>
      <c r="M66" s="23"/>
      <c r="N66" s="70">
        <f>(N55+N58+N62)-N60</f>
        <v>0</v>
      </c>
    </row>
    <row r="67" spans="2:15" ht="3" customHeight="1" thickTop="1" x14ac:dyDescent="0.2">
      <c r="J67"/>
      <c r="K67" s="10"/>
      <c r="L67" s="10"/>
      <c r="M67" s="23"/>
      <c r="N67" s="10"/>
    </row>
    <row r="68" spans="2:15" ht="12.75" customHeight="1" x14ac:dyDescent="0.2">
      <c r="B68" s="28" t="s">
        <v>855</v>
      </c>
      <c r="C68" s="1019" t="s">
        <v>270</v>
      </c>
      <c r="D68" s="1019"/>
      <c r="E68" s="1019"/>
      <c r="F68" s="1019"/>
      <c r="G68" s="1019"/>
      <c r="H68" s="1019"/>
      <c r="I68" s="1019"/>
      <c r="J68" s="1019"/>
      <c r="K68" s="1019"/>
      <c r="L68" s="1019"/>
      <c r="M68" s="23"/>
    </row>
    <row r="69" spans="2:15" ht="49.5" customHeight="1" x14ac:dyDescent="0.2">
      <c r="B69" s="28"/>
      <c r="C69" s="1019"/>
      <c r="D69" s="1019"/>
      <c r="E69" s="1019"/>
      <c r="F69" s="1019"/>
      <c r="G69" s="1019"/>
      <c r="H69" s="1019"/>
      <c r="I69" s="1019"/>
      <c r="J69" s="1019"/>
      <c r="K69" s="1019"/>
      <c r="L69" s="1019"/>
      <c r="M69" s="23"/>
    </row>
    <row r="70" spans="2:15" ht="14.25" customHeight="1" x14ac:dyDescent="0.2">
      <c r="B70" s="28"/>
      <c r="C70" s="24"/>
      <c r="D70" s="24"/>
      <c r="E70" s="24"/>
      <c r="F70" s="24"/>
      <c r="G70" s="108" t="s">
        <v>105</v>
      </c>
      <c r="I70" s="24"/>
      <c r="J70" s="108" t="s">
        <v>104</v>
      </c>
      <c r="K70" s="24"/>
      <c r="L70" s="10"/>
      <c r="M70" s="23"/>
      <c r="N70" s="8" t="s">
        <v>584</v>
      </c>
    </row>
    <row r="71" spans="2:15" x14ac:dyDescent="0.2">
      <c r="C71" t="s">
        <v>189</v>
      </c>
      <c r="G71" s="298"/>
      <c r="J71" s="287"/>
      <c r="K71"/>
      <c r="L71" s="10"/>
      <c r="M71" s="23"/>
      <c r="N71" s="295"/>
      <c r="O71" s="5"/>
    </row>
    <row r="72" spans="2:15" ht="12" customHeight="1" x14ac:dyDescent="0.2">
      <c r="C72" t="s">
        <v>988</v>
      </c>
      <c r="G72" s="298"/>
      <c r="J72" s="287"/>
      <c r="K72"/>
      <c r="L72" s="10"/>
      <c r="M72" s="23"/>
      <c r="N72" s="295"/>
      <c r="O72" s="5"/>
    </row>
    <row r="73" spans="2:15" x14ac:dyDescent="0.2">
      <c r="C73" t="s">
        <v>214</v>
      </c>
      <c r="G73" s="298"/>
      <c r="J73" s="287"/>
      <c r="K73"/>
      <c r="L73" s="10"/>
      <c r="M73" s="23"/>
      <c r="N73" s="295"/>
      <c r="O73" s="5"/>
    </row>
    <row r="74" spans="2:15" x14ac:dyDescent="0.2">
      <c r="C74" t="s">
        <v>816</v>
      </c>
      <c r="G74" s="298"/>
      <c r="J74" s="287"/>
      <c r="K74"/>
      <c r="L74" s="10"/>
      <c r="M74" s="23"/>
      <c r="N74" s="295"/>
      <c r="O74" s="5"/>
    </row>
    <row r="75" spans="2:15" x14ac:dyDescent="0.2">
      <c r="C75" t="s">
        <v>805</v>
      </c>
      <c r="G75" s="298"/>
      <c r="J75" s="287"/>
      <c r="K75"/>
      <c r="L75" s="10"/>
      <c r="M75" s="23"/>
      <c r="N75" s="295"/>
      <c r="O75" s="5"/>
    </row>
    <row r="76" spans="2:15" x14ac:dyDescent="0.2">
      <c r="C76" t="s">
        <v>215</v>
      </c>
      <c r="G76" s="298"/>
      <c r="J76" s="287"/>
      <c r="K76"/>
      <c r="L76" s="10"/>
      <c r="M76" s="23"/>
      <c r="N76" s="295"/>
      <c r="O76" s="5"/>
    </row>
    <row r="77" spans="2:15" x14ac:dyDescent="0.2">
      <c r="C77" t="s">
        <v>216</v>
      </c>
      <c r="G77" s="298"/>
      <c r="J77" s="298"/>
      <c r="K77" s="10"/>
      <c r="L77" s="10"/>
      <c r="M77" s="23"/>
      <c r="N77" s="295"/>
      <c r="O77" s="5"/>
    </row>
    <row r="78" spans="2:15" ht="12.75" customHeight="1" x14ac:dyDescent="0.2">
      <c r="C78" t="s">
        <v>172</v>
      </c>
      <c r="G78" s="298"/>
      <c r="H78" s="1030" t="str">
        <f>IF(G82=N58," ","Recheck numbers for step 2. Entry is out of balance.")</f>
        <v xml:space="preserve"> </v>
      </c>
      <c r="J78" s="298"/>
      <c r="K78" s="10"/>
      <c r="L78" s="1170" t="str">
        <f>IF(J82=N60," ","Recheck numbers. Entry is out of balance.")</f>
        <v xml:space="preserve"> </v>
      </c>
      <c r="M78" s="23"/>
      <c r="N78" s="295"/>
      <c r="O78" s="1178" t="str">
        <f>IF(N82=N62," ","Recheck numbers for step 4. Entry is out of balance.")</f>
        <v xml:space="preserve"> </v>
      </c>
    </row>
    <row r="79" spans="2:15" ht="12.75" customHeight="1" x14ac:dyDescent="0.2">
      <c r="C79" s="280" t="s">
        <v>726</v>
      </c>
      <c r="G79" s="298"/>
      <c r="H79" s="1030"/>
      <c r="J79" s="298"/>
      <c r="K79" s="10"/>
      <c r="L79" s="1170"/>
      <c r="M79" s="23"/>
      <c r="N79" s="295"/>
      <c r="O79" s="1178"/>
    </row>
    <row r="80" spans="2:15" ht="12.75" customHeight="1" x14ac:dyDescent="0.2">
      <c r="C80" t="s">
        <v>724</v>
      </c>
      <c r="G80" s="298"/>
      <c r="H80" s="1030"/>
      <c r="J80" s="298"/>
      <c r="K80" s="10"/>
      <c r="L80" s="1170"/>
      <c r="M80" s="23"/>
      <c r="N80" s="295"/>
      <c r="O80" s="1178"/>
    </row>
    <row r="81" spans="1:15" ht="12.75" customHeight="1" x14ac:dyDescent="0.2">
      <c r="C81" t="s">
        <v>725</v>
      </c>
      <c r="G81" s="301"/>
      <c r="H81" s="1030"/>
      <c r="J81" s="301"/>
      <c r="K81" s="10"/>
      <c r="L81" s="1170"/>
      <c r="M81" s="23"/>
      <c r="N81" s="295"/>
      <c r="O81" s="1178"/>
    </row>
    <row r="82" spans="1:15" ht="18" customHeight="1" thickBot="1" x14ac:dyDescent="0.4">
      <c r="F82" s="164" t="s">
        <v>336</v>
      </c>
      <c r="G82" s="65">
        <f>SUM(G71:G81)</f>
        <v>0</v>
      </c>
      <c r="H82" s="164" t="s">
        <v>337</v>
      </c>
      <c r="J82" s="69">
        <f>SUM(J71:J81)</f>
        <v>0</v>
      </c>
      <c r="K82" s="10"/>
      <c r="L82" s="164" t="s">
        <v>466</v>
      </c>
      <c r="M82" s="76"/>
      <c r="N82" s="186">
        <f>SUM(N71:N81)</f>
        <v>0</v>
      </c>
    </row>
    <row r="83" spans="1:15" ht="12" customHeight="1" thickTop="1" x14ac:dyDescent="0.35">
      <c r="J83" s="10"/>
      <c r="K83" s="10"/>
      <c r="L83" s="45"/>
      <c r="M83" s="76"/>
      <c r="N83" s="5"/>
    </row>
    <row r="84" spans="1:15" ht="25.5" hidden="1" customHeight="1" x14ac:dyDescent="0.2">
      <c r="A84" s="4" t="s">
        <v>801</v>
      </c>
      <c r="B84" s="165" t="s">
        <v>2083</v>
      </c>
      <c r="C84" s="166"/>
      <c r="D84" s="166"/>
      <c r="E84" s="166"/>
      <c r="F84" s="166"/>
      <c r="G84" s="166"/>
      <c r="H84" s="166"/>
      <c r="I84" s="166"/>
      <c r="J84" s="166"/>
      <c r="K84" s="166"/>
      <c r="L84" s="166"/>
      <c r="M84" s="166"/>
      <c r="N84" s="166"/>
      <c r="O84" s="167"/>
    </row>
    <row r="85" spans="1:15" ht="8.25" hidden="1" customHeight="1" x14ac:dyDescent="0.2">
      <c r="J85"/>
      <c r="K85"/>
      <c r="L85" s="10"/>
      <c r="M85" s="23"/>
      <c r="N85" s="4"/>
    </row>
    <row r="86" spans="1:15" hidden="1" x14ac:dyDescent="0.2">
      <c r="J86"/>
      <c r="K86"/>
      <c r="L86" s="10"/>
      <c r="M86" s="23"/>
      <c r="N86" s="33" t="s">
        <v>506</v>
      </c>
    </row>
    <row r="87" spans="1:15" ht="12.75" hidden="1" customHeight="1" x14ac:dyDescent="0.2">
      <c r="B87" s="28" t="s">
        <v>513</v>
      </c>
      <c r="C87" s="1019" t="s">
        <v>953</v>
      </c>
      <c r="D87" s="1019"/>
      <c r="E87" s="1019"/>
      <c r="F87" s="1019"/>
      <c r="G87" s="1019"/>
      <c r="H87" s="1019"/>
      <c r="I87" s="1019"/>
      <c r="J87" s="1019"/>
      <c r="K87" s="1019"/>
      <c r="L87" s="1019"/>
      <c r="M87" s="23"/>
      <c r="N87" s="1181"/>
    </row>
    <row r="88" spans="1:15" ht="25.5" hidden="1" customHeight="1" x14ac:dyDescent="0.2">
      <c r="B88" s="28"/>
      <c r="C88" s="1019"/>
      <c r="D88" s="1019"/>
      <c r="E88" s="1019"/>
      <c r="F88" s="1019"/>
      <c r="G88" s="1019"/>
      <c r="H88" s="1019"/>
      <c r="I88" s="1019"/>
      <c r="J88" s="1019"/>
      <c r="K88" s="1019"/>
      <c r="L88" s="1019"/>
      <c r="M88" s="23"/>
      <c r="N88" s="1181"/>
      <c r="O88" s="163" t="s">
        <v>191</v>
      </c>
    </row>
    <row r="89" spans="1:15" ht="3.75" hidden="1" customHeight="1" x14ac:dyDescent="0.2">
      <c r="B89" s="28"/>
      <c r="C89" s="24"/>
      <c r="D89" s="24"/>
      <c r="E89" s="24"/>
      <c r="F89" s="24"/>
      <c r="G89" s="24"/>
      <c r="H89" s="24"/>
      <c r="I89" s="24"/>
      <c r="J89" s="24"/>
      <c r="K89" s="24"/>
      <c r="L89" s="24"/>
      <c r="M89" s="23"/>
      <c r="N89" s="305"/>
    </row>
    <row r="90" spans="1:15" ht="12.75" hidden="1" customHeight="1" x14ac:dyDescent="0.2">
      <c r="B90" s="28"/>
      <c r="C90" s="1019" t="s">
        <v>3969</v>
      </c>
      <c r="D90" s="1019"/>
      <c r="E90" s="1019"/>
      <c r="F90" s="1019"/>
      <c r="G90" s="1019"/>
      <c r="H90" s="1019"/>
      <c r="I90" s="1019"/>
      <c r="J90" s="1019"/>
      <c r="K90" s="1019"/>
      <c r="L90" s="1019"/>
      <c r="M90" s="23"/>
      <c r="N90" s="729"/>
    </row>
    <row r="91" spans="1:15" ht="12.75" hidden="1" customHeight="1" x14ac:dyDescent="0.2">
      <c r="B91" s="28"/>
      <c r="C91" s="1019"/>
      <c r="D91" s="1019"/>
      <c r="E91" s="1019"/>
      <c r="F91" s="1019"/>
      <c r="G91" s="1019"/>
      <c r="H91" s="1019"/>
      <c r="I91" s="1019"/>
      <c r="J91" s="1019"/>
      <c r="K91" s="1019"/>
      <c r="L91" s="1019"/>
      <c r="M91" s="23"/>
      <c r="N91" s="729"/>
    </row>
    <row r="92" spans="1:15" ht="15" hidden="1" customHeight="1" x14ac:dyDescent="0.2">
      <c r="B92" s="28"/>
      <c r="C92" s="24"/>
      <c r="D92" s="24"/>
      <c r="E92" s="24"/>
      <c r="F92" s="1019"/>
      <c r="G92" s="1019"/>
      <c r="H92" s="1019"/>
      <c r="I92" s="1019"/>
      <c r="J92" s="1019"/>
      <c r="K92" s="1019"/>
      <c r="L92" s="1019"/>
      <c r="M92" s="23"/>
      <c r="N92" s="731"/>
      <c r="O92" s="730"/>
    </row>
    <row r="93" spans="1:15" ht="6" customHeight="1" x14ac:dyDescent="0.2">
      <c r="B93" s="28"/>
      <c r="C93" s="24"/>
      <c r="D93" s="24"/>
      <c r="E93" s="24"/>
      <c r="F93" s="24"/>
      <c r="G93" s="24"/>
      <c r="H93" s="24"/>
      <c r="I93" s="24"/>
      <c r="J93" s="24"/>
      <c r="K93"/>
      <c r="L93" s="10"/>
      <c r="M93" s="23"/>
      <c r="N93" s="4"/>
    </row>
    <row r="94" spans="1:15" ht="9.75" customHeight="1" x14ac:dyDescent="0.35">
      <c r="J94" s="10"/>
      <c r="K94" s="10"/>
      <c r="L94" s="76"/>
      <c r="M94" s="5" t="e">
        <f>SUM(#REF!)</f>
        <v>#REF!</v>
      </c>
      <c r="N94" s="4"/>
    </row>
    <row r="95" spans="1:15" ht="29.25" customHeight="1" x14ac:dyDescent="0.2">
      <c r="A95" s="4" t="s">
        <v>457</v>
      </c>
      <c r="B95" s="1100" t="s">
        <v>4007</v>
      </c>
      <c r="C95" s="1183"/>
      <c r="D95" s="1183"/>
      <c r="E95" s="1183"/>
      <c r="F95" s="1183"/>
      <c r="G95" s="1183"/>
      <c r="H95" s="1183"/>
      <c r="I95" s="1183"/>
      <c r="J95" s="1183"/>
      <c r="K95" s="1183"/>
      <c r="L95" s="1183"/>
      <c r="M95" s="1183"/>
      <c r="N95" s="1183"/>
      <c r="O95" s="1184"/>
    </row>
    <row r="96" spans="1:15" ht="12.75" customHeight="1" x14ac:dyDescent="0.2">
      <c r="J96"/>
      <c r="K96"/>
      <c r="L96" s="10"/>
      <c r="M96" s="23"/>
      <c r="N96" s="4"/>
    </row>
    <row r="97" spans="2:18" ht="13.5" customHeight="1" x14ac:dyDescent="0.2">
      <c r="J97"/>
      <c r="K97"/>
      <c r="L97" s="10"/>
      <c r="M97" s="23"/>
      <c r="N97" s="33" t="s">
        <v>506</v>
      </c>
    </row>
    <row r="98" spans="2:18" ht="15.75" customHeight="1" x14ac:dyDescent="0.2">
      <c r="B98" s="28" t="s">
        <v>513</v>
      </c>
      <c r="C98" s="1185" t="s">
        <v>371</v>
      </c>
      <c r="D98" s="1169"/>
      <c r="E98" s="1169"/>
      <c r="F98" s="1169"/>
      <c r="G98" s="1169"/>
      <c r="H98" s="1169"/>
      <c r="I98" s="1169"/>
      <c r="J98" s="1169"/>
      <c r="K98" s="1169"/>
      <c r="L98" s="1169"/>
      <c r="M98" s="23"/>
      <c r="N98" s="1186">
        <v>50585</v>
      </c>
    </row>
    <row r="99" spans="2:18" x14ac:dyDescent="0.2">
      <c r="B99" s="28"/>
      <c r="C99" s="1169"/>
      <c r="D99" s="1169"/>
      <c r="E99" s="1169"/>
      <c r="F99" s="1169"/>
      <c r="G99" s="1169"/>
      <c r="H99" s="1169"/>
      <c r="I99" s="1169"/>
      <c r="J99" s="1169"/>
      <c r="K99" s="1169"/>
      <c r="L99" s="1169"/>
      <c r="M99" s="23"/>
      <c r="N99" s="1181"/>
    </row>
    <row r="100" spans="2:18" ht="12.75" customHeight="1" x14ac:dyDescent="0.2">
      <c r="B100" s="28"/>
      <c r="C100" s="839"/>
      <c r="D100" s="839"/>
      <c r="E100" s="839"/>
      <c r="F100" s="839"/>
      <c r="G100" s="839"/>
      <c r="H100" s="839"/>
      <c r="I100" s="839"/>
      <c r="J100" s="839"/>
      <c r="K100" s="839"/>
      <c r="L100" s="839"/>
      <c r="M100" s="23"/>
      <c r="N100" s="305"/>
    </row>
    <row r="101" spans="2:18" ht="12.75" customHeight="1" x14ac:dyDescent="0.2">
      <c r="B101" s="28"/>
      <c r="C101" s="1029" t="s">
        <v>4008</v>
      </c>
      <c r="D101" s="1019"/>
      <c r="E101" s="1019"/>
      <c r="F101" s="1019"/>
      <c r="G101" s="1019"/>
      <c r="H101" s="1019"/>
      <c r="I101" s="1019"/>
      <c r="J101" s="1019"/>
      <c r="K101" s="1019"/>
      <c r="L101" s="1019"/>
      <c r="M101" s="23"/>
      <c r="N101" s="305"/>
    </row>
    <row r="102" spans="2:18" ht="12.75" customHeight="1" x14ac:dyDescent="0.2">
      <c r="B102" s="28"/>
      <c r="C102" s="1019"/>
      <c r="D102" s="1019"/>
      <c r="E102" s="1019"/>
      <c r="F102" s="1019"/>
      <c r="G102" s="1019"/>
      <c r="H102" s="1019"/>
      <c r="I102" s="1019"/>
      <c r="J102" s="1019"/>
      <c r="K102" s="1019"/>
      <c r="L102" s="1019"/>
      <c r="M102" s="23"/>
      <c r="N102" s="305"/>
    </row>
    <row r="103" spans="2:18" ht="12.75" customHeight="1" x14ac:dyDescent="0.2">
      <c r="B103" s="28"/>
      <c r="C103" s="24"/>
      <c r="D103" s="24"/>
      <c r="E103" s="24"/>
      <c r="F103" s="24"/>
      <c r="G103" s="24"/>
      <c r="H103" s="24"/>
      <c r="I103" s="24"/>
      <c r="J103" s="24"/>
      <c r="K103"/>
      <c r="L103" s="10"/>
      <c r="M103" s="23"/>
      <c r="N103" s="4"/>
    </row>
    <row r="104" spans="2:18" ht="12.75" hidden="1" customHeight="1" x14ac:dyDescent="0.2">
      <c r="B104" s="28" t="s">
        <v>514</v>
      </c>
      <c r="C104" s="1169" t="s">
        <v>3970</v>
      </c>
      <c r="D104" s="1169"/>
      <c r="E104" s="1169"/>
      <c r="F104" s="1169"/>
      <c r="G104" s="1169"/>
      <c r="H104" s="1169"/>
      <c r="I104" s="1169"/>
      <c r="J104" s="1169"/>
      <c r="K104" s="1169"/>
      <c r="L104" s="1169"/>
      <c r="M104" s="23"/>
      <c r="N104" s="1186"/>
    </row>
    <row r="105" spans="2:18" ht="12.75" hidden="1" customHeight="1" x14ac:dyDescent="0.2">
      <c r="B105" s="28"/>
      <c r="C105" s="1169"/>
      <c r="D105" s="1169"/>
      <c r="E105" s="1169"/>
      <c r="F105" s="1169"/>
      <c r="G105" s="1169"/>
      <c r="H105" s="1169"/>
      <c r="I105" s="1169"/>
      <c r="J105" s="1169"/>
      <c r="K105" s="1169"/>
      <c r="L105" s="1169"/>
      <c r="M105" s="23"/>
      <c r="N105" s="1188"/>
    </row>
    <row r="106" spans="2:18" ht="12.75" hidden="1" customHeight="1" thickBot="1" x14ac:dyDescent="0.25">
      <c r="B106" s="28"/>
      <c r="C106" s="24"/>
      <c r="D106" s="24"/>
      <c r="E106" s="1019" t="s">
        <v>3971</v>
      </c>
      <c r="F106" s="1032"/>
      <c r="G106" s="1032"/>
      <c r="H106" s="1032"/>
      <c r="I106" s="1032"/>
      <c r="J106" s="1032"/>
      <c r="K106" s="1032"/>
      <c r="L106" s="24"/>
      <c r="M106" s="23"/>
      <c r="N106" s="837">
        <f>N104-N98</f>
        <v>-50585</v>
      </c>
      <c r="O106" s="163" t="s">
        <v>11</v>
      </c>
    </row>
    <row r="107" spans="2:18" ht="12.75" hidden="1" customHeight="1" thickTop="1" x14ac:dyDescent="0.2">
      <c r="B107" s="28"/>
      <c r="C107" s="24"/>
      <c r="D107" s="24"/>
      <c r="E107" s="24"/>
      <c r="F107" s="24"/>
      <c r="G107" s="24"/>
      <c r="H107" s="24"/>
      <c r="I107" s="24"/>
      <c r="J107" s="24"/>
      <c r="K107"/>
      <c r="L107" s="10"/>
      <c r="M107" s="23"/>
      <c r="N107" s="4"/>
    </row>
    <row r="108" spans="2:18" ht="50.25" hidden="1" customHeight="1" x14ac:dyDescent="0.2">
      <c r="B108" s="536" t="s">
        <v>515</v>
      </c>
      <c r="C108" s="1169" t="s">
        <v>372</v>
      </c>
      <c r="D108" s="1169"/>
      <c r="E108" s="1169"/>
      <c r="F108" s="1169"/>
      <c r="G108" s="1169"/>
      <c r="H108" s="1169"/>
      <c r="I108" s="1169"/>
      <c r="J108" s="1169"/>
      <c r="K108" s="1169"/>
      <c r="L108" s="1169"/>
      <c r="M108" s="23"/>
      <c r="N108" s="4"/>
    </row>
    <row r="109" spans="2:18" ht="12.75" hidden="1" customHeight="1" x14ac:dyDescent="0.2">
      <c r="B109" s="28"/>
      <c r="D109" t="s">
        <v>189</v>
      </c>
      <c r="J109"/>
      <c r="K109"/>
      <c r="L109" s="23"/>
      <c r="M109" s="23">
        <v>1</v>
      </c>
      <c r="N109" s="835"/>
      <c r="Q109" s="841"/>
      <c r="R109" s="5"/>
    </row>
    <row r="110" spans="2:18" ht="12.75" hidden="1" customHeight="1" x14ac:dyDescent="0.2">
      <c r="B110" s="28"/>
      <c r="D110" t="s">
        <v>988</v>
      </c>
      <c r="J110"/>
      <c r="K110"/>
      <c r="L110" s="23"/>
      <c r="M110" s="23">
        <v>2</v>
      </c>
      <c r="N110" s="835"/>
      <c r="Q110" s="841"/>
      <c r="R110" s="5"/>
    </row>
    <row r="111" spans="2:18" ht="12.75" hidden="1" customHeight="1" x14ac:dyDescent="0.2">
      <c r="B111" s="28"/>
      <c r="D111" t="s">
        <v>214</v>
      </c>
      <c r="J111"/>
      <c r="K111"/>
      <c r="L111" s="23"/>
      <c r="M111" s="23">
        <v>3</v>
      </c>
      <c r="N111" s="835"/>
      <c r="Q111" s="841"/>
      <c r="R111" s="5"/>
    </row>
    <row r="112" spans="2:18" ht="12.75" hidden="1" customHeight="1" x14ac:dyDescent="0.2">
      <c r="B112" s="28"/>
      <c r="D112" t="s">
        <v>816</v>
      </c>
      <c r="J112"/>
      <c r="K112"/>
      <c r="L112" s="23"/>
      <c r="M112" s="23">
        <v>4</v>
      </c>
      <c r="N112" s="835"/>
      <c r="Q112" s="841"/>
      <c r="R112" s="5"/>
    </row>
    <row r="113" spans="1:18" ht="12.75" hidden="1" customHeight="1" x14ac:dyDescent="0.2">
      <c r="B113" s="28"/>
      <c r="D113" t="s">
        <v>805</v>
      </c>
      <c r="J113"/>
      <c r="K113"/>
      <c r="L113" s="23"/>
      <c r="M113" s="23">
        <v>5</v>
      </c>
      <c r="N113" s="835"/>
      <c r="Q113" s="841"/>
      <c r="R113" s="5"/>
    </row>
    <row r="114" spans="1:18" ht="12.75" hidden="1" customHeight="1" x14ac:dyDescent="0.2">
      <c r="B114" s="28"/>
      <c r="D114" t="s">
        <v>215</v>
      </c>
      <c r="J114"/>
      <c r="K114"/>
      <c r="L114" s="23"/>
      <c r="M114" s="23">
        <v>6</v>
      </c>
      <c r="N114" s="835"/>
      <c r="Q114" s="841"/>
      <c r="R114" s="5"/>
    </row>
    <row r="115" spans="1:18" ht="12.75" hidden="1" customHeight="1" x14ac:dyDescent="0.2">
      <c r="B115" s="28"/>
      <c r="D115" t="s">
        <v>216</v>
      </c>
      <c r="J115" s="10"/>
      <c r="K115" s="10"/>
      <c r="L115" s="23"/>
      <c r="M115" s="23">
        <v>7</v>
      </c>
      <c r="N115" s="835"/>
      <c r="Q115" s="841"/>
      <c r="R115" s="5"/>
    </row>
    <row r="116" spans="1:18" ht="12.75" hidden="1" customHeight="1" x14ac:dyDescent="0.2">
      <c r="B116" s="28"/>
      <c r="D116" t="s">
        <v>726</v>
      </c>
      <c r="J116" s="10"/>
      <c r="K116" s="10"/>
      <c r="L116" s="23"/>
      <c r="M116" s="23"/>
      <c r="N116" s="835"/>
      <c r="O116" s="1030" t="str">
        <f>IF(N118=N106," ","Recheck numbers. Entry is out of balance.")</f>
        <v>Recheck numbers. Entry is out of balance.</v>
      </c>
      <c r="P116" s="1030"/>
    </row>
    <row r="117" spans="1:18" ht="12.75" hidden="1" customHeight="1" x14ac:dyDescent="0.2">
      <c r="B117" s="28"/>
      <c r="D117" s="280" t="s">
        <v>373</v>
      </c>
      <c r="J117" s="10"/>
      <c r="K117" s="10"/>
      <c r="L117" s="23"/>
      <c r="M117" s="23"/>
      <c r="N117" s="304"/>
      <c r="O117" s="1030"/>
      <c r="P117" s="1030"/>
    </row>
    <row r="118" spans="1:18" ht="12.75" hidden="1" customHeight="1" thickBot="1" x14ac:dyDescent="0.25">
      <c r="B118" s="28"/>
      <c r="D118" s="280"/>
      <c r="E118" t="s">
        <v>374</v>
      </c>
      <c r="J118" s="10"/>
      <c r="K118" s="10"/>
      <c r="L118" s="164" t="s">
        <v>11</v>
      </c>
      <c r="M118" s="23"/>
      <c r="N118" s="537">
        <f>SUM(N109:N117)</f>
        <v>0</v>
      </c>
      <c r="O118" s="1030"/>
      <c r="P118" s="1030"/>
    </row>
    <row r="119" spans="1:18" ht="12.75" hidden="1" customHeight="1" thickTop="1" x14ac:dyDescent="0.35">
      <c r="J119" s="10"/>
      <c r="K119" s="10"/>
      <c r="L119" s="76"/>
      <c r="M119" s="5"/>
      <c r="N119" s="4"/>
    </row>
    <row r="120" spans="1:18" ht="25.5" customHeight="1" x14ac:dyDescent="0.2">
      <c r="A120" s="4" t="s">
        <v>458</v>
      </c>
      <c r="B120" s="1097" t="s">
        <v>582</v>
      </c>
      <c r="C120" s="1098"/>
      <c r="D120" s="1098"/>
      <c r="E120" s="1098"/>
      <c r="F120" s="1098"/>
      <c r="G120" s="1098"/>
      <c r="H120" s="1098"/>
      <c r="I120" s="1098"/>
      <c r="J120" s="1098"/>
      <c r="K120" s="1098"/>
      <c r="L120" s="1098"/>
      <c r="M120" s="1098"/>
      <c r="N120" s="1098"/>
      <c r="O120" s="1099"/>
    </row>
    <row r="121" spans="1:18" ht="3.75" customHeight="1" x14ac:dyDescent="0.2">
      <c r="J121"/>
      <c r="K121"/>
      <c r="L121" s="10"/>
      <c r="M121" s="23"/>
      <c r="N121" s="4"/>
    </row>
    <row r="122" spans="1:18" ht="21" customHeight="1" x14ac:dyDescent="0.2">
      <c r="J122"/>
      <c r="K122"/>
      <c r="L122" s="10"/>
      <c r="M122" s="23"/>
      <c r="N122" s="321" t="s">
        <v>557</v>
      </c>
      <c r="O122" s="321" t="s">
        <v>581</v>
      </c>
    </row>
    <row r="123" spans="1:18" ht="14.25" customHeight="1" x14ac:dyDescent="0.2">
      <c r="B123" s="28" t="s">
        <v>513</v>
      </c>
      <c r="C123" t="s">
        <v>494</v>
      </c>
      <c r="J123"/>
      <c r="K123" s="10"/>
      <c r="L123" s="10"/>
      <c r="M123" s="23"/>
      <c r="N123" s="298"/>
      <c r="O123" s="286"/>
    </row>
    <row r="124" spans="1:18" ht="6" customHeight="1" x14ac:dyDescent="0.2">
      <c r="J124"/>
      <c r="K124" s="10"/>
      <c r="L124" s="10"/>
      <c r="M124" s="23"/>
      <c r="N124" s="282"/>
      <c r="O124" s="280"/>
    </row>
    <row r="125" spans="1:18" ht="14.25" customHeight="1" x14ac:dyDescent="0.2">
      <c r="B125" s="28" t="s">
        <v>514</v>
      </c>
      <c r="C125" s="1032" t="s">
        <v>583</v>
      </c>
      <c r="D125" s="1032"/>
      <c r="E125" s="1032"/>
      <c r="F125" s="1032"/>
      <c r="G125" s="1032"/>
      <c r="H125" s="1032"/>
      <c r="I125" s="1032"/>
      <c r="J125" s="1032"/>
      <c r="K125" s="10"/>
      <c r="L125" s="164" t="s">
        <v>12</v>
      </c>
      <c r="M125" s="23"/>
      <c r="N125" s="298"/>
      <c r="O125" s="286"/>
      <c r="P125" s="196" t="s">
        <v>686</v>
      </c>
    </row>
    <row r="126" spans="1:18" ht="6" customHeight="1" x14ac:dyDescent="0.2">
      <c r="J126"/>
      <c r="K126" s="10"/>
      <c r="L126" s="10"/>
      <c r="M126" s="23"/>
      <c r="N126" s="282"/>
      <c r="O126" s="280"/>
    </row>
    <row r="127" spans="1:18" ht="13.5" customHeight="1" x14ac:dyDescent="0.2">
      <c r="B127" s="28" t="s">
        <v>515</v>
      </c>
      <c r="C127" s="1032" t="s">
        <v>271</v>
      </c>
      <c r="D127" s="1032"/>
      <c r="E127" s="1032"/>
      <c r="F127" s="1032"/>
      <c r="G127" s="1032"/>
      <c r="H127" s="1032"/>
      <c r="I127" s="1032"/>
      <c r="J127" s="1032"/>
      <c r="K127" s="10"/>
      <c r="L127" s="1187" t="s">
        <v>684</v>
      </c>
      <c r="M127" s="23"/>
      <c r="N127" s="298"/>
      <c r="O127" s="286"/>
      <c r="P127" s="1182" t="s">
        <v>687</v>
      </c>
    </row>
    <row r="128" spans="1:18" ht="5.25" customHeight="1" x14ac:dyDescent="0.2">
      <c r="J128"/>
      <c r="K128" s="10"/>
      <c r="L128" s="1187"/>
      <c r="M128" s="23"/>
      <c r="N128" s="282"/>
      <c r="O128" s="280"/>
      <c r="P128" s="1182"/>
    </row>
    <row r="129" spans="2:16" ht="12.75" customHeight="1" x14ac:dyDescent="0.2">
      <c r="B129" s="28" t="s">
        <v>541</v>
      </c>
      <c r="C129" s="1019" t="s">
        <v>454</v>
      </c>
      <c r="D129" s="1019"/>
      <c r="E129" s="1019"/>
      <c r="F129" s="1019"/>
      <c r="G129" s="1019"/>
      <c r="H129" s="1019"/>
      <c r="I129" s="1019"/>
      <c r="J129" s="1019"/>
      <c r="K129" s="10"/>
      <c r="L129" s="1187" t="s">
        <v>685</v>
      </c>
      <c r="M129" s="23"/>
      <c r="N129" s="1147"/>
      <c r="O129" s="1147"/>
      <c r="P129" s="1182" t="s">
        <v>375</v>
      </c>
    </row>
    <row r="130" spans="2:16" ht="12.75" customHeight="1" x14ac:dyDescent="0.2">
      <c r="B130" s="28"/>
      <c r="C130" s="1019"/>
      <c r="D130" s="1019"/>
      <c r="E130" s="1019"/>
      <c r="F130" s="1019"/>
      <c r="G130" s="1019"/>
      <c r="H130" s="1019"/>
      <c r="I130" s="1019"/>
      <c r="J130" s="1019"/>
      <c r="K130" s="10"/>
      <c r="L130" s="1187"/>
      <c r="M130" s="23"/>
      <c r="N130" s="1147"/>
      <c r="O130" s="1147"/>
      <c r="P130" s="1182"/>
    </row>
    <row r="131" spans="2:16" ht="4.5" customHeight="1" x14ac:dyDescent="0.2">
      <c r="J131"/>
      <c r="K131" s="10"/>
      <c r="L131" s="10"/>
      <c r="M131" s="23"/>
      <c r="N131" s="10"/>
    </row>
    <row r="132" spans="2:16" ht="12.75" customHeight="1" thickBot="1" x14ac:dyDescent="0.25">
      <c r="B132" s="28" t="s">
        <v>542</v>
      </c>
      <c r="C132" t="s">
        <v>272</v>
      </c>
      <c r="J132"/>
      <c r="K132" s="10"/>
      <c r="L132" s="10"/>
      <c r="M132" s="23"/>
      <c r="N132" s="70">
        <f>N123+N125+N129-N127</f>
        <v>0</v>
      </c>
      <c r="O132" s="70">
        <f>O123+O125+O129-O127</f>
        <v>0</v>
      </c>
    </row>
    <row r="133" spans="2:16" ht="4.5" customHeight="1" thickTop="1" x14ac:dyDescent="0.2">
      <c r="J133"/>
      <c r="K133" s="10"/>
      <c r="L133" s="10"/>
      <c r="M133" s="23"/>
      <c r="N133" s="10"/>
    </row>
    <row r="134" spans="2:16" x14ac:dyDescent="0.2">
      <c r="B134" s="28" t="s">
        <v>855</v>
      </c>
      <c r="C134" s="1019" t="s">
        <v>683</v>
      </c>
      <c r="D134" s="1019"/>
      <c r="E134" s="1019"/>
      <c r="F134" s="1019"/>
      <c r="G134" s="1019"/>
      <c r="H134" s="1019"/>
      <c r="I134" s="1019"/>
      <c r="J134" s="1019"/>
      <c r="K134" s="1019"/>
      <c r="L134" s="1019"/>
      <c r="M134" s="23"/>
    </row>
    <row r="135" spans="2:16" ht="51" customHeight="1" x14ac:dyDescent="0.2">
      <c r="B135" s="28"/>
      <c r="C135" s="1019"/>
      <c r="D135" s="1019"/>
      <c r="E135" s="1019"/>
      <c r="F135" s="1019"/>
      <c r="G135" s="1019"/>
      <c r="H135" s="1019"/>
      <c r="I135" s="1019"/>
      <c r="J135" s="1019"/>
      <c r="K135" s="1019"/>
      <c r="L135" s="1019"/>
      <c r="M135" s="23"/>
    </row>
    <row r="136" spans="2:16" ht="6.75" customHeight="1" x14ac:dyDescent="0.2">
      <c r="B136" s="28"/>
      <c r="C136" s="24"/>
      <c r="D136" s="24"/>
      <c r="E136" s="24"/>
      <c r="F136" s="24"/>
      <c r="G136" s="24"/>
      <c r="H136" s="24"/>
      <c r="I136" s="24"/>
      <c r="J136" s="24"/>
      <c r="K136" s="24"/>
      <c r="L136" s="24"/>
      <c r="M136" s="23"/>
    </row>
    <row r="137" spans="2:16" ht="15.75" customHeight="1" x14ac:dyDescent="0.2">
      <c r="B137" s="28"/>
      <c r="C137" s="24"/>
      <c r="D137" s="24"/>
      <c r="E137" s="24"/>
      <c r="F137" s="24"/>
      <c r="G137" s="1193" t="s">
        <v>557</v>
      </c>
      <c r="H137" s="1194"/>
      <c r="I137" s="1194"/>
      <c r="J137" s="1195"/>
      <c r="K137" s="24"/>
      <c r="L137" s="1193" t="s">
        <v>581</v>
      </c>
      <c r="M137" s="1194"/>
      <c r="N137" s="1194"/>
      <c r="O137" s="1195"/>
    </row>
    <row r="138" spans="2:16" x14ac:dyDescent="0.2">
      <c r="B138" s="28"/>
      <c r="C138" s="24"/>
      <c r="D138" s="24"/>
      <c r="E138" s="24"/>
      <c r="F138" s="24"/>
      <c r="G138" s="108" t="s">
        <v>105</v>
      </c>
      <c r="H138" s="108" t="s">
        <v>104</v>
      </c>
      <c r="I138" s="24"/>
      <c r="J138" s="198" t="s">
        <v>584</v>
      </c>
      <c r="K138" s="24"/>
      <c r="L138" s="108" t="s">
        <v>105</v>
      </c>
      <c r="M138" s="23"/>
      <c r="N138" s="108" t="s">
        <v>104</v>
      </c>
      <c r="O138" s="197" t="s">
        <v>584</v>
      </c>
    </row>
    <row r="139" spans="2:16" x14ac:dyDescent="0.2">
      <c r="C139" t="s">
        <v>189</v>
      </c>
      <c r="G139" s="298"/>
      <c r="H139" s="287"/>
      <c r="I139" s="280"/>
      <c r="J139" s="292"/>
      <c r="K139" s="280"/>
      <c r="L139" s="298"/>
      <c r="M139" s="284"/>
      <c r="N139" s="287"/>
      <c r="O139" s="292"/>
    </row>
    <row r="140" spans="2:16" x14ac:dyDescent="0.2">
      <c r="C140" t="s">
        <v>988</v>
      </c>
      <c r="G140" s="298"/>
      <c r="H140" s="287"/>
      <c r="I140" s="280"/>
      <c r="J140" s="292"/>
      <c r="K140" s="280"/>
      <c r="L140" s="298"/>
      <c r="M140" s="284"/>
      <c r="N140" s="287"/>
      <c r="O140" s="292"/>
    </row>
    <row r="141" spans="2:16" x14ac:dyDescent="0.2">
      <c r="C141" t="s">
        <v>214</v>
      </c>
      <c r="G141" s="298"/>
      <c r="H141" s="287"/>
      <c r="I141" s="280"/>
      <c r="J141" s="292"/>
      <c r="K141" s="280"/>
      <c r="L141" s="298"/>
      <c r="M141" s="284"/>
      <c r="N141" s="287"/>
      <c r="O141" s="292"/>
    </row>
    <row r="142" spans="2:16" x14ac:dyDescent="0.2">
      <c r="C142" t="s">
        <v>816</v>
      </c>
      <c r="G142" s="298"/>
      <c r="H142" s="287"/>
      <c r="I142" s="280"/>
      <c r="J142" s="292"/>
      <c r="K142" s="280"/>
      <c r="L142" s="298"/>
      <c r="M142" s="284"/>
      <c r="N142" s="287"/>
      <c r="O142" s="292"/>
    </row>
    <row r="143" spans="2:16" x14ac:dyDescent="0.2">
      <c r="C143" t="s">
        <v>805</v>
      </c>
      <c r="G143" s="298"/>
      <c r="H143" s="287"/>
      <c r="I143" s="280"/>
      <c r="J143" s="292"/>
      <c r="K143" s="280"/>
      <c r="L143" s="298"/>
      <c r="M143" s="284"/>
      <c r="N143" s="287"/>
      <c r="O143" s="292"/>
    </row>
    <row r="144" spans="2:16" x14ac:dyDescent="0.2">
      <c r="C144" t="s">
        <v>215</v>
      </c>
      <c r="G144" s="298"/>
      <c r="H144" s="287"/>
      <c r="I144" s="280"/>
      <c r="J144" s="292"/>
      <c r="K144" s="280"/>
      <c r="L144" s="298"/>
      <c r="M144" s="284"/>
      <c r="N144" s="287"/>
      <c r="O144" s="292"/>
    </row>
    <row r="145" spans="1:15" x14ac:dyDescent="0.2">
      <c r="C145" t="s">
        <v>216</v>
      </c>
      <c r="G145" s="298"/>
      <c r="H145" s="298"/>
      <c r="I145" s="280"/>
      <c r="J145" s="292"/>
      <c r="K145" s="282"/>
      <c r="L145" s="298"/>
      <c r="M145" s="284"/>
      <c r="N145" s="298"/>
      <c r="O145" s="292"/>
    </row>
    <row r="146" spans="1:15" x14ac:dyDescent="0.2">
      <c r="C146" t="s">
        <v>176</v>
      </c>
      <c r="G146" s="298"/>
      <c r="H146" s="298"/>
      <c r="I146" s="280"/>
      <c r="J146" s="287"/>
      <c r="K146" s="282"/>
      <c r="L146" s="298"/>
      <c r="M146" s="284"/>
      <c r="N146" s="298"/>
      <c r="O146" s="287"/>
    </row>
    <row r="147" spans="1:15" x14ac:dyDescent="0.2">
      <c r="C147" s="280" t="s">
        <v>726</v>
      </c>
      <c r="G147" s="298"/>
      <c r="H147" s="298"/>
      <c r="I147" s="280"/>
      <c r="J147" s="287"/>
      <c r="K147" s="282"/>
      <c r="L147" s="298"/>
      <c r="M147" s="284"/>
      <c r="N147" s="298"/>
      <c r="O147" s="287"/>
    </row>
    <row r="148" spans="1:15" x14ac:dyDescent="0.2">
      <c r="C148" t="s">
        <v>724</v>
      </c>
      <c r="G148" s="298"/>
      <c r="H148" s="298"/>
      <c r="I148" s="280"/>
      <c r="J148" s="287"/>
      <c r="K148" s="282"/>
      <c r="L148" s="298"/>
      <c r="M148" s="284"/>
      <c r="N148" s="298"/>
      <c r="O148" s="287"/>
    </row>
    <row r="149" spans="1:15" ht="17.25" customHeight="1" x14ac:dyDescent="0.2">
      <c r="C149" t="s">
        <v>725</v>
      </c>
      <c r="G149" s="301"/>
      <c r="H149" s="301"/>
      <c r="I149" s="280"/>
      <c r="J149" s="287"/>
      <c r="K149" s="282"/>
      <c r="L149" s="301"/>
      <c r="M149" s="284"/>
      <c r="N149" s="301"/>
      <c r="O149" s="287"/>
    </row>
    <row r="150" spans="1:15" ht="17.25" thickBot="1" x14ac:dyDescent="0.4">
      <c r="G150" s="65">
        <f>SUM(G139:G149)</f>
        <v>0</v>
      </c>
      <c r="H150" s="69">
        <f>SUM(H139:H149)</f>
        <v>0</v>
      </c>
      <c r="J150" s="70">
        <f>SUM(J139:J149)</f>
        <v>0</v>
      </c>
      <c r="K150" s="10"/>
      <c r="L150" s="65">
        <f>SUM(L139:L149)</f>
        <v>0</v>
      </c>
      <c r="M150" s="76"/>
      <c r="N150" s="69">
        <f>SUM(N139:N149)</f>
        <v>0</v>
      </c>
      <c r="O150" s="70">
        <f>SUM(O139:O149)</f>
        <v>0</v>
      </c>
    </row>
    <row r="151" spans="1:15" ht="17.25" thickTop="1" x14ac:dyDescent="0.25">
      <c r="G151" s="196" t="s">
        <v>12</v>
      </c>
      <c r="H151" s="196" t="s">
        <v>684</v>
      </c>
      <c r="I151" s="33"/>
      <c r="J151" s="196" t="s">
        <v>685</v>
      </c>
      <c r="K151"/>
      <c r="L151" s="196" t="s">
        <v>686</v>
      </c>
      <c r="N151" s="200" t="s">
        <v>687</v>
      </c>
      <c r="O151" s="200" t="s">
        <v>375</v>
      </c>
    </row>
    <row r="152" spans="1:15" s="158" customFormat="1" ht="15" customHeight="1" x14ac:dyDescent="0.2">
      <c r="A152" s="4"/>
      <c r="G152" s="161" t="str">
        <f>IF(G150=N125," ","Recheck numbers. Entry is out of balance.")</f>
        <v xml:space="preserve"> </v>
      </c>
      <c r="H152" s="161" t="str">
        <f>IF(H150=N127," ","Recheck numbers. Entry is out of balance.")</f>
        <v xml:space="preserve"> </v>
      </c>
      <c r="I152" s="199"/>
      <c r="J152" s="161" t="str">
        <f>IF(J150=N129," ","Recheck numbers. Entry is out of balance.")</f>
        <v xml:space="preserve"> </v>
      </c>
      <c r="L152" s="161" t="str">
        <f>IF(L150=O125," ","Recheck numbers. Entry is out of balance.")</f>
        <v xml:space="preserve"> </v>
      </c>
      <c r="N152" s="161" t="str">
        <f>IF(N150=O127," ","Recheck numbers. Entry is out of balance.")</f>
        <v xml:space="preserve"> </v>
      </c>
      <c r="O152" s="161" t="str">
        <f>IF(O150=O129," ","Recheck numbers. Entry is out of balance.")</f>
        <v xml:space="preserve"> </v>
      </c>
    </row>
    <row r="153" spans="1:15" s="158" customFormat="1" ht="15" customHeight="1" x14ac:dyDescent="0.2">
      <c r="A153" s="4" t="s">
        <v>459</v>
      </c>
      <c r="B153" s="1097" t="s">
        <v>2043</v>
      </c>
      <c r="C153" s="1098"/>
      <c r="D153" s="1098"/>
      <c r="E153" s="1098"/>
      <c r="F153" s="1098"/>
      <c r="G153" s="1098"/>
      <c r="H153" s="1098"/>
      <c r="I153" s="1098"/>
      <c r="J153" s="1098"/>
      <c r="K153" s="1098"/>
      <c r="L153" s="1098"/>
      <c r="M153" s="1192"/>
      <c r="N153" s="1098"/>
      <c r="O153" s="1099"/>
    </row>
    <row r="154" spans="1:15" s="158" customFormat="1" ht="15" customHeight="1" x14ac:dyDescent="0.2">
      <c r="A154" s="4"/>
      <c r="B154" s="579"/>
      <c r="C154" s="579"/>
      <c r="D154" s="579"/>
      <c r="E154" s="579"/>
      <c r="F154" s="579"/>
      <c r="G154" s="560"/>
      <c r="H154" s="560"/>
      <c r="I154" s="581"/>
      <c r="J154" s="560"/>
      <c r="K154" s="579"/>
      <c r="L154" s="560"/>
      <c r="M154" s="579"/>
      <c r="N154" s="560"/>
      <c r="O154" s="560"/>
    </row>
    <row r="155" spans="1:15" s="158" customFormat="1" ht="15" customHeight="1" x14ac:dyDescent="0.2">
      <c r="A155" s="4"/>
      <c r="B155" s="28" t="s">
        <v>513</v>
      </c>
      <c r="C155" s="579" t="s">
        <v>2081</v>
      </c>
      <c r="D155" s="579"/>
      <c r="E155" s="579"/>
      <c r="F155" s="579"/>
      <c r="G155" s="560"/>
      <c r="H155" s="560"/>
      <c r="I155" s="581"/>
      <c r="J155" s="560"/>
      <c r="K155" s="579"/>
      <c r="L155" s="298">
        <v>1285342</v>
      </c>
      <c r="M155" s="579"/>
      <c r="N155" s="560"/>
      <c r="O155" s="560"/>
    </row>
    <row r="156" spans="1:15" s="158" customFormat="1" ht="15" customHeight="1" x14ac:dyDescent="0.2">
      <c r="A156" s="4"/>
      <c r="B156" s="28"/>
      <c r="C156" s="579"/>
      <c r="D156" s="579"/>
      <c r="E156" s="579"/>
      <c r="F156" s="579"/>
      <c r="G156" s="560"/>
      <c r="H156" s="560"/>
      <c r="I156" s="581"/>
      <c r="J156" s="560"/>
      <c r="K156" s="579"/>
      <c r="L156" s="560"/>
      <c r="M156" s="579"/>
      <c r="N156" s="560"/>
      <c r="O156" s="560"/>
    </row>
    <row r="157" spans="1:15" s="158" customFormat="1" ht="15" customHeight="1" x14ac:dyDescent="0.2">
      <c r="A157" s="4"/>
      <c r="B157" s="28" t="s">
        <v>514</v>
      </c>
      <c r="C157" s="579" t="s">
        <v>2073</v>
      </c>
      <c r="D157" s="579"/>
      <c r="E157" s="579"/>
      <c r="F157" s="579"/>
      <c r="G157" s="560"/>
      <c r="H157" s="560"/>
      <c r="I157" s="581"/>
      <c r="J157" s="560"/>
      <c r="K157" s="579"/>
      <c r="L157" s="560"/>
      <c r="M157" s="579"/>
      <c r="N157" s="560"/>
      <c r="O157" s="560"/>
    </row>
    <row r="158" spans="1:15" s="158" customFormat="1" ht="15" customHeight="1" x14ac:dyDescent="0.2">
      <c r="A158" s="4"/>
      <c r="B158" s="28"/>
      <c r="C158" s="579"/>
      <c r="D158" s="579"/>
      <c r="E158" s="579"/>
      <c r="F158" s="579"/>
      <c r="G158" s="560"/>
      <c r="H158" s="560"/>
      <c r="I158" s="581"/>
      <c r="J158" s="560"/>
      <c r="K158" s="579"/>
      <c r="L158" s="602"/>
      <c r="M158" s="579"/>
      <c r="N158" s="560"/>
      <c r="O158" s="560"/>
    </row>
    <row r="159" spans="1:15" s="158" customFormat="1" ht="15" customHeight="1" x14ac:dyDescent="0.2">
      <c r="A159" s="4"/>
      <c r="B159" s="28"/>
      <c r="C159" s="128" t="s">
        <v>2033</v>
      </c>
      <c r="F159" s="579"/>
      <c r="G159" s="560"/>
      <c r="H159" s="560"/>
      <c r="I159" s="581"/>
      <c r="J159" s="560"/>
      <c r="K159" s="579"/>
      <c r="L159" s="616">
        <v>0.95</v>
      </c>
      <c r="N159" s="128"/>
      <c r="O159" s="560"/>
    </row>
    <row r="160" spans="1:15" s="158" customFormat="1" ht="15" customHeight="1" x14ac:dyDescent="0.2">
      <c r="A160" s="4"/>
      <c r="B160" s="28"/>
      <c r="C160" s="128" t="s">
        <v>2050</v>
      </c>
      <c r="F160" s="579"/>
      <c r="G160" s="560"/>
      <c r="H160" s="560"/>
      <c r="I160" s="581"/>
      <c r="J160" s="560"/>
      <c r="K160" s="579"/>
      <c r="L160" s="616">
        <v>0.05</v>
      </c>
      <c r="N160" s="128"/>
      <c r="O160" s="560"/>
    </row>
    <row r="161" spans="1:15" s="158" customFormat="1" ht="15" customHeight="1" x14ac:dyDescent="0.2">
      <c r="A161" s="4"/>
      <c r="B161" s="28"/>
      <c r="C161" s="586" t="s">
        <v>2051</v>
      </c>
      <c r="F161" s="579"/>
      <c r="G161" s="560"/>
      <c r="H161" s="560"/>
      <c r="I161" s="581"/>
      <c r="J161" s="560"/>
      <c r="K161" s="579"/>
      <c r="L161" s="587">
        <f>SUM(L159:L160)</f>
        <v>1</v>
      </c>
      <c r="N161" s="128" t="str">
        <f>IF(L161=1,"=100%","DOES NOT EQUAL 100%!!!")</f>
        <v>=100%</v>
      </c>
      <c r="O161" s="560"/>
    </row>
    <row r="162" spans="1:15" s="158" customFormat="1" ht="15" customHeight="1" x14ac:dyDescent="0.2">
      <c r="A162" s="4"/>
      <c r="B162" s="28"/>
      <c r="C162" s="4"/>
      <c r="F162" s="579"/>
      <c r="G162" s="560"/>
      <c r="H162" s="560"/>
      <c r="I162" s="581"/>
      <c r="J162" s="560"/>
      <c r="K162" s="579"/>
      <c r="L162"/>
      <c r="N162"/>
      <c r="O162" s="560"/>
    </row>
    <row r="163" spans="1:15" s="158" customFormat="1" ht="15" customHeight="1" x14ac:dyDescent="0.2">
      <c r="A163" s="4"/>
      <c r="B163" s="28"/>
      <c r="C163" s="589" t="s">
        <v>2061</v>
      </c>
      <c r="F163" s="579"/>
      <c r="G163" s="560"/>
      <c r="H163" s="560"/>
      <c r="I163" s="581"/>
      <c r="J163" s="560"/>
      <c r="K163" s="579"/>
      <c r="L163"/>
      <c r="N163"/>
      <c r="O163" s="560"/>
    </row>
    <row r="164" spans="1:15" s="158" customFormat="1" ht="15" customHeight="1" x14ac:dyDescent="0.2">
      <c r="A164" s="4"/>
      <c r="B164" s="28"/>
      <c r="C164" s="4" t="s">
        <v>2052</v>
      </c>
      <c r="F164" s="579"/>
      <c r="G164" s="560"/>
      <c r="H164" s="560"/>
      <c r="I164" s="581"/>
      <c r="J164" s="560"/>
      <c r="K164" s="579"/>
      <c r="L164" s="616">
        <v>0.95</v>
      </c>
      <c r="N164"/>
      <c r="O164" s="560"/>
    </row>
    <row r="165" spans="1:15" s="158" customFormat="1" ht="15" customHeight="1" x14ac:dyDescent="0.2">
      <c r="A165" s="4"/>
      <c r="B165" s="28"/>
      <c r="C165" s="4" t="s">
        <v>2053</v>
      </c>
      <c r="F165" s="579"/>
      <c r="G165" s="560"/>
      <c r="H165" s="560"/>
      <c r="I165" s="581"/>
      <c r="J165" s="560"/>
      <c r="K165" s="579"/>
      <c r="L165" s="616">
        <v>0</v>
      </c>
      <c r="N165"/>
      <c r="O165" s="560"/>
    </row>
    <row r="166" spans="1:15" s="158" customFormat="1" ht="15" customHeight="1" x14ac:dyDescent="0.2">
      <c r="A166" s="4"/>
      <c r="B166" s="28"/>
      <c r="C166" s="4" t="s">
        <v>2054</v>
      </c>
      <c r="F166" s="579"/>
      <c r="G166" s="560"/>
      <c r="H166" s="560"/>
      <c r="I166" s="581"/>
      <c r="J166" s="560"/>
      <c r="K166" s="579"/>
      <c r="L166" s="616">
        <v>0</v>
      </c>
      <c r="N166"/>
      <c r="O166" s="560"/>
    </row>
    <row r="167" spans="1:15" s="158" customFormat="1" ht="15" customHeight="1" x14ac:dyDescent="0.2">
      <c r="A167" s="4"/>
      <c r="B167" s="28"/>
      <c r="C167" s="4" t="s">
        <v>2055</v>
      </c>
      <c r="F167" s="579"/>
      <c r="G167" s="560"/>
      <c r="H167" s="560"/>
      <c r="I167" s="581"/>
      <c r="J167" s="560"/>
      <c r="K167" s="579"/>
      <c r="L167" s="616">
        <v>0</v>
      </c>
      <c r="N167"/>
      <c r="O167" s="560"/>
    </row>
    <row r="168" spans="1:15" s="158" customFormat="1" ht="15" customHeight="1" x14ac:dyDescent="0.2">
      <c r="A168" s="4"/>
      <c r="B168" s="28"/>
      <c r="C168" s="4" t="s">
        <v>2056</v>
      </c>
      <c r="F168" s="579"/>
      <c r="G168" s="560"/>
      <c r="H168" s="560"/>
      <c r="I168" s="581"/>
      <c r="J168" s="560"/>
      <c r="K168" s="579"/>
      <c r="L168" s="616">
        <v>0</v>
      </c>
      <c r="N168"/>
      <c r="O168" s="560"/>
    </row>
    <row r="169" spans="1:15" s="158" customFormat="1" ht="15" customHeight="1" x14ac:dyDescent="0.2">
      <c r="A169" s="4"/>
      <c r="B169" s="28"/>
      <c r="C169" s="4" t="s">
        <v>2057</v>
      </c>
      <c r="F169" s="579"/>
      <c r="G169" s="560"/>
      <c r="H169" s="560"/>
      <c r="I169" s="581"/>
      <c r="J169" s="560"/>
      <c r="K169" s="579"/>
      <c r="L169" s="616">
        <v>0</v>
      </c>
      <c r="N169"/>
      <c r="O169" s="560"/>
    </row>
    <row r="170" spans="1:15" s="158" customFormat="1" ht="15" customHeight="1" x14ac:dyDescent="0.2">
      <c r="A170" s="4"/>
      <c r="B170" s="28"/>
      <c r="C170" s="4" t="s">
        <v>2058</v>
      </c>
      <c r="F170" s="579"/>
      <c r="G170" s="560"/>
      <c r="H170" s="560"/>
      <c r="I170" s="581"/>
      <c r="J170" s="560"/>
      <c r="K170" s="579"/>
      <c r="L170" s="616">
        <v>0</v>
      </c>
      <c r="N170"/>
      <c r="O170" s="560"/>
    </row>
    <row r="171" spans="1:15" s="158" customFormat="1" ht="15" customHeight="1" x14ac:dyDescent="0.2">
      <c r="A171" s="4"/>
      <c r="B171" s="28"/>
      <c r="C171" s="4" t="s">
        <v>2059</v>
      </c>
      <c r="F171" s="579"/>
      <c r="G171" s="560"/>
      <c r="H171" s="560"/>
      <c r="I171" s="581"/>
      <c r="J171" s="560"/>
      <c r="K171" s="579"/>
      <c r="L171" s="616">
        <v>0</v>
      </c>
      <c r="N171"/>
      <c r="O171" s="560"/>
    </row>
    <row r="172" spans="1:15" s="158" customFormat="1" ht="15" customHeight="1" x14ac:dyDescent="0.2">
      <c r="A172" s="4"/>
      <c r="B172" s="28"/>
      <c r="C172" s="4" t="s">
        <v>2060</v>
      </c>
      <c r="F172" s="579"/>
      <c r="G172" s="560"/>
      <c r="H172" s="560"/>
      <c r="I172" s="581"/>
      <c r="J172" s="560"/>
      <c r="K172" s="579"/>
      <c r="L172" s="616">
        <v>0</v>
      </c>
      <c r="N172"/>
      <c r="O172" s="560"/>
    </row>
    <row r="173" spans="1:15" s="158" customFormat="1" ht="15" customHeight="1" x14ac:dyDescent="0.2">
      <c r="A173" s="4"/>
      <c r="B173" s="28"/>
      <c r="C173" s="586" t="s">
        <v>2062</v>
      </c>
      <c r="F173" s="579"/>
      <c r="G173" s="560"/>
      <c r="H173" s="560"/>
      <c r="I173" s="581"/>
      <c r="J173" s="560"/>
      <c r="K173" s="579"/>
      <c r="L173" s="587">
        <f>SUM(L164:L172)</f>
        <v>0.95</v>
      </c>
      <c r="N173" s="128" t="str">
        <f>IF(L173=L159,"Equals Governmental Activities","DOES NOT EQUAL Governmental Activities!!!")</f>
        <v>Equals Governmental Activities</v>
      </c>
      <c r="O173" s="560"/>
    </row>
    <row r="174" spans="1:15" s="158" customFormat="1" ht="15" customHeight="1" x14ac:dyDescent="0.2">
      <c r="A174" s="4"/>
      <c r="B174" s="28"/>
      <c r="C174" s="579"/>
      <c r="D174" s="579"/>
      <c r="E174" s="579"/>
      <c r="F174" s="579"/>
      <c r="G174" s="560"/>
      <c r="H174" s="560"/>
      <c r="I174" s="581"/>
      <c r="J174" s="560"/>
      <c r="K174" s="579"/>
      <c r="L174" s="602"/>
      <c r="M174" s="579"/>
      <c r="N174" s="560"/>
      <c r="O174" s="560"/>
    </row>
    <row r="175" spans="1:15" s="158" customFormat="1" ht="15" customHeight="1" x14ac:dyDescent="0.2">
      <c r="A175" s="4"/>
      <c r="B175" s="28"/>
      <c r="C175" s="579"/>
      <c r="D175" s="579"/>
      <c r="E175" s="579"/>
      <c r="F175" s="579"/>
      <c r="G175" s="560"/>
      <c r="H175" s="560"/>
      <c r="I175" s="581"/>
      <c r="J175" s="560"/>
      <c r="K175" s="579"/>
      <c r="L175" s="560"/>
      <c r="M175" s="579"/>
      <c r="N175" s="560"/>
      <c r="O175" s="560"/>
    </row>
    <row r="176" spans="1:15" s="158" customFormat="1" x14ac:dyDescent="0.2">
      <c r="A176" s="4"/>
      <c r="B176" s="28" t="s">
        <v>515</v>
      </c>
      <c r="C176" s="1021" t="s">
        <v>2074</v>
      </c>
      <c r="D176" s="1021"/>
      <c r="E176" s="1021"/>
      <c r="F176" s="1021"/>
      <c r="G176" s="1021"/>
      <c r="H176" s="1021"/>
      <c r="I176" s="1021"/>
      <c r="J176" s="1021"/>
      <c r="K176" s="579"/>
      <c r="L176" s="581" t="s">
        <v>509</v>
      </c>
      <c r="M176" s="579"/>
      <c r="N176" s="581" t="s">
        <v>510</v>
      </c>
      <c r="O176" s="560"/>
    </row>
    <row r="177" spans="1:15" s="158" customFormat="1" ht="15" customHeight="1" x14ac:dyDescent="0.2">
      <c r="A177" s="4"/>
      <c r="C177" s="579" t="s">
        <v>2046</v>
      </c>
      <c r="G177" s="161"/>
      <c r="H177" s="161"/>
      <c r="I177" s="199"/>
      <c r="J177" s="161"/>
      <c r="L177" s="11">
        <f>L155*L159</f>
        <v>1221075</v>
      </c>
      <c r="M177" s="11"/>
      <c r="N177" s="11"/>
      <c r="O177" s="161"/>
    </row>
    <row r="178" spans="1:15" s="158" customFormat="1" ht="15" customHeight="1" x14ac:dyDescent="0.2">
      <c r="A178" s="4"/>
      <c r="C178" s="579" t="s">
        <v>2052</v>
      </c>
      <c r="G178" s="161"/>
      <c r="H178" s="161"/>
      <c r="I178" s="199"/>
      <c r="J178" s="161"/>
      <c r="L178" s="11"/>
      <c r="M178" s="11"/>
      <c r="N178" s="11">
        <f>L164*$L$155</f>
        <v>1221075</v>
      </c>
      <c r="O178" s="161"/>
    </row>
    <row r="179" spans="1:15" s="158" customFormat="1" ht="15" customHeight="1" x14ac:dyDescent="0.2">
      <c r="A179" s="4"/>
      <c r="C179" s="579" t="s">
        <v>2053</v>
      </c>
      <c r="G179" s="161"/>
      <c r="H179" s="161"/>
      <c r="I179" s="199"/>
      <c r="J179" s="161"/>
      <c r="L179" s="11"/>
      <c r="M179" s="11"/>
      <c r="N179" s="11">
        <f t="shared" ref="N179:N186" si="2">L165*$L$155</f>
        <v>0</v>
      </c>
      <c r="O179" s="161"/>
    </row>
    <row r="180" spans="1:15" s="158" customFormat="1" ht="15" customHeight="1" x14ac:dyDescent="0.2">
      <c r="A180" s="4"/>
      <c r="C180" s="579" t="s">
        <v>2054</v>
      </c>
      <c r="G180" s="161"/>
      <c r="H180" s="161"/>
      <c r="I180" s="199"/>
      <c r="J180" s="161"/>
      <c r="L180" s="11"/>
      <c r="M180" s="11"/>
      <c r="N180" s="11">
        <f t="shared" si="2"/>
        <v>0</v>
      </c>
      <c r="O180" s="161"/>
    </row>
    <row r="181" spans="1:15" s="158" customFormat="1" ht="15" customHeight="1" x14ac:dyDescent="0.2">
      <c r="A181" s="4"/>
      <c r="C181" s="579" t="s">
        <v>2055</v>
      </c>
      <c r="G181" s="161"/>
      <c r="H181" s="161"/>
      <c r="I181" s="199"/>
      <c r="J181" s="161"/>
      <c r="L181" s="11"/>
      <c r="M181" s="11"/>
      <c r="N181" s="11">
        <f t="shared" si="2"/>
        <v>0</v>
      </c>
      <c r="O181" s="161"/>
    </row>
    <row r="182" spans="1:15" s="158" customFormat="1" ht="15" customHeight="1" x14ac:dyDescent="0.2">
      <c r="A182" s="4"/>
      <c r="C182" s="579" t="s">
        <v>2056</v>
      </c>
      <c r="G182" s="161"/>
      <c r="H182" s="161"/>
      <c r="I182" s="199"/>
      <c r="J182" s="161"/>
      <c r="L182" s="11"/>
      <c r="M182" s="11"/>
      <c r="N182" s="11">
        <f t="shared" si="2"/>
        <v>0</v>
      </c>
      <c r="O182" s="161"/>
    </row>
    <row r="183" spans="1:15" s="158" customFormat="1" ht="15" customHeight="1" x14ac:dyDescent="0.2">
      <c r="A183" s="4"/>
      <c r="C183" s="579" t="s">
        <v>2057</v>
      </c>
      <c r="G183" s="161"/>
      <c r="H183" s="161"/>
      <c r="I183" s="199"/>
      <c r="J183" s="161"/>
      <c r="L183" s="11"/>
      <c r="M183" s="11"/>
      <c r="N183" s="11">
        <f t="shared" si="2"/>
        <v>0</v>
      </c>
      <c r="O183" s="161"/>
    </row>
    <row r="184" spans="1:15" s="158" customFormat="1" ht="15" customHeight="1" x14ac:dyDescent="0.2">
      <c r="A184" s="4"/>
      <c r="C184" s="579" t="s">
        <v>2058</v>
      </c>
      <c r="G184" s="161"/>
      <c r="H184" s="161"/>
      <c r="I184" s="199"/>
      <c r="J184" s="161"/>
      <c r="L184" s="11"/>
      <c r="M184" s="11"/>
      <c r="N184" s="11">
        <f t="shared" si="2"/>
        <v>0</v>
      </c>
      <c r="O184" s="161"/>
    </row>
    <row r="185" spans="1:15" s="158" customFormat="1" ht="15" customHeight="1" x14ac:dyDescent="0.2">
      <c r="A185" s="4"/>
      <c r="C185" s="579" t="s">
        <v>2059</v>
      </c>
      <c r="G185" s="161"/>
      <c r="H185" s="161"/>
      <c r="I185" s="199"/>
      <c r="J185" s="161"/>
      <c r="L185" s="11"/>
      <c r="M185" s="11"/>
      <c r="N185" s="11">
        <f t="shared" si="2"/>
        <v>0</v>
      </c>
      <c r="O185" s="161"/>
    </row>
    <row r="186" spans="1:15" s="158" customFormat="1" ht="15" customHeight="1" x14ac:dyDescent="0.2">
      <c r="A186" s="4"/>
      <c r="C186" s="579" t="s">
        <v>2060</v>
      </c>
      <c r="G186" s="161"/>
      <c r="H186" s="161"/>
      <c r="I186" s="199"/>
      <c r="J186" s="161"/>
      <c r="L186" s="11"/>
      <c r="M186" s="11"/>
      <c r="N186" s="11">
        <f t="shared" si="2"/>
        <v>0</v>
      </c>
      <c r="O186" s="161"/>
    </row>
    <row r="187" spans="1:15" s="158" customFormat="1" ht="15" customHeight="1" x14ac:dyDescent="0.2">
      <c r="A187" s="4"/>
      <c r="G187" s="161"/>
      <c r="H187" s="161"/>
      <c r="I187" s="199"/>
      <c r="J187" s="161"/>
      <c r="L187" s="161"/>
      <c r="N187" s="161"/>
      <c r="O187" s="161"/>
    </row>
    <row r="188" spans="1:15" s="158" customFormat="1" ht="15" customHeight="1" x14ac:dyDescent="0.2">
      <c r="A188" s="4"/>
      <c r="G188" s="161"/>
      <c r="H188" s="161"/>
      <c r="I188" s="199"/>
      <c r="J188" s="161"/>
      <c r="L188" s="161"/>
      <c r="N188" s="161"/>
      <c r="O188" s="161"/>
    </row>
    <row r="189" spans="1:15" s="158" customFormat="1" ht="15" customHeight="1" x14ac:dyDescent="0.2">
      <c r="A189" s="4"/>
      <c r="G189" s="161"/>
      <c r="H189" s="161"/>
      <c r="I189" s="199"/>
      <c r="J189" s="161"/>
      <c r="L189" s="161"/>
      <c r="N189" s="161"/>
      <c r="O189" s="161"/>
    </row>
    <row r="190" spans="1:15" s="158" customFormat="1" ht="15" customHeight="1" x14ac:dyDescent="0.2">
      <c r="A190" s="4"/>
      <c r="G190" s="161"/>
      <c r="H190" s="161"/>
      <c r="I190" s="199"/>
      <c r="J190" s="161"/>
      <c r="L190" s="161"/>
      <c r="N190" s="161"/>
      <c r="O190" s="161"/>
    </row>
    <row r="191" spans="1:15" s="158" customFormat="1" ht="15" customHeight="1" x14ac:dyDescent="0.2">
      <c r="A191" s="4" t="s">
        <v>460</v>
      </c>
      <c r="B191" s="1097" t="s">
        <v>2045</v>
      </c>
      <c r="C191" s="1098"/>
      <c r="D191" s="1098"/>
      <c r="E191" s="1098"/>
      <c r="F191" s="1098"/>
      <c r="G191" s="1098"/>
      <c r="H191" s="1098"/>
      <c r="I191" s="1098"/>
      <c r="J191" s="1098"/>
      <c r="K191" s="1098"/>
      <c r="L191" s="1098"/>
      <c r="M191" s="1192"/>
      <c r="N191" s="1098"/>
      <c r="O191" s="1099"/>
    </row>
    <row r="192" spans="1:15" s="158" customFormat="1" ht="15" customHeight="1" x14ac:dyDescent="0.2">
      <c r="A192" s="4"/>
      <c r="B192" s="579"/>
      <c r="C192" s="579"/>
      <c r="D192" s="579"/>
      <c r="E192" s="579"/>
      <c r="F192" s="579"/>
      <c r="G192" s="560"/>
      <c r="H192" s="560"/>
      <c r="I192" s="581"/>
      <c r="J192" s="560"/>
      <c r="K192" s="579"/>
      <c r="L192" s="560"/>
      <c r="M192" s="579"/>
      <c r="N192" s="560"/>
      <c r="O192" s="560"/>
    </row>
    <row r="193" spans="1:16" s="158" customFormat="1" ht="15" customHeight="1" x14ac:dyDescent="0.2">
      <c r="A193" s="4"/>
      <c r="B193" s="28" t="s">
        <v>513</v>
      </c>
      <c r="C193" s="579" t="s">
        <v>2082</v>
      </c>
      <c r="D193" s="579"/>
      <c r="E193" s="579"/>
      <c r="F193" s="579"/>
      <c r="G193" s="560"/>
      <c r="H193" s="560"/>
      <c r="I193" s="581"/>
      <c r="J193" s="560"/>
      <c r="K193" s="579"/>
      <c r="L193" s="298">
        <v>4000</v>
      </c>
      <c r="M193" s="579"/>
      <c r="N193" s="560"/>
      <c r="O193" s="560"/>
    </row>
    <row r="194" spans="1:16" s="158" customFormat="1" ht="15" customHeight="1" x14ac:dyDescent="0.2">
      <c r="A194" s="4"/>
      <c r="B194" s="28"/>
      <c r="C194" s="579"/>
      <c r="D194" s="579"/>
      <c r="E194" s="579"/>
      <c r="F194" s="579"/>
      <c r="G194" s="560"/>
      <c r="H194" s="560"/>
      <c r="I194" s="581"/>
      <c r="J194" s="560"/>
      <c r="K194" s="579"/>
      <c r="L194" s="582"/>
      <c r="M194" s="579"/>
      <c r="N194" s="560"/>
      <c r="O194" s="560"/>
    </row>
    <row r="195" spans="1:16" s="158" customFormat="1" ht="15" customHeight="1" x14ac:dyDescent="0.2">
      <c r="A195" s="4"/>
      <c r="B195" s="28" t="s">
        <v>514</v>
      </c>
      <c r="C195" s="579" t="s">
        <v>2044</v>
      </c>
      <c r="D195" s="579"/>
      <c r="E195" s="579"/>
      <c r="F195" s="579"/>
      <c r="G195" s="560"/>
      <c r="H195" s="560"/>
      <c r="I195" s="581"/>
      <c r="J195" s="560"/>
      <c r="K195" s="579"/>
      <c r="L195" s="583">
        <v>1</v>
      </c>
      <c r="M195" s="579"/>
      <c r="N195" s="560"/>
      <c r="O195" s="560"/>
    </row>
    <row r="196" spans="1:16" s="158" customFormat="1" ht="15" customHeight="1" x14ac:dyDescent="0.2">
      <c r="A196" s="4"/>
      <c r="B196" s="28"/>
      <c r="C196" s="579"/>
      <c r="D196" s="579"/>
      <c r="E196" s="579"/>
      <c r="F196" s="579"/>
      <c r="G196" s="560"/>
      <c r="H196" s="560"/>
      <c r="I196" s="581"/>
      <c r="J196" s="560"/>
      <c r="K196" s="579"/>
      <c r="L196" s="560"/>
      <c r="M196" s="579"/>
      <c r="N196" s="560"/>
      <c r="O196" s="560"/>
    </row>
    <row r="197" spans="1:16" s="158" customFormat="1" ht="29.45" customHeight="1" thickBot="1" x14ac:dyDescent="0.25">
      <c r="A197" s="4"/>
      <c r="B197" s="28" t="s">
        <v>515</v>
      </c>
      <c r="C197" s="1021" t="s">
        <v>3615</v>
      </c>
      <c r="D197" s="1021"/>
      <c r="E197" s="1021"/>
      <c r="F197" s="1021"/>
      <c r="G197" s="1021"/>
      <c r="H197" s="1021"/>
      <c r="I197" s="1021"/>
      <c r="J197" s="1021"/>
      <c r="K197" s="579"/>
      <c r="L197" s="58">
        <f>L193*L195</f>
        <v>4000</v>
      </c>
      <c r="M197" s="579"/>
      <c r="N197" s="560"/>
      <c r="O197" s="560"/>
    </row>
    <row r="198" spans="1:16" s="158" customFormat="1" ht="15" customHeight="1" thickTop="1" x14ac:dyDescent="0.2">
      <c r="A198" s="4"/>
      <c r="G198" s="161"/>
      <c r="H198" s="161"/>
      <c r="I198" s="199"/>
      <c r="J198" s="161"/>
      <c r="L198" s="161"/>
      <c r="N198" s="161"/>
      <c r="O198" s="161"/>
    </row>
    <row r="199" spans="1:16" s="158" customFormat="1" ht="15" customHeight="1" x14ac:dyDescent="0.2">
      <c r="A199" s="4"/>
      <c r="G199" s="161"/>
      <c r="H199" s="161"/>
      <c r="I199" s="199"/>
      <c r="J199" s="161"/>
      <c r="L199" s="161"/>
      <c r="N199" s="161"/>
      <c r="O199" s="161"/>
    </row>
    <row r="200" spans="1:16" s="158" customFormat="1" ht="22.5" customHeight="1" x14ac:dyDescent="0.2">
      <c r="A200" s="4"/>
      <c r="G200" s="561"/>
      <c r="H200" s="561"/>
      <c r="I200" s="199"/>
      <c r="J200" s="561"/>
      <c r="L200" s="561"/>
      <c r="N200" s="561"/>
      <c r="O200" s="561"/>
    </row>
    <row r="201" spans="1:16" ht="25.5" customHeight="1" x14ac:dyDescent="0.2">
      <c r="A201" s="4" t="s">
        <v>461</v>
      </c>
      <c r="B201" s="1097" t="s">
        <v>288</v>
      </c>
      <c r="C201" s="1098"/>
      <c r="D201" s="1098"/>
      <c r="E201" s="1098"/>
      <c r="F201" s="1098"/>
      <c r="G201" s="1098"/>
      <c r="H201" s="1098"/>
      <c r="I201" s="1098"/>
      <c r="J201" s="1098"/>
      <c r="K201" s="1098"/>
      <c r="L201" s="1098"/>
      <c r="M201" s="1098"/>
      <c r="N201" s="1098"/>
      <c r="O201" s="1099"/>
      <c r="P201" s="4"/>
    </row>
    <row r="202" spans="1:16" x14ac:dyDescent="0.2">
      <c r="J202"/>
      <c r="K202"/>
      <c r="L202" s="3" t="s">
        <v>858</v>
      </c>
      <c r="M202" s="3"/>
      <c r="N202" s="3" t="s">
        <v>510</v>
      </c>
    </row>
    <row r="203" spans="1:16" ht="12.75" customHeight="1" x14ac:dyDescent="0.2">
      <c r="D203" s="579" t="s">
        <v>474</v>
      </c>
      <c r="E203" t="s">
        <v>189</v>
      </c>
      <c r="K203"/>
      <c r="L203" s="11">
        <f t="shared" ref="L203:L214" si="3">AB233</f>
        <v>0</v>
      </c>
      <c r="N203" s="11">
        <f t="shared" ref="N203:N214" si="4">AC233</f>
        <v>1167439</v>
      </c>
    </row>
    <row r="204" spans="1:16" x14ac:dyDescent="0.2">
      <c r="E204" t="s">
        <v>988</v>
      </c>
      <c r="K204"/>
      <c r="L204" s="11">
        <f t="shared" si="3"/>
        <v>67659</v>
      </c>
      <c r="N204" s="11">
        <f t="shared" si="4"/>
        <v>0</v>
      </c>
    </row>
    <row r="205" spans="1:16" x14ac:dyDescent="0.2">
      <c r="E205" t="s">
        <v>989</v>
      </c>
      <c r="K205"/>
      <c r="L205" s="11">
        <f t="shared" si="3"/>
        <v>1254</v>
      </c>
      <c r="N205" s="11">
        <f t="shared" si="4"/>
        <v>0</v>
      </c>
    </row>
    <row r="206" spans="1:16" x14ac:dyDescent="0.2">
      <c r="E206" t="s">
        <v>816</v>
      </c>
      <c r="J206"/>
      <c r="K206"/>
      <c r="L206" s="11">
        <f t="shared" si="3"/>
        <v>6265</v>
      </c>
      <c r="N206" s="11">
        <f t="shared" si="4"/>
        <v>0</v>
      </c>
    </row>
    <row r="207" spans="1:16" x14ac:dyDescent="0.2">
      <c r="E207" t="s">
        <v>805</v>
      </c>
      <c r="J207"/>
      <c r="K207"/>
      <c r="L207" s="11">
        <f t="shared" si="3"/>
        <v>0</v>
      </c>
      <c r="N207" s="11">
        <f t="shared" si="4"/>
        <v>0</v>
      </c>
    </row>
    <row r="208" spans="1:16" x14ac:dyDescent="0.2">
      <c r="E208" t="s">
        <v>203</v>
      </c>
      <c r="J208"/>
      <c r="K208"/>
      <c r="L208" s="11">
        <f t="shared" si="3"/>
        <v>115268</v>
      </c>
      <c r="N208" s="11">
        <f t="shared" si="4"/>
        <v>0</v>
      </c>
    </row>
    <row r="209" spans="5:14" x14ac:dyDescent="0.2">
      <c r="E209" t="s">
        <v>1007</v>
      </c>
      <c r="J209"/>
      <c r="K209"/>
      <c r="L209" s="11">
        <f t="shared" si="3"/>
        <v>2505</v>
      </c>
      <c r="N209" s="11">
        <f t="shared" si="4"/>
        <v>0</v>
      </c>
    </row>
    <row r="210" spans="5:14" x14ac:dyDescent="0.2">
      <c r="E210" t="s">
        <v>172</v>
      </c>
      <c r="J210"/>
      <c r="K210"/>
      <c r="L210" s="11">
        <f t="shared" si="3"/>
        <v>0</v>
      </c>
      <c r="N210" s="11">
        <f t="shared" si="4"/>
        <v>0</v>
      </c>
    </row>
    <row r="211" spans="5:14" x14ac:dyDescent="0.2">
      <c r="E211" s="280" t="s">
        <v>726</v>
      </c>
      <c r="J211"/>
      <c r="K211"/>
      <c r="L211" s="11">
        <f t="shared" si="3"/>
        <v>0</v>
      </c>
      <c r="N211" s="11">
        <f t="shared" si="4"/>
        <v>0</v>
      </c>
    </row>
    <row r="212" spans="5:14" x14ac:dyDescent="0.2">
      <c r="E212" t="s">
        <v>724</v>
      </c>
      <c r="J212"/>
      <c r="K212"/>
      <c r="L212" s="11">
        <f t="shared" si="3"/>
        <v>0</v>
      </c>
      <c r="N212" s="11">
        <f t="shared" si="4"/>
        <v>0</v>
      </c>
    </row>
    <row r="213" spans="5:14" x14ac:dyDescent="0.2">
      <c r="E213" t="s">
        <v>725</v>
      </c>
      <c r="J213"/>
      <c r="K213"/>
      <c r="L213" s="11">
        <f t="shared" si="3"/>
        <v>0</v>
      </c>
      <c r="N213" s="11">
        <f t="shared" si="4"/>
        <v>0</v>
      </c>
    </row>
    <row r="214" spans="5:14" x14ac:dyDescent="0.2">
      <c r="E214" t="s">
        <v>1026</v>
      </c>
      <c r="J214"/>
      <c r="K214"/>
      <c r="L214" s="11">
        <f t="shared" si="3"/>
        <v>0</v>
      </c>
      <c r="N214" s="11">
        <f t="shared" si="4"/>
        <v>250587</v>
      </c>
    </row>
    <row r="215" spans="5:14" x14ac:dyDescent="0.2">
      <c r="E215" t="s">
        <v>2617</v>
      </c>
      <c r="J215"/>
      <c r="K215"/>
      <c r="L215" s="11">
        <f>AB245</f>
        <v>1221075</v>
      </c>
      <c r="N215" s="11">
        <f>AC245</f>
        <v>0</v>
      </c>
    </row>
    <row r="216" spans="5:14" x14ac:dyDescent="0.2">
      <c r="E216" t="s">
        <v>2616</v>
      </c>
      <c r="J216"/>
      <c r="K216"/>
      <c r="L216" s="11">
        <f>AB246</f>
        <v>4000</v>
      </c>
      <c r="N216" s="11">
        <f>AC246</f>
        <v>0</v>
      </c>
    </row>
    <row r="217" spans="5:14" x14ac:dyDescent="0.2">
      <c r="F217" t="s">
        <v>1027</v>
      </c>
      <c r="J217"/>
      <c r="K217"/>
      <c r="L217" s="11">
        <f>AB247</f>
        <v>0</v>
      </c>
      <c r="N217" s="11">
        <f>AC247</f>
        <v>0</v>
      </c>
    </row>
    <row r="218" spans="5:14" x14ac:dyDescent="0.2">
      <c r="F218" s="280" t="s">
        <v>261</v>
      </c>
      <c r="J218"/>
      <c r="K218"/>
      <c r="L218" s="11">
        <f>AB250</f>
        <v>0</v>
      </c>
      <c r="N218" s="11">
        <f>AC250</f>
        <v>0</v>
      </c>
    </row>
    <row r="219" spans="5:14" x14ac:dyDescent="0.2">
      <c r="F219" s="280" t="s">
        <v>260</v>
      </c>
      <c r="L219" s="11">
        <f>AB251</f>
        <v>0</v>
      </c>
      <c r="N219" s="11">
        <f>AC251</f>
        <v>0</v>
      </c>
    </row>
    <row r="220" spans="5:14" x14ac:dyDescent="0.2">
      <c r="F220" t="str">
        <f>A248</f>
        <v>Net Pension obligation (LEO)</v>
      </c>
      <c r="J220"/>
      <c r="K220"/>
      <c r="L220" s="11">
        <f>AB248</f>
        <v>0</v>
      </c>
      <c r="N220" s="11">
        <f>AC248</f>
        <v>0</v>
      </c>
    </row>
    <row r="221" spans="5:14" x14ac:dyDescent="0.2">
      <c r="F221" s="579" t="s">
        <v>87</v>
      </c>
      <c r="J221"/>
      <c r="K221"/>
      <c r="L221" s="11">
        <f>AB252</f>
        <v>0</v>
      </c>
      <c r="N221" s="11">
        <f>AC252</f>
        <v>50585</v>
      </c>
    </row>
    <row r="222" spans="5:14" x14ac:dyDescent="0.2">
      <c r="F222" s="579" t="s">
        <v>3968</v>
      </c>
      <c r="J222"/>
      <c r="K222"/>
      <c r="L222" s="11">
        <f>AB249</f>
        <v>50585</v>
      </c>
      <c r="N222" s="11">
        <f>AC249</f>
        <v>0</v>
      </c>
    </row>
    <row r="223" spans="5:14" ht="13.5" thickBot="1" x14ac:dyDescent="0.25">
      <c r="L223" s="58">
        <f>SUM(L203:L222)</f>
        <v>1468611</v>
      </c>
      <c r="M223" s="15">
        <f>SUM(M203:M219)</f>
        <v>0</v>
      </c>
      <c r="N223" s="58">
        <f>SUM(N203:N222)</f>
        <v>1468611</v>
      </c>
    </row>
    <row r="224" spans="5:14" ht="13.5" thickTop="1" x14ac:dyDescent="0.2">
      <c r="L224" s="5"/>
      <c r="N224" s="5"/>
    </row>
    <row r="226" spans="1:33" ht="12.75" customHeight="1" x14ac:dyDescent="0.25">
      <c r="A226" s="170" t="s">
        <v>279</v>
      </c>
      <c r="B226" s="170"/>
      <c r="C226" s="170"/>
      <c r="D226" s="170"/>
      <c r="E226" s="170"/>
      <c r="F226" s="170"/>
      <c r="G226" s="170"/>
      <c r="H226" s="170"/>
      <c r="I226" s="170"/>
      <c r="J226" s="170"/>
      <c r="K226" s="170"/>
      <c r="L226" s="170"/>
      <c r="M226" s="170"/>
      <c r="N226" s="170"/>
      <c r="O226" s="170"/>
      <c r="P226" s="83"/>
      <c r="Q226" s="83"/>
      <c r="R226" s="83"/>
      <c r="S226" s="83"/>
      <c r="T226" s="83"/>
      <c r="U226" s="83"/>
      <c r="V226" s="83"/>
      <c r="W226" s="83"/>
      <c r="X226" s="83"/>
      <c r="Y226" s="83"/>
      <c r="Z226" s="83"/>
      <c r="AA226" s="83"/>
    </row>
    <row r="227" spans="1:33" ht="12.75" customHeight="1" x14ac:dyDescent="0.25">
      <c r="A227" s="170"/>
      <c r="B227" s="170"/>
      <c r="C227" s="170"/>
      <c r="D227" s="170"/>
      <c r="E227" s="170"/>
      <c r="F227" s="170"/>
      <c r="G227" s="170"/>
      <c r="H227" s="170"/>
      <c r="I227" s="170"/>
      <c r="J227" s="170"/>
      <c r="K227" s="170"/>
      <c r="L227" s="170"/>
      <c r="M227" s="170"/>
      <c r="N227" s="170"/>
      <c r="O227" s="170"/>
      <c r="P227" s="83"/>
      <c r="Q227" s="83"/>
      <c r="R227" s="83"/>
      <c r="S227" s="83"/>
      <c r="T227" s="83"/>
      <c r="U227" s="83"/>
      <c r="V227" s="83"/>
      <c r="W227" s="83"/>
      <c r="X227" s="83"/>
      <c r="Y227" s="83"/>
      <c r="Z227" s="83"/>
      <c r="AA227" s="83"/>
    </row>
    <row r="228" spans="1:33" ht="18" x14ac:dyDescent="0.25">
      <c r="A228" s="840"/>
      <c r="B228" s="840"/>
      <c r="C228" s="840"/>
      <c r="D228" s="840"/>
      <c r="E228" s="840"/>
      <c r="F228" s="840"/>
      <c r="G228" s="840"/>
      <c r="H228" s="840"/>
      <c r="I228" s="840"/>
      <c r="J228" s="840"/>
      <c r="K228" s="840"/>
      <c r="L228" s="840"/>
      <c r="M228" s="840"/>
      <c r="N228" s="840"/>
      <c r="O228" s="840"/>
      <c r="P228" s="83"/>
      <c r="Q228" s="83"/>
      <c r="R228" s="83"/>
      <c r="S228" s="83"/>
      <c r="T228" s="83"/>
      <c r="U228" s="83"/>
      <c r="V228" s="83"/>
      <c r="W228" s="83"/>
      <c r="X228" s="83"/>
      <c r="Y228" s="83"/>
      <c r="Z228" s="83"/>
      <c r="AA228" s="83"/>
    </row>
    <row r="229" spans="1:33" x14ac:dyDescent="0.2">
      <c r="F229" s="1118" t="s">
        <v>192</v>
      </c>
      <c r="G229" s="1119"/>
      <c r="H229" s="1118" t="s">
        <v>193</v>
      </c>
      <c r="I229" s="1124"/>
      <c r="J229" s="1119"/>
      <c r="K229" s="81"/>
      <c r="L229" s="1118" t="s">
        <v>696</v>
      </c>
      <c r="M229" s="1124"/>
      <c r="N229" s="1119"/>
      <c r="O229" s="1190"/>
      <c r="P229" s="1190"/>
      <c r="Q229" s="1190"/>
      <c r="R229" s="1191" t="s">
        <v>697</v>
      </c>
      <c r="S229" s="1124"/>
      <c r="T229" s="1119"/>
      <c r="U229" s="1191" t="s">
        <v>698</v>
      </c>
      <c r="V229" s="1119"/>
      <c r="W229" s="1189" t="s">
        <v>298</v>
      </c>
      <c r="X229" s="1124"/>
      <c r="Y229" s="1191" t="s">
        <v>299</v>
      </c>
      <c r="Z229" s="1119"/>
      <c r="AA229" s="212"/>
      <c r="AB229" s="1118" t="s">
        <v>902</v>
      </c>
      <c r="AC229" s="1119"/>
    </row>
    <row r="230" spans="1:33" x14ac:dyDescent="0.2">
      <c r="F230" s="1171" t="s">
        <v>413</v>
      </c>
      <c r="G230" s="1173"/>
      <c r="H230" s="1171" t="s">
        <v>412</v>
      </c>
      <c r="I230" s="1172"/>
      <c r="J230" s="1173"/>
      <c r="K230" s="81"/>
      <c r="L230" s="171"/>
      <c r="M230" s="33"/>
      <c r="N230" s="172"/>
      <c r="O230" s="842"/>
      <c r="P230" s="842"/>
      <c r="Q230" s="842"/>
      <c r="R230" s="171"/>
      <c r="S230" s="33"/>
      <c r="T230" s="172"/>
      <c r="U230" s="171"/>
      <c r="V230" s="172"/>
      <c r="W230" s="33"/>
      <c r="X230" s="33"/>
      <c r="Y230" s="171"/>
      <c r="Z230" s="172"/>
      <c r="AA230" s="213" t="s">
        <v>954</v>
      </c>
      <c r="AB230" s="171"/>
      <c r="AC230" s="172"/>
    </row>
    <row r="231" spans="1:33" x14ac:dyDescent="0.2">
      <c r="F231" s="50" t="s">
        <v>509</v>
      </c>
      <c r="G231" s="51" t="s">
        <v>510</v>
      </c>
      <c r="H231" s="50" t="s">
        <v>509</v>
      </c>
      <c r="I231" s="3"/>
      <c r="J231" s="85" t="s">
        <v>510</v>
      </c>
      <c r="K231" s="84"/>
      <c r="L231" s="50" t="s">
        <v>509</v>
      </c>
      <c r="M231" s="3"/>
      <c r="N231" s="51" t="s">
        <v>510</v>
      </c>
      <c r="O231" s="842"/>
      <c r="P231" s="843"/>
      <c r="Q231" s="842"/>
      <c r="R231" s="50" t="s">
        <v>509</v>
      </c>
      <c r="S231" s="8"/>
      <c r="T231" s="51" t="s">
        <v>510</v>
      </c>
      <c r="U231" s="584" t="s">
        <v>509</v>
      </c>
      <c r="V231" s="585" t="s">
        <v>510</v>
      </c>
      <c r="W231" s="3" t="s">
        <v>509</v>
      </c>
      <c r="X231" s="3" t="s">
        <v>510</v>
      </c>
      <c r="Y231" s="584" t="s">
        <v>509</v>
      </c>
      <c r="Z231" s="585" t="s">
        <v>510</v>
      </c>
      <c r="AA231" s="214" t="s">
        <v>955</v>
      </c>
      <c r="AB231" s="50" t="s">
        <v>509</v>
      </c>
      <c r="AC231" s="51" t="s">
        <v>510</v>
      </c>
    </row>
    <row r="232" spans="1:33" ht="4.5" customHeight="1" x14ac:dyDescent="0.2">
      <c r="N232" s="567"/>
      <c r="O232" s="843"/>
      <c r="P232" s="843"/>
      <c r="Q232" s="843"/>
      <c r="R232" s="7"/>
      <c r="AA232" s="215"/>
      <c r="AB232" s="86"/>
      <c r="AC232" s="25"/>
    </row>
    <row r="233" spans="1:33" x14ac:dyDescent="0.2">
      <c r="A233" s="579" t="s">
        <v>189</v>
      </c>
      <c r="B233" s="579"/>
      <c r="F233" s="25">
        <f t="shared" ref="F233:F241" si="5">J27+J41</f>
        <v>92081</v>
      </c>
      <c r="G233" s="25">
        <v>0</v>
      </c>
      <c r="H233" s="25"/>
      <c r="I233" s="34"/>
      <c r="J233" s="1">
        <f t="shared" ref="J233:J241" si="6">L27+L41</f>
        <v>34445</v>
      </c>
      <c r="L233" s="35">
        <f t="shared" ref="L233:L238" si="7">G71+N71-J71</f>
        <v>0</v>
      </c>
      <c r="M233" s="34"/>
      <c r="N233" s="599">
        <v>0</v>
      </c>
      <c r="O233" s="844"/>
      <c r="P233" s="844"/>
      <c r="Q233" s="844"/>
      <c r="R233" s="87">
        <f t="shared" ref="R233:R241" si="8">N109</f>
        <v>0</v>
      </c>
      <c r="S233" s="35"/>
      <c r="T233" s="35"/>
      <c r="U233" s="25">
        <f t="shared" ref="U233:U243" si="9">G139+L139+J139+O139-H139-N139</f>
        <v>0</v>
      </c>
      <c r="V233" s="25"/>
      <c r="W233" s="25"/>
      <c r="X233" s="25">
        <f t="shared" ref="X233:X241" si="10">N178</f>
        <v>1221075</v>
      </c>
      <c r="Y233" s="25"/>
      <c r="Z233" s="25">
        <f>L193*L195</f>
        <v>4000</v>
      </c>
      <c r="AA233" s="216">
        <f>(F233+H233+L233+O233+R233+U233+W233+Y233)-(G233+J233+N233+Q233+T233+V233+X233+Z233)</f>
        <v>-1167439</v>
      </c>
      <c r="AB233" s="87">
        <f>IF(AA233&lt;0,0,AA233)</f>
        <v>0</v>
      </c>
      <c r="AC233" s="35">
        <f>IF(AA233&gt;0,0,AA233*-1)</f>
        <v>1167439</v>
      </c>
      <c r="AD233" s="25"/>
      <c r="AE233" s="25"/>
      <c r="AF233" s="25"/>
      <c r="AG233" s="25"/>
    </row>
    <row r="234" spans="1:33" x14ac:dyDescent="0.2">
      <c r="A234" s="579" t="s">
        <v>988</v>
      </c>
      <c r="B234" s="579"/>
      <c r="F234" s="25">
        <f t="shared" si="5"/>
        <v>108098</v>
      </c>
      <c r="G234" s="25"/>
      <c r="H234" s="25"/>
      <c r="I234" s="34"/>
      <c r="J234" s="1">
        <f t="shared" si="6"/>
        <v>40439</v>
      </c>
      <c r="L234" s="35">
        <f t="shared" si="7"/>
        <v>0</v>
      </c>
      <c r="M234" s="34"/>
      <c r="N234" s="599"/>
      <c r="O234" s="844"/>
      <c r="P234" s="844"/>
      <c r="Q234" s="844"/>
      <c r="R234" s="87">
        <f t="shared" si="8"/>
        <v>0</v>
      </c>
      <c r="S234" s="35"/>
      <c r="T234" s="35"/>
      <c r="U234" s="25">
        <f t="shared" si="9"/>
        <v>0</v>
      </c>
      <c r="V234" s="25"/>
      <c r="W234" s="25"/>
      <c r="X234" s="25">
        <f t="shared" si="10"/>
        <v>0</v>
      </c>
      <c r="Y234" s="25"/>
      <c r="Z234" s="25"/>
      <c r="AA234" s="216">
        <f t="shared" ref="AA234:AA244" si="11">(F234+H234+L234+O234+R234+U234+W234)-(G234+J234+N234+Q234+T234+V234+X234)</f>
        <v>67659</v>
      </c>
      <c r="AB234" s="87">
        <f t="shared" ref="AB234:AB243" si="12">IF(AA234&lt;0,0,AA234)</f>
        <v>67659</v>
      </c>
      <c r="AC234" s="35">
        <f t="shared" ref="AC234:AC243" si="13">IF(AA234&gt;0,0,AA234*-1)</f>
        <v>0</v>
      </c>
    </row>
    <row r="235" spans="1:33" x14ac:dyDescent="0.2">
      <c r="A235" s="579" t="s">
        <v>989</v>
      </c>
      <c r="B235" s="579"/>
      <c r="F235" s="25">
        <f t="shared" si="5"/>
        <v>2004</v>
      </c>
      <c r="G235" s="25"/>
      <c r="H235" s="25"/>
      <c r="I235" s="34"/>
      <c r="J235" s="1">
        <f t="shared" si="6"/>
        <v>750</v>
      </c>
      <c r="L235" s="35">
        <f t="shared" si="7"/>
        <v>0</v>
      </c>
      <c r="M235" s="34"/>
      <c r="N235" s="599"/>
      <c r="O235" s="844"/>
      <c r="P235" s="844"/>
      <c r="Q235" s="844"/>
      <c r="R235" s="87">
        <f t="shared" si="8"/>
        <v>0</v>
      </c>
      <c r="S235" s="35"/>
      <c r="T235" s="35"/>
      <c r="U235" s="25">
        <f t="shared" si="9"/>
        <v>0</v>
      </c>
      <c r="V235" s="25"/>
      <c r="W235" s="25"/>
      <c r="X235" s="25">
        <f t="shared" si="10"/>
        <v>0</v>
      </c>
      <c r="Y235" s="25"/>
      <c r="Z235" s="25"/>
      <c r="AA235" s="216">
        <f t="shared" si="11"/>
        <v>1254</v>
      </c>
      <c r="AB235" s="87">
        <f t="shared" si="12"/>
        <v>1254</v>
      </c>
      <c r="AC235" s="35">
        <f t="shared" si="13"/>
        <v>0</v>
      </c>
    </row>
    <row r="236" spans="1:33" x14ac:dyDescent="0.2">
      <c r="A236" s="579" t="s">
        <v>816</v>
      </c>
      <c r="B236" s="579"/>
      <c r="F236" s="25">
        <f t="shared" si="5"/>
        <v>10010</v>
      </c>
      <c r="G236" s="25"/>
      <c r="H236" s="25"/>
      <c r="I236" s="34"/>
      <c r="J236" s="1">
        <f t="shared" si="6"/>
        <v>3745</v>
      </c>
      <c r="L236" s="35">
        <f t="shared" si="7"/>
        <v>0</v>
      </c>
      <c r="M236" s="34"/>
      <c r="N236" s="599"/>
      <c r="O236" s="844"/>
      <c r="P236" s="844"/>
      <c r="Q236" s="844"/>
      <c r="R236" s="87">
        <f t="shared" si="8"/>
        <v>0</v>
      </c>
      <c r="S236" s="35"/>
      <c r="T236" s="35"/>
      <c r="U236" s="25">
        <f t="shared" si="9"/>
        <v>0</v>
      </c>
      <c r="V236" s="25"/>
      <c r="W236" s="25"/>
      <c r="X236" s="25">
        <f t="shared" si="10"/>
        <v>0</v>
      </c>
      <c r="Y236" s="25"/>
      <c r="Z236" s="25"/>
      <c r="AA236" s="216">
        <f t="shared" si="11"/>
        <v>6265</v>
      </c>
      <c r="AB236" s="87">
        <f t="shared" si="12"/>
        <v>6265</v>
      </c>
      <c r="AC236" s="35">
        <f t="shared" si="13"/>
        <v>0</v>
      </c>
    </row>
    <row r="237" spans="1:33" x14ac:dyDescent="0.2">
      <c r="A237" s="579" t="s">
        <v>805</v>
      </c>
      <c r="B237" s="579"/>
      <c r="F237" s="25">
        <f t="shared" si="5"/>
        <v>0</v>
      </c>
      <c r="G237" s="25"/>
      <c r="H237" s="25"/>
      <c r="I237" s="34"/>
      <c r="J237" s="1">
        <f t="shared" si="6"/>
        <v>0</v>
      </c>
      <c r="L237" s="35">
        <f t="shared" si="7"/>
        <v>0</v>
      </c>
      <c r="M237" s="34"/>
      <c r="N237" s="599"/>
      <c r="O237" s="844"/>
      <c r="P237" s="844"/>
      <c r="Q237" s="844"/>
      <c r="R237" s="87">
        <f t="shared" si="8"/>
        <v>0</v>
      </c>
      <c r="S237" s="35"/>
      <c r="T237" s="35"/>
      <c r="U237" s="25">
        <f t="shared" si="9"/>
        <v>0</v>
      </c>
      <c r="V237" s="25"/>
      <c r="W237" s="25"/>
      <c r="X237" s="25">
        <f t="shared" si="10"/>
        <v>0</v>
      </c>
      <c r="Y237" s="25"/>
      <c r="Z237" s="25"/>
      <c r="AA237" s="216">
        <f t="shared" si="11"/>
        <v>0</v>
      </c>
      <c r="AB237" s="87">
        <f t="shared" si="12"/>
        <v>0</v>
      </c>
      <c r="AC237" s="35">
        <f t="shared" si="13"/>
        <v>0</v>
      </c>
    </row>
    <row r="238" spans="1:33" x14ac:dyDescent="0.2">
      <c r="A238" s="579" t="s">
        <v>203</v>
      </c>
      <c r="B238" s="579"/>
      <c r="F238" s="25">
        <f t="shared" si="5"/>
        <v>184161</v>
      </c>
      <c r="G238" s="25"/>
      <c r="H238" s="25"/>
      <c r="I238" s="34"/>
      <c r="J238" s="1">
        <f t="shared" si="6"/>
        <v>68893</v>
      </c>
      <c r="L238" s="35">
        <f t="shared" si="7"/>
        <v>0</v>
      </c>
      <c r="M238" s="34"/>
      <c r="N238" s="599"/>
      <c r="O238" s="844"/>
      <c r="P238" s="844"/>
      <c r="Q238" s="844"/>
      <c r="R238" s="87">
        <f t="shared" si="8"/>
        <v>0</v>
      </c>
      <c r="S238" s="35"/>
      <c r="T238" s="35"/>
      <c r="U238" s="25">
        <f t="shared" si="9"/>
        <v>0</v>
      </c>
      <c r="V238" s="25"/>
      <c r="W238" s="25"/>
      <c r="X238" s="25">
        <f t="shared" si="10"/>
        <v>0</v>
      </c>
      <c r="Y238" s="25"/>
      <c r="Z238" s="25"/>
      <c r="AA238" s="216">
        <f t="shared" si="11"/>
        <v>115268</v>
      </c>
      <c r="AB238" s="87">
        <f t="shared" si="12"/>
        <v>115268</v>
      </c>
      <c r="AC238" s="35">
        <f t="shared" si="13"/>
        <v>0</v>
      </c>
    </row>
    <row r="239" spans="1:33" x14ac:dyDescent="0.2">
      <c r="A239" s="579" t="s">
        <v>1007</v>
      </c>
      <c r="B239" s="579"/>
      <c r="F239" s="25">
        <f t="shared" si="5"/>
        <v>4001</v>
      </c>
      <c r="G239" s="25"/>
      <c r="H239" s="25"/>
      <c r="I239" s="34"/>
      <c r="J239" s="1">
        <f t="shared" si="6"/>
        <v>1496</v>
      </c>
      <c r="L239" s="846" t="str">
        <f>IF((G77+N77-J77)&gt;0, (G77+N77-J77),"0")</f>
        <v>0</v>
      </c>
      <c r="M239" s="568"/>
      <c r="N239" s="847" t="str">
        <f>IF((G77+N77-J77)&lt;0,-(G77+N77-J77),"0")</f>
        <v>0</v>
      </c>
      <c r="O239" s="844"/>
      <c r="P239" s="844"/>
      <c r="Q239" s="844"/>
      <c r="R239" s="87">
        <f t="shared" si="8"/>
        <v>0</v>
      </c>
      <c r="S239" s="35"/>
      <c r="T239" s="35"/>
      <c r="U239" s="25">
        <f t="shared" si="9"/>
        <v>0</v>
      </c>
      <c r="V239" s="25"/>
      <c r="W239" s="25"/>
      <c r="X239" s="25">
        <f t="shared" si="10"/>
        <v>0</v>
      </c>
      <c r="Y239" s="25"/>
      <c r="Z239" s="25"/>
      <c r="AA239" s="216">
        <f t="shared" si="11"/>
        <v>2505</v>
      </c>
      <c r="AB239" s="87">
        <f t="shared" si="12"/>
        <v>2505</v>
      </c>
      <c r="AC239" s="35">
        <f t="shared" si="13"/>
        <v>0</v>
      </c>
    </row>
    <row r="240" spans="1:33" x14ac:dyDescent="0.2">
      <c r="A240" s="579" t="s">
        <v>172</v>
      </c>
      <c r="B240" s="579"/>
      <c r="F240" s="25">
        <f t="shared" si="5"/>
        <v>0</v>
      </c>
      <c r="G240" s="25"/>
      <c r="H240" s="25"/>
      <c r="I240" s="34"/>
      <c r="J240" s="1">
        <f t="shared" si="6"/>
        <v>0</v>
      </c>
      <c r="L240" s="846" t="str">
        <f>IF((G78+N78-J78)&gt;0, (G78+N78-J78),"0")</f>
        <v>0</v>
      </c>
      <c r="M240" s="568"/>
      <c r="N240" s="847" t="str">
        <f>IF((G78+N78-J78)&lt;0,-(G78+N78-J78),"0")</f>
        <v>0</v>
      </c>
      <c r="O240" s="844"/>
      <c r="P240" s="844"/>
      <c r="Q240" s="844"/>
      <c r="R240" s="87">
        <f t="shared" si="8"/>
        <v>0</v>
      </c>
      <c r="S240" s="35"/>
      <c r="T240" s="35"/>
      <c r="U240" s="25">
        <f t="shared" si="9"/>
        <v>0</v>
      </c>
      <c r="V240" s="25"/>
      <c r="W240" s="25"/>
      <c r="X240" s="25">
        <f t="shared" si="10"/>
        <v>0</v>
      </c>
      <c r="Y240" s="25"/>
      <c r="Z240" s="25"/>
      <c r="AA240" s="216">
        <f t="shared" si="11"/>
        <v>0</v>
      </c>
      <c r="AB240" s="87">
        <f t="shared" si="12"/>
        <v>0</v>
      </c>
      <c r="AC240" s="35">
        <f t="shared" si="13"/>
        <v>0</v>
      </c>
    </row>
    <row r="241" spans="1:29" x14ac:dyDescent="0.2">
      <c r="A241" s="733" t="s">
        <v>726</v>
      </c>
      <c r="B241" s="579"/>
      <c r="F241" s="25">
        <f t="shared" si="5"/>
        <v>0</v>
      </c>
      <c r="G241" s="25"/>
      <c r="H241" s="25"/>
      <c r="I241" s="34"/>
      <c r="J241" s="1">
        <f t="shared" si="6"/>
        <v>0</v>
      </c>
      <c r="L241" s="846" t="str">
        <f>IF((G79+N79-J79)&gt;0, (G79+N79-J79),"0")</f>
        <v>0</v>
      </c>
      <c r="M241" s="568"/>
      <c r="N241" s="847" t="str">
        <f>IF((G79+N79-J79)&lt;0,-(G79+N79-J79),"0")</f>
        <v>0</v>
      </c>
      <c r="O241" s="844"/>
      <c r="P241" s="844"/>
      <c r="Q241" s="844"/>
      <c r="R241" s="87">
        <f t="shared" si="8"/>
        <v>0</v>
      </c>
      <c r="S241" s="35"/>
      <c r="T241" s="35"/>
      <c r="U241" s="25">
        <f t="shared" si="9"/>
        <v>0</v>
      </c>
      <c r="V241" s="25"/>
      <c r="W241" s="25"/>
      <c r="X241" s="25">
        <f t="shared" si="10"/>
        <v>0</v>
      </c>
      <c r="Y241" s="25"/>
      <c r="Z241" s="25"/>
      <c r="AA241" s="216">
        <f t="shared" si="11"/>
        <v>0</v>
      </c>
      <c r="AB241" s="87">
        <f t="shared" si="12"/>
        <v>0</v>
      </c>
      <c r="AC241" s="35">
        <f t="shared" si="13"/>
        <v>0</v>
      </c>
    </row>
    <row r="242" spans="1:29" x14ac:dyDescent="0.2">
      <c r="A242" s="579" t="s">
        <v>724</v>
      </c>
      <c r="B242" s="579"/>
      <c r="F242" s="25"/>
      <c r="G242" s="25"/>
      <c r="H242" s="25"/>
      <c r="I242" s="34"/>
      <c r="L242" s="846" t="str">
        <f>IF((G80+N80-J80)&gt;0, (G80+N80-J80),"0")</f>
        <v>0</v>
      </c>
      <c r="M242" s="568"/>
      <c r="N242" s="847" t="str">
        <f>IF((G80+N80-J80)&lt;0,-(G80+N80-J80),"0")</f>
        <v>0</v>
      </c>
      <c r="O242" s="844"/>
      <c r="P242" s="844"/>
      <c r="Q242" s="844"/>
      <c r="R242" s="87"/>
      <c r="S242" s="35"/>
      <c r="T242" s="35"/>
      <c r="U242" s="25">
        <f t="shared" si="9"/>
        <v>0</v>
      </c>
      <c r="V242" s="25"/>
      <c r="W242" s="25"/>
      <c r="X242" s="25"/>
      <c r="Y242" s="25"/>
      <c r="Z242" s="25"/>
      <c r="AA242" s="216">
        <f t="shared" si="11"/>
        <v>0</v>
      </c>
      <c r="AB242" s="87">
        <f t="shared" si="12"/>
        <v>0</v>
      </c>
      <c r="AC242" s="35">
        <f t="shared" si="13"/>
        <v>0</v>
      </c>
    </row>
    <row r="243" spans="1:29" x14ac:dyDescent="0.2">
      <c r="A243" s="579" t="s">
        <v>725</v>
      </c>
      <c r="B243" s="579"/>
      <c r="F243" s="25">
        <f>J37+J51</f>
        <v>0</v>
      </c>
      <c r="G243" s="25"/>
      <c r="H243" s="25"/>
      <c r="I243" s="34"/>
      <c r="L243" s="846" t="str">
        <f>IF((G81+N81-J81)&gt;0, (G81+N81-J81),"0")</f>
        <v>0</v>
      </c>
      <c r="M243" s="568"/>
      <c r="N243" s="847" t="str">
        <f>IF((G81+N81-J81)&lt;0,-(G81+N81-J81),"0")</f>
        <v>0</v>
      </c>
      <c r="O243" s="844"/>
      <c r="P243" s="844"/>
      <c r="Q243" s="844"/>
      <c r="R243" s="87"/>
      <c r="S243" s="35"/>
      <c r="T243" s="35"/>
      <c r="U243" s="25">
        <f t="shared" si="9"/>
        <v>0</v>
      </c>
      <c r="V243" s="25"/>
      <c r="W243" s="25"/>
      <c r="X243" s="25"/>
      <c r="Y243" s="25"/>
      <c r="Z243" s="25"/>
      <c r="AA243" s="216">
        <f t="shared" si="11"/>
        <v>0</v>
      </c>
      <c r="AB243" s="87">
        <f t="shared" si="12"/>
        <v>0</v>
      </c>
      <c r="AC243" s="35">
        <f t="shared" si="13"/>
        <v>0</v>
      </c>
    </row>
    <row r="244" spans="1:29" x14ac:dyDescent="0.2">
      <c r="A244" s="579" t="s">
        <v>1026</v>
      </c>
      <c r="B244" s="579"/>
      <c r="F244" s="25"/>
      <c r="G244" s="25">
        <f>J36+J50</f>
        <v>400355</v>
      </c>
      <c r="H244" s="25">
        <f>L36+L50</f>
        <v>149768</v>
      </c>
      <c r="I244" s="34"/>
      <c r="L244" s="846"/>
      <c r="M244" s="568"/>
      <c r="N244" s="847">
        <f>N58+N62-N60</f>
        <v>0</v>
      </c>
      <c r="O244" s="844"/>
      <c r="P244" s="844"/>
      <c r="Q244" s="844"/>
      <c r="R244" s="87"/>
      <c r="S244" s="35"/>
      <c r="T244" s="35"/>
      <c r="U244" s="25"/>
      <c r="V244" s="25"/>
      <c r="W244" s="25"/>
      <c r="X244" s="25"/>
      <c r="Y244" s="25"/>
      <c r="Z244" s="25"/>
      <c r="AA244" s="216">
        <f t="shared" si="11"/>
        <v>-250587</v>
      </c>
      <c r="AB244" s="218">
        <f t="shared" ref="AB244:AB252" si="14">IF(AA244&lt;0,0,AA244)</f>
        <v>0</v>
      </c>
      <c r="AC244" s="72">
        <f t="shared" ref="AC244:AC252" si="15">IF(AA244&gt;0,0,AA244*-1)</f>
        <v>250587</v>
      </c>
    </row>
    <row r="245" spans="1:29" x14ac:dyDescent="0.2">
      <c r="A245" s="579" t="s">
        <v>2617</v>
      </c>
      <c r="B245" s="579"/>
      <c r="F245" s="25"/>
      <c r="G245" s="25"/>
      <c r="H245" s="25"/>
      <c r="I245" s="34"/>
      <c r="L245" s="35"/>
      <c r="M245" s="34"/>
      <c r="N245" s="599"/>
      <c r="O245" s="844"/>
      <c r="P245" s="844"/>
      <c r="Q245" s="844"/>
      <c r="R245" s="87"/>
      <c r="S245" s="35"/>
      <c r="T245" s="35"/>
      <c r="U245" s="25"/>
      <c r="V245" s="25"/>
      <c r="W245" s="25">
        <f>L177</f>
        <v>1221075</v>
      </c>
      <c r="X245" s="25"/>
      <c r="Y245" s="25"/>
      <c r="Z245" s="25"/>
      <c r="AA245" s="216">
        <f>(F245+H245+L245+O245+R245+U245+W245+Y245)-(G245+J245+N245+Q245+T245+V245+X245-Z245)</f>
        <v>1221075</v>
      </c>
      <c r="AB245" s="218">
        <f>IF(AA245&lt;0,0,AA245)</f>
        <v>1221075</v>
      </c>
      <c r="AC245" s="72">
        <f>IF(AA245&gt;0,0,AA245*-1)</f>
        <v>0</v>
      </c>
    </row>
    <row r="246" spans="1:29" x14ac:dyDescent="0.2">
      <c r="A246" s="579" t="s">
        <v>2616</v>
      </c>
      <c r="B246" s="579"/>
      <c r="F246" s="25"/>
      <c r="G246" s="25"/>
      <c r="H246" s="25"/>
      <c r="I246" s="34"/>
      <c r="L246" s="35"/>
      <c r="M246" s="34"/>
      <c r="N246" s="599"/>
      <c r="O246" s="844"/>
      <c r="P246" s="844"/>
      <c r="Q246" s="844"/>
      <c r="R246" s="87"/>
      <c r="S246" s="35"/>
      <c r="T246" s="35"/>
      <c r="U246" s="25"/>
      <c r="V246" s="25"/>
      <c r="W246" s="25"/>
      <c r="X246" s="25"/>
      <c r="Y246" s="25">
        <f>L197</f>
        <v>4000</v>
      </c>
      <c r="Z246" s="25"/>
      <c r="AA246" s="216">
        <f>(F246+H246+L246+O246+R246+U246+W246+Y246)-(G246+J246+N246+Q246+T246+V246+X246-Z246)</f>
        <v>4000</v>
      </c>
      <c r="AB246" s="218">
        <f>IF(AA246&lt;0,0,AA246)</f>
        <v>4000</v>
      </c>
      <c r="AC246" s="72">
        <f>IF(AA246&gt;0,0,AA246*-1)</f>
        <v>0</v>
      </c>
    </row>
    <row r="247" spans="1:29" x14ac:dyDescent="0.2">
      <c r="A247" s="579" t="s">
        <v>1027</v>
      </c>
      <c r="B247" s="579"/>
      <c r="F247" s="25"/>
      <c r="G247" s="25"/>
      <c r="H247" s="25"/>
      <c r="I247" s="34"/>
      <c r="L247" s="35"/>
      <c r="M247" s="34"/>
      <c r="N247" s="599"/>
      <c r="O247" s="844"/>
      <c r="P247" s="844"/>
      <c r="Q247" s="844"/>
      <c r="R247" s="87"/>
      <c r="S247" s="35"/>
      <c r="T247" s="35"/>
      <c r="U247" s="25"/>
      <c r="V247" s="25"/>
      <c r="W247" s="25"/>
      <c r="X247" s="25"/>
      <c r="Y247" s="25"/>
      <c r="Z247" s="25"/>
      <c r="AA247" s="216">
        <f t="shared" ref="AA247:AA252" si="16">(F247+H247+L247+O247+R247+U247+W247)-(G247+J247+N247+Q247+T247+V247+X247)</f>
        <v>0</v>
      </c>
      <c r="AB247" s="218">
        <f t="shared" si="14"/>
        <v>0</v>
      </c>
      <c r="AC247" s="72">
        <f t="shared" si="15"/>
        <v>0</v>
      </c>
    </row>
    <row r="248" spans="1:29" hidden="1" x14ac:dyDescent="0.2">
      <c r="A248" s="579" t="s">
        <v>2623</v>
      </c>
      <c r="B248" s="579"/>
      <c r="F248" s="25"/>
      <c r="G248" s="25"/>
      <c r="H248" s="25"/>
      <c r="I248" s="34"/>
      <c r="L248" s="35"/>
      <c r="M248" s="34"/>
      <c r="N248" s="599"/>
      <c r="O248" s="844"/>
      <c r="P248" s="844"/>
      <c r="Q248" s="844"/>
      <c r="R248" s="87"/>
      <c r="S248" s="35"/>
      <c r="T248" s="35"/>
      <c r="U248" s="25"/>
      <c r="V248" s="25"/>
      <c r="W248" s="25"/>
      <c r="X248" s="25"/>
      <c r="Y248" s="25"/>
      <c r="Z248" s="25"/>
      <c r="AA248" s="216">
        <f t="shared" si="16"/>
        <v>0</v>
      </c>
      <c r="AB248" s="218">
        <f t="shared" si="14"/>
        <v>0</v>
      </c>
      <c r="AC248" s="72">
        <f t="shared" si="15"/>
        <v>0</v>
      </c>
    </row>
    <row r="249" spans="1:29" x14ac:dyDescent="0.2">
      <c r="A249" s="579" t="s">
        <v>3968</v>
      </c>
      <c r="B249" s="579"/>
      <c r="F249" s="25"/>
      <c r="G249" s="25"/>
      <c r="H249" s="25"/>
      <c r="I249" s="34"/>
      <c r="L249" s="35"/>
      <c r="M249" s="34"/>
      <c r="N249" s="599"/>
      <c r="O249" s="844"/>
      <c r="P249" s="844"/>
      <c r="Q249" s="844"/>
      <c r="R249" s="87">
        <f>N98</f>
        <v>50585</v>
      </c>
      <c r="S249" s="35"/>
      <c r="T249" s="35"/>
      <c r="U249" s="25"/>
      <c r="V249" s="25"/>
      <c r="W249" s="25"/>
      <c r="X249" s="25"/>
      <c r="Y249" s="25"/>
      <c r="Z249" s="25"/>
      <c r="AA249" s="216">
        <f t="shared" si="16"/>
        <v>50585</v>
      </c>
      <c r="AB249" s="218">
        <f t="shared" si="14"/>
        <v>50585</v>
      </c>
      <c r="AC249" s="72">
        <f>IF(AA249&gt;0,0,AA249*-1)</f>
        <v>0</v>
      </c>
    </row>
    <row r="250" spans="1:29" x14ac:dyDescent="0.2">
      <c r="A250" s="733" t="s">
        <v>261</v>
      </c>
      <c r="B250" s="579"/>
      <c r="F250" s="25"/>
      <c r="G250" s="25"/>
      <c r="H250" s="25"/>
      <c r="I250" s="34"/>
      <c r="L250" s="35"/>
      <c r="M250" s="34"/>
      <c r="N250" s="599"/>
      <c r="O250" s="844"/>
      <c r="P250" s="844"/>
      <c r="Q250" s="844"/>
      <c r="R250" s="87"/>
      <c r="S250" s="35"/>
      <c r="T250" s="35"/>
      <c r="U250" s="25"/>
      <c r="V250" s="25">
        <f>N125+N129-N127</f>
        <v>0</v>
      </c>
      <c r="W250" s="25"/>
      <c r="X250" s="25"/>
      <c r="Y250" s="25"/>
      <c r="Z250" s="25"/>
      <c r="AA250" s="216">
        <f t="shared" si="16"/>
        <v>0</v>
      </c>
      <c r="AB250" s="218">
        <f t="shared" si="14"/>
        <v>0</v>
      </c>
      <c r="AC250" s="72">
        <f t="shared" si="15"/>
        <v>0</v>
      </c>
    </row>
    <row r="251" spans="1:29" x14ac:dyDescent="0.2">
      <c r="A251" s="733" t="s">
        <v>260</v>
      </c>
      <c r="B251" s="579"/>
      <c r="F251" s="25"/>
      <c r="G251" s="25"/>
      <c r="H251" s="25"/>
      <c r="I251" s="34"/>
      <c r="L251" s="35"/>
      <c r="M251" s="34"/>
      <c r="N251" s="599"/>
      <c r="O251" s="844"/>
      <c r="P251" s="844"/>
      <c r="Q251" s="844"/>
      <c r="R251" s="87"/>
      <c r="S251" s="35"/>
      <c r="T251" s="35"/>
      <c r="U251" s="25"/>
      <c r="V251" s="25">
        <f>O125+O129-O127</f>
        <v>0</v>
      </c>
      <c r="W251" s="25"/>
      <c r="X251" s="25"/>
      <c r="Y251" s="25"/>
      <c r="Z251" s="25"/>
      <c r="AA251" s="216">
        <f t="shared" si="16"/>
        <v>0</v>
      </c>
      <c r="AB251" s="218">
        <f t="shared" si="14"/>
        <v>0</v>
      </c>
      <c r="AC251" s="72">
        <f t="shared" si="15"/>
        <v>0</v>
      </c>
    </row>
    <row r="252" spans="1:29" x14ac:dyDescent="0.2">
      <c r="A252" s="579" t="s">
        <v>87</v>
      </c>
      <c r="B252" s="579"/>
      <c r="L252" s="848"/>
      <c r="M252" s="8"/>
      <c r="N252" s="101"/>
      <c r="O252" s="845"/>
      <c r="P252" s="843"/>
      <c r="Q252" s="845"/>
      <c r="R252" s="9"/>
      <c r="T252" s="136">
        <f>N98</f>
        <v>50585</v>
      </c>
      <c r="W252" s="25"/>
      <c r="AA252" s="216">
        <f t="shared" si="16"/>
        <v>-50585</v>
      </c>
      <c r="AB252" s="219">
        <f t="shared" si="14"/>
        <v>0</v>
      </c>
      <c r="AC252" s="72">
        <f t="shared" si="15"/>
        <v>50585</v>
      </c>
    </row>
    <row r="253" spans="1:29" ht="13.5" thickBot="1" x14ac:dyDescent="0.25">
      <c r="F253" s="82">
        <f>SUM(F233:F252)</f>
        <v>400355</v>
      </c>
      <c r="G253" s="82">
        <f>SUM(G233:G252)</f>
        <v>400355</v>
      </c>
      <c r="H253" s="82">
        <f>SUM(H233:H252)</f>
        <v>149768</v>
      </c>
      <c r="I253" s="82">
        <f>SUM(I233:I250)</f>
        <v>0</v>
      </c>
      <c r="J253" s="15">
        <f>SUM(J233:J252)</f>
        <v>149768</v>
      </c>
      <c r="K253" s="82"/>
      <c r="L253" s="15">
        <f>SUM(L233:L252)</f>
        <v>0</v>
      </c>
      <c r="M253" s="82">
        <f>SUM(M233:M252)</f>
        <v>0</v>
      </c>
      <c r="N253" s="104">
        <f>SUM(N233:N252)</f>
        <v>0</v>
      </c>
      <c r="O253" s="845"/>
      <c r="P253" s="845"/>
      <c r="Q253" s="845"/>
      <c r="R253" s="88">
        <f>SUM(R227:R252)</f>
        <v>50585</v>
      </c>
      <c r="S253" s="15"/>
      <c r="T253" s="15">
        <f>SUM(T233:T252)</f>
        <v>50585</v>
      </c>
      <c r="U253" s="15"/>
      <c r="V253" s="15"/>
      <c r="W253" s="15">
        <f t="shared" ref="W253:AC253" si="17">SUM(W233:W252)</f>
        <v>1221075</v>
      </c>
      <c r="X253" s="15">
        <f t="shared" si="17"/>
        <v>1221075</v>
      </c>
      <c r="Y253" s="15"/>
      <c r="Z253" s="15"/>
      <c r="AA253" s="217">
        <f t="shared" si="17"/>
        <v>0</v>
      </c>
      <c r="AB253" s="88">
        <f t="shared" si="17"/>
        <v>1468611</v>
      </c>
      <c r="AC253" s="15">
        <f t="shared" si="17"/>
        <v>1468611</v>
      </c>
    </row>
    <row r="254" spans="1:29" ht="13.5" thickTop="1" x14ac:dyDescent="0.2"/>
  </sheetData>
  <customSheetViews>
    <customSheetView guid="{D2B860EA-92EC-4999-9A59-C624E1F8C7FB}" hiddenRows="1" topLeftCell="A207">
      <selection activeCell="N50" sqref="N50"/>
      <rowBreaks count="2" manualBreakCount="2">
        <brk id="82" max="15" man="1"/>
        <brk id="200" max="15" man="1"/>
      </rowBreaks>
      <pageMargins left="0.51" right="0.33" top="0.66" bottom="0.5" header="0.5" footer="0.5"/>
      <printOptions horizontalCentered="1"/>
      <pageSetup scale="59" orientation="landscape" r:id="rId1"/>
      <headerFooter alignWithMargins="0">
        <oddHeader>&amp;R&amp;"Arial,Bold"&amp;12Entry J</oddHeader>
        <oddFooter>&amp;L&amp;8&amp;D - County model&amp;R&amp;P</oddFooter>
      </headerFooter>
    </customSheetView>
    <customSheetView guid="{C1197650-3ED8-49E4-8E4C-0D1D4B503FC0}" hiddenRows="1" topLeftCell="A207">
      <selection activeCell="N50" sqref="N50"/>
      <rowBreaks count="2" manualBreakCount="2">
        <brk id="82" max="15" man="1"/>
        <brk id="200" max="15" man="1"/>
      </rowBreaks>
      <pageMargins left="0.51" right="0.33" top="0.66" bottom="0.5" header="0.5" footer="0.5"/>
      <printOptions horizontalCentered="1"/>
      <pageSetup scale="59" orientation="landscape" r:id="rId2"/>
      <headerFooter alignWithMargins="0">
        <oddHeader>&amp;R&amp;"Arial,Bold"&amp;12Entry J</oddHeader>
        <oddFooter>&amp;L&amp;8&amp;D - County model&amp;R&amp;P</oddFooter>
      </headerFooter>
    </customSheetView>
  </customSheetViews>
  <mergeCells count="61">
    <mergeCell ref="C176:J176"/>
    <mergeCell ref="B191:O191"/>
    <mergeCell ref="C197:J197"/>
    <mergeCell ref="U229:V229"/>
    <mergeCell ref="P129:P130"/>
    <mergeCell ref="C134:L135"/>
    <mergeCell ref="B153:O153"/>
    <mergeCell ref="G137:J137"/>
    <mergeCell ref="N129:N130"/>
    <mergeCell ref="O129:O130"/>
    <mergeCell ref="L137:O137"/>
    <mergeCell ref="L129:L130"/>
    <mergeCell ref="C129:J130"/>
    <mergeCell ref="AB229:AC229"/>
    <mergeCell ref="W229:X229"/>
    <mergeCell ref="H229:J229"/>
    <mergeCell ref="L229:N229"/>
    <mergeCell ref="O229:Q229"/>
    <mergeCell ref="R229:T229"/>
    <mergeCell ref="Y229:Z229"/>
    <mergeCell ref="C87:L88"/>
    <mergeCell ref="N87:N88"/>
    <mergeCell ref="P127:P128"/>
    <mergeCell ref="C108:L108"/>
    <mergeCell ref="O116:P118"/>
    <mergeCell ref="B95:O95"/>
    <mergeCell ref="C98:L99"/>
    <mergeCell ref="N98:N99"/>
    <mergeCell ref="C125:J125"/>
    <mergeCell ref="C127:J127"/>
    <mergeCell ref="L127:L128"/>
    <mergeCell ref="C90:L91"/>
    <mergeCell ref="C104:L105"/>
    <mergeCell ref="N104:N105"/>
    <mergeCell ref="E106:K106"/>
    <mergeCell ref="C101:L102"/>
    <mergeCell ref="A2:P2"/>
    <mergeCell ref="B4:P4"/>
    <mergeCell ref="B22:O22"/>
    <mergeCell ref="C9:O10"/>
    <mergeCell ref="C12:O13"/>
    <mergeCell ref="C18:O19"/>
    <mergeCell ref="C15:O16"/>
    <mergeCell ref="C6:O7"/>
    <mergeCell ref="C20:O20"/>
    <mergeCell ref="H230:J230"/>
    <mergeCell ref="F230:G230"/>
    <mergeCell ref="F229:G229"/>
    <mergeCell ref="J24:L24"/>
    <mergeCell ref="J38:L38"/>
    <mergeCell ref="B53:O53"/>
    <mergeCell ref="N62:N63"/>
    <mergeCell ref="B120:O120"/>
    <mergeCell ref="F92:L92"/>
    <mergeCell ref="O62:O63"/>
    <mergeCell ref="L78:L81"/>
    <mergeCell ref="C62:J64"/>
    <mergeCell ref="B201:O201"/>
    <mergeCell ref="C68:L69"/>
    <mergeCell ref="H78:H81"/>
    <mergeCell ref="O78:O81"/>
  </mergeCells>
  <phoneticPr fontId="14" type="noConversion"/>
  <printOptions horizontalCentered="1"/>
  <pageMargins left="0.51" right="0.33" top="0.66" bottom="0.5" header="0.5" footer="0.5"/>
  <pageSetup scale="59" orientation="landscape" r:id="rId3"/>
  <headerFooter alignWithMargins="0">
    <oddHeader>&amp;R&amp;"Arial,Bold"&amp;12Entry J</oddHeader>
    <oddFooter>&amp;L&amp;8&amp;D - County model&amp;R&amp;P</oddFooter>
  </headerFooter>
  <rowBreaks count="2" manualBreakCount="2">
    <brk id="82" max="15" man="1"/>
    <brk id="200" max="15" man="1"/>
  </rowBreaks>
  <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33"/>
  <sheetViews>
    <sheetView topLeftCell="A197" workbookViewId="0"/>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26" customFormat="1" ht="15" x14ac:dyDescent="0.25">
      <c r="A1" s="156"/>
      <c r="C1" s="1205"/>
      <c r="D1" s="1205"/>
      <c r="E1" s="1162"/>
      <c r="F1" s="1162"/>
      <c r="G1" s="1162"/>
      <c r="H1" s="1162"/>
      <c r="I1" s="1162"/>
    </row>
    <row r="2" spans="1:10" s="126" customFormat="1" ht="15" customHeight="1" x14ac:dyDescent="0.25">
      <c r="A2" s="156"/>
      <c r="B2" s="1207" t="s">
        <v>108</v>
      </c>
      <c r="C2" s="1208"/>
      <c r="D2" s="1208"/>
      <c r="E2" s="1208"/>
      <c r="F2" s="1208"/>
      <c r="G2" s="1208"/>
      <c r="H2" s="1208"/>
      <c r="I2" s="1209"/>
    </row>
    <row r="3" spans="1:10" s="126" customFormat="1" ht="24" customHeight="1" x14ac:dyDescent="0.25">
      <c r="A3" s="156"/>
      <c r="B3" s="1210"/>
      <c r="C3" s="1211"/>
      <c r="D3" s="1211"/>
      <c r="E3" s="1211"/>
      <c r="F3" s="1211"/>
      <c r="G3" s="1211"/>
      <c r="H3" s="1211"/>
      <c r="I3" s="1212"/>
    </row>
    <row r="4" spans="1:10" s="126" customFormat="1" ht="6" customHeight="1" x14ac:dyDescent="0.25">
      <c r="A4" s="156"/>
      <c r="B4" s="279"/>
      <c r="C4" s="279"/>
      <c r="D4" s="279"/>
      <c r="E4" s="279"/>
      <c r="F4" s="279"/>
      <c r="G4" s="279"/>
      <c r="H4" s="279"/>
      <c r="I4" s="279"/>
    </row>
    <row r="5" spans="1:10" ht="12.75" customHeight="1" x14ac:dyDescent="0.2">
      <c r="C5" s="127"/>
      <c r="D5" s="127"/>
      <c r="E5" s="128"/>
      <c r="F5" s="128"/>
      <c r="G5" s="128"/>
      <c r="H5" s="128"/>
      <c r="I5" s="128"/>
    </row>
    <row r="6" spans="1:10" ht="12.75" customHeight="1" x14ac:dyDescent="0.2">
      <c r="C6" s="127"/>
      <c r="D6" s="127"/>
      <c r="E6" s="128"/>
      <c r="F6" s="128"/>
      <c r="G6" s="128"/>
      <c r="H6" s="128"/>
      <c r="I6" s="128"/>
    </row>
    <row r="7" spans="1:10" ht="12.75" customHeight="1" x14ac:dyDescent="0.2">
      <c r="C7" s="127"/>
      <c r="D7" s="127"/>
      <c r="E7" s="128"/>
      <c r="F7" s="128"/>
      <c r="G7" s="128"/>
      <c r="H7" s="128"/>
      <c r="I7" s="128"/>
    </row>
    <row r="8" spans="1:10" ht="12.75" customHeight="1" x14ac:dyDescent="0.2">
      <c r="C8" s="127"/>
      <c r="D8" s="127"/>
      <c r="E8" s="128"/>
      <c r="F8" s="128"/>
      <c r="G8" s="128"/>
      <c r="H8" s="128"/>
      <c r="I8" s="128"/>
    </row>
    <row r="9" spans="1:10" ht="12.75" customHeight="1" x14ac:dyDescent="0.2">
      <c r="C9" s="127"/>
      <c r="D9" s="127"/>
      <c r="E9" s="128"/>
      <c r="F9" s="128"/>
      <c r="G9" s="128"/>
      <c r="H9" s="128"/>
      <c r="I9" s="128"/>
    </row>
    <row r="10" spans="1:10" ht="12.75" customHeight="1" x14ac:dyDescent="0.2">
      <c r="C10" s="127"/>
      <c r="D10" s="127"/>
      <c r="E10" s="128"/>
      <c r="F10" s="128"/>
      <c r="G10" s="128"/>
      <c r="H10" s="128"/>
      <c r="I10" s="128"/>
    </row>
    <row r="11" spans="1:10" ht="12.75" customHeight="1" x14ac:dyDescent="0.2">
      <c r="C11" s="127"/>
      <c r="D11" s="127"/>
      <c r="E11" s="128"/>
      <c r="F11" s="128"/>
      <c r="G11" s="128"/>
      <c r="H11" s="128"/>
      <c r="I11" s="128"/>
    </row>
    <row r="12" spans="1:10" ht="12.75" customHeight="1" x14ac:dyDescent="0.2">
      <c r="C12" s="127"/>
      <c r="D12" s="127"/>
      <c r="E12" s="128"/>
      <c r="F12" s="128"/>
      <c r="G12" s="128"/>
      <c r="H12" s="128"/>
      <c r="I12" s="128"/>
    </row>
    <row r="13" spans="1:10" ht="12.75" customHeight="1" x14ac:dyDescent="0.2">
      <c r="C13" s="127"/>
      <c r="D13" s="127"/>
      <c r="E13" s="128"/>
      <c r="F13" s="128"/>
      <c r="G13" s="128"/>
      <c r="H13" s="128"/>
      <c r="I13" s="128"/>
    </row>
    <row r="14" spans="1:10" ht="12.75" customHeight="1" x14ac:dyDescent="0.2">
      <c r="C14" s="127"/>
      <c r="D14" s="127"/>
      <c r="E14" s="128"/>
      <c r="F14" s="128"/>
      <c r="G14" s="128"/>
      <c r="H14" s="128"/>
      <c r="I14" s="128"/>
    </row>
    <row r="15" spans="1:10" ht="12" customHeight="1" x14ac:dyDescent="0.2">
      <c r="B15" s="28" t="s">
        <v>513</v>
      </c>
      <c r="C15" s="1213" t="s">
        <v>710</v>
      </c>
      <c r="D15" s="1213"/>
      <c r="E15" s="1213"/>
      <c r="F15" s="1213"/>
      <c r="G15" s="1213"/>
      <c r="H15" s="1213"/>
      <c r="I15" s="1213"/>
      <c r="J15" s="127"/>
    </row>
    <row r="16" spans="1:10" ht="26.25" customHeight="1" x14ac:dyDescent="0.2">
      <c r="C16" s="1213"/>
      <c r="D16" s="1213"/>
      <c r="E16" s="1213"/>
      <c r="F16" s="1213"/>
      <c r="G16" s="1213"/>
      <c r="H16" s="1213"/>
      <c r="I16" s="1213"/>
      <c r="J16" s="127"/>
    </row>
    <row r="17" spans="2:9" ht="4.5" customHeight="1" x14ac:dyDescent="0.2"/>
    <row r="18" spans="2:9" ht="12.75" customHeight="1" x14ac:dyDescent="0.2">
      <c r="B18" s="28" t="s">
        <v>514</v>
      </c>
      <c r="C18" s="127"/>
      <c r="D18" s="127"/>
      <c r="E18" s="127"/>
      <c r="F18" s="127"/>
      <c r="G18" s="127"/>
      <c r="H18" s="127"/>
      <c r="I18" s="127"/>
    </row>
    <row r="19" spans="2:9" ht="12.75" customHeight="1" x14ac:dyDescent="0.2">
      <c r="C19" s="127"/>
      <c r="D19" s="127"/>
      <c r="E19" s="127"/>
      <c r="F19" s="127"/>
      <c r="G19" s="127"/>
      <c r="H19" s="127"/>
      <c r="I19" s="127"/>
    </row>
    <row r="20" spans="2:9" ht="12.75" customHeight="1" x14ac:dyDescent="0.2">
      <c r="C20" s="127"/>
      <c r="D20" s="127"/>
      <c r="E20" s="127"/>
      <c r="F20" s="127"/>
      <c r="G20" s="127"/>
      <c r="H20" s="127"/>
      <c r="I20" s="127"/>
    </row>
    <row r="21" spans="2:9" ht="12.75" customHeight="1" x14ac:dyDescent="0.2">
      <c r="C21" s="127"/>
      <c r="D21" s="127"/>
      <c r="E21" s="127"/>
      <c r="F21" s="127"/>
      <c r="G21" s="127"/>
      <c r="H21" s="127"/>
      <c r="I21" s="127"/>
    </row>
    <row r="22" spans="2:9" ht="12.75" customHeight="1" x14ac:dyDescent="0.2">
      <c r="C22" s="127"/>
      <c r="D22" s="127"/>
      <c r="E22" s="127"/>
      <c r="F22" s="127"/>
      <c r="G22" s="127"/>
      <c r="H22" s="127"/>
      <c r="I22" s="127"/>
    </row>
    <row r="23" spans="2:9" ht="4.5" customHeight="1" x14ac:dyDescent="0.2"/>
    <row r="24" spans="2:9" ht="12" customHeight="1" x14ac:dyDescent="0.2">
      <c r="B24" s="28" t="s">
        <v>515</v>
      </c>
      <c r="C24" s="1106" t="s">
        <v>1074</v>
      </c>
      <c r="D24" s="1032"/>
      <c r="E24" s="1032"/>
      <c r="F24" s="1032"/>
      <c r="G24" s="1032"/>
      <c r="H24" s="1032"/>
      <c r="I24" s="1032"/>
    </row>
    <row r="25" spans="2:9" ht="12.75" hidden="1" customHeight="1" x14ac:dyDescent="0.2">
      <c r="C25" s="1032"/>
      <c r="D25" s="1032"/>
      <c r="E25" s="1032"/>
      <c r="F25" s="1032"/>
      <c r="G25" s="1032"/>
      <c r="H25" s="1032"/>
      <c r="I25" s="1032"/>
    </row>
    <row r="26" spans="2:9" ht="4.5" customHeight="1" x14ac:dyDescent="0.2"/>
    <row r="27" spans="2:9" ht="12.75" hidden="1" customHeight="1" x14ac:dyDescent="0.2">
      <c r="B27" s="28"/>
      <c r="C27" s="1032"/>
      <c r="D27" s="1032"/>
      <c r="E27" s="1032"/>
      <c r="F27" s="1032"/>
      <c r="G27" s="1032"/>
      <c r="H27" s="1032"/>
      <c r="I27" s="1032"/>
    </row>
    <row r="28" spans="2:9" ht="12.75" customHeight="1" x14ac:dyDescent="0.2">
      <c r="B28" s="28" t="s">
        <v>541</v>
      </c>
      <c r="C28" s="1106" t="s">
        <v>1075</v>
      </c>
      <c r="D28" s="1019"/>
      <c r="E28" s="1019"/>
      <c r="F28" s="1019"/>
      <c r="G28" s="1019"/>
      <c r="H28" s="1019"/>
      <c r="I28" s="1019"/>
    </row>
    <row r="29" spans="2:9" ht="12.75" customHeight="1" x14ac:dyDescent="0.2">
      <c r="B29" s="28"/>
      <c r="C29" s="1019"/>
      <c r="D29" s="1019"/>
      <c r="E29" s="1019"/>
      <c r="F29" s="1019"/>
      <c r="G29" s="1019"/>
      <c r="H29" s="1019"/>
      <c r="I29" s="1019"/>
    </row>
    <row r="30" spans="2:9" ht="4.5" customHeight="1" x14ac:dyDescent="0.2">
      <c r="B30" s="28"/>
    </row>
    <row r="31" spans="2:9" ht="12.75" customHeight="1" x14ac:dyDescent="0.2">
      <c r="B31" s="28" t="s">
        <v>542</v>
      </c>
      <c r="C31" s="1213" t="s">
        <v>84</v>
      </c>
      <c r="D31" s="1213"/>
      <c r="E31" s="1213"/>
      <c r="F31" s="1213"/>
      <c r="G31" s="1213"/>
      <c r="H31" s="1213"/>
      <c r="I31" s="1213"/>
    </row>
    <row r="32" spans="2:9" ht="26.25" customHeight="1" x14ac:dyDescent="0.2">
      <c r="B32" s="28"/>
      <c r="C32" s="1213"/>
      <c r="D32" s="1213"/>
      <c r="E32" s="1213"/>
      <c r="F32" s="1213"/>
      <c r="G32" s="1213"/>
      <c r="H32" s="1213"/>
      <c r="I32" s="1213"/>
    </row>
    <row r="33" spans="1:13" ht="17.25" customHeight="1" thickBot="1" x14ac:dyDescent="0.25"/>
    <row r="34" spans="1:13" ht="33.75" customHeight="1" thickTop="1" thickBot="1" x14ac:dyDescent="0.3">
      <c r="C34" s="1196" t="s">
        <v>485</v>
      </c>
      <c r="D34" s="1197"/>
      <c r="E34" s="1197"/>
      <c r="F34" s="1197"/>
      <c r="G34" s="1197"/>
      <c r="H34" s="1197"/>
      <c r="I34" s="1198"/>
    </row>
    <row r="35" spans="1:13" ht="24" customHeight="1" thickTop="1" x14ac:dyDescent="0.2"/>
    <row r="36" spans="1:13" ht="17.25" customHeight="1" x14ac:dyDescent="0.2">
      <c r="A36" s="4" t="s">
        <v>539</v>
      </c>
      <c r="B36" s="1215" t="s">
        <v>852</v>
      </c>
      <c r="C36" s="1216"/>
      <c r="D36" s="1216"/>
      <c r="E36" s="1216"/>
      <c r="F36" s="1216"/>
      <c r="G36" s="1216"/>
      <c r="H36" s="1216"/>
      <c r="I36" s="1217"/>
    </row>
    <row r="37" spans="1:13" ht="22.5" customHeight="1" x14ac:dyDescent="0.2">
      <c r="B37" s="1218"/>
      <c r="C37" s="1219"/>
      <c r="D37" s="1219"/>
      <c r="E37" s="1219"/>
      <c r="F37" s="1219"/>
      <c r="G37" s="1219"/>
      <c r="H37" s="1219"/>
      <c r="I37" s="1220"/>
    </row>
    <row r="38" spans="1:13" ht="24" customHeight="1" x14ac:dyDescent="0.2">
      <c r="C38" s="4"/>
      <c r="D38" s="4"/>
      <c r="E38" s="10"/>
      <c r="F38" s="10"/>
      <c r="G38" s="10"/>
      <c r="H38" s="10"/>
      <c r="I38" s="129"/>
    </row>
    <row r="39" spans="1:13" x14ac:dyDescent="0.2">
      <c r="C39" s="1206" t="s">
        <v>14</v>
      </c>
      <c r="D39" s="1206"/>
      <c r="E39" s="1206"/>
      <c r="F39" s="1206"/>
      <c r="G39" s="1206"/>
      <c r="H39" s="27"/>
      <c r="I39" s="27"/>
      <c r="J39" s="27"/>
      <c r="K39" s="27"/>
      <c r="L39" s="27"/>
      <c r="M39" s="27"/>
    </row>
    <row r="40" spans="1:13" x14ac:dyDescent="0.2">
      <c r="C40" s="4"/>
      <c r="D40" s="4"/>
      <c r="E40" s="84" t="s">
        <v>15</v>
      </c>
      <c r="F40" s="125"/>
      <c r="G40" s="130" t="s">
        <v>16</v>
      </c>
      <c r="H40" s="131"/>
    </row>
    <row r="41" spans="1:13" x14ac:dyDescent="0.2">
      <c r="C41" s="93" t="s">
        <v>17</v>
      </c>
      <c r="D41" s="93"/>
      <c r="E41" s="1"/>
      <c r="F41" s="10"/>
      <c r="G41" s="129"/>
      <c r="H41" s="129"/>
    </row>
    <row r="42" spans="1:13" x14ac:dyDescent="0.2">
      <c r="C42" s="132" t="s">
        <v>18</v>
      </c>
      <c r="D42" s="132"/>
      <c r="E42" s="1"/>
      <c r="F42" s="10"/>
      <c r="G42" s="129"/>
      <c r="H42" s="129"/>
    </row>
    <row r="43" spans="1:13" x14ac:dyDescent="0.2">
      <c r="C43" s="133" t="s">
        <v>189</v>
      </c>
      <c r="D43" s="133"/>
      <c r="E43" s="306">
        <v>0</v>
      </c>
      <c r="F43" s="10"/>
      <c r="G43" s="534">
        <f t="shared" ref="G43:G53" si="0">IF(E$63=0,0,ROUND(E43/E$63,4))</f>
        <v>0</v>
      </c>
      <c r="H43" s="129"/>
    </row>
    <row r="44" spans="1:13" x14ac:dyDescent="0.2">
      <c r="C44" s="133" t="s">
        <v>1017</v>
      </c>
      <c r="D44" s="133"/>
      <c r="E44" s="292">
        <v>0</v>
      </c>
      <c r="F44" s="10"/>
      <c r="G44" s="534">
        <f t="shared" si="0"/>
        <v>0</v>
      </c>
      <c r="H44" s="129"/>
    </row>
    <row r="45" spans="1:13" x14ac:dyDescent="0.2">
      <c r="C45" s="133" t="s">
        <v>989</v>
      </c>
      <c r="D45" s="133"/>
      <c r="E45" s="292">
        <v>0</v>
      </c>
      <c r="F45" s="10"/>
      <c r="G45" s="534">
        <f t="shared" si="0"/>
        <v>0</v>
      </c>
      <c r="H45" s="129"/>
    </row>
    <row r="46" spans="1:13" x14ac:dyDescent="0.2">
      <c r="C46" s="133" t="s">
        <v>816</v>
      </c>
      <c r="D46" s="133"/>
      <c r="E46" s="292">
        <v>0</v>
      </c>
      <c r="F46" s="10"/>
      <c r="G46" s="534">
        <f t="shared" si="0"/>
        <v>0</v>
      </c>
      <c r="H46" s="129"/>
    </row>
    <row r="47" spans="1:13" x14ac:dyDescent="0.2">
      <c r="C47" s="133" t="s">
        <v>805</v>
      </c>
      <c r="D47" s="133"/>
      <c r="E47" s="292">
        <v>0</v>
      </c>
      <c r="F47" s="10"/>
      <c r="G47" s="534">
        <f t="shared" si="0"/>
        <v>0</v>
      </c>
      <c r="H47" s="129"/>
    </row>
    <row r="48" spans="1:13" x14ac:dyDescent="0.2">
      <c r="C48" s="133" t="s">
        <v>307</v>
      </c>
      <c r="D48" s="133"/>
      <c r="E48" s="292">
        <v>0</v>
      </c>
      <c r="F48" s="10"/>
      <c r="G48" s="534">
        <f t="shared" si="0"/>
        <v>0</v>
      </c>
      <c r="H48" s="129"/>
    </row>
    <row r="49" spans="3:8" x14ac:dyDescent="0.2">
      <c r="C49" s="133" t="s">
        <v>19</v>
      </c>
      <c r="D49" s="133"/>
      <c r="E49" s="292">
        <v>0</v>
      </c>
      <c r="F49" s="10"/>
      <c r="G49" s="534">
        <f t="shared" si="0"/>
        <v>0</v>
      </c>
      <c r="H49" s="129"/>
    </row>
    <row r="50" spans="3:8" x14ac:dyDescent="0.2">
      <c r="C50" s="133" t="s">
        <v>172</v>
      </c>
      <c r="D50" s="133"/>
      <c r="E50" s="292">
        <v>0</v>
      </c>
      <c r="F50" s="10"/>
      <c r="G50" s="534">
        <f t="shared" si="0"/>
        <v>0</v>
      </c>
      <c r="H50" s="129"/>
    </row>
    <row r="51" spans="3:8" x14ac:dyDescent="0.2">
      <c r="C51" s="322" t="s">
        <v>726</v>
      </c>
      <c r="D51" s="133"/>
      <c r="E51" s="292">
        <v>0</v>
      </c>
      <c r="F51" s="10"/>
      <c r="G51" s="534">
        <f t="shared" si="0"/>
        <v>0</v>
      </c>
      <c r="H51" s="129"/>
    </row>
    <row r="52" spans="3:8" x14ac:dyDescent="0.2">
      <c r="C52" s="133"/>
      <c r="D52" s="133"/>
      <c r="E52" s="1"/>
      <c r="F52" s="10"/>
      <c r="G52" s="129"/>
      <c r="H52" s="129"/>
    </row>
    <row r="53" spans="3:8" ht="15" x14ac:dyDescent="0.2">
      <c r="C53" s="134" t="s">
        <v>20</v>
      </c>
      <c r="D53" s="134"/>
      <c r="E53" s="147">
        <f>+SUM(E43:E52)</f>
        <v>0</v>
      </c>
      <c r="F53" s="10"/>
      <c r="G53" s="534">
        <f t="shared" si="0"/>
        <v>0</v>
      </c>
      <c r="H53" s="148" t="s">
        <v>336</v>
      </c>
    </row>
    <row r="54" spans="3:8" x14ac:dyDescent="0.2">
      <c r="E54" s="1"/>
      <c r="F54" s="10"/>
      <c r="G54" s="135" t="s">
        <v>49</v>
      </c>
      <c r="H54" s="135"/>
    </row>
    <row r="55" spans="3:8" x14ac:dyDescent="0.2">
      <c r="C55" s="132" t="s">
        <v>21</v>
      </c>
      <c r="D55" s="132"/>
      <c r="E55" s="1"/>
      <c r="F55" s="10"/>
      <c r="G55" s="135" t="s">
        <v>49</v>
      </c>
      <c r="H55" s="135"/>
    </row>
    <row r="56" spans="3:8" x14ac:dyDescent="0.2">
      <c r="C56" s="133" t="s">
        <v>22</v>
      </c>
      <c r="D56" s="133"/>
      <c r="E56" s="306">
        <v>0</v>
      </c>
      <c r="F56" s="10"/>
      <c r="G56" s="534">
        <f>IF(E$63=0,0,ROUND(E56/E$63,4))</f>
        <v>0</v>
      </c>
      <c r="H56" s="129"/>
    </row>
    <row r="57" spans="3:8" x14ac:dyDescent="0.2">
      <c r="C57" s="133" t="s">
        <v>23</v>
      </c>
      <c r="D57" s="133"/>
      <c r="E57" s="307">
        <v>0</v>
      </c>
      <c r="F57" s="136"/>
      <c r="G57" s="534">
        <f>IF(E$63=0,0,ROUND(E57/E$63,4))</f>
        <v>0</v>
      </c>
      <c r="H57" s="129"/>
    </row>
    <row r="58" spans="3:8" x14ac:dyDescent="0.2">
      <c r="C58" s="322" t="s">
        <v>733</v>
      </c>
      <c r="D58" s="133"/>
      <c r="E58" s="307">
        <v>0</v>
      </c>
      <c r="F58" s="136"/>
      <c r="G58" s="534">
        <f>IF(E$63=0,0,ROUND(E58/E$63,4))</f>
        <v>0</v>
      </c>
      <c r="H58" s="129"/>
    </row>
    <row r="59" spans="3:8" x14ac:dyDescent="0.2">
      <c r="C59" s="322" t="s">
        <v>734</v>
      </c>
      <c r="D59" s="133"/>
      <c r="E59" s="307">
        <v>0</v>
      </c>
      <c r="F59" s="136"/>
      <c r="G59" s="534">
        <f>IF(E$63=0,0,ROUND(E59/E$63,4))</f>
        <v>0</v>
      </c>
      <c r="H59" s="129"/>
    </row>
    <row r="60" spans="3:8" x14ac:dyDescent="0.2">
      <c r="C60" s="132"/>
      <c r="D60" s="132"/>
      <c r="E60" s="1"/>
      <c r="F60" s="10"/>
      <c r="G60" s="129"/>
      <c r="H60" s="129"/>
    </row>
    <row r="61" spans="3:8" x14ac:dyDescent="0.2">
      <c r="C61" s="134" t="s">
        <v>24</v>
      </c>
      <c r="D61" s="134"/>
      <c r="E61" s="147">
        <f>+SUM(E56:E60)</f>
        <v>0</v>
      </c>
      <c r="F61" s="10"/>
      <c r="G61" s="534">
        <f>IF(E$63=0,0,ROUND(E61/E$63,4))</f>
        <v>0</v>
      </c>
      <c r="H61" s="137"/>
    </row>
    <row r="62" spans="3:8" x14ac:dyDescent="0.2">
      <c r="C62" s="133"/>
      <c r="D62" s="133"/>
      <c r="E62" s="1"/>
      <c r="F62" s="10"/>
      <c r="G62" s="129"/>
      <c r="H62" s="129"/>
    </row>
    <row r="63" spans="3:8" ht="13.5" thickBot="1" x14ac:dyDescent="0.25">
      <c r="C63" s="138" t="s">
        <v>25</v>
      </c>
      <c r="D63" s="138"/>
      <c r="E63" s="149">
        <f>+E53+E61</f>
        <v>0</v>
      </c>
      <c r="F63" s="10"/>
      <c r="G63" s="535">
        <f>G53+G61</f>
        <v>0</v>
      </c>
      <c r="H63" s="137"/>
    </row>
    <row r="64" spans="3:8" ht="13.5" thickTop="1" x14ac:dyDescent="0.2">
      <c r="C64" s="138"/>
      <c r="D64" s="138"/>
      <c r="E64" s="10"/>
      <c r="F64" s="10"/>
      <c r="G64" s="137"/>
      <c r="H64" s="137"/>
    </row>
    <row r="65" spans="1:9" x14ac:dyDescent="0.2">
      <c r="C65" s="93" t="s">
        <v>26</v>
      </c>
      <c r="D65" s="93"/>
      <c r="E65" s="301">
        <v>0</v>
      </c>
      <c r="F65" s="10"/>
      <c r="G65" s="137"/>
      <c r="H65" s="137"/>
    </row>
    <row r="66" spans="1:9" x14ac:dyDescent="0.2">
      <c r="C66" s="138"/>
      <c r="D66" s="138"/>
      <c r="E66" s="10"/>
      <c r="F66" s="10"/>
      <c r="G66" s="137"/>
      <c r="H66" s="137"/>
    </row>
    <row r="67" spans="1:9" ht="13.5" thickBot="1" x14ac:dyDescent="0.25">
      <c r="C67" s="138" t="s">
        <v>27</v>
      </c>
      <c r="D67" s="138"/>
      <c r="E67" s="149">
        <f>E63+E65</f>
        <v>0</v>
      </c>
      <c r="F67" s="10"/>
      <c r="G67" s="137"/>
      <c r="H67" s="137"/>
    </row>
    <row r="68" spans="1:9" ht="13.5" thickTop="1" x14ac:dyDescent="0.2">
      <c r="C68" s="138"/>
      <c r="D68" s="138"/>
      <c r="E68" s="1"/>
      <c r="F68" s="1"/>
      <c r="G68" s="129"/>
      <c r="H68" s="129"/>
    </row>
    <row r="69" spans="1:9" ht="15.75" customHeight="1" x14ac:dyDescent="0.2">
      <c r="C69" s="138"/>
      <c r="D69" s="138"/>
      <c r="E69" s="1"/>
      <c r="F69" s="1"/>
      <c r="G69" s="1222" t="s">
        <v>927</v>
      </c>
      <c r="H69" s="1222"/>
      <c r="I69" s="1222"/>
    </row>
    <row r="70" spans="1:9" ht="32.25" customHeight="1" x14ac:dyDescent="0.2">
      <c r="C70" s="1019" t="s">
        <v>440</v>
      </c>
      <c r="D70" s="1214"/>
      <c r="E70" s="150" t="str">
        <f>IF(G53&gt;=50%,"Governmental","Business Type")</f>
        <v>Business Type</v>
      </c>
      <c r="F70" s="188" t="s">
        <v>336</v>
      </c>
      <c r="G70" s="1222"/>
      <c r="H70" s="1222"/>
      <c r="I70" s="1222"/>
    </row>
    <row r="71" spans="1:9" ht="30" customHeight="1" x14ac:dyDescent="0.2">
      <c r="C71" s="24"/>
      <c r="D71" s="24"/>
      <c r="E71" s="140"/>
      <c r="F71" s="139"/>
      <c r="G71" s="129"/>
      <c r="H71" s="129"/>
    </row>
    <row r="72" spans="1:9" x14ac:dyDescent="0.2">
      <c r="E72" s="1"/>
      <c r="F72" s="1"/>
      <c r="G72" s="141"/>
      <c r="H72" s="141"/>
      <c r="I72" s="129"/>
    </row>
    <row r="73" spans="1:9" ht="17.25" customHeight="1" x14ac:dyDescent="0.2">
      <c r="A73" s="4" t="s">
        <v>540</v>
      </c>
      <c r="B73" s="1199" t="s">
        <v>1076</v>
      </c>
      <c r="C73" s="1200"/>
      <c r="D73" s="1200"/>
      <c r="E73" s="1200"/>
      <c r="F73" s="1200"/>
      <c r="G73" s="1200"/>
      <c r="H73" s="1200"/>
      <c r="I73" s="1201"/>
    </row>
    <row r="74" spans="1:9" ht="36" customHeight="1" x14ac:dyDescent="0.2">
      <c r="B74" s="1202"/>
      <c r="C74" s="1203"/>
      <c r="D74" s="1203"/>
      <c r="E74" s="1203"/>
      <c r="F74" s="1203"/>
      <c r="G74" s="1203"/>
      <c r="H74" s="1203"/>
      <c r="I74" s="1204"/>
    </row>
    <row r="75" spans="1:9" ht="3.75" customHeight="1" x14ac:dyDescent="0.2">
      <c r="E75" s="1"/>
      <c r="F75" s="1"/>
      <c r="G75" s="141"/>
      <c r="H75" s="141"/>
      <c r="I75" s="129"/>
    </row>
    <row r="76" spans="1:9" x14ac:dyDescent="0.2">
      <c r="B76" s="46" t="s">
        <v>513</v>
      </c>
      <c r="C76" s="4" t="s">
        <v>825</v>
      </c>
      <c r="E76" s="334" t="s">
        <v>509</v>
      </c>
      <c r="F76" s="81"/>
      <c r="G76" s="335" t="s">
        <v>510</v>
      </c>
      <c r="H76" s="141"/>
      <c r="I76" s="129"/>
    </row>
    <row r="77" spans="1:9" ht="4.5" customHeight="1" x14ac:dyDescent="0.2">
      <c r="E77" s="3"/>
      <c r="F77" s="33"/>
      <c r="G77" s="3"/>
      <c r="H77" s="141"/>
      <c r="I77" s="129"/>
    </row>
    <row r="78" spans="1:9" x14ac:dyDescent="0.2">
      <c r="C78" t="s">
        <v>596</v>
      </c>
      <c r="E78" s="308">
        <v>0</v>
      </c>
      <c r="F78" s="33"/>
      <c r="G78" s="146"/>
      <c r="H78" s="141"/>
      <c r="I78" s="129"/>
    </row>
    <row r="79" spans="1:9" x14ac:dyDescent="0.2">
      <c r="C79" t="s">
        <v>239</v>
      </c>
      <c r="E79" s="308">
        <v>0</v>
      </c>
      <c r="F79" s="33"/>
      <c r="G79" s="146"/>
      <c r="H79" s="141"/>
      <c r="I79" s="129"/>
    </row>
    <row r="80" spans="1:9" x14ac:dyDescent="0.2">
      <c r="C80" t="s">
        <v>53</v>
      </c>
      <c r="E80" s="308">
        <v>0</v>
      </c>
      <c r="F80" s="33"/>
      <c r="G80" s="146"/>
      <c r="H80" s="141"/>
      <c r="I80" s="129"/>
    </row>
    <row r="81" spans="3:9" x14ac:dyDescent="0.2">
      <c r="C81" t="s">
        <v>835</v>
      </c>
      <c r="E81" s="308">
        <v>0</v>
      </c>
      <c r="F81" s="33"/>
      <c r="G81" s="146"/>
      <c r="H81" s="141"/>
      <c r="I81" s="129"/>
    </row>
    <row r="82" spans="3:9" x14ac:dyDescent="0.2">
      <c r="C82" t="s">
        <v>56</v>
      </c>
      <c r="E82" s="308">
        <v>0</v>
      </c>
      <c r="F82" s="33"/>
      <c r="G82" s="146"/>
      <c r="H82" s="141"/>
      <c r="I82" s="129"/>
    </row>
    <row r="83" spans="3:9" x14ac:dyDescent="0.2">
      <c r="C83" t="s">
        <v>57</v>
      </c>
      <c r="E83" s="308">
        <v>0</v>
      </c>
      <c r="F83" s="33"/>
      <c r="G83" s="146"/>
      <c r="H83" s="141"/>
      <c r="I83" s="129"/>
    </row>
    <row r="84" spans="3:9" x14ac:dyDescent="0.2">
      <c r="C84" t="s">
        <v>811</v>
      </c>
      <c r="E84" s="308">
        <v>0</v>
      </c>
      <c r="F84" s="33"/>
      <c r="G84" s="146"/>
      <c r="H84" s="141"/>
      <c r="I84" s="129"/>
    </row>
    <row r="85" spans="3:9" x14ac:dyDescent="0.2">
      <c r="C85" t="s">
        <v>812</v>
      </c>
      <c r="E85" s="308">
        <v>0</v>
      </c>
      <c r="F85" s="33"/>
      <c r="G85" s="146"/>
      <c r="H85" s="141"/>
      <c r="I85" s="129"/>
    </row>
    <row r="86" spans="3:9" x14ac:dyDescent="0.2">
      <c r="C86" t="s">
        <v>809</v>
      </c>
      <c r="E86" s="308">
        <v>0</v>
      </c>
      <c r="F86" s="33"/>
      <c r="G86" s="146"/>
      <c r="H86" s="141"/>
      <c r="I86" s="129"/>
    </row>
    <row r="87" spans="3:9" x14ac:dyDescent="0.2">
      <c r="C87" t="s">
        <v>597</v>
      </c>
      <c r="E87" s="308">
        <v>0</v>
      </c>
      <c r="F87" s="33"/>
      <c r="G87" s="146"/>
      <c r="H87" s="141"/>
      <c r="I87" s="6" t="s">
        <v>1078</v>
      </c>
    </row>
    <row r="88" spans="3:9" x14ac:dyDescent="0.2">
      <c r="C88" s="579" t="s">
        <v>2042</v>
      </c>
      <c r="E88" s="308">
        <v>0</v>
      </c>
      <c r="F88" s="33"/>
      <c r="G88" s="146"/>
      <c r="H88" s="141"/>
      <c r="I88" s="6"/>
    </row>
    <row r="89" spans="3:9" ht="38.25" x14ac:dyDescent="0.2">
      <c r="C89" s="590" t="s">
        <v>4006</v>
      </c>
      <c r="E89" s="308">
        <v>0</v>
      </c>
      <c r="F89" s="33"/>
      <c r="G89" s="146"/>
      <c r="H89" s="141"/>
      <c r="I89" s="6"/>
    </row>
    <row r="90" spans="3:9" ht="25.5" x14ac:dyDescent="0.2">
      <c r="C90" s="590" t="s">
        <v>4015</v>
      </c>
      <c r="E90" s="308">
        <v>0</v>
      </c>
      <c r="F90" s="33"/>
      <c r="G90" s="146"/>
      <c r="H90" s="141"/>
      <c r="I90" s="6"/>
    </row>
    <row r="91" spans="3:9" x14ac:dyDescent="0.2">
      <c r="C91" s="579" t="s">
        <v>4016</v>
      </c>
      <c r="E91" s="308">
        <v>0</v>
      </c>
      <c r="F91" s="33"/>
      <c r="G91" s="146"/>
      <c r="H91" s="141"/>
      <c r="I91" s="6"/>
    </row>
    <row r="92" spans="3:9" ht="42" customHeight="1" x14ac:dyDescent="0.2">
      <c r="C92" s="613" t="s">
        <v>4018</v>
      </c>
      <c r="E92" s="308">
        <v>0</v>
      </c>
      <c r="F92" s="33"/>
      <c r="G92" s="146"/>
      <c r="H92" s="141"/>
      <c r="I92" s="6"/>
    </row>
    <row r="93" spans="3:9" x14ac:dyDescent="0.2">
      <c r="C93" s="579" t="s">
        <v>3975</v>
      </c>
      <c r="E93" s="308">
        <v>0</v>
      </c>
      <c r="F93" s="33"/>
      <c r="G93" s="146"/>
      <c r="H93" s="141"/>
      <c r="I93" s="6"/>
    </row>
    <row r="94" spans="3:9" ht="25.5" x14ac:dyDescent="0.2">
      <c r="C94" s="590" t="s">
        <v>4014</v>
      </c>
      <c r="E94" s="308">
        <v>0</v>
      </c>
      <c r="F94" s="33"/>
      <c r="G94" s="146"/>
      <c r="H94" s="141"/>
      <c r="I94" s="6"/>
    </row>
    <row r="95" spans="3:9" x14ac:dyDescent="0.2">
      <c r="C95" s="579" t="s">
        <v>4023</v>
      </c>
      <c r="E95" s="308">
        <v>0</v>
      </c>
      <c r="F95" s="33"/>
      <c r="G95" s="146"/>
      <c r="H95" s="141"/>
      <c r="I95" s="6"/>
    </row>
    <row r="96" spans="3:9" ht="42" customHeight="1" x14ac:dyDescent="0.2">
      <c r="C96" s="613" t="s">
        <v>4022</v>
      </c>
      <c r="E96" s="308">
        <v>0</v>
      </c>
      <c r="F96" s="33"/>
      <c r="G96" s="146"/>
      <c r="H96" s="141"/>
      <c r="I96" s="6"/>
    </row>
    <row r="97" spans="3:9" x14ac:dyDescent="0.2">
      <c r="C97" t="s">
        <v>598</v>
      </c>
      <c r="E97" s="145"/>
      <c r="F97" s="33"/>
      <c r="G97" s="308">
        <v>0</v>
      </c>
      <c r="H97" s="141"/>
      <c r="I97" s="129"/>
    </row>
    <row r="98" spans="3:9" x14ac:dyDescent="0.2">
      <c r="C98" t="s">
        <v>599</v>
      </c>
      <c r="E98" s="145"/>
      <c r="F98" s="33"/>
      <c r="G98" s="308">
        <v>0</v>
      </c>
      <c r="H98" s="141"/>
      <c r="I98" s="129"/>
    </row>
    <row r="99" spans="3:9" x14ac:dyDescent="0.2">
      <c r="C99" t="s">
        <v>600</v>
      </c>
      <c r="E99" s="145"/>
      <c r="F99" s="33"/>
      <c r="G99" s="308">
        <v>0</v>
      </c>
      <c r="H99" s="141"/>
      <c r="I99" s="129"/>
    </row>
    <row r="100" spans="3:9" x14ac:dyDescent="0.2">
      <c r="C100" t="s">
        <v>601</v>
      </c>
      <c r="E100" s="33"/>
      <c r="F100" s="33"/>
      <c r="G100" s="308">
        <v>0</v>
      </c>
      <c r="H100" s="141"/>
      <c r="I100" s="129"/>
    </row>
    <row r="101" spans="3:9" x14ac:dyDescent="0.2">
      <c r="C101" s="132" t="s">
        <v>58</v>
      </c>
      <c r="E101" s="33"/>
      <c r="F101" s="33"/>
      <c r="G101" s="308">
        <v>0</v>
      </c>
      <c r="H101" s="141"/>
      <c r="I101" s="129"/>
    </row>
    <row r="102" spans="3:9" x14ac:dyDescent="0.2">
      <c r="C102" s="132" t="s">
        <v>834</v>
      </c>
      <c r="E102" s="33"/>
      <c r="F102" s="33"/>
      <c r="G102" s="308">
        <v>0</v>
      </c>
      <c r="H102" s="141"/>
      <c r="I102" s="129"/>
    </row>
    <row r="103" spans="3:9" x14ac:dyDescent="0.2">
      <c r="C103" t="s">
        <v>916</v>
      </c>
      <c r="E103" s="33"/>
      <c r="F103" s="33"/>
      <c r="G103" s="308">
        <v>0</v>
      </c>
      <c r="H103" s="141"/>
      <c r="I103" s="129"/>
    </row>
    <row r="104" spans="3:9" x14ac:dyDescent="0.2">
      <c r="C104" t="s">
        <v>917</v>
      </c>
      <c r="E104" s="33"/>
      <c r="F104" s="33"/>
      <c r="G104" s="308">
        <v>0</v>
      </c>
      <c r="H104" s="141"/>
      <c r="I104" s="129"/>
    </row>
    <row r="105" spans="3:9" x14ac:dyDescent="0.2">
      <c r="C105" t="s">
        <v>370</v>
      </c>
      <c r="E105" s="33"/>
      <c r="F105" s="33"/>
      <c r="G105" s="308">
        <v>0</v>
      </c>
      <c r="H105" s="141"/>
      <c r="I105" s="129"/>
    </row>
    <row r="106" spans="3:9" x14ac:dyDescent="0.2">
      <c r="C106" t="s">
        <v>918</v>
      </c>
      <c r="E106" s="33"/>
      <c r="F106" s="33"/>
      <c r="G106" s="308">
        <v>0</v>
      </c>
      <c r="H106" s="141"/>
      <c r="I106" s="129"/>
    </row>
    <row r="107" spans="3:9" ht="51" x14ac:dyDescent="0.2">
      <c r="C107" s="611" t="s">
        <v>4006</v>
      </c>
      <c r="E107" s="33"/>
      <c r="F107" s="33"/>
      <c r="G107" s="308">
        <v>0</v>
      </c>
      <c r="H107" s="141"/>
      <c r="I107" s="129"/>
    </row>
    <row r="108" spans="3:9" ht="25.5" x14ac:dyDescent="0.2">
      <c r="C108" s="611" t="s">
        <v>4015</v>
      </c>
      <c r="E108" s="33"/>
      <c r="F108" s="33"/>
      <c r="G108" s="308">
        <v>0</v>
      </c>
      <c r="H108" s="141"/>
      <c r="I108" s="129"/>
    </row>
    <row r="109" spans="3:9" x14ac:dyDescent="0.2">
      <c r="C109" s="612" t="s">
        <v>4016</v>
      </c>
      <c r="E109" s="33"/>
      <c r="F109" s="33"/>
      <c r="G109" s="308">
        <v>0</v>
      </c>
      <c r="H109" s="141"/>
      <c r="I109" s="129"/>
    </row>
    <row r="110" spans="3:9" ht="37.5" customHeight="1" x14ac:dyDescent="0.2">
      <c r="C110" s="611" t="s">
        <v>4018</v>
      </c>
      <c r="E110" s="33"/>
      <c r="F110" s="33"/>
      <c r="G110" s="308">
        <v>0</v>
      </c>
      <c r="H110" s="141"/>
      <c r="I110" s="129"/>
    </row>
    <row r="111" spans="3:9" ht="25.5" x14ac:dyDescent="0.2">
      <c r="C111" s="611" t="s">
        <v>4014</v>
      </c>
      <c r="E111" s="33"/>
      <c r="F111" s="33"/>
      <c r="G111" s="308">
        <v>0</v>
      </c>
      <c r="H111" s="141"/>
      <c r="I111" s="129"/>
    </row>
    <row r="112" spans="3:9" x14ac:dyDescent="0.2">
      <c r="C112" s="612" t="s">
        <v>4017</v>
      </c>
      <c r="E112" s="33"/>
      <c r="F112" s="33"/>
      <c r="G112" s="308">
        <v>0</v>
      </c>
      <c r="H112" s="141"/>
      <c r="I112" s="129"/>
    </row>
    <row r="113" spans="2:9" ht="25.5" x14ac:dyDescent="0.2">
      <c r="C113" s="611" t="s">
        <v>4022</v>
      </c>
      <c r="E113" s="33"/>
      <c r="F113" s="33"/>
      <c r="G113" s="308">
        <v>0</v>
      </c>
      <c r="H113" s="141"/>
      <c r="I113" s="129"/>
    </row>
    <row r="114" spans="2:9" x14ac:dyDescent="0.2">
      <c r="C114" s="158" t="s">
        <v>1077</v>
      </c>
      <c r="E114" s="71"/>
      <c r="F114" s="71"/>
      <c r="G114" s="308">
        <v>0</v>
      </c>
      <c r="H114" s="141"/>
      <c r="I114" s="185" t="s">
        <v>713</v>
      </c>
    </row>
    <row r="115" spans="2:9" ht="7.5" customHeight="1" x14ac:dyDescent="0.2">
      <c r="E115" s="71"/>
      <c r="F115" s="71"/>
      <c r="G115" s="71"/>
      <c r="H115" s="141"/>
      <c r="I115" s="129"/>
    </row>
    <row r="116" spans="2:9" ht="12.75" customHeight="1" x14ac:dyDescent="0.2">
      <c r="B116" s="46" t="s">
        <v>514</v>
      </c>
      <c r="C116" s="4" t="s">
        <v>826</v>
      </c>
      <c r="E116" s="71"/>
      <c r="F116" s="71"/>
      <c r="G116" s="71"/>
      <c r="H116" s="141"/>
      <c r="I116" s="129"/>
    </row>
    <row r="117" spans="2:9" x14ac:dyDescent="0.2">
      <c r="C117" s="132" t="s">
        <v>886</v>
      </c>
      <c r="D117" s="132"/>
      <c r="F117" s="1"/>
      <c r="G117" s="292">
        <v>0</v>
      </c>
      <c r="H117" s="1"/>
      <c r="I117" s="152"/>
    </row>
    <row r="118" spans="2:9" ht="12.75" customHeight="1" x14ac:dyDescent="0.2">
      <c r="C118" s="132" t="s">
        <v>827</v>
      </c>
      <c r="D118" s="132"/>
      <c r="E118" s="287">
        <v>0</v>
      </c>
      <c r="F118" s="1"/>
      <c r="H118" s="1"/>
      <c r="I118" s="152" t="s">
        <v>712</v>
      </c>
    </row>
    <row r="119" spans="2:9" x14ac:dyDescent="0.2">
      <c r="C119" s="132" t="s">
        <v>145</v>
      </c>
      <c r="D119" s="132"/>
      <c r="E119" s="287">
        <v>0</v>
      </c>
      <c r="F119" s="1"/>
      <c r="H119" s="1"/>
      <c r="I119" s="152" t="s">
        <v>1079</v>
      </c>
    </row>
    <row r="120" spans="2:9" x14ac:dyDescent="0.2">
      <c r="C120" s="132" t="s">
        <v>144</v>
      </c>
      <c r="D120" s="132"/>
      <c r="F120" s="1"/>
      <c r="G120" s="292">
        <v>0</v>
      </c>
      <c r="H120" s="1"/>
      <c r="I120" s="152"/>
    </row>
    <row r="121" spans="2:9" x14ac:dyDescent="0.2">
      <c r="C121" s="132" t="s">
        <v>612</v>
      </c>
      <c r="D121" s="132"/>
      <c r="F121" s="1"/>
      <c r="G121" s="292">
        <v>0</v>
      </c>
      <c r="H121" s="1"/>
      <c r="I121" s="153" t="s">
        <v>564</v>
      </c>
    </row>
    <row r="122" spans="2:9" ht="22.5" x14ac:dyDescent="0.2">
      <c r="C122" s="132" t="s">
        <v>28</v>
      </c>
      <c r="D122" s="132"/>
      <c r="E122" s="287">
        <v>0</v>
      </c>
      <c r="F122" s="1"/>
      <c r="H122" s="1"/>
      <c r="I122" s="151" t="s">
        <v>592</v>
      </c>
    </row>
    <row r="123" spans="2:9" ht="7.5" customHeight="1" x14ac:dyDescent="0.2">
      <c r="B123" s="28"/>
      <c r="C123" s="132"/>
      <c r="D123" s="132"/>
      <c r="F123" s="1"/>
      <c r="G123" s="1"/>
      <c r="H123" s="1"/>
      <c r="I123" s="1"/>
    </row>
    <row r="124" spans="2:9" ht="23.25" customHeight="1" x14ac:dyDescent="0.2">
      <c r="B124" s="46" t="s">
        <v>515</v>
      </c>
      <c r="C124" s="1223" t="s">
        <v>1080</v>
      </c>
      <c r="D124" s="1225">
        <v>0</v>
      </c>
      <c r="F124" s="1"/>
      <c r="H124" s="1"/>
      <c r="I124" s="152" t="s">
        <v>1081</v>
      </c>
    </row>
    <row r="125" spans="2:9" ht="21.75" customHeight="1" x14ac:dyDescent="0.2">
      <c r="B125" s="46"/>
      <c r="C125" s="1224"/>
      <c r="D125" s="1225"/>
      <c r="F125" s="1"/>
      <c r="H125" s="1"/>
      <c r="I125" s="152"/>
    </row>
    <row r="126" spans="2:9" x14ac:dyDescent="0.2">
      <c r="B126" s="28"/>
      <c r="C126" s="182" t="s">
        <v>1003</v>
      </c>
      <c r="D126" s="183">
        <f>G117-E118-E119+G120+G121-E122</f>
        <v>0</v>
      </c>
      <c r="F126" s="1"/>
      <c r="G126" s="1"/>
      <c r="H126" s="1"/>
      <c r="I126" s="1"/>
    </row>
    <row r="127" spans="2:9" ht="36" customHeight="1" thickBot="1" x14ac:dyDescent="0.25">
      <c r="C127" s="133" t="s">
        <v>1004</v>
      </c>
      <c r="D127" s="195">
        <f>D124-D126</f>
        <v>0</v>
      </c>
      <c r="E127" s="8"/>
      <c r="F127" s="184"/>
      <c r="G127" s="168">
        <f>D127</f>
        <v>0</v>
      </c>
      <c r="H127" s="1"/>
      <c r="I127" s="189" t="s">
        <v>350</v>
      </c>
    </row>
    <row r="128" spans="2:9" ht="18.75" customHeight="1" thickTop="1" thickBot="1" x14ac:dyDescent="0.25">
      <c r="C128" s="133"/>
      <c r="D128" s="133"/>
      <c r="E128" s="186">
        <f>SUM(E78:E127)</f>
        <v>0</v>
      </c>
      <c r="F128" s="1"/>
      <c r="G128" s="70">
        <f>SUM(G97:G127)</f>
        <v>0</v>
      </c>
      <c r="H128" s="1"/>
      <c r="I128" s="190" t="s">
        <v>351</v>
      </c>
    </row>
    <row r="129" spans="1:12" ht="13.5" thickTop="1" x14ac:dyDescent="0.2">
      <c r="C129" s="133"/>
      <c r="D129" s="133"/>
      <c r="F129" s="1"/>
      <c r="G129" s="1"/>
      <c r="H129" s="1"/>
      <c r="I129" s="1"/>
    </row>
    <row r="130" spans="1:12" ht="15" customHeight="1" x14ac:dyDescent="0.2">
      <c r="A130" s="4" t="s">
        <v>801</v>
      </c>
      <c r="B130" s="1199" t="s">
        <v>1131</v>
      </c>
      <c r="C130" s="1200"/>
      <c r="D130" s="1200"/>
      <c r="E130" s="1200"/>
      <c r="F130" s="1200"/>
      <c r="G130" s="1200"/>
      <c r="H130" s="1200"/>
      <c r="I130" s="1201"/>
    </row>
    <row r="131" spans="1:12" ht="25.5" customHeight="1" x14ac:dyDescent="0.2">
      <c r="B131" s="1202"/>
      <c r="C131" s="1203"/>
      <c r="D131" s="1203"/>
      <c r="E131" s="1203"/>
      <c r="F131" s="1203"/>
      <c r="G131" s="1203"/>
      <c r="H131" s="1203"/>
      <c r="I131" s="1204"/>
    </row>
    <row r="132" spans="1:12" x14ac:dyDescent="0.2">
      <c r="E132" s="1"/>
      <c r="F132" s="1"/>
      <c r="G132" s="141"/>
      <c r="H132" s="141"/>
      <c r="I132" s="129"/>
    </row>
    <row r="133" spans="1:12" ht="12.75" customHeight="1" x14ac:dyDescent="0.2">
      <c r="B133" s="28" t="s">
        <v>513</v>
      </c>
      <c r="C133" s="1019" t="s">
        <v>520</v>
      </c>
      <c r="D133" s="1019"/>
      <c r="E133" s="1019"/>
      <c r="F133" s="1"/>
      <c r="G133" s="1221">
        <v>0</v>
      </c>
      <c r="H133" s="141"/>
      <c r="I133" s="129"/>
    </row>
    <row r="134" spans="1:12" ht="47.25" customHeight="1" x14ac:dyDescent="0.2">
      <c r="C134" s="1019"/>
      <c r="D134" s="1019"/>
      <c r="E134" s="1019"/>
      <c r="F134" s="1"/>
      <c r="G134" s="1221"/>
      <c r="H134" s="141"/>
      <c r="I134" s="129"/>
    </row>
    <row r="135" spans="1:12" x14ac:dyDescent="0.2">
      <c r="E135" s="1"/>
      <c r="F135" s="1"/>
      <c r="G135" s="141"/>
      <c r="H135" s="141"/>
      <c r="I135" s="155" t="s">
        <v>919</v>
      </c>
    </row>
    <row r="136" spans="1:12" x14ac:dyDescent="0.2">
      <c r="B136" s="28" t="s">
        <v>514</v>
      </c>
      <c r="C136" s="1019" t="s">
        <v>188</v>
      </c>
      <c r="D136" s="1019"/>
      <c r="E136" s="1019"/>
      <c r="F136" s="1"/>
      <c r="G136" s="1221">
        <v>0</v>
      </c>
      <c r="H136" s="141"/>
      <c r="I136" s="129"/>
    </row>
    <row r="137" spans="1:12" ht="44.25" customHeight="1" x14ac:dyDescent="0.2">
      <c r="C137" s="1019"/>
      <c r="D137" s="1019"/>
      <c r="E137" s="1019"/>
      <c r="F137" s="1"/>
      <c r="G137" s="1221"/>
      <c r="H137" s="141"/>
      <c r="I137" s="129"/>
    </row>
    <row r="138" spans="1:12" x14ac:dyDescent="0.2">
      <c r="E138" s="1"/>
      <c r="F138" s="1"/>
      <c r="G138" s="141"/>
      <c r="H138" s="141"/>
      <c r="I138" s="129"/>
    </row>
    <row r="139" spans="1:12" ht="13.5" customHeight="1" x14ac:dyDescent="0.2">
      <c r="A139" s="4" t="s">
        <v>807</v>
      </c>
      <c r="B139" s="1215" t="s">
        <v>504</v>
      </c>
      <c r="C139" s="1216"/>
      <c r="D139" s="1216"/>
      <c r="E139" s="1216"/>
      <c r="F139" s="1216"/>
      <c r="G139" s="1216"/>
      <c r="H139" s="1216"/>
      <c r="I139" s="1217"/>
      <c r="J139" s="1"/>
      <c r="K139" s="1"/>
      <c r="L139" s="1"/>
    </row>
    <row r="140" spans="1:12" ht="12" customHeight="1" x14ac:dyDescent="0.2">
      <c r="B140" s="1218"/>
      <c r="C140" s="1219"/>
      <c r="D140" s="1219"/>
      <c r="E140" s="1219"/>
      <c r="F140" s="1219"/>
      <c r="G140" s="1219"/>
      <c r="H140" s="1219"/>
      <c r="I140" s="1220"/>
      <c r="J140" s="1"/>
      <c r="K140" s="1"/>
      <c r="L140" s="1"/>
    </row>
    <row r="141" spans="1:12" ht="5.25" customHeight="1" x14ac:dyDescent="0.2">
      <c r="C141" s="143"/>
      <c r="D141" s="143"/>
      <c r="E141" s="128"/>
      <c r="F141" s="128"/>
      <c r="G141" s="128"/>
      <c r="H141" s="128"/>
      <c r="I141" s="128"/>
      <c r="J141" s="1"/>
      <c r="K141" s="1"/>
      <c r="L141" s="1"/>
    </row>
    <row r="142" spans="1:12" ht="37.5" customHeight="1" x14ac:dyDescent="0.2">
      <c r="C142" s="157" t="s">
        <v>833</v>
      </c>
      <c r="D142" s="157"/>
      <c r="E142" s="144" t="s">
        <v>593</v>
      </c>
      <c r="F142" s="142"/>
      <c r="G142" s="144" t="s">
        <v>594</v>
      </c>
      <c r="H142" s="142"/>
      <c r="I142" s="128"/>
      <c r="J142" s="1"/>
      <c r="K142" s="1"/>
      <c r="L142" s="1"/>
    </row>
    <row r="143" spans="1:12" x14ac:dyDescent="0.2">
      <c r="E143" s="1"/>
      <c r="F143" s="10"/>
      <c r="G143" s="1"/>
      <c r="H143" s="1"/>
      <c r="I143" s="1"/>
      <c r="J143" s="1"/>
      <c r="K143" s="1"/>
      <c r="L143" s="1"/>
    </row>
    <row r="144" spans="1:12" x14ac:dyDescent="0.2">
      <c r="C144" t="str">
        <f>+$C43</f>
        <v>General government</v>
      </c>
      <c r="E144" s="236">
        <f t="shared" ref="E144:E152" si="1">D$127*G43</f>
        <v>0</v>
      </c>
      <c r="F144" s="1"/>
      <c r="G144" s="1"/>
      <c r="H144" s="1"/>
      <c r="I144" s="1"/>
      <c r="J144" s="1"/>
      <c r="K144" s="1"/>
      <c r="L144" s="1"/>
    </row>
    <row r="145" spans="1:12" x14ac:dyDescent="0.2">
      <c r="C145" t="str">
        <f>+C44</f>
        <v>Public safety</v>
      </c>
      <c r="E145" s="236">
        <f t="shared" si="1"/>
        <v>0</v>
      </c>
      <c r="F145" s="1"/>
      <c r="G145" s="1"/>
      <c r="H145" s="1"/>
      <c r="I145" s="1"/>
      <c r="J145" s="1"/>
      <c r="K145" s="1"/>
      <c r="L145" s="1"/>
    </row>
    <row r="146" spans="1:12" x14ac:dyDescent="0.2">
      <c r="C146" t="str">
        <f>+C45</f>
        <v>Transportation</v>
      </c>
      <c r="E146" s="236">
        <f t="shared" si="1"/>
        <v>0</v>
      </c>
      <c r="F146" s="1"/>
      <c r="G146" s="1"/>
      <c r="H146" s="1"/>
      <c r="I146" s="1"/>
      <c r="J146" s="1"/>
      <c r="K146" s="1"/>
      <c r="L146" s="1"/>
    </row>
    <row r="147" spans="1:12" x14ac:dyDescent="0.2">
      <c r="C147" t="s">
        <v>816</v>
      </c>
      <c r="E147" s="236">
        <f t="shared" si="1"/>
        <v>0</v>
      </c>
      <c r="F147" s="1"/>
      <c r="G147" s="1"/>
      <c r="H147" s="1"/>
      <c r="I147" s="1"/>
      <c r="J147" s="1"/>
      <c r="K147" s="1"/>
      <c r="L147" s="1"/>
    </row>
    <row r="148" spans="1:12" x14ac:dyDescent="0.2">
      <c r="C148" t="s">
        <v>805</v>
      </c>
      <c r="E148" s="236">
        <f t="shared" si="1"/>
        <v>0</v>
      </c>
      <c r="F148" s="1"/>
      <c r="G148" s="1"/>
      <c r="H148" s="1"/>
      <c r="I148" s="1"/>
      <c r="J148" s="1"/>
      <c r="K148" s="1"/>
      <c r="L148" s="1"/>
    </row>
    <row r="149" spans="1:12" x14ac:dyDescent="0.2">
      <c r="C149" t="s">
        <v>307</v>
      </c>
      <c r="E149" s="236">
        <f t="shared" si="1"/>
        <v>0</v>
      </c>
      <c r="F149" s="1"/>
      <c r="G149" s="1"/>
      <c r="H149" s="1"/>
      <c r="I149" s="1"/>
      <c r="J149" s="1"/>
      <c r="K149" s="1"/>
      <c r="L149" s="1"/>
    </row>
    <row r="150" spans="1:12" x14ac:dyDescent="0.2">
      <c r="C150" t="s">
        <v>19</v>
      </c>
      <c r="E150" s="236">
        <f t="shared" si="1"/>
        <v>0</v>
      </c>
      <c r="F150" s="1"/>
      <c r="G150" s="1"/>
      <c r="H150" s="1"/>
      <c r="I150" s="6"/>
      <c r="J150" s="1"/>
      <c r="K150" s="1"/>
      <c r="L150" s="1"/>
    </row>
    <row r="151" spans="1:12" x14ac:dyDescent="0.2">
      <c r="C151" t="s">
        <v>172</v>
      </c>
      <c r="E151" s="236">
        <f t="shared" si="1"/>
        <v>0</v>
      </c>
      <c r="F151" s="1"/>
      <c r="G151" s="1"/>
      <c r="H151" s="1"/>
      <c r="I151" s="187"/>
      <c r="J151" s="1"/>
      <c r="K151" s="1"/>
      <c r="L151" s="1"/>
    </row>
    <row r="152" spans="1:12" ht="12.75" customHeight="1" x14ac:dyDescent="0.2">
      <c r="C152" s="280" t="s">
        <v>726</v>
      </c>
      <c r="E152" s="236">
        <f t="shared" si="1"/>
        <v>0</v>
      </c>
      <c r="F152" s="1"/>
      <c r="G152" s="1"/>
      <c r="H152" s="1"/>
      <c r="J152" s="1"/>
      <c r="K152" s="1"/>
      <c r="L152" s="1"/>
    </row>
    <row r="153" spans="1:12" ht="13.5" customHeight="1" x14ac:dyDescent="0.2">
      <c r="E153" s="1"/>
      <c r="F153" s="1"/>
      <c r="G153" s="1"/>
      <c r="H153" s="1"/>
      <c r="I153" s="1153" t="s">
        <v>187</v>
      </c>
      <c r="J153" s="1"/>
      <c r="K153" s="1"/>
      <c r="L153" s="1"/>
    </row>
    <row r="154" spans="1:12" ht="12" customHeight="1" x14ac:dyDescent="0.2">
      <c r="C154" t="str">
        <f>+C56</f>
        <v>Water and sewer</v>
      </c>
      <c r="E154" s="1"/>
      <c r="F154" s="1"/>
      <c r="G154" s="236">
        <f>D$127*G56</f>
        <v>0</v>
      </c>
      <c r="H154" s="1"/>
      <c r="I154" s="1032"/>
      <c r="J154" s="1"/>
      <c r="K154" s="1"/>
      <c r="L154" s="1"/>
    </row>
    <row r="155" spans="1:12" x14ac:dyDescent="0.2">
      <c r="C155" t="str">
        <f>+C57</f>
        <v>Electric</v>
      </c>
      <c r="E155" s="1"/>
      <c r="F155" s="1"/>
      <c r="G155" s="236">
        <f>D$127*G57</f>
        <v>0</v>
      </c>
      <c r="H155" s="1"/>
      <c r="I155" s="1032"/>
      <c r="J155" s="1"/>
      <c r="K155" s="1"/>
      <c r="L155" s="1"/>
    </row>
    <row r="156" spans="1:12" x14ac:dyDescent="0.2">
      <c r="C156" s="280" t="s">
        <v>735</v>
      </c>
      <c r="E156" s="1"/>
      <c r="F156" s="1"/>
      <c r="G156" s="236">
        <f>D$127*G58</f>
        <v>0</v>
      </c>
      <c r="H156" s="1"/>
      <c r="I156" s="1032"/>
      <c r="J156" s="1"/>
      <c r="K156" s="1"/>
      <c r="L156" s="1"/>
    </row>
    <row r="157" spans="1:12" x14ac:dyDescent="0.2">
      <c r="C157" s="280" t="s">
        <v>736</v>
      </c>
      <c r="E157" s="1"/>
      <c r="F157" s="1"/>
      <c r="G157" s="236">
        <f>D$127*G59</f>
        <v>0</v>
      </c>
      <c r="H157" s="1"/>
      <c r="I157" s="1102"/>
      <c r="J157" s="1"/>
      <c r="K157" s="1"/>
      <c r="L157" s="1"/>
    </row>
    <row r="158" spans="1:12" ht="13.5" thickBot="1" x14ac:dyDescent="0.25">
      <c r="C158" s="132" t="s">
        <v>595</v>
      </c>
      <c r="D158" s="132"/>
      <c r="E158" s="70">
        <f>SUM(E144:E157)</f>
        <v>0</v>
      </c>
      <c r="F158" s="1"/>
      <c r="G158" s="70">
        <f>SUM(G154:G157)</f>
        <v>0</v>
      </c>
      <c r="H158" s="191" t="s">
        <v>512</v>
      </c>
      <c r="I158" s="70">
        <f>SUM(E158:G158)</f>
        <v>0</v>
      </c>
      <c r="J158" s="1"/>
      <c r="K158" s="1"/>
      <c r="L158" s="1"/>
    </row>
    <row r="159" spans="1:12" ht="13.5" thickTop="1" x14ac:dyDescent="0.2">
      <c r="E159" s="1"/>
      <c r="F159" s="1"/>
      <c r="G159" s="1"/>
      <c r="H159" s="1"/>
      <c r="I159" s="129"/>
    </row>
    <row r="160" spans="1:12" ht="25.5" customHeight="1" x14ac:dyDescent="0.2">
      <c r="A160" s="4" t="s">
        <v>823</v>
      </c>
      <c r="B160" s="1107" t="s">
        <v>1023</v>
      </c>
      <c r="C160" s="1108"/>
      <c r="D160" s="1108"/>
      <c r="E160" s="1108"/>
      <c r="F160" s="1108"/>
      <c r="G160" s="1108"/>
      <c r="H160" s="1108"/>
      <c r="I160" s="1109"/>
    </row>
    <row r="161" spans="1:9" ht="12.75" customHeight="1" x14ac:dyDescent="0.2">
      <c r="E161" s="1"/>
      <c r="F161" s="1"/>
      <c r="G161" s="1"/>
      <c r="H161" s="1"/>
      <c r="I161" s="129"/>
    </row>
    <row r="162" spans="1:9" x14ac:dyDescent="0.2">
      <c r="E162" s="3" t="s">
        <v>509</v>
      </c>
      <c r="F162" s="33"/>
      <c r="G162" s="3" t="s">
        <v>510</v>
      </c>
      <c r="H162" s="33"/>
    </row>
    <row r="163" spans="1:9" x14ac:dyDescent="0.2">
      <c r="E163" s="174"/>
      <c r="F163" s="33"/>
      <c r="G163" s="178"/>
      <c r="H163" s="33"/>
      <c r="I163" s="154"/>
    </row>
    <row r="164" spans="1:9" x14ac:dyDescent="0.2">
      <c r="A164" s="158" t="s">
        <v>565</v>
      </c>
      <c r="C164" t="s">
        <v>596</v>
      </c>
      <c r="E164" s="61">
        <f t="shared" ref="E164:E182" si="2">E78</f>
        <v>0</v>
      </c>
      <c r="G164" s="57"/>
    </row>
    <row r="165" spans="1:9" x14ac:dyDescent="0.2">
      <c r="C165" t="s">
        <v>239</v>
      </c>
      <c r="E165" s="61">
        <f t="shared" si="2"/>
        <v>0</v>
      </c>
      <c r="G165" s="57"/>
    </row>
    <row r="166" spans="1:9" x14ac:dyDescent="0.2">
      <c r="C166" t="s">
        <v>53</v>
      </c>
      <c r="E166" s="61">
        <f t="shared" si="2"/>
        <v>0</v>
      </c>
      <c r="G166" s="57"/>
    </row>
    <row r="167" spans="1:9" x14ac:dyDescent="0.2">
      <c r="C167" s="158" t="s">
        <v>835</v>
      </c>
      <c r="E167" s="61">
        <f t="shared" si="2"/>
        <v>0</v>
      </c>
      <c r="G167" s="57"/>
    </row>
    <row r="168" spans="1:9" x14ac:dyDescent="0.2">
      <c r="C168" t="s">
        <v>56</v>
      </c>
      <c r="E168" s="61">
        <f t="shared" si="2"/>
        <v>0</v>
      </c>
      <c r="G168" s="57"/>
    </row>
    <row r="169" spans="1:9" x14ac:dyDescent="0.2">
      <c r="C169" t="s">
        <v>57</v>
      </c>
      <c r="E169" s="61">
        <f t="shared" si="2"/>
        <v>0</v>
      </c>
      <c r="G169" s="57"/>
    </row>
    <row r="170" spans="1:9" x14ac:dyDescent="0.2">
      <c r="C170" t="s">
        <v>811</v>
      </c>
      <c r="E170" s="61">
        <f t="shared" si="2"/>
        <v>0</v>
      </c>
      <c r="G170" s="57"/>
    </row>
    <row r="171" spans="1:9" x14ac:dyDescent="0.2">
      <c r="C171" t="s">
        <v>812</v>
      </c>
      <c r="E171" s="61">
        <f t="shared" si="2"/>
        <v>0</v>
      </c>
      <c r="G171" s="57"/>
    </row>
    <row r="172" spans="1:9" x14ac:dyDescent="0.2">
      <c r="C172" t="s">
        <v>809</v>
      </c>
      <c r="E172" s="61">
        <f t="shared" si="2"/>
        <v>0</v>
      </c>
      <c r="G172" s="57"/>
    </row>
    <row r="173" spans="1:9" x14ac:dyDescent="0.2">
      <c r="C173" t="s">
        <v>597</v>
      </c>
      <c r="E173" s="61">
        <f t="shared" si="2"/>
        <v>0</v>
      </c>
      <c r="G173" s="57"/>
      <c r="I173" s="6" t="s">
        <v>1025</v>
      </c>
    </row>
    <row r="174" spans="1:9" x14ac:dyDescent="0.2">
      <c r="C174" s="579" t="s">
        <v>2042</v>
      </c>
      <c r="E174" s="61">
        <f t="shared" si="2"/>
        <v>0</v>
      </c>
      <c r="G174" s="57"/>
      <c r="I174" s="6"/>
    </row>
    <row r="175" spans="1:9" ht="38.25" x14ac:dyDescent="0.2">
      <c r="C175" s="590" t="s">
        <v>4006</v>
      </c>
      <c r="E175" s="61">
        <f t="shared" si="2"/>
        <v>0</v>
      </c>
      <c r="G175" s="57"/>
      <c r="I175" s="6"/>
    </row>
    <row r="176" spans="1:9" ht="25.5" x14ac:dyDescent="0.2">
      <c r="C176" s="590" t="s">
        <v>4015</v>
      </c>
      <c r="E176" s="61">
        <f t="shared" si="2"/>
        <v>0</v>
      </c>
      <c r="G176" s="57"/>
      <c r="I176" s="6"/>
    </row>
    <row r="177" spans="3:9" x14ac:dyDescent="0.2">
      <c r="C177" s="579" t="s">
        <v>4016</v>
      </c>
      <c r="E177" s="61">
        <f t="shared" si="2"/>
        <v>0</v>
      </c>
      <c r="G177" s="57"/>
      <c r="I177" s="6"/>
    </row>
    <row r="178" spans="3:9" ht="27" customHeight="1" x14ac:dyDescent="0.2">
      <c r="C178" s="613" t="s">
        <v>4018</v>
      </c>
      <c r="E178" s="61">
        <f t="shared" si="2"/>
        <v>0</v>
      </c>
      <c r="G178" s="57"/>
      <c r="I178" s="6"/>
    </row>
    <row r="179" spans="3:9" x14ac:dyDescent="0.2">
      <c r="C179" s="579" t="s">
        <v>3975</v>
      </c>
      <c r="E179" s="61">
        <f t="shared" si="2"/>
        <v>0</v>
      </c>
      <c r="G179" s="57"/>
      <c r="I179" s="6"/>
    </row>
    <row r="180" spans="3:9" ht="25.5" x14ac:dyDescent="0.2">
      <c r="C180" s="590" t="s">
        <v>4014</v>
      </c>
      <c r="E180" s="61">
        <f t="shared" si="2"/>
        <v>0</v>
      </c>
      <c r="G180" s="57"/>
      <c r="I180" s="6"/>
    </row>
    <row r="181" spans="3:9" x14ac:dyDescent="0.2">
      <c r="C181" s="579" t="s">
        <v>4017</v>
      </c>
      <c r="E181" s="61">
        <f t="shared" si="2"/>
        <v>0</v>
      </c>
      <c r="G181" s="57"/>
      <c r="I181" s="6"/>
    </row>
    <row r="182" spans="3:9" ht="27" customHeight="1" x14ac:dyDescent="0.2">
      <c r="C182" s="613" t="s">
        <v>4022</v>
      </c>
      <c r="E182" s="61">
        <f t="shared" si="2"/>
        <v>0</v>
      </c>
      <c r="G182" s="57"/>
      <c r="I182" s="6"/>
    </row>
    <row r="183" spans="3:9" x14ac:dyDescent="0.2">
      <c r="C183" t="s">
        <v>598</v>
      </c>
      <c r="E183" s="57"/>
      <c r="G183" s="61">
        <f t="shared" ref="G183:G196" si="3">G97</f>
        <v>0</v>
      </c>
    </row>
    <row r="184" spans="3:9" x14ac:dyDescent="0.2">
      <c r="C184" t="s">
        <v>599</v>
      </c>
      <c r="E184" s="57"/>
      <c r="G184" s="61">
        <f t="shared" si="3"/>
        <v>0</v>
      </c>
    </row>
    <row r="185" spans="3:9" x14ac:dyDescent="0.2">
      <c r="C185" t="s">
        <v>600</v>
      </c>
      <c r="E185" s="57"/>
      <c r="G185" s="61">
        <f t="shared" si="3"/>
        <v>0</v>
      </c>
    </row>
    <row r="186" spans="3:9" x14ac:dyDescent="0.2">
      <c r="C186" t="s">
        <v>601</v>
      </c>
      <c r="E186" s="57"/>
      <c r="G186" s="61">
        <f t="shared" si="3"/>
        <v>0</v>
      </c>
    </row>
    <row r="187" spans="3:9" x14ac:dyDescent="0.2">
      <c r="C187" s="132" t="s">
        <v>58</v>
      </c>
      <c r="E187" s="57"/>
      <c r="G187" s="61">
        <f t="shared" si="3"/>
        <v>0</v>
      </c>
    </row>
    <row r="188" spans="3:9" x14ac:dyDescent="0.2">
      <c r="C188" s="132" t="s">
        <v>834</v>
      </c>
      <c r="E188" s="57"/>
      <c r="G188" s="61">
        <f t="shared" si="3"/>
        <v>0</v>
      </c>
    </row>
    <row r="189" spans="3:9" x14ac:dyDescent="0.2">
      <c r="C189" t="s">
        <v>414</v>
      </c>
      <c r="E189" s="57"/>
      <c r="G189" s="61">
        <f t="shared" si="3"/>
        <v>0</v>
      </c>
    </row>
    <row r="190" spans="3:9" x14ac:dyDescent="0.2">
      <c r="C190" t="s">
        <v>917</v>
      </c>
      <c r="E190" s="57"/>
      <c r="G190" s="61">
        <f t="shared" si="3"/>
        <v>0</v>
      </c>
    </row>
    <row r="191" spans="3:9" x14ac:dyDescent="0.2">
      <c r="C191" t="s">
        <v>370</v>
      </c>
      <c r="E191" s="57"/>
      <c r="G191" s="61">
        <f t="shared" si="3"/>
        <v>0</v>
      </c>
    </row>
    <row r="192" spans="3:9" x14ac:dyDescent="0.2">
      <c r="C192" t="s">
        <v>475</v>
      </c>
      <c r="E192" s="57"/>
      <c r="G192" s="61">
        <f t="shared" si="3"/>
        <v>0</v>
      </c>
    </row>
    <row r="193" spans="3:9" ht="51" x14ac:dyDescent="0.2">
      <c r="C193" s="611" t="s">
        <v>4006</v>
      </c>
      <c r="E193" s="57"/>
      <c r="G193" s="61">
        <f t="shared" si="3"/>
        <v>0</v>
      </c>
    </row>
    <row r="194" spans="3:9" ht="25.5" x14ac:dyDescent="0.2">
      <c r="C194" s="611" t="s">
        <v>4015</v>
      </c>
      <c r="E194" s="57"/>
      <c r="G194" s="61">
        <f t="shared" si="3"/>
        <v>0</v>
      </c>
    </row>
    <row r="195" spans="3:9" x14ac:dyDescent="0.2">
      <c r="C195" s="612" t="s">
        <v>4016</v>
      </c>
      <c r="E195" s="57"/>
      <c r="G195" s="61">
        <f t="shared" si="3"/>
        <v>0</v>
      </c>
    </row>
    <row r="196" spans="3:9" ht="38.25" x14ac:dyDescent="0.2">
      <c r="C196" s="611" t="s">
        <v>4018</v>
      </c>
      <c r="E196" s="57"/>
      <c r="G196" s="61">
        <f t="shared" si="3"/>
        <v>0</v>
      </c>
    </row>
    <row r="197" spans="3:9" ht="25.5" x14ac:dyDescent="0.2">
      <c r="C197" s="611" t="s">
        <v>4024</v>
      </c>
      <c r="E197" s="57"/>
      <c r="G197" s="61">
        <f t="shared" ref="G197:G199" si="4">G111</f>
        <v>0</v>
      </c>
    </row>
    <row r="198" spans="3:9" x14ac:dyDescent="0.2">
      <c r="C198" s="612" t="s">
        <v>4023</v>
      </c>
      <c r="E198" s="57"/>
      <c r="G198" s="61">
        <f t="shared" si="4"/>
        <v>0</v>
      </c>
    </row>
    <row r="199" spans="3:9" ht="25.5" x14ac:dyDescent="0.2">
      <c r="C199" s="611" t="s">
        <v>4022</v>
      </c>
      <c r="E199" s="57"/>
      <c r="G199" s="61">
        <f t="shared" si="4"/>
        <v>0</v>
      </c>
    </row>
    <row r="200" spans="3:9" x14ac:dyDescent="0.2">
      <c r="C200" t="s">
        <v>477</v>
      </c>
      <c r="E200" s="11"/>
      <c r="G200" s="11">
        <f>G114+G136</f>
        <v>0</v>
      </c>
    </row>
    <row r="201" spans="3:9" ht="6" customHeight="1" x14ac:dyDescent="0.2">
      <c r="E201" s="57"/>
      <c r="G201" s="57"/>
    </row>
    <row r="202" spans="3:9" x14ac:dyDescent="0.2">
      <c r="C202" t="s">
        <v>416</v>
      </c>
      <c r="E202" s="57"/>
      <c r="G202" s="11">
        <f>G117</f>
        <v>0</v>
      </c>
    </row>
    <row r="203" spans="3:9" x14ac:dyDescent="0.2">
      <c r="C203" t="s">
        <v>602</v>
      </c>
      <c r="E203" s="57"/>
      <c r="G203" s="11">
        <f>G121</f>
        <v>0</v>
      </c>
    </row>
    <row r="204" spans="3:9" x14ac:dyDescent="0.2">
      <c r="C204" t="s">
        <v>603</v>
      </c>
      <c r="E204" s="11">
        <f>E122</f>
        <v>0</v>
      </c>
      <c r="G204" s="57"/>
      <c r="I204" s="6" t="s">
        <v>148</v>
      </c>
    </row>
    <row r="205" spans="3:9" x14ac:dyDescent="0.2">
      <c r="C205" t="s">
        <v>478</v>
      </c>
      <c r="E205" s="11">
        <f>E118</f>
        <v>0</v>
      </c>
      <c r="G205" s="57"/>
    </row>
    <row r="206" spans="3:9" x14ac:dyDescent="0.2">
      <c r="C206" t="s">
        <v>146</v>
      </c>
      <c r="E206" s="11"/>
      <c r="G206" s="11">
        <f>G120</f>
        <v>0</v>
      </c>
    </row>
    <row r="207" spans="3:9" x14ac:dyDescent="0.2">
      <c r="C207" t="s">
        <v>147</v>
      </c>
      <c r="E207" s="11">
        <f>E119</f>
        <v>0</v>
      </c>
      <c r="G207" s="57"/>
    </row>
    <row r="208" spans="3:9" ht="6" customHeight="1" x14ac:dyDescent="0.2">
      <c r="E208" s="57"/>
      <c r="G208" s="57"/>
    </row>
    <row r="209" spans="3:9" x14ac:dyDescent="0.2">
      <c r="C209" s="132" t="s">
        <v>604</v>
      </c>
      <c r="D209" s="132"/>
      <c r="E209" s="11"/>
      <c r="G209" s="11">
        <f>E144</f>
        <v>0</v>
      </c>
    </row>
    <row r="210" spans="3:9" x14ac:dyDescent="0.2">
      <c r="C210" s="132" t="s">
        <v>605</v>
      </c>
      <c r="D210" s="132"/>
      <c r="E210" s="11"/>
      <c r="G210" s="11">
        <f t="shared" ref="G210:G217" si="5">E145</f>
        <v>0</v>
      </c>
    </row>
    <row r="211" spans="3:9" x14ac:dyDescent="0.2">
      <c r="C211" s="132" t="s">
        <v>606</v>
      </c>
      <c r="D211" s="132"/>
      <c r="E211" s="11"/>
      <c r="G211" s="11">
        <f t="shared" si="5"/>
        <v>0</v>
      </c>
    </row>
    <row r="212" spans="3:9" x14ac:dyDescent="0.2">
      <c r="C212" t="s">
        <v>1024</v>
      </c>
      <c r="E212" s="11"/>
      <c r="G212" s="11">
        <f t="shared" si="5"/>
        <v>0</v>
      </c>
    </row>
    <row r="213" spans="3:9" x14ac:dyDescent="0.2">
      <c r="C213" s="132" t="s">
        <v>607</v>
      </c>
      <c r="D213" s="132"/>
      <c r="E213" s="11"/>
      <c r="G213" s="11">
        <f t="shared" si="5"/>
        <v>0</v>
      </c>
      <c r="I213" s="6" t="s">
        <v>149</v>
      </c>
    </row>
    <row r="214" spans="3:9" x14ac:dyDescent="0.2">
      <c r="C214" s="132" t="s">
        <v>307</v>
      </c>
      <c r="D214" s="132"/>
      <c r="E214" s="11"/>
      <c r="G214" s="11">
        <f t="shared" si="5"/>
        <v>0</v>
      </c>
    </row>
    <row r="215" spans="3:9" x14ac:dyDescent="0.2">
      <c r="C215" s="132" t="s">
        <v>608</v>
      </c>
      <c r="D215" s="132"/>
      <c r="E215" s="11"/>
      <c r="G215" s="11">
        <f t="shared" si="5"/>
        <v>0</v>
      </c>
    </row>
    <row r="216" spans="3:9" x14ac:dyDescent="0.2">
      <c r="C216" s="132" t="s">
        <v>172</v>
      </c>
      <c r="D216" s="132"/>
      <c r="E216" s="11"/>
      <c r="G216" s="11">
        <f t="shared" si="5"/>
        <v>0</v>
      </c>
    </row>
    <row r="217" spans="3:9" x14ac:dyDescent="0.2">
      <c r="C217" s="323" t="s">
        <v>726</v>
      </c>
      <c r="D217" s="132"/>
      <c r="E217" s="11"/>
      <c r="G217" s="11">
        <f t="shared" si="5"/>
        <v>0</v>
      </c>
    </row>
    <row r="218" spans="3:9" x14ac:dyDescent="0.2">
      <c r="C218" s="132" t="s">
        <v>711</v>
      </c>
      <c r="D218" s="132"/>
      <c r="E218" s="11"/>
      <c r="G218" s="11">
        <f>G158+(G136*-1)</f>
        <v>0</v>
      </c>
      <c r="I218" s="4"/>
    </row>
    <row r="219" spans="3:9" ht="6.75" customHeight="1" x14ac:dyDescent="0.2">
      <c r="C219" s="132"/>
      <c r="D219" s="132"/>
      <c r="E219" s="10"/>
      <c r="F219" s="1"/>
      <c r="G219" s="10"/>
    </row>
    <row r="220" spans="3:9" ht="13.5" thickBot="1" x14ac:dyDescent="0.25">
      <c r="C220" s="132"/>
      <c r="D220" s="132"/>
      <c r="E220" s="275">
        <f>SUM(E164:E218)</f>
        <v>0</v>
      </c>
      <c r="F220" s="1"/>
      <c r="G220" s="70">
        <f>SUM(G164:G218)</f>
        <v>0</v>
      </c>
    </row>
    <row r="221" spans="3:9" ht="18.75" customHeight="1" thickTop="1" x14ac:dyDescent="0.2">
      <c r="C221" s="132"/>
      <c r="D221" s="132"/>
      <c r="E221" s="10"/>
      <c r="F221" s="1"/>
      <c r="G221" s="10"/>
    </row>
    <row r="222" spans="3:9" x14ac:dyDescent="0.2">
      <c r="C222" s="1134" t="s">
        <v>609</v>
      </c>
      <c r="D222" s="1134"/>
      <c r="E222" t="s">
        <v>49</v>
      </c>
    </row>
    <row r="224" spans="3:9" x14ac:dyDescent="0.2">
      <c r="C224" t="s">
        <v>352</v>
      </c>
      <c r="E224" s="11">
        <f>G158+G133</f>
        <v>0</v>
      </c>
      <c r="G224" s="11"/>
    </row>
    <row r="225" spans="3:9" ht="12.75" customHeight="1" x14ac:dyDescent="0.2">
      <c r="C225" s="132" t="s">
        <v>610</v>
      </c>
      <c r="D225" s="132"/>
      <c r="E225" s="11"/>
      <c r="G225" s="11">
        <f>G154</f>
        <v>0</v>
      </c>
    </row>
    <row r="226" spans="3:9" ht="12.75" customHeight="1" x14ac:dyDescent="0.2">
      <c r="C226" s="132" t="s">
        <v>611</v>
      </c>
      <c r="D226" s="132"/>
      <c r="E226" s="11"/>
      <c r="G226" s="11">
        <f>G155</f>
        <v>0</v>
      </c>
      <c r="I226" s="1226" t="s">
        <v>638</v>
      </c>
    </row>
    <row r="227" spans="3:9" x14ac:dyDescent="0.2">
      <c r="C227" s="323" t="s">
        <v>635</v>
      </c>
      <c r="D227" s="132"/>
      <c r="E227" s="11"/>
      <c r="G227" s="11">
        <f>G156</f>
        <v>0</v>
      </c>
      <c r="I227" s="1226"/>
    </row>
    <row r="228" spans="3:9" x14ac:dyDescent="0.2">
      <c r="C228" s="323" t="s">
        <v>636</v>
      </c>
      <c r="D228" s="132"/>
      <c r="E228" s="11"/>
      <c r="G228" s="11">
        <f>G157</f>
        <v>0</v>
      </c>
    </row>
    <row r="229" spans="3:9" x14ac:dyDescent="0.2">
      <c r="C229" s="132" t="s">
        <v>732</v>
      </c>
      <c r="D229" s="132"/>
      <c r="E229" s="11"/>
      <c r="G229" s="11">
        <f>G133</f>
        <v>0</v>
      </c>
    </row>
    <row r="230" spans="3:9" ht="13.5" thickBot="1" x14ac:dyDescent="0.25">
      <c r="E230" s="58">
        <f>SUM(E224:E226)</f>
        <v>0</v>
      </c>
      <c r="G230" s="58">
        <f>SUM(G224:G229)</f>
        <v>0</v>
      </c>
    </row>
    <row r="231" spans="3:9" ht="13.5" thickTop="1" x14ac:dyDescent="0.2">
      <c r="I231" s="24"/>
    </row>
    <row r="232" spans="3:9" ht="12.75" customHeight="1" x14ac:dyDescent="0.2">
      <c r="C232" s="1019" t="s">
        <v>491</v>
      </c>
      <c r="D232" s="1019"/>
      <c r="E232" s="1019"/>
      <c r="F232" s="1019"/>
      <c r="G232" s="1019"/>
      <c r="H232" s="1019"/>
      <c r="I232" s="1019"/>
    </row>
    <row r="233" spans="3:9" x14ac:dyDescent="0.2">
      <c r="C233" s="1019"/>
      <c r="D233" s="1019"/>
      <c r="E233" s="1019"/>
      <c r="F233" s="1019"/>
      <c r="G233" s="1019"/>
      <c r="H233" s="1019"/>
      <c r="I233" s="1019"/>
    </row>
  </sheetData>
  <sheetProtection algorithmName="SHA-512" hashValue="nLLIWM8FcZSl63fZBPt/rctFJLlsL9h6iBzANyehagfFjZzagt5WsFTULBjUt60zZ9G5RZKlQO7/TvZS/sxtPA==" saltValue="34F7i/ufp/S0zaHv8QObCg==" spinCount="100000" sheet="1" objects="1" scenarios="1"/>
  <customSheetViews>
    <customSheetView guid="{D2B860EA-92EC-4999-9A59-C624E1F8C7FB}" hiddenRows="1" topLeftCell="A32">
      <selection activeCell="L24" sqref="L24"/>
      <rowBreaks count="2" manualBreakCount="2">
        <brk id="72" max="8" man="1"/>
        <brk id="158" max="8" man="1"/>
      </rowBreaks>
      <pageMargins left="0.39" right="0.4" top="0.66" bottom="0.5" header="0.5" footer="0.5"/>
      <printOptions horizontalCentered="1"/>
      <pageSetup scale="69" orientation="portrait" r:id="rId1"/>
      <headerFooter alignWithMargins="0">
        <oddHeader>&amp;REntry K.1</oddHeader>
        <oddFooter>&amp;L&amp;8&amp;D - County model&amp;R&amp;P</oddFooter>
      </headerFooter>
    </customSheetView>
    <customSheetView guid="{C1197650-3ED8-49E4-8E4C-0D1D4B503FC0}" hiddenRows="1" topLeftCell="A32">
      <selection activeCell="L24" sqref="L24"/>
      <rowBreaks count="2" manualBreakCount="2">
        <brk id="72" max="8" man="1"/>
        <brk id="158" max="8" man="1"/>
      </rowBreaks>
      <pageMargins left="0.39" right="0.4" top="0.66" bottom="0.5" header="0.5" footer="0.5"/>
      <printOptions horizontalCentered="1"/>
      <pageSetup scale="69" orientation="portrait" r:id="rId2"/>
      <headerFooter alignWithMargins="0">
        <oddHeader>&amp;REntry K.1</oddHeader>
        <oddFooter>&amp;L&amp;8&amp;D - County model&amp;R&amp;P</oddFooter>
      </headerFooter>
    </customSheetView>
  </customSheetViews>
  <mergeCells count="26">
    <mergeCell ref="C232:I233"/>
    <mergeCell ref="C136:E137"/>
    <mergeCell ref="G136:G137"/>
    <mergeCell ref="G69:I70"/>
    <mergeCell ref="C124:C125"/>
    <mergeCell ref="D124:D125"/>
    <mergeCell ref="C222:D222"/>
    <mergeCell ref="B160:I160"/>
    <mergeCell ref="B139:I140"/>
    <mergeCell ref="C133:E134"/>
    <mergeCell ref="G133:G134"/>
    <mergeCell ref="I226:I227"/>
    <mergeCell ref="I153:I157"/>
    <mergeCell ref="C34:I34"/>
    <mergeCell ref="B73:I74"/>
    <mergeCell ref="B130:I131"/>
    <mergeCell ref="C1:I1"/>
    <mergeCell ref="C39:G39"/>
    <mergeCell ref="B2:I3"/>
    <mergeCell ref="C15:I16"/>
    <mergeCell ref="C24:I25"/>
    <mergeCell ref="C27:I27"/>
    <mergeCell ref="C31:I32"/>
    <mergeCell ref="C70:D70"/>
    <mergeCell ref="B36:I37"/>
    <mergeCell ref="C28:I29"/>
  </mergeCells>
  <phoneticPr fontId="14" type="noConversion"/>
  <printOptions horizontalCentered="1"/>
  <pageMargins left="0.39" right="0.4" top="0.66" bottom="0.5" header="0.5" footer="0.5"/>
  <pageSetup scale="69" orientation="portrait" r:id="rId3"/>
  <headerFooter alignWithMargins="0">
    <oddHeader>&amp;REntry K.1</oddHeader>
    <oddFooter>&amp;L&amp;8&amp;D - County model&amp;R&amp;P</oddFooter>
  </headerFooter>
  <rowBreaks count="2" manualBreakCount="2">
    <brk id="72" max="8" man="1"/>
    <brk id="158" max="8" man="1"/>
  </rowBreaks>
  <drawing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28"/>
  <sheetViews>
    <sheetView topLeftCell="A201" workbookViewId="0"/>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26" customFormat="1" ht="15" x14ac:dyDescent="0.25">
      <c r="A1" s="156"/>
      <c r="C1" s="1227"/>
      <c r="D1" s="1227"/>
      <c r="E1" s="1228"/>
      <c r="F1" s="1228"/>
      <c r="G1" s="1228"/>
      <c r="H1" s="1228"/>
      <c r="I1" s="1228"/>
    </row>
    <row r="2" spans="1:10" s="126" customFormat="1" ht="15" customHeight="1" x14ac:dyDescent="0.25">
      <c r="A2" s="156"/>
      <c r="B2" s="1207" t="s">
        <v>109</v>
      </c>
      <c r="C2" s="1208"/>
      <c r="D2" s="1208"/>
      <c r="E2" s="1208"/>
      <c r="F2" s="1208"/>
      <c r="G2" s="1208"/>
      <c r="H2" s="1208"/>
      <c r="I2" s="1209"/>
    </row>
    <row r="3" spans="1:10" s="126" customFormat="1" ht="24" customHeight="1" x14ac:dyDescent="0.25">
      <c r="A3" s="156"/>
      <c r="B3" s="1210"/>
      <c r="C3" s="1211"/>
      <c r="D3" s="1211"/>
      <c r="E3" s="1211"/>
      <c r="F3" s="1211"/>
      <c r="G3" s="1211"/>
      <c r="H3" s="1211"/>
      <c r="I3" s="1212"/>
    </row>
    <row r="4" spans="1:10" ht="6" customHeight="1" x14ac:dyDescent="0.2">
      <c r="B4" s="1213"/>
      <c r="C4" s="1213"/>
      <c r="D4" s="1213"/>
      <c r="E4" s="1213"/>
      <c r="F4" s="1213"/>
      <c r="G4" s="1213"/>
      <c r="H4" s="1213"/>
      <c r="I4" s="1213"/>
    </row>
    <row r="5" spans="1:10" ht="12.75" customHeight="1" x14ac:dyDescent="0.2">
      <c r="C5" s="127"/>
      <c r="D5" s="127"/>
      <c r="E5" s="128"/>
      <c r="F5" s="128"/>
      <c r="G5" s="128"/>
      <c r="H5" s="128"/>
      <c r="I5" s="128"/>
    </row>
    <row r="6" spans="1:10" ht="12.75" customHeight="1" x14ac:dyDescent="0.2">
      <c r="C6" s="127"/>
      <c r="D6" s="127"/>
      <c r="E6" s="128"/>
      <c r="F6" s="128"/>
      <c r="G6" s="128"/>
      <c r="H6" s="128"/>
      <c r="I6" s="128"/>
    </row>
    <row r="7" spans="1:10" ht="12.75" customHeight="1" x14ac:dyDescent="0.2">
      <c r="C7" s="127"/>
      <c r="D7" s="127"/>
      <c r="E7" s="128"/>
      <c r="F7" s="128"/>
      <c r="G7" s="128"/>
      <c r="H7" s="128"/>
      <c r="I7" s="128"/>
    </row>
    <row r="8" spans="1:10" ht="12.75" customHeight="1" x14ac:dyDescent="0.2">
      <c r="C8" s="127"/>
      <c r="D8" s="127"/>
      <c r="E8" s="128"/>
      <c r="F8" s="128"/>
      <c r="G8" s="128"/>
      <c r="H8" s="128"/>
      <c r="I8" s="128"/>
    </row>
    <row r="9" spans="1:10" ht="12.75" customHeight="1" x14ac:dyDescent="0.2">
      <c r="C9" s="127"/>
      <c r="D9" s="127"/>
      <c r="E9" s="128"/>
      <c r="F9" s="128"/>
      <c r="G9" s="128"/>
      <c r="H9" s="128"/>
      <c r="I9" s="128"/>
    </row>
    <row r="10" spans="1:10" ht="12.75" customHeight="1" x14ac:dyDescent="0.2">
      <c r="C10" s="127"/>
      <c r="D10" s="127"/>
      <c r="E10" s="128"/>
      <c r="F10" s="128"/>
      <c r="G10" s="128"/>
      <c r="H10" s="128"/>
      <c r="I10" s="128"/>
    </row>
    <row r="11" spans="1:10" ht="12.75" customHeight="1" x14ac:dyDescent="0.2">
      <c r="C11" s="127"/>
      <c r="D11" s="127"/>
      <c r="E11" s="128"/>
      <c r="F11" s="128"/>
      <c r="G11" s="128"/>
      <c r="H11" s="128"/>
      <c r="I11" s="128"/>
    </row>
    <row r="12" spans="1:10" ht="12.75" customHeight="1" x14ac:dyDescent="0.2">
      <c r="C12" s="127"/>
      <c r="D12" s="127"/>
      <c r="E12" s="128"/>
      <c r="F12" s="128"/>
      <c r="G12" s="128"/>
      <c r="H12" s="128"/>
      <c r="I12" s="128"/>
    </row>
    <row r="13" spans="1:10" ht="12.75" customHeight="1" x14ac:dyDescent="0.2">
      <c r="C13" s="127"/>
      <c r="D13" s="127"/>
      <c r="E13" s="128"/>
      <c r="F13" s="128"/>
      <c r="G13" s="128"/>
      <c r="H13" s="128"/>
      <c r="I13" s="128"/>
    </row>
    <row r="14" spans="1:10" ht="12" customHeight="1" x14ac:dyDescent="0.2">
      <c r="B14" s="28" t="s">
        <v>513</v>
      </c>
      <c r="C14" s="1213" t="s">
        <v>710</v>
      </c>
      <c r="D14" s="1213"/>
      <c r="E14" s="1213"/>
      <c r="F14" s="1213"/>
      <c r="G14" s="1213"/>
      <c r="H14" s="1213"/>
      <c r="I14" s="1213"/>
      <c r="J14" s="127"/>
    </row>
    <row r="15" spans="1:10" ht="26.25" customHeight="1" x14ac:dyDescent="0.2">
      <c r="C15" s="1213"/>
      <c r="D15" s="1213"/>
      <c r="E15" s="1213"/>
      <c r="F15" s="1213"/>
      <c r="G15" s="1213"/>
      <c r="H15" s="1213"/>
      <c r="I15" s="1213"/>
      <c r="J15" s="127"/>
    </row>
    <row r="16" spans="1:10" ht="4.5" customHeight="1" x14ac:dyDescent="0.2"/>
    <row r="17" spans="1:9" ht="12.75" customHeight="1" x14ac:dyDescent="0.2">
      <c r="B17" s="28" t="s">
        <v>514</v>
      </c>
      <c r="C17" s="1213" t="s">
        <v>1132</v>
      </c>
      <c r="D17" s="1213"/>
      <c r="E17" s="1213"/>
      <c r="F17" s="1213"/>
      <c r="G17" s="1213"/>
      <c r="H17" s="1213"/>
      <c r="I17" s="1213"/>
    </row>
    <row r="18" spans="1:9" ht="49.5" customHeight="1" x14ac:dyDescent="0.2">
      <c r="C18" s="1213"/>
      <c r="D18" s="1213"/>
      <c r="E18" s="1213"/>
      <c r="F18" s="1213"/>
      <c r="G18" s="1213"/>
      <c r="H18" s="1213"/>
      <c r="I18" s="1213"/>
    </row>
    <row r="19" spans="1:9" ht="4.5" customHeight="1" x14ac:dyDescent="0.2"/>
    <row r="20" spans="1:9" ht="12" customHeight="1" x14ac:dyDescent="0.2">
      <c r="B20" s="28" t="s">
        <v>515</v>
      </c>
      <c r="C20" s="1106" t="s">
        <v>1074</v>
      </c>
      <c r="D20" s="1032"/>
      <c r="E20" s="1032"/>
      <c r="F20" s="1032"/>
      <c r="G20" s="1032"/>
      <c r="H20" s="1032"/>
      <c r="I20" s="1032"/>
    </row>
    <row r="21" spans="1:9" ht="12.75" hidden="1" customHeight="1" x14ac:dyDescent="0.2">
      <c r="C21" s="1032"/>
      <c r="D21" s="1032"/>
      <c r="E21" s="1032"/>
      <c r="F21" s="1032"/>
      <c r="G21" s="1032"/>
      <c r="H21" s="1032"/>
      <c r="I21" s="1032"/>
    </row>
    <row r="22" spans="1:9" ht="4.5" customHeight="1" x14ac:dyDescent="0.2"/>
    <row r="23" spans="1:9" ht="12.75" hidden="1" customHeight="1" x14ac:dyDescent="0.2">
      <c r="B23" s="28"/>
      <c r="C23" s="1032"/>
      <c r="D23" s="1032"/>
      <c r="E23" s="1032"/>
      <c r="F23" s="1032"/>
      <c r="G23" s="1032"/>
      <c r="H23" s="1032"/>
      <c r="I23" s="1032"/>
    </row>
    <row r="24" spans="1:9" ht="12.75" customHeight="1" x14ac:dyDescent="0.2">
      <c r="B24" s="28" t="s">
        <v>541</v>
      </c>
      <c r="C24" s="1106" t="s">
        <v>1133</v>
      </c>
      <c r="D24" s="1019"/>
      <c r="E24" s="1019"/>
      <c r="F24" s="1019"/>
      <c r="G24" s="1019"/>
      <c r="H24" s="1019"/>
      <c r="I24" s="1019"/>
    </row>
    <row r="25" spans="1:9" ht="12.75" customHeight="1" x14ac:dyDescent="0.2">
      <c r="B25" s="28"/>
      <c r="C25" s="1019"/>
      <c r="D25" s="1019"/>
      <c r="E25" s="1019"/>
      <c r="F25" s="1019"/>
      <c r="G25" s="1019"/>
      <c r="H25" s="1019"/>
      <c r="I25" s="1019"/>
    </row>
    <row r="26" spans="1:9" ht="4.5" customHeight="1" x14ac:dyDescent="0.2">
      <c r="B26" s="28"/>
    </row>
    <row r="27" spans="1:9" ht="12.75" customHeight="1" x14ac:dyDescent="0.2">
      <c r="B27" s="28" t="s">
        <v>542</v>
      </c>
      <c r="C27" s="1213" t="s">
        <v>778</v>
      </c>
      <c r="D27" s="1213"/>
      <c r="E27" s="1213"/>
      <c r="F27" s="1213"/>
      <c r="G27" s="1213"/>
      <c r="H27" s="1213"/>
      <c r="I27" s="1213"/>
    </row>
    <row r="28" spans="1:9" ht="26.25" customHeight="1" x14ac:dyDescent="0.2">
      <c r="B28" s="28"/>
      <c r="C28" s="1213"/>
      <c r="D28" s="1213"/>
      <c r="E28" s="1213"/>
      <c r="F28" s="1213"/>
      <c r="G28" s="1213"/>
      <c r="H28" s="1213"/>
      <c r="I28" s="1213"/>
    </row>
    <row r="29" spans="1:9" ht="15.75" customHeight="1" thickBot="1" x14ac:dyDescent="0.25"/>
    <row r="30" spans="1:9" ht="31.5" customHeight="1" thickTop="1" thickBot="1" x14ac:dyDescent="0.3">
      <c r="C30" s="1196" t="s">
        <v>485</v>
      </c>
      <c r="D30" s="1197"/>
      <c r="E30" s="1197"/>
      <c r="F30" s="1197"/>
      <c r="G30" s="1197"/>
      <c r="H30" s="1197"/>
      <c r="I30" s="1198"/>
    </row>
    <row r="31" spans="1:9" ht="19.5" customHeight="1" thickTop="1" x14ac:dyDescent="0.2"/>
    <row r="32" spans="1:9" ht="17.25" customHeight="1" x14ac:dyDescent="0.2">
      <c r="A32" s="4" t="s">
        <v>539</v>
      </c>
      <c r="B32" s="1215" t="s">
        <v>852</v>
      </c>
      <c r="C32" s="1216"/>
      <c r="D32" s="1216"/>
      <c r="E32" s="1216"/>
      <c r="F32" s="1216"/>
      <c r="G32" s="1216"/>
      <c r="H32" s="1216"/>
      <c r="I32" s="1217"/>
    </row>
    <row r="33" spans="2:13" ht="22.5" customHeight="1" x14ac:dyDescent="0.2">
      <c r="B33" s="1218"/>
      <c r="C33" s="1219"/>
      <c r="D33" s="1219"/>
      <c r="E33" s="1219"/>
      <c r="F33" s="1219"/>
      <c r="G33" s="1219"/>
      <c r="H33" s="1219"/>
      <c r="I33" s="1220"/>
    </row>
    <row r="34" spans="2:13" ht="24" customHeight="1" x14ac:dyDescent="0.2">
      <c r="C34" s="4"/>
      <c r="D34" s="4"/>
      <c r="E34" s="10"/>
      <c r="F34" s="10"/>
      <c r="G34" s="10"/>
      <c r="H34" s="10"/>
      <c r="I34" s="129"/>
    </row>
    <row r="35" spans="2:13" x14ac:dyDescent="0.2">
      <c r="C35" s="1206" t="s">
        <v>14</v>
      </c>
      <c r="D35" s="1206"/>
      <c r="E35" s="1206"/>
      <c r="F35" s="1206"/>
      <c r="G35" s="1206"/>
      <c r="H35" s="27"/>
      <c r="I35" s="27"/>
      <c r="J35" s="27"/>
      <c r="K35" s="27"/>
      <c r="L35" s="27"/>
      <c r="M35" s="27"/>
    </row>
    <row r="36" spans="2:13" x14ac:dyDescent="0.2">
      <c r="C36" s="4"/>
      <c r="D36" s="4"/>
      <c r="E36" s="84" t="s">
        <v>15</v>
      </c>
      <c r="F36" s="125"/>
      <c r="G36" s="130" t="s">
        <v>16</v>
      </c>
      <c r="H36" s="131"/>
    </row>
    <row r="37" spans="2:13" x14ac:dyDescent="0.2">
      <c r="C37" s="93" t="s">
        <v>17</v>
      </c>
      <c r="D37" s="93"/>
      <c r="E37" s="1"/>
      <c r="F37" s="10"/>
      <c r="G37" s="129"/>
      <c r="H37" s="129"/>
    </row>
    <row r="38" spans="2:13" x14ac:dyDescent="0.2">
      <c r="C38" s="132" t="s">
        <v>18</v>
      </c>
      <c r="D38" s="132"/>
      <c r="E38" s="1"/>
      <c r="F38" s="10"/>
      <c r="G38" s="129"/>
      <c r="H38" s="129"/>
    </row>
    <row r="39" spans="2:13" x14ac:dyDescent="0.2">
      <c r="C39" s="133" t="s">
        <v>189</v>
      </c>
      <c r="D39" s="133"/>
      <c r="E39" s="306">
        <v>0</v>
      </c>
      <c r="F39" s="10"/>
      <c r="G39" s="534">
        <f t="shared" ref="G39:G49" si="0">IF(E$59=0,0,ROUND(E39/E$59,4))</f>
        <v>0</v>
      </c>
      <c r="H39" s="129"/>
    </row>
    <row r="40" spans="2:13" x14ac:dyDescent="0.2">
      <c r="C40" s="133" t="s">
        <v>1017</v>
      </c>
      <c r="D40" s="133"/>
      <c r="E40" s="292">
        <v>0</v>
      </c>
      <c r="F40" s="10"/>
      <c r="G40" s="534">
        <f t="shared" si="0"/>
        <v>0</v>
      </c>
      <c r="H40" s="129"/>
    </row>
    <row r="41" spans="2:13" x14ac:dyDescent="0.2">
      <c r="C41" s="133" t="s">
        <v>989</v>
      </c>
      <c r="D41" s="133"/>
      <c r="E41" s="292">
        <v>0</v>
      </c>
      <c r="F41" s="10"/>
      <c r="G41" s="534">
        <f t="shared" si="0"/>
        <v>0</v>
      </c>
      <c r="H41" s="129"/>
    </row>
    <row r="42" spans="2:13" x14ac:dyDescent="0.2">
      <c r="C42" s="133" t="s">
        <v>816</v>
      </c>
      <c r="D42" s="133"/>
      <c r="E42" s="292">
        <v>0</v>
      </c>
      <c r="F42" s="10"/>
      <c r="G42" s="534">
        <f t="shared" si="0"/>
        <v>0</v>
      </c>
      <c r="H42" s="129"/>
    </row>
    <row r="43" spans="2:13" x14ac:dyDescent="0.2">
      <c r="C43" s="133" t="s">
        <v>805</v>
      </c>
      <c r="D43" s="133"/>
      <c r="E43" s="292">
        <v>0</v>
      </c>
      <c r="F43" s="10"/>
      <c r="G43" s="534">
        <f t="shared" si="0"/>
        <v>0</v>
      </c>
      <c r="H43" s="129"/>
    </row>
    <row r="44" spans="2:13" x14ac:dyDescent="0.2">
      <c r="C44" s="133" t="s">
        <v>307</v>
      </c>
      <c r="D44" s="133"/>
      <c r="E44" s="292">
        <v>0</v>
      </c>
      <c r="F44" s="10"/>
      <c r="G44" s="534">
        <f t="shared" si="0"/>
        <v>0</v>
      </c>
      <c r="H44" s="129"/>
    </row>
    <row r="45" spans="2:13" x14ac:dyDescent="0.2">
      <c r="C45" s="133" t="s">
        <v>19</v>
      </c>
      <c r="D45" s="133"/>
      <c r="E45" s="292">
        <v>0</v>
      </c>
      <c r="F45" s="10"/>
      <c r="G45" s="534">
        <f t="shared" si="0"/>
        <v>0</v>
      </c>
      <c r="H45" s="129"/>
    </row>
    <row r="46" spans="2:13" x14ac:dyDescent="0.2">
      <c r="C46" s="133" t="s">
        <v>172</v>
      </c>
      <c r="D46" s="133"/>
      <c r="E46" s="292">
        <v>0</v>
      </c>
      <c r="F46" s="10"/>
      <c r="G46" s="534">
        <f t="shared" si="0"/>
        <v>0</v>
      </c>
      <c r="H46" s="129"/>
    </row>
    <row r="47" spans="2:13" x14ac:dyDescent="0.2">
      <c r="C47" s="322" t="s">
        <v>726</v>
      </c>
      <c r="D47" s="133"/>
      <c r="E47" s="292">
        <v>0</v>
      </c>
      <c r="F47" s="10"/>
      <c r="G47" s="534">
        <f t="shared" si="0"/>
        <v>0</v>
      </c>
      <c r="H47" s="129"/>
    </row>
    <row r="48" spans="2:13" x14ac:dyDescent="0.2">
      <c r="C48" s="133"/>
      <c r="D48" s="133"/>
      <c r="E48" s="1"/>
      <c r="F48" s="10"/>
      <c r="G48" s="129"/>
      <c r="H48" s="129"/>
    </row>
    <row r="49" spans="3:8" ht="15" x14ac:dyDescent="0.2">
      <c r="C49" s="134" t="s">
        <v>20</v>
      </c>
      <c r="D49" s="134"/>
      <c r="E49" s="147">
        <f>+SUM(E39:E48)</f>
        <v>0</v>
      </c>
      <c r="F49" s="10"/>
      <c r="G49" s="534">
        <f t="shared" si="0"/>
        <v>0</v>
      </c>
      <c r="H49" s="148" t="s">
        <v>336</v>
      </c>
    </row>
    <row r="50" spans="3:8" x14ac:dyDescent="0.2">
      <c r="E50" s="1"/>
      <c r="F50" s="10"/>
      <c r="G50" s="135" t="s">
        <v>49</v>
      </c>
      <c r="H50" s="135"/>
    </row>
    <row r="51" spans="3:8" x14ac:dyDescent="0.2">
      <c r="C51" s="132" t="s">
        <v>21</v>
      </c>
      <c r="D51" s="132"/>
      <c r="E51" s="1"/>
      <c r="F51" s="10"/>
      <c r="G51" s="135" t="s">
        <v>49</v>
      </c>
      <c r="H51" s="135"/>
    </row>
    <row r="52" spans="3:8" x14ac:dyDescent="0.2">
      <c r="C52" s="133" t="s">
        <v>22</v>
      </c>
      <c r="D52" s="133"/>
      <c r="E52" s="306">
        <v>0</v>
      </c>
      <c r="F52" s="10"/>
      <c r="G52" s="534">
        <f>IF(E$59=0,0,ROUND(E52/E$59,4))</f>
        <v>0</v>
      </c>
      <c r="H52" s="129"/>
    </row>
    <row r="53" spans="3:8" x14ac:dyDescent="0.2">
      <c r="C53" s="133" t="s">
        <v>23</v>
      </c>
      <c r="D53" s="133"/>
      <c r="E53" s="307">
        <v>0</v>
      </c>
      <c r="F53" s="136"/>
      <c r="G53" s="534">
        <f>IF(E$59=0,0,ROUND(E53/E$59,4))</f>
        <v>0</v>
      </c>
      <c r="H53" s="129"/>
    </row>
    <row r="54" spans="3:8" x14ac:dyDescent="0.2">
      <c r="C54" s="322" t="s">
        <v>733</v>
      </c>
      <c r="D54" s="133"/>
      <c r="E54" s="307">
        <v>0</v>
      </c>
      <c r="F54" s="136"/>
      <c r="G54" s="534">
        <f>IF(E$59=0,0,ROUND(E54/E$59,4))</f>
        <v>0</v>
      </c>
      <c r="H54" s="129"/>
    </row>
    <row r="55" spans="3:8" x14ac:dyDescent="0.2">
      <c r="C55" s="322" t="s">
        <v>734</v>
      </c>
      <c r="D55" s="133"/>
      <c r="E55" s="307">
        <v>0</v>
      </c>
      <c r="F55" s="136"/>
      <c r="G55" s="534">
        <f>IF(E$59=0,0,ROUND(E55/E$59,4))</f>
        <v>0</v>
      </c>
      <c r="H55" s="129"/>
    </row>
    <row r="56" spans="3:8" x14ac:dyDescent="0.2">
      <c r="C56" s="132"/>
      <c r="D56" s="132"/>
      <c r="E56" s="1"/>
      <c r="F56" s="10"/>
      <c r="G56" s="129"/>
      <c r="H56" s="129"/>
    </row>
    <row r="57" spans="3:8" x14ac:dyDescent="0.2">
      <c r="C57" s="134" t="s">
        <v>24</v>
      </c>
      <c r="D57" s="134"/>
      <c r="E57" s="147">
        <f>+SUM(E52:E56)</f>
        <v>0</v>
      </c>
      <c r="F57" s="10"/>
      <c r="G57" s="534">
        <f>IF(E$59=0,0,ROUND(E57/E$59,4))</f>
        <v>0</v>
      </c>
      <c r="H57" s="137"/>
    </row>
    <row r="58" spans="3:8" x14ac:dyDescent="0.2">
      <c r="C58" s="133"/>
      <c r="D58" s="133"/>
      <c r="E58" s="1"/>
      <c r="F58" s="10"/>
      <c r="G58" s="129"/>
      <c r="H58" s="129"/>
    </row>
    <row r="59" spans="3:8" ht="13.5" thickBot="1" x14ac:dyDescent="0.25">
      <c r="C59" s="138" t="s">
        <v>25</v>
      </c>
      <c r="D59" s="138"/>
      <c r="E59" s="149">
        <f>+E49+E57</f>
        <v>0</v>
      </c>
      <c r="F59" s="10"/>
      <c r="G59" s="535">
        <f>G49+G57</f>
        <v>0</v>
      </c>
      <c r="H59" s="137"/>
    </row>
    <row r="60" spans="3:8" ht="13.5" thickTop="1" x14ac:dyDescent="0.2">
      <c r="C60" s="138"/>
      <c r="D60" s="138"/>
      <c r="E60" s="10"/>
      <c r="F60" s="10"/>
      <c r="G60" s="137"/>
      <c r="H60" s="137"/>
    </row>
    <row r="61" spans="3:8" x14ac:dyDescent="0.2">
      <c r="C61" s="93" t="s">
        <v>26</v>
      </c>
      <c r="D61" s="93"/>
      <c r="E61" s="301">
        <v>0</v>
      </c>
      <c r="F61" s="10"/>
      <c r="G61" s="137"/>
      <c r="H61" s="137"/>
    </row>
    <row r="62" spans="3:8" x14ac:dyDescent="0.2">
      <c r="C62" s="138"/>
      <c r="D62" s="138"/>
      <c r="E62" s="10"/>
      <c r="F62" s="10"/>
      <c r="G62" s="137"/>
      <c r="H62" s="137"/>
    </row>
    <row r="63" spans="3:8" ht="13.5" thickBot="1" x14ac:dyDescent="0.25">
      <c r="C63" s="138" t="s">
        <v>27</v>
      </c>
      <c r="D63" s="138"/>
      <c r="E63" s="149">
        <f>E59+E61</f>
        <v>0</v>
      </c>
      <c r="F63" s="10"/>
      <c r="G63" s="137"/>
      <c r="H63" s="137"/>
    </row>
    <row r="64" spans="3:8" ht="13.5" thickTop="1" x14ac:dyDescent="0.2">
      <c r="C64" s="138"/>
      <c r="D64" s="138"/>
      <c r="E64" s="1"/>
      <c r="F64" s="1"/>
      <c r="G64" s="129"/>
      <c r="H64" s="129"/>
    </row>
    <row r="65" spans="1:9" ht="15.75" customHeight="1" x14ac:dyDescent="0.2">
      <c r="C65" s="138"/>
      <c r="D65" s="138"/>
      <c r="E65" s="1"/>
      <c r="F65" s="1"/>
      <c r="G65" s="1222" t="s">
        <v>927</v>
      </c>
      <c r="H65" s="1222"/>
      <c r="I65" s="1222"/>
    </row>
    <row r="66" spans="1:9" ht="32.25" customHeight="1" x14ac:dyDescent="0.2">
      <c r="C66" s="1019" t="s">
        <v>440</v>
      </c>
      <c r="D66" s="1214"/>
      <c r="E66" s="150" t="str">
        <f>IF(G49&gt;=50%,"Governmental","Business Type")</f>
        <v>Business Type</v>
      </c>
      <c r="F66" s="188" t="s">
        <v>336</v>
      </c>
      <c r="G66" s="1222"/>
      <c r="H66" s="1222"/>
      <c r="I66" s="1222"/>
    </row>
    <row r="67" spans="1:9" ht="44.25" customHeight="1" x14ac:dyDescent="0.2">
      <c r="C67" s="24"/>
      <c r="D67" s="24"/>
      <c r="E67" s="140"/>
      <c r="F67" s="139"/>
      <c r="G67" s="129"/>
      <c r="H67" s="129"/>
    </row>
    <row r="68" spans="1:9" x14ac:dyDescent="0.2">
      <c r="E68" s="1"/>
      <c r="F68" s="1"/>
      <c r="G68" s="141"/>
      <c r="H68" s="141"/>
      <c r="I68" s="129"/>
    </row>
    <row r="69" spans="1:9" ht="17.25" customHeight="1" x14ac:dyDescent="0.2">
      <c r="A69" s="4" t="s">
        <v>540</v>
      </c>
      <c r="B69" s="1199" t="s">
        <v>1076</v>
      </c>
      <c r="C69" s="1200"/>
      <c r="D69" s="1200"/>
      <c r="E69" s="1200"/>
      <c r="F69" s="1200"/>
      <c r="G69" s="1200"/>
      <c r="H69" s="1200"/>
      <c r="I69" s="1201"/>
    </row>
    <row r="70" spans="1:9" ht="36" customHeight="1" x14ac:dyDescent="0.2">
      <c r="B70" s="1202"/>
      <c r="C70" s="1203"/>
      <c r="D70" s="1203"/>
      <c r="E70" s="1203"/>
      <c r="F70" s="1203"/>
      <c r="G70" s="1203"/>
      <c r="H70" s="1203"/>
      <c r="I70" s="1204"/>
    </row>
    <row r="71" spans="1:9" ht="3.75" customHeight="1" x14ac:dyDescent="0.2">
      <c r="E71" s="1"/>
      <c r="F71" s="1"/>
      <c r="G71" s="141"/>
      <c r="H71" s="141"/>
      <c r="I71" s="129"/>
    </row>
    <row r="72" spans="1:9" x14ac:dyDescent="0.2">
      <c r="B72" s="46" t="s">
        <v>513</v>
      </c>
      <c r="C72" s="4" t="s">
        <v>825</v>
      </c>
      <c r="E72" s="121" t="s">
        <v>509</v>
      </c>
      <c r="F72" s="125"/>
      <c r="G72" s="339" t="s">
        <v>510</v>
      </c>
      <c r="H72" s="141"/>
      <c r="I72" s="129"/>
    </row>
    <row r="73" spans="1:9" x14ac:dyDescent="0.2">
      <c r="C73" t="s">
        <v>596</v>
      </c>
      <c r="E73" s="309">
        <v>0</v>
      </c>
      <c r="F73" s="33"/>
      <c r="G73" s="146"/>
      <c r="H73" s="141"/>
      <c r="I73" s="129"/>
    </row>
    <row r="74" spans="1:9" x14ac:dyDescent="0.2">
      <c r="C74" t="s">
        <v>239</v>
      </c>
      <c r="E74" s="309">
        <v>0</v>
      </c>
      <c r="F74" s="33"/>
      <c r="G74" s="146"/>
      <c r="H74" s="141"/>
      <c r="I74" s="129"/>
    </row>
    <row r="75" spans="1:9" x14ac:dyDescent="0.2">
      <c r="C75" t="s">
        <v>53</v>
      </c>
      <c r="E75" s="309">
        <v>0</v>
      </c>
      <c r="F75" s="33"/>
      <c r="G75" s="146"/>
      <c r="H75" s="141"/>
      <c r="I75" s="129"/>
    </row>
    <row r="76" spans="1:9" x14ac:dyDescent="0.2">
      <c r="C76" t="s">
        <v>835</v>
      </c>
      <c r="E76" s="309">
        <v>0</v>
      </c>
      <c r="F76" s="33"/>
      <c r="G76" s="146"/>
      <c r="H76" s="141"/>
      <c r="I76" s="129"/>
    </row>
    <row r="77" spans="1:9" x14ac:dyDescent="0.2">
      <c r="C77" t="s">
        <v>56</v>
      </c>
      <c r="E77" s="309">
        <v>0</v>
      </c>
      <c r="F77" s="33"/>
      <c r="G77" s="146"/>
      <c r="H77" s="141"/>
      <c r="I77" s="129"/>
    </row>
    <row r="78" spans="1:9" x14ac:dyDescent="0.2">
      <c r="C78" t="s">
        <v>57</v>
      </c>
      <c r="E78" s="309">
        <v>0</v>
      </c>
      <c r="F78" s="33"/>
      <c r="G78" s="146"/>
      <c r="H78" s="141"/>
      <c r="I78" s="129"/>
    </row>
    <row r="79" spans="1:9" x14ac:dyDescent="0.2">
      <c r="C79" t="s">
        <v>811</v>
      </c>
      <c r="E79" s="309">
        <v>0</v>
      </c>
      <c r="F79" s="33"/>
      <c r="G79" s="146"/>
      <c r="H79" s="141"/>
      <c r="I79" s="129"/>
    </row>
    <row r="80" spans="1:9" x14ac:dyDescent="0.2">
      <c r="C80" t="s">
        <v>812</v>
      </c>
      <c r="E80" s="309">
        <v>0</v>
      </c>
      <c r="F80" s="33"/>
      <c r="G80" s="146"/>
      <c r="H80" s="141"/>
      <c r="I80" s="129"/>
    </row>
    <row r="81" spans="3:9" x14ac:dyDescent="0.2">
      <c r="C81" t="s">
        <v>809</v>
      </c>
      <c r="E81" s="309">
        <v>0</v>
      </c>
      <c r="F81" s="33"/>
      <c r="G81" s="146"/>
      <c r="H81" s="141"/>
      <c r="I81" s="129"/>
    </row>
    <row r="82" spans="3:9" x14ac:dyDescent="0.2">
      <c r="C82" t="s">
        <v>597</v>
      </c>
      <c r="E82" s="309">
        <v>0</v>
      </c>
      <c r="F82" s="33"/>
      <c r="G82" s="146"/>
      <c r="H82" s="141"/>
      <c r="I82" s="6" t="s">
        <v>1134</v>
      </c>
    </row>
    <row r="83" spans="3:9" x14ac:dyDescent="0.2">
      <c r="C83" s="579" t="s">
        <v>2042</v>
      </c>
      <c r="E83" s="309">
        <v>0</v>
      </c>
      <c r="F83" s="33"/>
      <c r="G83" s="146"/>
      <c r="H83" s="141"/>
      <c r="I83" s="6"/>
    </row>
    <row r="84" spans="3:9" ht="38.25" x14ac:dyDescent="0.2">
      <c r="C84" s="590" t="s">
        <v>4006</v>
      </c>
      <c r="E84" s="309">
        <v>0</v>
      </c>
      <c r="F84" s="33"/>
      <c r="G84" s="146"/>
      <c r="H84" s="141"/>
      <c r="I84" s="6"/>
    </row>
    <row r="85" spans="3:9" ht="25.5" x14ac:dyDescent="0.2">
      <c r="C85" s="590" t="s">
        <v>4015</v>
      </c>
      <c r="E85" s="309">
        <v>0</v>
      </c>
      <c r="F85" s="33"/>
      <c r="G85" s="146"/>
      <c r="H85" s="141"/>
      <c r="I85" s="6"/>
    </row>
    <row r="86" spans="3:9" x14ac:dyDescent="0.2">
      <c r="C86" s="579" t="s">
        <v>4016</v>
      </c>
      <c r="E86" s="309">
        <v>0</v>
      </c>
      <c r="F86" s="33"/>
      <c r="G86" s="146"/>
      <c r="H86" s="141"/>
      <c r="I86" s="6"/>
    </row>
    <row r="87" spans="3:9" ht="25.9" customHeight="1" x14ac:dyDescent="0.2">
      <c r="C87" s="613" t="s">
        <v>4018</v>
      </c>
      <c r="E87" s="309">
        <v>0</v>
      </c>
      <c r="F87" s="33"/>
      <c r="G87" s="146"/>
      <c r="H87" s="141"/>
      <c r="I87" s="6"/>
    </row>
    <row r="88" spans="3:9" x14ac:dyDescent="0.2">
      <c r="C88" s="579" t="s">
        <v>3975</v>
      </c>
      <c r="E88" s="309">
        <v>0</v>
      </c>
      <c r="F88" s="33"/>
      <c r="G88" s="146"/>
      <c r="H88" s="141"/>
      <c r="I88" s="6"/>
    </row>
    <row r="89" spans="3:9" ht="25.5" x14ac:dyDescent="0.2">
      <c r="C89" s="590" t="s">
        <v>4014</v>
      </c>
      <c r="E89" s="308">
        <v>0</v>
      </c>
      <c r="F89" s="33"/>
      <c r="G89" s="146"/>
      <c r="H89" s="141"/>
      <c r="I89" s="6"/>
    </row>
    <row r="90" spans="3:9" x14ac:dyDescent="0.2">
      <c r="C90" s="579" t="s">
        <v>4023</v>
      </c>
      <c r="E90" s="308">
        <v>0</v>
      </c>
      <c r="F90" s="33"/>
      <c r="G90" s="146"/>
      <c r="H90" s="141"/>
      <c r="I90" s="6"/>
    </row>
    <row r="91" spans="3:9" ht="42" customHeight="1" x14ac:dyDescent="0.2">
      <c r="C91" s="613" t="s">
        <v>4022</v>
      </c>
      <c r="E91" s="308">
        <v>0</v>
      </c>
      <c r="F91" s="33"/>
      <c r="G91" s="146"/>
      <c r="H91" s="141"/>
      <c r="I91" s="6"/>
    </row>
    <row r="92" spans="3:9" x14ac:dyDescent="0.2">
      <c r="C92" t="s">
        <v>598</v>
      </c>
      <c r="E92" s="145"/>
      <c r="F92" s="33"/>
      <c r="G92" s="309">
        <v>0</v>
      </c>
      <c r="H92" s="141"/>
      <c r="I92" s="129"/>
    </row>
    <row r="93" spans="3:9" x14ac:dyDescent="0.2">
      <c r="C93" t="s">
        <v>599</v>
      </c>
      <c r="E93" s="145"/>
      <c r="F93" s="33"/>
      <c r="G93" s="309">
        <v>0</v>
      </c>
      <c r="H93" s="141"/>
      <c r="I93" s="129"/>
    </row>
    <row r="94" spans="3:9" x14ac:dyDescent="0.2">
      <c r="C94" t="s">
        <v>600</v>
      </c>
      <c r="E94" s="145"/>
      <c r="F94" s="33"/>
      <c r="G94" s="309">
        <v>0</v>
      </c>
      <c r="H94" s="141"/>
      <c r="I94" s="129"/>
    </row>
    <row r="95" spans="3:9" x14ac:dyDescent="0.2">
      <c r="C95" t="s">
        <v>601</v>
      </c>
      <c r="E95" s="33"/>
      <c r="F95" s="33"/>
      <c r="G95" s="309">
        <v>0</v>
      </c>
      <c r="H95" s="141"/>
      <c r="I95" s="129"/>
    </row>
    <row r="96" spans="3:9" x14ac:dyDescent="0.2">
      <c r="C96" s="132" t="s">
        <v>58</v>
      </c>
      <c r="E96" s="33"/>
      <c r="F96" s="33"/>
      <c r="G96" s="309">
        <v>0</v>
      </c>
      <c r="H96" s="141"/>
      <c r="I96" s="129"/>
    </row>
    <row r="97" spans="2:9" x14ac:dyDescent="0.2">
      <c r="C97" s="132" t="s">
        <v>834</v>
      </c>
      <c r="E97" s="33"/>
      <c r="F97" s="33"/>
      <c r="G97" s="309">
        <v>0</v>
      </c>
      <c r="H97" s="141"/>
      <c r="I97" s="129"/>
    </row>
    <row r="98" spans="2:9" x14ac:dyDescent="0.2">
      <c r="C98" t="s">
        <v>916</v>
      </c>
      <c r="E98" s="33"/>
      <c r="F98" s="33"/>
      <c r="G98" s="309">
        <v>0</v>
      </c>
      <c r="H98" s="141"/>
      <c r="I98" s="129"/>
    </row>
    <row r="99" spans="2:9" x14ac:dyDescent="0.2">
      <c r="C99" t="s">
        <v>917</v>
      </c>
      <c r="E99" s="33"/>
      <c r="F99" s="33"/>
      <c r="G99" s="309">
        <v>0</v>
      </c>
      <c r="H99" s="141"/>
      <c r="I99" s="129"/>
    </row>
    <row r="100" spans="2:9" x14ac:dyDescent="0.2">
      <c r="C100" t="s">
        <v>370</v>
      </c>
      <c r="E100" s="33"/>
      <c r="F100" s="33"/>
      <c r="G100" s="309">
        <v>0</v>
      </c>
      <c r="H100" s="141"/>
      <c r="I100" s="129"/>
    </row>
    <row r="101" spans="2:9" x14ac:dyDescent="0.2">
      <c r="C101" t="s">
        <v>918</v>
      </c>
      <c r="E101" s="33"/>
      <c r="F101" s="33"/>
      <c r="G101" s="309">
        <v>0</v>
      </c>
      <c r="H101" s="141"/>
      <c r="I101" s="129"/>
    </row>
    <row r="102" spans="2:9" ht="51" x14ac:dyDescent="0.2">
      <c r="C102" s="611" t="s">
        <v>4006</v>
      </c>
      <c r="E102" s="33"/>
      <c r="F102" s="33"/>
      <c r="G102" s="309">
        <v>0</v>
      </c>
      <c r="H102" s="141"/>
      <c r="I102" s="129"/>
    </row>
    <row r="103" spans="2:9" ht="25.5" x14ac:dyDescent="0.2">
      <c r="C103" s="611" t="s">
        <v>4015</v>
      </c>
      <c r="E103" s="33"/>
      <c r="F103" s="33"/>
      <c r="G103" s="309">
        <v>0</v>
      </c>
      <c r="H103" s="141"/>
      <c r="I103" s="129"/>
    </row>
    <row r="104" spans="2:9" x14ac:dyDescent="0.2">
      <c r="C104" s="612" t="s">
        <v>4016</v>
      </c>
      <c r="E104" s="33"/>
      <c r="F104" s="33"/>
      <c r="G104" s="309">
        <v>0</v>
      </c>
      <c r="H104" s="141"/>
      <c r="I104" s="129"/>
    </row>
    <row r="105" spans="2:9" ht="38.25" x14ac:dyDescent="0.2">
      <c r="C105" s="611" t="s">
        <v>4018</v>
      </c>
      <c r="E105" s="33"/>
      <c r="F105" s="33"/>
      <c r="G105" s="309">
        <v>0</v>
      </c>
      <c r="H105" s="141"/>
      <c r="I105" s="129"/>
    </row>
    <row r="106" spans="2:9" ht="25.5" x14ac:dyDescent="0.2">
      <c r="C106" s="611" t="s">
        <v>4014</v>
      </c>
      <c r="E106" s="33"/>
      <c r="F106" s="33"/>
      <c r="G106" s="308">
        <v>0</v>
      </c>
      <c r="H106" s="141"/>
      <c r="I106" s="129"/>
    </row>
    <row r="107" spans="2:9" x14ac:dyDescent="0.2">
      <c r="C107" s="612" t="s">
        <v>4017</v>
      </c>
      <c r="E107" s="33"/>
      <c r="F107" s="33"/>
      <c r="G107" s="308">
        <v>0</v>
      </c>
      <c r="H107" s="141"/>
      <c r="I107" s="129"/>
    </row>
    <row r="108" spans="2:9" ht="25.5" x14ac:dyDescent="0.2">
      <c r="C108" s="611" t="s">
        <v>4022</v>
      </c>
      <c r="E108" s="33"/>
      <c r="F108" s="33"/>
      <c r="G108" s="308">
        <v>0</v>
      </c>
      <c r="H108" s="141"/>
      <c r="I108" s="129"/>
    </row>
    <row r="109" spans="2:9" x14ac:dyDescent="0.2">
      <c r="C109" s="158" t="s">
        <v>1077</v>
      </c>
      <c r="E109" s="71"/>
      <c r="F109" s="71"/>
      <c r="G109" s="292">
        <v>0</v>
      </c>
      <c r="H109" s="141"/>
      <c r="I109" s="185" t="s">
        <v>713</v>
      </c>
    </row>
    <row r="110" spans="2:9" ht="7.5" customHeight="1" x14ac:dyDescent="0.2">
      <c r="E110" s="71"/>
      <c r="F110" s="71"/>
      <c r="G110" s="71"/>
      <c r="H110" s="141"/>
      <c r="I110" s="129"/>
    </row>
    <row r="111" spans="2:9" ht="12.75" customHeight="1" x14ac:dyDescent="0.2">
      <c r="B111" s="46" t="s">
        <v>514</v>
      </c>
      <c r="C111" s="4" t="s">
        <v>826</v>
      </c>
      <c r="E111" s="71"/>
      <c r="F111" s="71"/>
      <c r="G111" s="71"/>
      <c r="H111" s="141"/>
      <c r="I111" s="129"/>
    </row>
    <row r="112" spans="2:9" x14ac:dyDescent="0.2">
      <c r="C112" s="132" t="s">
        <v>886</v>
      </c>
      <c r="D112" s="132"/>
      <c r="F112" s="1"/>
      <c r="G112" s="292">
        <v>0</v>
      </c>
      <c r="H112" s="1"/>
      <c r="I112" s="152"/>
    </row>
    <row r="113" spans="1:9" ht="12.75" customHeight="1" x14ac:dyDescent="0.2">
      <c r="C113" s="132" t="s">
        <v>827</v>
      </c>
      <c r="D113" s="132"/>
      <c r="E113" s="292">
        <v>0</v>
      </c>
      <c r="F113" s="1"/>
      <c r="H113" s="1"/>
      <c r="I113" s="152" t="s">
        <v>712</v>
      </c>
    </row>
    <row r="114" spans="1:9" x14ac:dyDescent="0.2">
      <c r="C114" s="132" t="s">
        <v>145</v>
      </c>
      <c r="D114" s="132"/>
      <c r="E114" s="292">
        <v>0</v>
      </c>
      <c r="F114" s="1"/>
      <c r="H114" s="1"/>
      <c r="I114" s="152" t="s">
        <v>1079</v>
      </c>
    </row>
    <row r="115" spans="1:9" x14ac:dyDescent="0.2">
      <c r="C115" s="132" t="s">
        <v>144</v>
      </c>
      <c r="D115" s="132"/>
      <c r="F115" s="1"/>
      <c r="G115" s="292">
        <v>0</v>
      </c>
      <c r="H115" s="1"/>
      <c r="I115" s="152"/>
    </row>
    <row r="116" spans="1:9" x14ac:dyDescent="0.2">
      <c r="C116" s="132" t="s">
        <v>612</v>
      </c>
      <c r="D116" s="132"/>
      <c r="F116" s="1"/>
      <c r="G116" s="292">
        <v>0</v>
      </c>
      <c r="H116" s="1"/>
      <c r="I116" s="153" t="s">
        <v>564</v>
      </c>
    </row>
    <row r="117" spans="1:9" ht="22.5" x14ac:dyDescent="0.2">
      <c r="C117" s="132" t="s">
        <v>28</v>
      </c>
      <c r="D117" s="132"/>
      <c r="E117" s="292">
        <v>0</v>
      </c>
      <c r="F117" s="1"/>
      <c r="H117" s="1"/>
      <c r="I117" s="151" t="s">
        <v>592</v>
      </c>
    </row>
    <row r="118" spans="1:9" x14ac:dyDescent="0.2">
      <c r="B118" s="28"/>
      <c r="C118" s="132"/>
      <c r="D118" s="132"/>
      <c r="F118" s="1"/>
      <c r="G118" s="1"/>
      <c r="H118" s="1"/>
      <c r="I118" s="1"/>
    </row>
    <row r="119" spans="1:9" ht="23.25" customHeight="1" x14ac:dyDescent="0.2">
      <c r="B119" s="46" t="s">
        <v>515</v>
      </c>
      <c r="C119" s="1223" t="s">
        <v>1080</v>
      </c>
      <c r="D119" s="1229">
        <v>0</v>
      </c>
      <c r="F119" s="1"/>
      <c r="H119" s="1"/>
      <c r="I119" s="152" t="s">
        <v>1081</v>
      </c>
    </row>
    <row r="120" spans="1:9" ht="21.75" customHeight="1" x14ac:dyDescent="0.2">
      <c r="B120" s="46"/>
      <c r="C120" s="1224"/>
      <c r="D120" s="1229"/>
      <c r="F120" s="1"/>
      <c r="H120" s="1"/>
      <c r="I120" s="152"/>
    </row>
    <row r="121" spans="1:9" x14ac:dyDescent="0.2">
      <c r="B121" s="28"/>
      <c r="C121" s="182" t="s">
        <v>1003</v>
      </c>
      <c r="D121" s="183">
        <f>G112-E113-E114+G115+G116-E117</f>
        <v>0</v>
      </c>
      <c r="F121" s="1"/>
      <c r="G121" s="1"/>
      <c r="H121" s="1"/>
      <c r="I121" s="1"/>
    </row>
    <row r="122" spans="1:9" ht="36" customHeight="1" thickBot="1" x14ac:dyDescent="0.25">
      <c r="C122" s="133" t="s">
        <v>1004</v>
      </c>
      <c r="D122" s="277">
        <f>D119-D121</f>
        <v>0</v>
      </c>
      <c r="E122" s="8"/>
      <c r="F122" s="184"/>
      <c r="G122" s="168">
        <f>D122</f>
        <v>0</v>
      </c>
      <c r="H122" s="1"/>
      <c r="I122" s="189" t="s">
        <v>350</v>
      </c>
    </row>
    <row r="123" spans="1:9" ht="18.75" customHeight="1" thickTop="1" thickBot="1" x14ac:dyDescent="0.25">
      <c r="C123" s="133"/>
      <c r="D123" s="133"/>
      <c r="E123" s="186">
        <f>SUM(E73:E122)</f>
        <v>0</v>
      </c>
      <c r="F123" s="1"/>
      <c r="G123" s="70">
        <f>SUM(G92:G122)</f>
        <v>0</v>
      </c>
      <c r="H123" s="1"/>
      <c r="I123" s="190" t="s">
        <v>351</v>
      </c>
    </row>
    <row r="124" spans="1:9" ht="18.75" customHeight="1" thickTop="1" x14ac:dyDescent="0.2">
      <c r="C124" s="133"/>
      <c r="D124" s="133"/>
      <c r="F124" s="1"/>
      <c r="G124" s="1"/>
      <c r="H124" s="1"/>
      <c r="I124" s="1"/>
    </row>
    <row r="125" spans="1:9" ht="15" customHeight="1" x14ac:dyDescent="0.2">
      <c r="A125" s="4" t="s">
        <v>801</v>
      </c>
      <c r="B125" s="1199" t="s">
        <v>1082</v>
      </c>
      <c r="C125" s="1200"/>
      <c r="D125" s="1200"/>
      <c r="E125" s="1200"/>
      <c r="F125" s="1200"/>
      <c r="G125" s="1200"/>
      <c r="H125" s="1200"/>
      <c r="I125" s="1201"/>
    </row>
    <row r="126" spans="1:9" ht="25.5" customHeight="1" x14ac:dyDescent="0.2">
      <c r="B126" s="1202"/>
      <c r="C126" s="1203"/>
      <c r="D126" s="1203"/>
      <c r="E126" s="1203"/>
      <c r="F126" s="1203"/>
      <c r="G126" s="1203"/>
      <c r="H126" s="1203"/>
      <c r="I126" s="1204"/>
    </row>
    <row r="127" spans="1:9" x14ac:dyDescent="0.2">
      <c r="E127" s="1"/>
      <c r="F127" s="1"/>
      <c r="G127" s="141"/>
      <c r="H127" s="141"/>
      <c r="I127" s="129"/>
    </row>
    <row r="128" spans="1:9" ht="12.75" customHeight="1" x14ac:dyDescent="0.2">
      <c r="B128" s="28" t="s">
        <v>513</v>
      </c>
      <c r="C128" s="1019" t="s">
        <v>520</v>
      </c>
      <c r="D128" s="1019"/>
      <c r="E128" s="1019"/>
      <c r="F128" s="1"/>
      <c r="G128" s="1221"/>
      <c r="H128" s="141"/>
      <c r="I128" s="129"/>
    </row>
    <row r="129" spans="1:12" ht="46.5" customHeight="1" x14ac:dyDescent="0.2">
      <c r="C129" s="1019"/>
      <c r="D129" s="1019"/>
      <c r="E129" s="1019"/>
      <c r="F129" s="1"/>
      <c r="G129" s="1221"/>
      <c r="H129" s="141"/>
      <c r="I129" s="129"/>
    </row>
    <row r="130" spans="1:12" x14ac:dyDescent="0.2">
      <c r="E130" s="1"/>
      <c r="F130" s="1"/>
      <c r="G130" s="141"/>
      <c r="H130" s="141"/>
      <c r="I130" s="155" t="s">
        <v>919</v>
      </c>
    </row>
    <row r="131" spans="1:12" x14ac:dyDescent="0.2">
      <c r="B131" s="28" t="s">
        <v>514</v>
      </c>
      <c r="C131" s="1019" t="s">
        <v>188</v>
      </c>
      <c r="D131" s="1019"/>
      <c r="E131" s="1019"/>
      <c r="F131" s="1"/>
      <c r="G131" s="1221"/>
      <c r="H131" s="141"/>
      <c r="I131" s="129"/>
    </row>
    <row r="132" spans="1:12" ht="45" customHeight="1" x14ac:dyDescent="0.2">
      <c r="C132" s="1019"/>
      <c r="D132" s="1019"/>
      <c r="E132" s="1019"/>
      <c r="F132" s="1"/>
      <c r="G132" s="1221"/>
      <c r="H132" s="141"/>
      <c r="I132" s="129"/>
    </row>
    <row r="133" spans="1:12" x14ac:dyDescent="0.2">
      <c r="E133" s="1"/>
      <c r="F133" s="1"/>
      <c r="G133" s="141"/>
      <c r="H133" s="141"/>
      <c r="I133" s="129"/>
    </row>
    <row r="134" spans="1:12" ht="13.5" customHeight="1" x14ac:dyDescent="0.2">
      <c r="A134" s="4" t="s">
        <v>807</v>
      </c>
      <c r="B134" s="1215" t="s">
        <v>504</v>
      </c>
      <c r="C134" s="1216"/>
      <c r="D134" s="1216"/>
      <c r="E134" s="1216"/>
      <c r="F134" s="1216"/>
      <c r="G134" s="1216"/>
      <c r="H134" s="1216"/>
      <c r="I134" s="1217"/>
      <c r="J134" s="1"/>
      <c r="K134" s="1"/>
      <c r="L134" s="1"/>
    </row>
    <row r="135" spans="1:12" ht="12" customHeight="1" x14ac:dyDescent="0.2">
      <c r="B135" s="1218"/>
      <c r="C135" s="1219"/>
      <c r="D135" s="1219"/>
      <c r="E135" s="1219"/>
      <c r="F135" s="1219"/>
      <c r="G135" s="1219"/>
      <c r="H135" s="1219"/>
      <c r="I135" s="1220"/>
      <c r="J135" s="1"/>
      <c r="K135" s="1"/>
      <c r="L135" s="1"/>
    </row>
    <row r="136" spans="1:12" ht="5.25" customHeight="1" x14ac:dyDescent="0.2">
      <c r="C136" s="143"/>
      <c r="D136" s="143"/>
      <c r="E136" s="128"/>
      <c r="F136" s="128"/>
      <c r="G136" s="128"/>
      <c r="H136" s="128"/>
      <c r="I136" s="128"/>
      <c r="J136" s="1"/>
      <c r="K136" s="1"/>
      <c r="L136" s="1"/>
    </row>
    <row r="137" spans="1:12" ht="37.5" customHeight="1" x14ac:dyDescent="0.2">
      <c r="C137" s="157" t="s">
        <v>833</v>
      </c>
      <c r="D137" s="157"/>
      <c r="E137" s="144" t="s">
        <v>593</v>
      </c>
      <c r="F137" s="142"/>
      <c r="G137" s="144" t="s">
        <v>594</v>
      </c>
      <c r="H137" s="142"/>
      <c r="I137" s="128"/>
      <c r="J137" s="1"/>
      <c r="K137" s="1"/>
      <c r="L137" s="1"/>
    </row>
    <row r="138" spans="1:12" x14ac:dyDescent="0.2">
      <c r="E138" s="1"/>
      <c r="F138" s="10"/>
      <c r="G138" s="1"/>
      <c r="H138" s="1"/>
      <c r="I138" s="1"/>
      <c r="J138" s="1"/>
      <c r="K138" s="1"/>
      <c r="L138" s="1"/>
    </row>
    <row r="139" spans="1:12" x14ac:dyDescent="0.2">
      <c r="C139" t="str">
        <f>+$C39</f>
        <v>General government</v>
      </c>
      <c r="E139" s="236">
        <f t="shared" ref="E139:E147" si="1">D$122*G39</f>
        <v>0</v>
      </c>
      <c r="F139" s="1"/>
      <c r="G139" s="1"/>
      <c r="H139" s="1"/>
      <c r="I139" s="1"/>
      <c r="J139" s="1"/>
      <c r="K139" s="1"/>
      <c r="L139" s="1"/>
    </row>
    <row r="140" spans="1:12" x14ac:dyDescent="0.2">
      <c r="C140" t="str">
        <f>+C40</f>
        <v>Public safety</v>
      </c>
      <c r="E140" s="236">
        <f t="shared" si="1"/>
        <v>0</v>
      </c>
      <c r="F140" s="1"/>
      <c r="G140" s="1"/>
      <c r="H140" s="1"/>
      <c r="I140" s="1"/>
      <c r="J140" s="1"/>
      <c r="K140" s="1"/>
      <c r="L140" s="1"/>
    </row>
    <row r="141" spans="1:12" x14ac:dyDescent="0.2">
      <c r="C141" t="str">
        <f>+C41</f>
        <v>Transportation</v>
      </c>
      <c r="E141" s="236">
        <f t="shared" si="1"/>
        <v>0</v>
      </c>
      <c r="F141" s="1"/>
      <c r="G141" s="1"/>
      <c r="H141" s="1"/>
      <c r="I141" s="1"/>
      <c r="J141" s="1"/>
      <c r="K141" s="1"/>
      <c r="L141" s="1"/>
    </row>
    <row r="142" spans="1:12" x14ac:dyDescent="0.2">
      <c r="C142" t="s">
        <v>816</v>
      </c>
      <c r="E142" s="236">
        <f t="shared" si="1"/>
        <v>0</v>
      </c>
      <c r="F142" s="1"/>
      <c r="G142" s="1"/>
      <c r="H142" s="1"/>
      <c r="I142" s="1"/>
      <c r="J142" s="1"/>
      <c r="K142" s="1"/>
      <c r="L142" s="1"/>
    </row>
    <row r="143" spans="1:12" x14ac:dyDescent="0.2">
      <c r="C143" t="s">
        <v>805</v>
      </c>
      <c r="E143" s="236">
        <f t="shared" si="1"/>
        <v>0</v>
      </c>
      <c r="F143" s="1"/>
      <c r="G143" s="1"/>
      <c r="H143" s="1"/>
      <c r="I143" s="1"/>
      <c r="J143" s="1"/>
      <c r="K143" s="1"/>
      <c r="L143" s="1"/>
    </row>
    <row r="144" spans="1:12" x14ac:dyDescent="0.2">
      <c r="C144" t="s">
        <v>307</v>
      </c>
      <c r="E144" s="236">
        <f t="shared" si="1"/>
        <v>0</v>
      </c>
      <c r="F144" s="1"/>
      <c r="G144" s="1"/>
      <c r="H144" s="1"/>
      <c r="I144" s="1"/>
      <c r="J144" s="1"/>
      <c r="K144" s="1"/>
      <c r="L144" s="1"/>
    </row>
    <row r="145" spans="1:12" x14ac:dyDescent="0.2">
      <c r="C145" t="s">
        <v>19</v>
      </c>
      <c r="E145" s="236">
        <f t="shared" si="1"/>
        <v>0</v>
      </c>
      <c r="F145" s="1"/>
      <c r="G145" s="1"/>
      <c r="H145" s="1"/>
      <c r="I145" s="6"/>
      <c r="J145" s="1"/>
      <c r="K145" s="1"/>
      <c r="L145" s="1"/>
    </row>
    <row r="146" spans="1:12" x14ac:dyDescent="0.2">
      <c r="C146" t="s">
        <v>172</v>
      </c>
      <c r="E146" s="236">
        <f t="shared" si="1"/>
        <v>0</v>
      </c>
      <c r="F146" s="1"/>
      <c r="G146" s="1"/>
      <c r="H146" s="1"/>
      <c r="I146" s="187"/>
      <c r="J146" s="1"/>
      <c r="K146" s="1"/>
      <c r="L146" s="1"/>
    </row>
    <row r="147" spans="1:12" ht="12.75" customHeight="1" x14ac:dyDescent="0.2">
      <c r="C147" s="280" t="s">
        <v>726</v>
      </c>
      <c r="E147" s="236">
        <f t="shared" si="1"/>
        <v>0</v>
      </c>
      <c r="F147" s="1"/>
      <c r="G147" s="1"/>
      <c r="H147" s="1"/>
      <c r="J147" s="1"/>
      <c r="K147" s="1"/>
      <c r="L147" s="1"/>
    </row>
    <row r="148" spans="1:12" x14ac:dyDescent="0.2">
      <c r="E148" s="1"/>
      <c r="F148" s="1"/>
      <c r="G148" s="1"/>
      <c r="H148" s="1"/>
      <c r="I148" s="1153" t="s">
        <v>187</v>
      </c>
      <c r="J148" s="1"/>
      <c r="K148" s="1"/>
      <c r="L148" s="1"/>
    </row>
    <row r="149" spans="1:12" ht="12" customHeight="1" x14ac:dyDescent="0.2">
      <c r="C149" t="str">
        <f>+C52</f>
        <v>Water and sewer</v>
      </c>
      <c r="E149" s="1"/>
      <c r="F149" s="1"/>
      <c r="G149" s="236">
        <f>D$122*G52</f>
        <v>0</v>
      </c>
      <c r="H149" s="1"/>
      <c r="I149" s="1153"/>
      <c r="J149" s="1"/>
      <c r="K149" s="1"/>
      <c r="L149" s="1"/>
    </row>
    <row r="150" spans="1:12" x14ac:dyDescent="0.2">
      <c r="C150" t="str">
        <f>+C53</f>
        <v>Electric</v>
      </c>
      <c r="E150" s="1"/>
      <c r="F150" s="1"/>
      <c r="G150" s="236">
        <f>D$122*G53</f>
        <v>0</v>
      </c>
      <c r="H150" s="1"/>
      <c r="I150" s="1153"/>
      <c r="J150" s="1"/>
      <c r="K150" s="1"/>
      <c r="L150" s="1"/>
    </row>
    <row r="151" spans="1:12" x14ac:dyDescent="0.2">
      <c r="C151" s="280" t="s">
        <v>735</v>
      </c>
      <c r="E151" s="1"/>
      <c r="F151" s="1"/>
      <c r="G151" s="236">
        <f>D$122*G54</f>
        <v>0</v>
      </c>
      <c r="H151" s="1"/>
      <c r="I151" s="1153"/>
      <c r="J151" s="1"/>
      <c r="K151" s="1"/>
      <c r="L151" s="1"/>
    </row>
    <row r="152" spans="1:12" x14ac:dyDescent="0.2">
      <c r="C152" s="280" t="s">
        <v>736</v>
      </c>
      <c r="E152" s="1"/>
      <c r="F152" s="1"/>
      <c r="G152" s="236">
        <f>D$122*G55</f>
        <v>0</v>
      </c>
      <c r="H152" s="1"/>
      <c r="I152" s="1153"/>
      <c r="J152" s="1"/>
      <c r="K152" s="1"/>
      <c r="L152" s="1"/>
    </row>
    <row r="153" spans="1:12" ht="13.5" thickBot="1" x14ac:dyDescent="0.25">
      <c r="C153" s="132" t="s">
        <v>595</v>
      </c>
      <c r="D153" s="132"/>
      <c r="E153" s="70">
        <f>SUM(E139:E152)</f>
        <v>0</v>
      </c>
      <c r="F153" s="1"/>
      <c r="G153" s="70">
        <f>SUM(G149:G152)</f>
        <v>0</v>
      </c>
      <c r="H153" s="191" t="s">
        <v>512</v>
      </c>
      <c r="I153" s="70">
        <f>SUM(E153:G153)</f>
        <v>0</v>
      </c>
      <c r="J153" s="1"/>
      <c r="K153" s="1"/>
      <c r="L153" s="1"/>
    </row>
    <row r="154" spans="1:12" ht="13.5" thickTop="1" x14ac:dyDescent="0.2">
      <c r="E154" s="1"/>
      <c r="F154" s="1"/>
      <c r="G154" s="1"/>
      <c r="H154" s="1"/>
      <c r="I154" s="129"/>
    </row>
    <row r="155" spans="1:12" ht="25.5" customHeight="1" x14ac:dyDescent="0.2">
      <c r="A155" s="4" t="s">
        <v>823</v>
      </c>
      <c r="B155" s="1107" t="s">
        <v>1023</v>
      </c>
      <c r="C155" s="1108"/>
      <c r="D155" s="1108"/>
      <c r="E155" s="1108"/>
      <c r="F155" s="1108"/>
      <c r="G155" s="1108"/>
      <c r="H155" s="1108"/>
      <c r="I155" s="1109"/>
    </row>
    <row r="156" spans="1:12" ht="12.75" customHeight="1" x14ac:dyDescent="0.2">
      <c r="E156" s="1"/>
      <c r="F156" s="1"/>
      <c r="G156" s="1"/>
      <c r="H156" s="1"/>
      <c r="I156" s="129"/>
    </row>
    <row r="157" spans="1:12" x14ac:dyDescent="0.2">
      <c r="E157" s="3" t="s">
        <v>509</v>
      </c>
      <c r="F157" s="33"/>
      <c r="G157" s="3" t="s">
        <v>510</v>
      </c>
      <c r="H157" s="33"/>
    </row>
    <row r="158" spans="1:12" x14ac:dyDescent="0.2">
      <c r="E158" s="174"/>
      <c r="F158" s="33"/>
      <c r="G158" s="178"/>
      <c r="H158" s="33"/>
      <c r="I158" s="154"/>
    </row>
    <row r="159" spans="1:12" x14ac:dyDescent="0.2">
      <c r="A159" s="158" t="s">
        <v>565</v>
      </c>
      <c r="C159" t="s">
        <v>596</v>
      </c>
      <c r="E159" s="62">
        <f t="shared" ref="E159:E177" si="2">E73</f>
        <v>0</v>
      </c>
      <c r="G159" s="57"/>
    </row>
    <row r="160" spans="1:12" x14ac:dyDescent="0.2">
      <c r="C160" t="s">
        <v>239</v>
      </c>
      <c r="E160" s="62">
        <f t="shared" si="2"/>
        <v>0</v>
      </c>
      <c r="G160" s="57"/>
    </row>
    <row r="161" spans="3:9" x14ac:dyDescent="0.2">
      <c r="C161" t="s">
        <v>53</v>
      </c>
      <c r="E161" s="62">
        <f t="shared" si="2"/>
        <v>0</v>
      </c>
      <c r="G161" s="57"/>
    </row>
    <row r="162" spans="3:9" x14ac:dyDescent="0.2">
      <c r="C162" t="s">
        <v>835</v>
      </c>
      <c r="E162" s="62">
        <f t="shared" si="2"/>
        <v>0</v>
      </c>
      <c r="G162" s="57"/>
    </row>
    <row r="163" spans="3:9" x14ac:dyDescent="0.2">
      <c r="C163" t="s">
        <v>56</v>
      </c>
      <c r="E163" s="62">
        <f t="shared" si="2"/>
        <v>0</v>
      </c>
      <c r="G163" s="57"/>
    </row>
    <row r="164" spans="3:9" x14ac:dyDescent="0.2">
      <c r="C164" t="s">
        <v>57</v>
      </c>
      <c r="E164" s="62">
        <f t="shared" si="2"/>
        <v>0</v>
      </c>
      <c r="G164" s="57"/>
    </row>
    <row r="165" spans="3:9" x14ac:dyDescent="0.2">
      <c r="C165" t="s">
        <v>811</v>
      </c>
      <c r="E165" s="62">
        <f t="shared" si="2"/>
        <v>0</v>
      </c>
      <c r="G165" s="57"/>
    </row>
    <row r="166" spans="3:9" x14ac:dyDescent="0.2">
      <c r="C166" t="s">
        <v>812</v>
      </c>
      <c r="E166" s="62">
        <f t="shared" si="2"/>
        <v>0</v>
      </c>
      <c r="G166" s="57"/>
    </row>
    <row r="167" spans="3:9" x14ac:dyDescent="0.2">
      <c r="C167" t="s">
        <v>809</v>
      </c>
      <c r="E167" s="62">
        <f t="shared" si="2"/>
        <v>0</v>
      </c>
      <c r="G167" s="57"/>
    </row>
    <row r="168" spans="3:9" x14ac:dyDescent="0.2">
      <c r="C168" t="s">
        <v>597</v>
      </c>
      <c r="E168" s="62">
        <f t="shared" si="2"/>
        <v>0</v>
      </c>
      <c r="G168" s="57"/>
      <c r="I168" s="6" t="s">
        <v>1025</v>
      </c>
    </row>
    <row r="169" spans="3:9" x14ac:dyDescent="0.2">
      <c r="C169" s="579" t="s">
        <v>2042</v>
      </c>
      <c r="E169" s="62">
        <f t="shared" si="2"/>
        <v>0</v>
      </c>
      <c r="G169" s="57"/>
      <c r="I169" s="6"/>
    </row>
    <row r="170" spans="3:9" ht="38.25" x14ac:dyDescent="0.2">
      <c r="C170" s="590" t="s">
        <v>4006</v>
      </c>
      <c r="E170" s="62">
        <f t="shared" si="2"/>
        <v>0</v>
      </c>
      <c r="G170" s="57"/>
      <c r="I170" s="6"/>
    </row>
    <row r="171" spans="3:9" ht="25.5" x14ac:dyDescent="0.2">
      <c r="C171" s="590" t="s">
        <v>4015</v>
      </c>
      <c r="E171" s="62">
        <f t="shared" si="2"/>
        <v>0</v>
      </c>
      <c r="G171" s="57"/>
      <c r="I171" s="6"/>
    </row>
    <row r="172" spans="3:9" x14ac:dyDescent="0.2">
      <c r="C172" s="579" t="s">
        <v>4016</v>
      </c>
      <c r="E172" s="62">
        <f t="shared" si="2"/>
        <v>0</v>
      </c>
      <c r="G172" s="57"/>
      <c r="I172" s="6"/>
    </row>
    <row r="173" spans="3:9" ht="38.25" x14ac:dyDescent="0.2">
      <c r="C173" s="613" t="s">
        <v>4018</v>
      </c>
      <c r="E173" s="62">
        <f t="shared" si="2"/>
        <v>0</v>
      </c>
      <c r="G173" s="57"/>
      <c r="I173" s="6"/>
    </row>
    <row r="174" spans="3:9" x14ac:dyDescent="0.2">
      <c r="C174" s="579" t="s">
        <v>3975</v>
      </c>
      <c r="E174" s="62">
        <f t="shared" si="2"/>
        <v>0</v>
      </c>
      <c r="G174" s="57"/>
      <c r="I174" s="6"/>
    </row>
    <row r="175" spans="3:9" ht="25.5" x14ac:dyDescent="0.2">
      <c r="C175" s="590" t="s">
        <v>4014</v>
      </c>
      <c r="E175" s="62">
        <f t="shared" si="2"/>
        <v>0</v>
      </c>
      <c r="G175" s="57"/>
      <c r="I175" s="6"/>
    </row>
    <row r="176" spans="3:9" x14ac:dyDescent="0.2">
      <c r="C176" s="579" t="s">
        <v>4023</v>
      </c>
      <c r="E176" s="62">
        <f t="shared" si="2"/>
        <v>0</v>
      </c>
      <c r="G176" s="57"/>
      <c r="I176" s="6"/>
    </row>
    <row r="177" spans="3:9" ht="25.5" x14ac:dyDescent="0.2">
      <c r="C177" s="613" t="s">
        <v>4022</v>
      </c>
      <c r="E177" s="62">
        <f t="shared" si="2"/>
        <v>0</v>
      </c>
      <c r="G177" s="57"/>
      <c r="I177" s="6"/>
    </row>
    <row r="178" spans="3:9" x14ac:dyDescent="0.2">
      <c r="C178" t="s">
        <v>598</v>
      </c>
      <c r="E178" s="57"/>
      <c r="G178" s="62">
        <f t="shared" ref="G178:G191" si="3">G92</f>
        <v>0</v>
      </c>
    </row>
    <row r="179" spans="3:9" x14ac:dyDescent="0.2">
      <c r="C179" t="s">
        <v>599</v>
      </c>
      <c r="E179" s="57"/>
      <c r="G179" s="62">
        <f t="shared" si="3"/>
        <v>0</v>
      </c>
    </row>
    <row r="180" spans="3:9" x14ac:dyDescent="0.2">
      <c r="C180" t="s">
        <v>600</v>
      </c>
      <c r="E180" s="57"/>
      <c r="G180" s="62">
        <f t="shared" si="3"/>
        <v>0</v>
      </c>
    </row>
    <row r="181" spans="3:9" x14ac:dyDescent="0.2">
      <c r="C181" t="s">
        <v>601</v>
      </c>
      <c r="E181" s="57"/>
      <c r="G181" s="62">
        <f t="shared" si="3"/>
        <v>0</v>
      </c>
    </row>
    <row r="182" spans="3:9" x14ac:dyDescent="0.2">
      <c r="C182" s="132" t="s">
        <v>58</v>
      </c>
      <c r="E182" s="57"/>
      <c r="G182" s="62">
        <f t="shared" si="3"/>
        <v>0</v>
      </c>
    </row>
    <row r="183" spans="3:9" x14ac:dyDescent="0.2">
      <c r="C183" s="132" t="s">
        <v>834</v>
      </c>
      <c r="E183" s="57"/>
      <c r="G183" s="62">
        <f t="shared" si="3"/>
        <v>0</v>
      </c>
    </row>
    <row r="184" spans="3:9" x14ac:dyDescent="0.2">
      <c r="C184" t="s">
        <v>414</v>
      </c>
      <c r="E184" s="57"/>
      <c r="G184" s="62">
        <f t="shared" si="3"/>
        <v>0</v>
      </c>
    </row>
    <row r="185" spans="3:9" x14ac:dyDescent="0.2">
      <c r="C185" t="s">
        <v>917</v>
      </c>
      <c r="E185" s="57"/>
      <c r="G185" s="62">
        <f t="shared" si="3"/>
        <v>0</v>
      </c>
    </row>
    <row r="186" spans="3:9" x14ac:dyDescent="0.2">
      <c r="C186" t="s">
        <v>370</v>
      </c>
      <c r="E186" s="57"/>
      <c r="G186" s="62">
        <f t="shared" si="3"/>
        <v>0</v>
      </c>
    </row>
    <row r="187" spans="3:9" x14ac:dyDescent="0.2">
      <c r="C187" t="s">
        <v>475</v>
      </c>
      <c r="E187" s="57"/>
      <c r="G187" s="62">
        <f t="shared" si="3"/>
        <v>0</v>
      </c>
    </row>
    <row r="188" spans="3:9" ht="51" x14ac:dyDescent="0.2">
      <c r="C188" s="611" t="s">
        <v>4006</v>
      </c>
      <c r="E188" s="57"/>
      <c r="G188" s="62">
        <f t="shared" si="3"/>
        <v>0</v>
      </c>
    </row>
    <row r="189" spans="3:9" ht="25.5" x14ac:dyDescent="0.2">
      <c r="C189" s="611" t="s">
        <v>4015</v>
      </c>
      <c r="E189" s="57"/>
      <c r="G189" s="62">
        <f t="shared" si="3"/>
        <v>0</v>
      </c>
    </row>
    <row r="190" spans="3:9" x14ac:dyDescent="0.2">
      <c r="C190" s="612" t="s">
        <v>4016</v>
      </c>
      <c r="E190" s="57"/>
      <c r="G190" s="62">
        <f t="shared" si="3"/>
        <v>0</v>
      </c>
    </row>
    <row r="191" spans="3:9" ht="38.25" x14ac:dyDescent="0.2">
      <c r="C191" s="611" t="s">
        <v>4018</v>
      </c>
      <c r="E191" s="57"/>
      <c r="G191" s="62">
        <f t="shared" si="3"/>
        <v>0</v>
      </c>
    </row>
    <row r="192" spans="3:9" ht="25.5" x14ac:dyDescent="0.2">
      <c r="C192" s="611" t="s">
        <v>4014</v>
      </c>
      <c r="E192" s="57"/>
      <c r="G192" s="62">
        <f t="shared" ref="G192:G194" si="4">G106</f>
        <v>0</v>
      </c>
    </row>
    <row r="193" spans="3:9" x14ac:dyDescent="0.2">
      <c r="C193" s="612" t="s">
        <v>4017</v>
      </c>
      <c r="E193" s="57"/>
      <c r="G193" s="62">
        <f t="shared" si="4"/>
        <v>0</v>
      </c>
    </row>
    <row r="194" spans="3:9" ht="25.5" x14ac:dyDescent="0.2">
      <c r="C194" s="611" t="s">
        <v>4022</v>
      </c>
      <c r="E194" s="57"/>
      <c r="G194" s="62">
        <f t="shared" si="4"/>
        <v>0</v>
      </c>
    </row>
    <row r="195" spans="3:9" x14ac:dyDescent="0.2">
      <c r="C195" t="s">
        <v>477</v>
      </c>
      <c r="E195" s="11"/>
      <c r="G195" s="11">
        <f>G109+G131</f>
        <v>0</v>
      </c>
    </row>
    <row r="196" spans="3:9" ht="6" customHeight="1" x14ac:dyDescent="0.2">
      <c r="E196" s="57"/>
      <c r="G196" s="57"/>
    </row>
    <row r="197" spans="3:9" x14ac:dyDescent="0.2">
      <c r="C197" t="s">
        <v>416</v>
      </c>
      <c r="E197" s="57"/>
      <c r="G197" s="11">
        <f>G112</f>
        <v>0</v>
      </c>
    </row>
    <row r="198" spans="3:9" x14ac:dyDescent="0.2">
      <c r="C198" t="s">
        <v>602</v>
      </c>
      <c r="E198" s="57"/>
      <c r="G198" s="11">
        <f>G116</f>
        <v>0</v>
      </c>
    </row>
    <row r="199" spans="3:9" x14ac:dyDescent="0.2">
      <c r="C199" t="s">
        <v>603</v>
      </c>
      <c r="E199" s="11">
        <f>E117</f>
        <v>0</v>
      </c>
      <c r="G199" s="57"/>
      <c r="I199" s="6" t="s">
        <v>148</v>
      </c>
    </row>
    <row r="200" spans="3:9" x14ac:dyDescent="0.2">
      <c r="C200" t="s">
        <v>478</v>
      </c>
      <c r="E200" s="11">
        <f>E113</f>
        <v>0</v>
      </c>
      <c r="G200" s="57"/>
    </row>
    <row r="201" spans="3:9" x14ac:dyDescent="0.2">
      <c r="C201" t="s">
        <v>146</v>
      </c>
      <c r="E201" s="11"/>
      <c r="G201" s="11">
        <f>G115</f>
        <v>0</v>
      </c>
    </row>
    <row r="202" spans="3:9" x14ac:dyDescent="0.2">
      <c r="C202" t="s">
        <v>147</v>
      </c>
      <c r="E202" s="11">
        <f>E114</f>
        <v>0</v>
      </c>
      <c r="G202" s="57"/>
    </row>
    <row r="203" spans="3:9" ht="6" customHeight="1" x14ac:dyDescent="0.2">
      <c r="E203" s="57"/>
      <c r="G203" s="57"/>
    </row>
    <row r="204" spans="3:9" x14ac:dyDescent="0.2">
      <c r="C204" s="132" t="s">
        <v>604</v>
      </c>
      <c r="D204" s="132"/>
      <c r="E204" s="11"/>
      <c r="G204" s="11">
        <f t="shared" ref="G204:G212" si="5">E139</f>
        <v>0</v>
      </c>
    </row>
    <row r="205" spans="3:9" x14ac:dyDescent="0.2">
      <c r="C205" s="132" t="s">
        <v>605</v>
      </c>
      <c r="D205" s="132"/>
      <c r="E205" s="11"/>
      <c r="G205" s="11">
        <f t="shared" si="5"/>
        <v>0</v>
      </c>
    </row>
    <row r="206" spans="3:9" x14ac:dyDescent="0.2">
      <c r="C206" s="132" t="s">
        <v>606</v>
      </c>
      <c r="D206" s="132"/>
      <c r="E206" s="11"/>
      <c r="G206" s="11">
        <f t="shared" si="5"/>
        <v>0</v>
      </c>
    </row>
    <row r="207" spans="3:9" x14ac:dyDescent="0.2">
      <c r="C207" t="s">
        <v>1024</v>
      </c>
      <c r="E207" s="11"/>
      <c r="G207" s="11">
        <f t="shared" si="5"/>
        <v>0</v>
      </c>
    </row>
    <row r="208" spans="3:9" x14ac:dyDescent="0.2">
      <c r="C208" s="132" t="s">
        <v>607</v>
      </c>
      <c r="D208" s="132"/>
      <c r="E208" s="11"/>
      <c r="G208" s="11">
        <f t="shared" si="5"/>
        <v>0</v>
      </c>
      <c r="I208" s="6" t="s">
        <v>149</v>
      </c>
    </row>
    <row r="209" spans="3:9" x14ac:dyDescent="0.2">
      <c r="C209" s="132" t="s">
        <v>307</v>
      </c>
      <c r="D209" s="132"/>
      <c r="E209" s="11"/>
      <c r="G209" s="11">
        <f t="shared" si="5"/>
        <v>0</v>
      </c>
    </row>
    <row r="210" spans="3:9" x14ac:dyDescent="0.2">
      <c r="C210" s="132" t="s">
        <v>608</v>
      </c>
      <c r="D210" s="132"/>
      <c r="E210" s="11"/>
      <c r="G210" s="11">
        <f t="shared" si="5"/>
        <v>0</v>
      </c>
    </row>
    <row r="211" spans="3:9" x14ac:dyDescent="0.2">
      <c r="C211" s="132" t="s">
        <v>172</v>
      </c>
      <c r="D211" s="132"/>
      <c r="E211" s="11"/>
      <c r="G211" s="11">
        <f t="shared" si="5"/>
        <v>0</v>
      </c>
    </row>
    <row r="212" spans="3:9" x14ac:dyDescent="0.2">
      <c r="C212" s="323" t="s">
        <v>726</v>
      </c>
      <c r="D212" s="132"/>
      <c r="E212" s="11"/>
      <c r="G212" s="11">
        <f t="shared" si="5"/>
        <v>0</v>
      </c>
    </row>
    <row r="213" spans="3:9" x14ac:dyDescent="0.2">
      <c r="C213" s="132" t="s">
        <v>711</v>
      </c>
      <c r="D213" s="132"/>
      <c r="E213" s="11"/>
      <c r="G213" s="11">
        <f>G153+G128</f>
        <v>0</v>
      </c>
    </row>
    <row r="214" spans="3:9" ht="6.75" customHeight="1" x14ac:dyDescent="0.2">
      <c r="C214" s="132"/>
      <c r="D214" s="132"/>
      <c r="E214" s="10"/>
      <c r="F214" s="1"/>
      <c r="G214" s="10"/>
    </row>
    <row r="215" spans="3:9" ht="13.5" thickBot="1" x14ac:dyDescent="0.25">
      <c r="C215" s="132"/>
      <c r="D215" s="132"/>
      <c r="E215" s="70">
        <f>SUM(E159:E213)</f>
        <v>0</v>
      </c>
      <c r="F215" s="1"/>
      <c r="G215" s="70">
        <f>SUM(G159:G213)</f>
        <v>0</v>
      </c>
    </row>
    <row r="216" spans="3:9" ht="18.75" customHeight="1" thickTop="1" x14ac:dyDescent="0.2">
      <c r="C216" s="132"/>
      <c r="D216" s="132"/>
      <c r="E216" s="10"/>
      <c r="F216" s="1"/>
      <c r="G216" s="10"/>
    </row>
    <row r="217" spans="3:9" x14ac:dyDescent="0.2">
      <c r="C217" s="1134" t="s">
        <v>609</v>
      </c>
      <c r="D217" s="1134"/>
      <c r="E217" t="s">
        <v>49</v>
      </c>
    </row>
    <row r="219" spans="3:9" x14ac:dyDescent="0.2">
      <c r="C219" t="s">
        <v>352</v>
      </c>
      <c r="E219" s="11">
        <f>G153+G128</f>
        <v>0</v>
      </c>
      <c r="G219" s="57"/>
    </row>
    <row r="220" spans="3:9" ht="12.75" customHeight="1" x14ac:dyDescent="0.2">
      <c r="C220" s="132" t="s">
        <v>610</v>
      </c>
      <c r="D220" s="132"/>
      <c r="E220" s="57"/>
      <c r="G220" s="11">
        <f>G149</f>
        <v>0</v>
      </c>
    </row>
    <row r="221" spans="3:9" ht="12.75" customHeight="1" x14ac:dyDescent="0.2">
      <c r="C221" s="132" t="s">
        <v>611</v>
      </c>
      <c r="D221" s="132"/>
      <c r="E221" s="57"/>
      <c r="G221" s="11">
        <f>G150</f>
        <v>0</v>
      </c>
      <c r="I221" s="1226" t="s">
        <v>638</v>
      </c>
    </row>
    <row r="222" spans="3:9" x14ac:dyDescent="0.2">
      <c r="C222" s="323" t="s">
        <v>635</v>
      </c>
      <c r="D222" s="132"/>
      <c r="E222" s="57"/>
      <c r="G222" s="11">
        <f>G151</f>
        <v>0</v>
      </c>
      <c r="I222" s="1226"/>
    </row>
    <row r="223" spans="3:9" x14ac:dyDescent="0.2">
      <c r="C223" s="323" t="s">
        <v>636</v>
      </c>
      <c r="D223" s="132"/>
      <c r="E223" s="57"/>
      <c r="G223" s="11">
        <f>G152</f>
        <v>0</v>
      </c>
      <c r="I223" s="338"/>
    </row>
    <row r="224" spans="3:9" x14ac:dyDescent="0.2">
      <c r="C224" s="132" t="s">
        <v>732</v>
      </c>
      <c r="D224" s="132"/>
      <c r="E224" s="57"/>
      <c r="G224" s="159">
        <f>G128</f>
        <v>0</v>
      </c>
    </row>
    <row r="225" spans="3:9" ht="13.5" thickBot="1" x14ac:dyDescent="0.25">
      <c r="E225" s="58">
        <f>SUM(E219:E221)</f>
        <v>0</v>
      </c>
      <c r="G225" s="65">
        <f>SUM(G220:G224)</f>
        <v>0</v>
      </c>
    </row>
    <row r="226" spans="3:9" ht="13.5" thickTop="1" x14ac:dyDescent="0.2"/>
    <row r="227" spans="3:9" x14ac:dyDescent="0.2">
      <c r="C227" s="1019" t="s">
        <v>491</v>
      </c>
      <c r="D227" s="1019"/>
      <c r="E227" s="1019"/>
      <c r="F227" s="1019"/>
      <c r="G227" s="1019"/>
      <c r="H227" s="1019"/>
      <c r="I227" s="1019"/>
    </row>
    <row r="228" spans="3:9" x14ac:dyDescent="0.2">
      <c r="C228" s="1019"/>
      <c r="D228" s="1019"/>
      <c r="E228" s="1019"/>
      <c r="F228" s="1019"/>
      <c r="G228" s="1019"/>
      <c r="H228" s="1019"/>
      <c r="I228" s="1019"/>
    </row>
  </sheetData>
  <sheetProtection algorithmName="SHA-512" hashValue="tU5mnAPGQCgjrohG9eRv5yeWVygirVLoef2UwgONbg7Sx+0NIcufe78PGKsFdW0KjLZ0t27xg5s2XehH1zw03A==" saltValue="w/D5YkLdktft/TI3b2gqJA==" spinCount="100000" sheet="1" objects="1" scenarios="1"/>
  <customSheetViews>
    <customSheetView guid="{D2B860EA-92EC-4999-9A59-C624E1F8C7FB}" hiddenRows="1">
      <selection activeCell="I39" sqref="I39"/>
      <rowBreaks count="2" manualBreakCount="2">
        <brk id="68" max="8" man="1"/>
        <brk id="153" max="8" man="1"/>
      </rowBreaks>
      <pageMargins left="0.39" right="0.4" top="0.66" bottom="0.5" header="0.5" footer="0.5"/>
      <printOptions horizontalCentered="1"/>
      <pageSetup scale="70" orientation="portrait" r:id="rId1"/>
      <headerFooter alignWithMargins="0">
        <oddHeader>&amp;REntry K.2</oddHeader>
        <oddFooter>&amp;L&amp;8&amp;D - County model&amp;R&amp;P</oddFooter>
      </headerFooter>
    </customSheetView>
    <customSheetView guid="{C1197650-3ED8-49E4-8E4C-0D1D4B503FC0}" hiddenRows="1">
      <selection activeCell="I39" sqref="I39"/>
      <rowBreaks count="2" manualBreakCount="2">
        <brk id="68" max="8" man="1"/>
        <brk id="153" max="8" man="1"/>
      </rowBreaks>
      <pageMargins left="0.39" right="0.4" top="0.66" bottom="0.5" header="0.5" footer="0.5"/>
      <printOptions horizontalCentered="1"/>
      <pageSetup scale="70" orientation="portrait" r:id="rId2"/>
      <headerFooter alignWithMargins="0">
        <oddHeader>&amp;REntry K.2</oddHeader>
        <oddFooter>&amp;L&amp;8&amp;D - County model&amp;R&amp;P</oddFooter>
      </headerFooter>
    </customSheetView>
  </customSheetViews>
  <mergeCells count="28">
    <mergeCell ref="I148:I152"/>
    <mergeCell ref="I221:I222"/>
    <mergeCell ref="C227:I228"/>
    <mergeCell ref="C217:D217"/>
    <mergeCell ref="C66:D66"/>
    <mergeCell ref="B155:I155"/>
    <mergeCell ref="B134:I135"/>
    <mergeCell ref="C128:E129"/>
    <mergeCell ref="G128:G129"/>
    <mergeCell ref="B69:I70"/>
    <mergeCell ref="B125:I126"/>
    <mergeCell ref="C131:E132"/>
    <mergeCell ref="G131:G132"/>
    <mergeCell ref="G65:I66"/>
    <mergeCell ref="C119:C120"/>
    <mergeCell ref="D119:D120"/>
    <mergeCell ref="C1:I1"/>
    <mergeCell ref="C35:G35"/>
    <mergeCell ref="B2:I3"/>
    <mergeCell ref="B4:I4"/>
    <mergeCell ref="C14:I15"/>
    <mergeCell ref="C20:I21"/>
    <mergeCell ref="C23:I23"/>
    <mergeCell ref="C27:I28"/>
    <mergeCell ref="C17:I18"/>
    <mergeCell ref="B32:I33"/>
    <mergeCell ref="C24:I25"/>
    <mergeCell ref="C30:I30"/>
  </mergeCells>
  <phoneticPr fontId="14" type="noConversion"/>
  <printOptions horizontalCentered="1"/>
  <pageMargins left="0.39" right="0.4" top="0.66" bottom="0.5" header="0.5" footer="0.5"/>
  <pageSetup scale="70" orientation="portrait" r:id="rId3"/>
  <headerFooter alignWithMargins="0">
    <oddHeader>&amp;REntry K.2</oddHeader>
    <oddFooter>&amp;L&amp;8&amp;D - County model&amp;R&amp;P</oddFooter>
  </headerFooter>
  <rowBreaks count="2" manualBreakCount="2">
    <brk id="68" max="8" man="1"/>
    <brk id="153" max="8" man="1"/>
  </rowBreaks>
  <drawing r:id="rId4"/>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28"/>
  <sheetViews>
    <sheetView topLeftCell="A192" workbookViewId="0"/>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26" customFormat="1" ht="15" x14ac:dyDescent="0.25">
      <c r="A1" s="156"/>
      <c r="C1" s="1227"/>
      <c r="D1" s="1227"/>
      <c r="E1" s="1228"/>
      <c r="F1" s="1228"/>
      <c r="G1" s="1228"/>
      <c r="H1" s="1228"/>
      <c r="I1" s="1228"/>
    </row>
    <row r="2" spans="1:10" s="126" customFormat="1" ht="15" customHeight="1" x14ac:dyDescent="0.25">
      <c r="A2" s="156"/>
      <c r="B2" s="1207" t="s">
        <v>110</v>
      </c>
      <c r="C2" s="1208"/>
      <c r="D2" s="1208"/>
      <c r="E2" s="1208"/>
      <c r="F2" s="1208"/>
      <c r="G2" s="1208"/>
      <c r="H2" s="1208"/>
      <c r="I2" s="1209"/>
    </row>
    <row r="3" spans="1:10" s="126" customFormat="1" ht="24" customHeight="1" x14ac:dyDescent="0.25">
      <c r="A3" s="156"/>
      <c r="B3" s="1210"/>
      <c r="C3" s="1211"/>
      <c r="D3" s="1211"/>
      <c r="E3" s="1211"/>
      <c r="F3" s="1211"/>
      <c r="G3" s="1211"/>
      <c r="H3" s="1211"/>
      <c r="I3" s="1212"/>
    </row>
    <row r="4" spans="1:10" ht="4.5" customHeight="1" x14ac:dyDescent="0.2">
      <c r="B4" s="1213"/>
      <c r="C4" s="1213"/>
      <c r="D4" s="1213"/>
      <c r="E4" s="1213"/>
      <c r="F4" s="1213"/>
      <c r="G4" s="1213"/>
      <c r="H4" s="1213"/>
      <c r="I4" s="1213"/>
    </row>
    <row r="5" spans="1:10" ht="12.75" customHeight="1" x14ac:dyDescent="0.2">
      <c r="C5" s="127"/>
      <c r="D5" s="127"/>
      <c r="E5" s="128"/>
      <c r="F5" s="128"/>
      <c r="G5" s="128"/>
      <c r="H5" s="128"/>
      <c r="I5" s="128"/>
    </row>
    <row r="6" spans="1:10" ht="12.75" customHeight="1" x14ac:dyDescent="0.2">
      <c r="C6" s="127"/>
      <c r="D6" s="127"/>
      <c r="E6" s="128"/>
      <c r="F6" s="128"/>
      <c r="G6" s="128"/>
      <c r="H6" s="128"/>
      <c r="I6" s="128"/>
    </row>
    <row r="7" spans="1:10" ht="12.75" customHeight="1" x14ac:dyDescent="0.2">
      <c r="C7" s="127"/>
      <c r="D7" s="127"/>
      <c r="E7" s="128"/>
      <c r="F7" s="128"/>
      <c r="G7" s="128"/>
      <c r="H7" s="128"/>
      <c r="I7" s="128"/>
    </row>
    <row r="8" spans="1:10" ht="12.75" customHeight="1" x14ac:dyDescent="0.2">
      <c r="C8" s="127"/>
      <c r="D8" s="127"/>
      <c r="E8" s="128"/>
      <c r="F8" s="128"/>
      <c r="G8" s="128"/>
      <c r="H8" s="128"/>
      <c r="I8" s="128"/>
    </row>
    <row r="9" spans="1:10" ht="12.75" customHeight="1" x14ac:dyDescent="0.2">
      <c r="C9" s="127"/>
      <c r="D9" s="127"/>
      <c r="E9" s="128"/>
      <c r="F9" s="128"/>
      <c r="G9" s="128"/>
      <c r="H9" s="128"/>
      <c r="I9" s="128"/>
    </row>
    <row r="10" spans="1:10" ht="12.75" customHeight="1" x14ac:dyDescent="0.2">
      <c r="C10" s="127"/>
      <c r="D10" s="127"/>
      <c r="E10" s="128"/>
      <c r="F10" s="128"/>
      <c r="G10" s="128"/>
      <c r="H10" s="128"/>
      <c r="I10" s="128"/>
    </row>
    <row r="11" spans="1:10" ht="12.75" customHeight="1" x14ac:dyDescent="0.2">
      <c r="C11" s="127"/>
      <c r="D11" s="127"/>
      <c r="E11" s="128"/>
      <c r="F11" s="128"/>
      <c r="G11" s="128"/>
      <c r="H11" s="128"/>
      <c r="I11" s="128"/>
    </row>
    <row r="12" spans="1:10" ht="12.75" customHeight="1" x14ac:dyDescent="0.2">
      <c r="C12" s="127"/>
      <c r="D12" s="127"/>
      <c r="E12" s="128"/>
      <c r="F12" s="128"/>
      <c r="G12" s="128"/>
      <c r="H12" s="128"/>
      <c r="I12" s="128"/>
    </row>
    <row r="13" spans="1:10" ht="12.75" customHeight="1" x14ac:dyDescent="0.2">
      <c r="C13" s="127"/>
      <c r="D13" s="127"/>
      <c r="E13" s="128"/>
      <c r="F13" s="128"/>
      <c r="G13" s="128"/>
      <c r="H13" s="128"/>
      <c r="I13" s="128"/>
    </row>
    <row r="14" spans="1:10" ht="12" customHeight="1" x14ac:dyDescent="0.2">
      <c r="B14" s="28" t="s">
        <v>513</v>
      </c>
      <c r="C14" s="1213" t="s">
        <v>1072</v>
      </c>
      <c r="D14" s="1213"/>
      <c r="E14" s="1213"/>
      <c r="F14" s="1213"/>
      <c r="G14" s="1213"/>
      <c r="H14" s="1213"/>
      <c r="I14" s="1213"/>
      <c r="J14" s="127"/>
    </row>
    <row r="15" spans="1:10" ht="26.25" customHeight="1" x14ac:dyDescent="0.2">
      <c r="C15" s="1213"/>
      <c r="D15" s="1213"/>
      <c r="E15" s="1213"/>
      <c r="F15" s="1213"/>
      <c r="G15" s="1213"/>
      <c r="H15" s="1213"/>
      <c r="I15" s="1213"/>
      <c r="J15" s="127"/>
    </row>
    <row r="16" spans="1:10" ht="4.5" customHeight="1" x14ac:dyDescent="0.2"/>
    <row r="17" spans="1:9" ht="12.75" customHeight="1" x14ac:dyDescent="0.2">
      <c r="B17" s="28" t="s">
        <v>514</v>
      </c>
      <c r="C17" s="1213" t="s">
        <v>1073</v>
      </c>
      <c r="D17" s="1213"/>
      <c r="E17" s="1213"/>
      <c r="F17" s="1213"/>
      <c r="G17" s="1213"/>
      <c r="H17" s="1213"/>
      <c r="I17" s="1213"/>
    </row>
    <row r="18" spans="1:9" ht="51.75" customHeight="1" x14ac:dyDescent="0.2">
      <c r="C18" s="1213"/>
      <c r="D18" s="1213"/>
      <c r="E18" s="1213"/>
      <c r="F18" s="1213"/>
      <c r="G18" s="1213"/>
      <c r="H18" s="1213"/>
      <c r="I18" s="1213"/>
    </row>
    <row r="19" spans="1:9" ht="4.5" customHeight="1" x14ac:dyDescent="0.2"/>
    <row r="20" spans="1:9" ht="12" customHeight="1" x14ac:dyDescent="0.2">
      <c r="B20" s="28" t="s">
        <v>515</v>
      </c>
      <c r="C20" s="1019" t="s">
        <v>1074</v>
      </c>
      <c r="D20" s="1032"/>
      <c r="E20" s="1032"/>
      <c r="F20" s="1032"/>
      <c r="G20" s="1032"/>
      <c r="H20" s="1032"/>
      <c r="I20" s="1032"/>
    </row>
    <row r="21" spans="1:9" ht="12.75" hidden="1" customHeight="1" x14ac:dyDescent="0.2">
      <c r="C21" s="1032"/>
      <c r="D21" s="1032"/>
      <c r="E21" s="1032"/>
      <c r="F21" s="1032"/>
      <c r="G21" s="1032"/>
      <c r="H21" s="1032"/>
      <c r="I21" s="1032"/>
    </row>
    <row r="22" spans="1:9" ht="4.5" customHeight="1" x14ac:dyDescent="0.2"/>
    <row r="23" spans="1:9" ht="12.75" hidden="1" customHeight="1" x14ac:dyDescent="0.2">
      <c r="B23" s="28"/>
      <c r="C23" s="1032"/>
      <c r="D23" s="1032"/>
      <c r="E23" s="1032"/>
      <c r="F23" s="1032"/>
      <c r="G23" s="1032"/>
      <c r="H23" s="1032"/>
      <c r="I23" s="1032"/>
    </row>
    <row r="24" spans="1:9" ht="12.75" customHeight="1" x14ac:dyDescent="0.2">
      <c r="B24" s="28" t="s">
        <v>541</v>
      </c>
      <c r="C24" s="1019" t="s">
        <v>1075</v>
      </c>
      <c r="D24" s="1019"/>
      <c r="E24" s="1019"/>
      <c r="F24" s="1019"/>
      <c r="G24" s="1019"/>
      <c r="H24" s="1019"/>
      <c r="I24" s="1019"/>
    </row>
    <row r="25" spans="1:9" ht="12.75" customHeight="1" x14ac:dyDescent="0.2">
      <c r="B25" s="28"/>
      <c r="C25" s="1019"/>
      <c r="D25" s="1019"/>
      <c r="E25" s="1019"/>
      <c r="F25" s="1019"/>
      <c r="G25" s="1019"/>
      <c r="H25" s="1019"/>
      <c r="I25" s="1019"/>
    </row>
    <row r="26" spans="1:9" ht="4.5" customHeight="1" x14ac:dyDescent="0.2">
      <c r="B26" s="28"/>
    </row>
    <row r="27" spans="1:9" ht="12.75" customHeight="1" x14ac:dyDescent="0.2">
      <c r="B27" s="28" t="s">
        <v>542</v>
      </c>
      <c r="C27" s="1213" t="s">
        <v>637</v>
      </c>
      <c r="D27" s="1213"/>
      <c r="E27" s="1213"/>
      <c r="F27" s="1213"/>
      <c r="G27" s="1213"/>
      <c r="H27" s="1213"/>
      <c r="I27" s="1213"/>
    </row>
    <row r="28" spans="1:9" ht="26.25" customHeight="1" x14ac:dyDescent="0.2">
      <c r="B28" s="28"/>
      <c r="C28" s="1213"/>
      <c r="D28" s="1213"/>
      <c r="E28" s="1213"/>
      <c r="F28" s="1213"/>
      <c r="G28" s="1213"/>
      <c r="H28" s="1213"/>
      <c r="I28" s="1213"/>
    </row>
    <row r="29" spans="1:9" ht="24" customHeight="1" thickBot="1" x14ac:dyDescent="0.25"/>
    <row r="30" spans="1:9" ht="30.75" customHeight="1" thickTop="1" thickBot="1" x14ac:dyDescent="0.25">
      <c r="C30" s="1230" t="s">
        <v>484</v>
      </c>
      <c r="D30" s="1231"/>
      <c r="E30" s="1231"/>
      <c r="F30" s="1231"/>
      <c r="G30" s="1231"/>
      <c r="H30" s="1231"/>
      <c r="I30" s="1232"/>
    </row>
    <row r="31" spans="1:9" ht="24" customHeight="1" thickTop="1" x14ac:dyDescent="0.2"/>
    <row r="32" spans="1:9" ht="17.25" customHeight="1" x14ac:dyDescent="0.2">
      <c r="A32" s="4" t="s">
        <v>539</v>
      </c>
      <c r="B32" s="1215" t="s">
        <v>852</v>
      </c>
      <c r="C32" s="1216"/>
      <c r="D32" s="1216"/>
      <c r="E32" s="1216"/>
      <c r="F32" s="1216"/>
      <c r="G32" s="1216"/>
      <c r="H32" s="1216"/>
      <c r="I32" s="1217"/>
    </row>
    <row r="33" spans="2:13" ht="22.5" customHeight="1" x14ac:dyDescent="0.2">
      <c r="B33" s="1218"/>
      <c r="C33" s="1219"/>
      <c r="D33" s="1219"/>
      <c r="E33" s="1219"/>
      <c r="F33" s="1219"/>
      <c r="G33" s="1219"/>
      <c r="H33" s="1219"/>
      <c r="I33" s="1220"/>
    </row>
    <row r="34" spans="2:13" ht="24" customHeight="1" x14ac:dyDescent="0.2">
      <c r="C34" s="4"/>
      <c r="D34" s="4"/>
      <c r="E34" s="10"/>
      <c r="F34" s="10"/>
      <c r="G34" s="10"/>
      <c r="H34" s="10"/>
      <c r="I34" s="129"/>
    </row>
    <row r="35" spans="2:13" x14ac:dyDescent="0.2">
      <c r="C35" s="1206" t="s">
        <v>14</v>
      </c>
      <c r="D35" s="1206"/>
      <c r="E35" s="1206"/>
      <c r="F35" s="1206"/>
      <c r="G35" s="1206"/>
      <c r="H35" s="27"/>
      <c r="I35" s="27"/>
      <c r="J35" s="27"/>
      <c r="K35" s="27"/>
      <c r="L35" s="27"/>
      <c r="M35" s="27"/>
    </row>
    <row r="36" spans="2:13" x14ac:dyDescent="0.2">
      <c r="C36" s="4"/>
      <c r="D36" s="4"/>
      <c r="E36" s="84" t="s">
        <v>15</v>
      </c>
      <c r="F36" s="125"/>
      <c r="G36" s="130" t="s">
        <v>16</v>
      </c>
      <c r="H36" s="131"/>
    </row>
    <row r="37" spans="2:13" x14ac:dyDescent="0.2">
      <c r="C37" s="93" t="s">
        <v>17</v>
      </c>
      <c r="D37" s="93"/>
      <c r="E37" s="1"/>
      <c r="F37" s="10"/>
      <c r="G37" s="129"/>
      <c r="H37" s="129"/>
    </row>
    <row r="38" spans="2:13" x14ac:dyDescent="0.2">
      <c r="C38" s="132" t="s">
        <v>18</v>
      </c>
      <c r="D38" s="132"/>
      <c r="E38" s="1"/>
      <c r="F38" s="10"/>
      <c r="G38" s="129"/>
      <c r="H38" s="129"/>
    </row>
    <row r="39" spans="2:13" x14ac:dyDescent="0.2">
      <c r="C39" s="133" t="s">
        <v>189</v>
      </c>
      <c r="D39" s="133"/>
      <c r="E39" s="306">
        <v>0</v>
      </c>
      <c r="F39" s="10"/>
      <c r="G39" s="534">
        <f t="shared" ref="G39:G49" si="0">IF(E$59=0,0,ROUND(E39/E$59,4))</f>
        <v>0</v>
      </c>
      <c r="H39" s="129"/>
    </row>
    <row r="40" spans="2:13" x14ac:dyDescent="0.2">
      <c r="C40" s="133" t="s">
        <v>1017</v>
      </c>
      <c r="D40" s="133"/>
      <c r="E40" s="292">
        <v>0</v>
      </c>
      <c r="F40" s="10"/>
      <c r="G40" s="534">
        <f t="shared" si="0"/>
        <v>0</v>
      </c>
      <c r="H40" s="129"/>
    </row>
    <row r="41" spans="2:13" x14ac:dyDescent="0.2">
      <c r="C41" s="133" t="s">
        <v>989</v>
      </c>
      <c r="D41" s="133"/>
      <c r="E41" s="292">
        <v>0</v>
      </c>
      <c r="F41" s="10"/>
      <c r="G41" s="534">
        <f t="shared" si="0"/>
        <v>0</v>
      </c>
      <c r="H41" s="129"/>
    </row>
    <row r="42" spans="2:13" x14ac:dyDescent="0.2">
      <c r="C42" s="133" t="s">
        <v>816</v>
      </c>
      <c r="D42" s="133"/>
      <c r="E42" s="292">
        <v>0</v>
      </c>
      <c r="F42" s="10"/>
      <c r="G42" s="534">
        <f t="shared" si="0"/>
        <v>0</v>
      </c>
      <c r="H42" s="129"/>
    </row>
    <row r="43" spans="2:13" x14ac:dyDescent="0.2">
      <c r="C43" s="133" t="s">
        <v>805</v>
      </c>
      <c r="D43" s="133"/>
      <c r="E43" s="292">
        <v>0</v>
      </c>
      <c r="F43" s="10"/>
      <c r="G43" s="534">
        <f t="shared" si="0"/>
        <v>0</v>
      </c>
      <c r="H43" s="129"/>
    </row>
    <row r="44" spans="2:13" x14ac:dyDescent="0.2">
      <c r="C44" s="133" t="s">
        <v>307</v>
      </c>
      <c r="D44" s="133"/>
      <c r="E44" s="292">
        <v>0</v>
      </c>
      <c r="F44" s="10"/>
      <c r="G44" s="534">
        <f t="shared" si="0"/>
        <v>0</v>
      </c>
      <c r="H44" s="129"/>
    </row>
    <row r="45" spans="2:13" x14ac:dyDescent="0.2">
      <c r="C45" s="133" t="s">
        <v>19</v>
      </c>
      <c r="D45" s="133"/>
      <c r="E45" s="292">
        <v>0</v>
      </c>
      <c r="F45" s="10"/>
      <c r="G45" s="534">
        <f t="shared" si="0"/>
        <v>0</v>
      </c>
      <c r="H45" s="129"/>
    </row>
    <row r="46" spans="2:13" x14ac:dyDescent="0.2">
      <c r="C46" s="133" t="s">
        <v>172</v>
      </c>
      <c r="D46" s="133"/>
      <c r="E46" s="292">
        <v>0</v>
      </c>
      <c r="F46" s="10"/>
      <c r="G46" s="534">
        <f t="shared" si="0"/>
        <v>0</v>
      </c>
      <c r="H46" s="129"/>
    </row>
    <row r="47" spans="2:13" x14ac:dyDescent="0.2">
      <c r="C47" s="322" t="s">
        <v>726</v>
      </c>
      <c r="D47" s="133"/>
      <c r="E47" s="292">
        <v>0</v>
      </c>
      <c r="F47" s="10"/>
      <c r="G47" s="534">
        <f t="shared" si="0"/>
        <v>0</v>
      </c>
      <c r="H47" s="129"/>
    </row>
    <row r="48" spans="2:13" x14ac:dyDescent="0.2">
      <c r="C48" s="133"/>
      <c r="D48" s="133"/>
      <c r="E48" s="1"/>
      <c r="F48" s="10"/>
      <c r="G48" s="129"/>
      <c r="H48" s="129"/>
    </row>
    <row r="49" spans="3:8" ht="15" x14ac:dyDescent="0.2">
      <c r="C49" s="134" t="s">
        <v>20</v>
      </c>
      <c r="D49" s="134"/>
      <c r="E49" s="147">
        <f>+SUM(E39:E48)</f>
        <v>0</v>
      </c>
      <c r="F49" s="10"/>
      <c r="G49" s="534">
        <f t="shared" si="0"/>
        <v>0</v>
      </c>
      <c r="H49" s="148" t="s">
        <v>336</v>
      </c>
    </row>
    <row r="50" spans="3:8" x14ac:dyDescent="0.2">
      <c r="E50" s="1"/>
      <c r="F50" s="10"/>
      <c r="G50" s="135" t="s">
        <v>49</v>
      </c>
      <c r="H50" s="135"/>
    </row>
    <row r="51" spans="3:8" x14ac:dyDescent="0.2">
      <c r="C51" s="132" t="s">
        <v>21</v>
      </c>
      <c r="D51" s="132"/>
      <c r="E51" s="1"/>
      <c r="F51" s="10"/>
      <c r="G51" s="135" t="s">
        <v>49</v>
      </c>
      <c r="H51" s="135"/>
    </row>
    <row r="52" spans="3:8" x14ac:dyDescent="0.2">
      <c r="C52" s="133" t="s">
        <v>22</v>
      </c>
      <c r="D52" s="133"/>
      <c r="E52" s="306">
        <v>0</v>
      </c>
      <c r="F52" s="10"/>
      <c r="G52" s="534">
        <f>IF(E$59=0,0,ROUND(E52/E$59,4))</f>
        <v>0</v>
      </c>
      <c r="H52" s="129"/>
    </row>
    <row r="53" spans="3:8" x14ac:dyDescent="0.2">
      <c r="C53" s="133" t="s">
        <v>23</v>
      </c>
      <c r="D53" s="133"/>
      <c r="E53" s="307">
        <v>0</v>
      </c>
      <c r="F53" s="136"/>
      <c r="G53" s="534">
        <f>IF(E$59=0,0,ROUND(E53/E$59,4))</f>
        <v>0</v>
      </c>
      <c r="H53" s="129"/>
    </row>
    <row r="54" spans="3:8" x14ac:dyDescent="0.2">
      <c r="C54" s="322" t="s">
        <v>733</v>
      </c>
      <c r="D54" s="133"/>
      <c r="E54" s="307">
        <v>0</v>
      </c>
      <c r="F54" s="136"/>
      <c r="G54" s="534">
        <f>IF(E$59=0,0,ROUND(E54/E$59,4))</f>
        <v>0</v>
      </c>
      <c r="H54" s="129"/>
    </row>
    <row r="55" spans="3:8" x14ac:dyDescent="0.2">
      <c r="C55" s="322" t="s">
        <v>734</v>
      </c>
      <c r="D55" s="133"/>
      <c r="E55" s="307">
        <v>0</v>
      </c>
      <c r="F55" s="136"/>
      <c r="G55" s="534">
        <f>IF(E$59=0,0,ROUND(E55/E$59,4))</f>
        <v>0</v>
      </c>
      <c r="H55" s="129"/>
    </row>
    <row r="56" spans="3:8" x14ac:dyDescent="0.2">
      <c r="C56" s="132"/>
      <c r="D56" s="132"/>
      <c r="E56" s="1"/>
      <c r="F56" s="10"/>
      <c r="G56" s="129"/>
      <c r="H56" s="129"/>
    </row>
    <row r="57" spans="3:8" x14ac:dyDescent="0.2">
      <c r="C57" s="134" t="s">
        <v>24</v>
      </c>
      <c r="D57" s="134"/>
      <c r="E57" s="147">
        <f>+SUM(E52:E56)</f>
        <v>0</v>
      </c>
      <c r="F57" s="10"/>
      <c r="G57" s="534">
        <f>IF(E$59=0,0,ROUND(E57/E$59,4))</f>
        <v>0</v>
      </c>
      <c r="H57" s="137"/>
    </row>
    <row r="58" spans="3:8" x14ac:dyDescent="0.2">
      <c r="C58" s="133"/>
      <c r="D58" s="133"/>
      <c r="E58" s="1"/>
      <c r="F58" s="10"/>
      <c r="G58" s="129"/>
      <c r="H58" s="129"/>
    </row>
    <row r="59" spans="3:8" ht="13.5" thickBot="1" x14ac:dyDescent="0.25">
      <c r="C59" s="138" t="s">
        <v>25</v>
      </c>
      <c r="D59" s="138"/>
      <c r="E59" s="149">
        <f>+E49+E57</f>
        <v>0</v>
      </c>
      <c r="F59" s="10"/>
      <c r="G59" s="535">
        <f>G49+G57</f>
        <v>0</v>
      </c>
      <c r="H59" s="137"/>
    </row>
    <row r="60" spans="3:8" ht="13.5" thickTop="1" x14ac:dyDescent="0.2">
      <c r="C60" s="138"/>
      <c r="D60" s="138"/>
      <c r="E60" s="10"/>
      <c r="F60" s="10"/>
      <c r="G60" s="137"/>
      <c r="H60" s="137"/>
    </row>
    <row r="61" spans="3:8" x14ac:dyDescent="0.2">
      <c r="C61" s="93" t="s">
        <v>26</v>
      </c>
      <c r="D61" s="93"/>
      <c r="E61" s="301">
        <v>0</v>
      </c>
      <c r="F61" s="10"/>
      <c r="G61" s="137"/>
      <c r="H61" s="137"/>
    </row>
    <row r="62" spans="3:8" x14ac:dyDescent="0.2">
      <c r="C62" s="138"/>
      <c r="D62" s="138"/>
      <c r="E62" s="10"/>
      <c r="F62" s="10"/>
      <c r="G62" s="137"/>
      <c r="H62" s="137"/>
    </row>
    <row r="63" spans="3:8" ht="13.5" thickBot="1" x14ac:dyDescent="0.25">
      <c r="C63" s="138" t="s">
        <v>27</v>
      </c>
      <c r="D63" s="138"/>
      <c r="E63" s="149">
        <f>E59+E61</f>
        <v>0</v>
      </c>
      <c r="F63" s="10"/>
      <c r="G63" s="137"/>
      <c r="H63" s="137"/>
    </row>
    <row r="64" spans="3:8" ht="13.5" thickTop="1" x14ac:dyDescent="0.2">
      <c r="C64" s="138"/>
      <c r="D64" s="138"/>
      <c r="E64" s="1"/>
      <c r="F64" s="1"/>
      <c r="G64" s="129"/>
      <c r="H64" s="129"/>
    </row>
    <row r="65" spans="1:9" ht="15.75" customHeight="1" x14ac:dyDescent="0.2">
      <c r="C65" s="138"/>
      <c r="D65" s="138"/>
      <c r="E65" s="1"/>
      <c r="F65" s="1"/>
      <c r="G65" s="1222" t="s">
        <v>927</v>
      </c>
      <c r="H65" s="1222"/>
      <c r="I65" s="1222"/>
    </row>
    <row r="66" spans="1:9" ht="32.25" customHeight="1" x14ac:dyDescent="0.2">
      <c r="C66" s="1019" t="s">
        <v>440</v>
      </c>
      <c r="D66" s="1214"/>
      <c r="E66" s="150" t="str">
        <f>IF(G49&gt;=50%,"Governmental","Business Type")</f>
        <v>Business Type</v>
      </c>
      <c r="F66" s="188" t="s">
        <v>336</v>
      </c>
      <c r="G66" s="1222"/>
      <c r="H66" s="1222"/>
      <c r="I66" s="1222"/>
    </row>
    <row r="67" spans="1:9" ht="44.25" customHeight="1" x14ac:dyDescent="0.2">
      <c r="C67" s="24"/>
      <c r="D67" s="24"/>
      <c r="E67" s="140"/>
      <c r="F67" s="139"/>
      <c r="G67" s="129"/>
      <c r="H67" s="129"/>
    </row>
    <row r="68" spans="1:9" x14ac:dyDescent="0.2">
      <c r="E68" s="1"/>
      <c r="F68" s="1"/>
      <c r="G68" s="141"/>
      <c r="H68" s="141"/>
      <c r="I68" s="129"/>
    </row>
    <row r="69" spans="1:9" ht="17.25" customHeight="1" x14ac:dyDescent="0.2">
      <c r="A69" s="4" t="s">
        <v>540</v>
      </c>
      <c r="B69" s="1215" t="s">
        <v>1076</v>
      </c>
      <c r="C69" s="1216"/>
      <c r="D69" s="1216"/>
      <c r="E69" s="1216"/>
      <c r="F69" s="1216"/>
      <c r="G69" s="1216"/>
      <c r="H69" s="1216"/>
      <c r="I69" s="1217"/>
    </row>
    <row r="70" spans="1:9" ht="36" customHeight="1" x14ac:dyDescent="0.2">
      <c r="B70" s="1218"/>
      <c r="C70" s="1219"/>
      <c r="D70" s="1219"/>
      <c r="E70" s="1219"/>
      <c r="F70" s="1219"/>
      <c r="G70" s="1219"/>
      <c r="H70" s="1219"/>
      <c r="I70" s="1220"/>
    </row>
    <row r="71" spans="1:9" ht="3.75" customHeight="1" x14ac:dyDescent="0.2">
      <c r="E71" s="1"/>
      <c r="F71" s="1"/>
      <c r="G71" s="141"/>
      <c r="H71" s="141"/>
      <c r="I71" s="129"/>
    </row>
    <row r="72" spans="1:9" x14ac:dyDescent="0.2">
      <c r="B72" s="46" t="s">
        <v>513</v>
      </c>
      <c r="C72" s="4" t="s">
        <v>825</v>
      </c>
      <c r="E72" s="3" t="s">
        <v>509</v>
      </c>
      <c r="F72" s="33"/>
      <c r="G72" s="3" t="s">
        <v>510</v>
      </c>
      <c r="H72" s="141"/>
      <c r="I72" s="129"/>
    </row>
    <row r="73" spans="1:9" x14ac:dyDescent="0.2">
      <c r="C73" t="s">
        <v>596</v>
      </c>
      <c r="E73" s="309">
        <v>0</v>
      </c>
      <c r="F73" s="33"/>
      <c r="G73" s="146"/>
      <c r="H73" s="141"/>
      <c r="I73" s="129"/>
    </row>
    <row r="74" spans="1:9" x14ac:dyDescent="0.2">
      <c r="C74" t="s">
        <v>239</v>
      </c>
      <c r="E74" s="309">
        <v>0</v>
      </c>
      <c r="F74" s="33"/>
      <c r="G74" s="146"/>
      <c r="H74" s="141"/>
      <c r="I74" s="129"/>
    </row>
    <row r="75" spans="1:9" x14ac:dyDescent="0.2">
      <c r="C75" t="s">
        <v>53</v>
      </c>
      <c r="E75" s="309">
        <v>0</v>
      </c>
      <c r="F75" s="33"/>
      <c r="G75" s="146"/>
      <c r="H75" s="141"/>
      <c r="I75" s="129"/>
    </row>
    <row r="76" spans="1:9" x14ac:dyDescent="0.2">
      <c r="C76" t="s">
        <v>835</v>
      </c>
      <c r="E76" s="309">
        <v>0</v>
      </c>
      <c r="F76" s="33"/>
      <c r="G76" s="146"/>
      <c r="H76" s="141"/>
      <c r="I76" s="129"/>
    </row>
    <row r="77" spans="1:9" x14ac:dyDescent="0.2">
      <c r="C77" t="s">
        <v>56</v>
      </c>
      <c r="E77" s="309">
        <v>0</v>
      </c>
      <c r="F77" s="33"/>
      <c r="G77" s="146"/>
      <c r="H77" s="141"/>
      <c r="I77" s="129"/>
    </row>
    <row r="78" spans="1:9" x14ac:dyDescent="0.2">
      <c r="C78" t="s">
        <v>57</v>
      </c>
      <c r="E78" s="309">
        <v>0</v>
      </c>
      <c r="F78" s="33"/>
      <c r="G78" s="146"/>
      <c r="H78" s="141"/>
      <c r="I78" s="129"/>
    </row>
    <row r="79" spans="1:9" x14ac:dyDescent="0.2">
      <c r="C79" t="s">
        <v>811</v>
      </c>
      <c r="E79" s="309">
        <v>0</v>
      </c>
      <c r="F79" s="33"/>
      <c r="G79" s="146"/>
      <c r="H79" s="141"/>
      <c r="I79" s="129"/>
    </row>
    <row r="80" spans="1:9" x14ac:dyDescent="0.2">
      <c r="C80" t="s">
        <v>812</v>
      </c>
      <c r="E80" s="309">
        <v>0</v>
      </c>
      <c r="F80" s="33"/>
      <c r="G80" s="146"/>
      <c r="H80" s="141"/>
      <c r="I80" s="129"/>
    </row>
    <row r="81" spans="3:9" x14ac:dyDescent="0.2">
      <c r="C81" t="s">
        <v>809</v>
      </c>
      <c r="E81" s="309">
        <v>0</v>
      </c>
      <c r="F81" s="33"/>
      <c r="G81" s="146"/>
      <c r="H81" s="141"/>
      <c r="I81" s="129"/>
    </row>
    <row r="82" spans="3:9" x14ac:dyDescent="0.2">
      <c r="C82" t="s">
        <v>597</v>
      </c>
      <c r="E82" s="309">
        <v>0</v>
      </c>
      <c r="F82" s="33"/>
      <c r="G82" s="146"/>
      <c r="H82" s="141"/>
      <c r="I82" s="6" t="s">
        <v>1078</v>
      </c>
    </row>
    <row r="83" spans="3:9" x14ac:dyDescent="0.2">
      <c r="C83" s="579" t="s">
        <v>2042</v>
      </c>
      <c r="E83" s="309">
        <v>0</v>
      </c>
      <c r="F83" s="33"/>
      <c r="G83" s="146"/>
      <c r="H83" s="141"/>
      <c r="I83" s="6"/>
    </row>
    <row r="84" spans="3:9" ht="38.25" x14ac:dyDescent="0.2">
      <c r="C84" s="590" t="s">
        <v>4006</v>
      </c>
      <c r="E84" s="309">
        <v>0</v>
      </c>
      <c r="F84" s="33"/>
      <c r="G84" s="146"/>
      <c r="H84" s="141"/>
      <c r="I84" s="6"/>
    </row>
    <row r="85" spans="3:9" ht="25.5" x14ac:dyDescent="0.2">
      <c r="C85" s="590" t="s">
        <v>4015</v>
      </c>
      <c r="E85" s="309">
        <v>0</v>
      </c>
      <c r="F85" s="33"/>
      <c r="G85" s="146"/>
      <c r="H85" s="141"/>
      <c r="I85" s="6"/>
    </row>
    <row r="86" spans="3:9" x14ac:dyDescent="0.2">
      <c r="C86" s="579" t="s">
        <v>4016</v>
      </c>
      <c r="E86" s="309">
        <v>0</v>
      </c>
      <c r="F86" s="33"/>
      <c r="G86" s="146"/>
      <c r="H86" s="141"/>
      <c r="I86" s="6"/>
    </row>
    <row r="87" spans="3:9" ht="38.25" x14ac:dyDescent="0.2">
      <c r="C87" s="613" t="s">
        <v>4018</v>
      </c>
      <c r="E87" s="309">
        <v>0</v>
      </c>
      <c r="F87" s="33"/>
      <c r="G87" s="146"/>
      <c r="H87" s="141"/>
      <c r="I87" s="6"/>
    </row>
    <row r="88" spans="3:9" x14ac:dyDescent="0.2">
      <c r="C88" s="579" t="s">
        <v>3975</v>
      </c>
      <c r="E88" s="309">
        <v>0</v>
      </c>
      <c r="F88" s="33"/>
      <c r="G88" s="146"/>
      <c r="H88" s="141"/>
      <c r="I88" s="6"/>
    </row>
    <row r="89" spans="3:9" ht="25.5" x14ac:dyDescent="0.2">
      <c r="C89" s="590" t="s">
        <v>4014</v>
      </c>
      <c r="E89" s="308">
        <v>0</v>
      </c>
      <c r="F89" s="33"/>
      <c r="G89" s="146"/>
      <c r="H89" s="141"/>
      <c r="I89" s="6"/>
    </row>
    <row r="90" spans="3:9" x14ac:dyDescent="0.2">
      <c r="C90" s="579" t="s">
        <v>4023</v>
      </c>
      <c r="E90" s="308">
        <v>0</v>
      </c>
      <c r="F90" s="33"/>
      <c r="G90" s="146"/>
      <c r="H90" s="141"/>
      <c r="I90" s="6"/>
    </row>
    <row r="91" spans="3:9" ht="42" customHeight="1" x14ac:dyDescent="0.2">
      <c r="C91" s="613" t="s">
        <v>4022</v>
      </c>
      <c r="E91" s="308">
        <v>0</v>
      </c>
      <c r="F91" s="33"/>
      <c r="G91" s="146"/>
      <c r="H91" s="141"/>
      <c r="I91" s="6"/>
    </row>
    <row r="92" spans="3:9" x14ac:dyDescent="0.2">
      <c r="C92" t="s">
        <v>598</v>
      </c>
      <c r="E92" s="145"/>
      <c r="F92" s="33"/>
      <c r="G92" s="309">
        <v>0</v>
      </c>
      <c r="H92" s="141"/>
      <c r="I92" s="129"/>
    </row>
    <row r="93" spans="3:9" x14ac:dyDescent="0.2">
      <c r="C93" t="s">
        <v>599</v>
      </c>
      <c r="E93" s="145"/>
      <c r="F93" s="33"/>
      <c r="G93" s="309">
        <v>0</v>
      </c>
      <c r="H93" s="141"/>
      <c r="I93" s="129"/>
    </row>
    <row r="94" spans="3:9" x14ac:dyDescent="0.2">
      <c r="C94" t="s">
        <v>600</v>
      </c>
      <c r="E94" s="145"/>
      <c r="F94" s="33"/>
      <c r="G94" s="309">
        <v>0</v>
      </c>
      <c r="H94" s="141"/>
      <c r="I94" s="129"/>
    </row>
    <row r="95" spans="3:9" x14ac:dyDescent="0.2">
      <c r="C95" t="s">
        <v>601</v>
      </c>
      <c r="E95" s="33"/>
      <c r="F95" s="33"/>
      <c r="G95" s="309">
        <v>0</v>
      </c>
      <c r="H95" s="141"/>
      <c r="I95" s="129"/>
    </row>
    <row r="96" spans="3:9" x14ac:dyDescent="0.2">
      <c r="C96" s="132" t="s">
        <v>58</v>
      </c>
      <c r="E96" s="33"/>
      <c r="F96" s="33"/>
      <c r="G96" s="309">
        <v>0</v>
      </c>
      <c r="H96" s="141"/>
      <c r="I96" s="129"/>
    </row>
    <row r="97" spans="2:9" x14ac:dyDescent="0.2">
      <c r="C97" s="132" t="s">
        <v>834</v>
      </c>
      <c r="E97" s="33"/>
      <c r="F97" s="33"/>
      <c r="G97" s="309">
        <v>0</v>
      </c>
      <c r="H97" s="141"/>
      <c r="I97" s="129"/>
    </row>
    <row r="98" spans="2:9" x14ac:dyDescent="0.2">
      <c r="C98" t="s">
        <v>916</v>
      </c>
      <c r="E98" s="33"/>
      <c r="F98" s="33"/>
      <c r="G98" s="309">
        <v>0</v>
      </c>
      <c r="H98" s="141"/>
      <c r="I98" s="129"/>
    </row>
    <row r="99" spans="2:9" x14ac:dyDescent="0.2">
      <c r="C99" t="s">
        <v>917</v>
      </c>
      <c r="E99" s="33"/>
      <c r="F99" s="33"/>
      <c r="G99" s="309">
        <v>0</v>
      </c>
      <c r="H99" s="141"/>
      <c r="I99" s="129"/>
    </row>
    <row r="100" spans="2:9" x14ac:dyDescent="0.2">
      <c r="C100" t="s">
        <v>370</v>
      </c>
      <c r="E100" s="33"/>
      <c r="F100" s="33"/>
      <c r="G100" s="309">
        <v>0</v>
      </c>
      <c r="H100" s="141"/>
      <c r="I100" s="129"/>
    </row>
    <row r="101" spans="2:9" x14ac:dyDescent="0.2">
      <c r="C101" t="s">
        <v>918</v>
      </c>
      <c r="E101" s="33"/>
      <c r="F101" s="33"/>
      <c r="G101" s="309">
        <v>0</v>
      </c>
      <c r="H101" s="141"/>
      <c r="I101" s="129"/>
    </row>
    <row r="102" spans="2:9" ht="51" x14ac:dyDescent="0.2">
      <c r="C102" s="611" t="s">
        <v>4006</v>
      </c>
      <c r="E102" s="33"/>
      <c r="F102" s="33"/>
      <c r="G102" s="309">
        <v>0</v>
      </c>
      <c r="H102" s="141"/>
      <c r="I102" s="129"/>
    </row>
    <row r="103" spans="2:9" ht="25.5" x14ac:dyDescent="0.2">
      <c r="C103" s="611" t="s">
        <v>4015</v>
      </c>
      <c r="E103" s="33"/>
      <c r="F103" s="33"/>
      <c r="G103" s="309">
        <v>0</v>
      </c>
      <c r="H103" s="141"/>
      <c r="I103" s="129"/>
    </row>
    <row r="104" spans="2:9" x14ac:dyDescent="0.2">
      <c r="C104" s="612" t="s">
        <v>4016</v>
      </c>
      <c r="E104" s="33"/>
      <c r="F104" s="33"/>
      <c r="G104" s="309">
        <v>0</v>
      </c>
      <c r="H104" s="141"/>
      <c r="I104" s="129"/>
    </row>
    <row r="105" spans="2:9" ht="38.25" x14ac:dyDescent="0.2">
      <c r="C105" s="611" t="s">
        <v>4018</v>
      </c>
      <c r="E105" s="33"/>
      <c r="F105" s="33"/>
      <c r="G105" s="309">
        <v>0</v>
      </c>
      <c r="H105" s="141"/>
      <c r="I105" s="129"/>
    </row>
    <row r="106" spans="2:9" ht="25.5" x14ac:dyDescent="0.2">
      <c r="C106" s="611" t="s">
        <v>4014</v>
      </c>
      <c r="E106" s="33"/>
      <c r="F106" s="33"/>
      <c r="G106" s="309">
        <v>0</v>
      </c>
      <c r="H106" s="141"/>
      <c r="I106" s="129"/>
    </row>
    <row r="107" spans="2:9" x14ac:dyDescent="0.2">
      <c r="C107" s="612" t="s">
        <v>4017</v>
      </c>
      <c r="E107" s="33"/>
      <c r="F107" s="33"/>
      <c r="G107" s="309">
        <v>0</v>
      </c>
      <c r="H107" s="141"/>
      <c r="I107" s="129"/>
    </row>
    <row r="108" spans="2:9" ht="25.5" x14ac:dyDescent="0.2">
      <c r="C108" s="611" t="s">
        <v>4022</v>
      </c>
      <c r="E108" s="33"/>
      <c r="F108" s="33"/>
      <c r="G108" s="309">
        <v>0</v>
      </c>
      <c r="H108" s="141"/>
      <c r="I108" s="129"/>
    </row>
    <row r="109" spans="2:9" x14ac:dyDescent="0.2">
      <c r="C109" t="s">
        <v>1077</v>
      </c>
      <c r="E109" s="71"/>
      <c r="F109" s="71"/>
      <c r="G109" s="292">
        <v>0</v>
      </c>
      <c r="H109" s="141"/>
      <c r="I109" s="185" t="s">
        <v>713</v>
      </c>
    </row>
    <row r="110" spans="2:9" ht="7.5" customHeight="1" x14ac:dyDescent="0.2">
      <c r="E110" s="71"/>
      <c r="F110" s="71"/>
      <c r="G110" s="71"/>
      <c r="H110" s="141"/>
      <c r="I110" s="129"/>
    </row>
    <row r="111" spans="2:9" ht="12.75" customHeight="1" x14ac:dyDescent="0.2">
      <c r="B111" s="46" t="s">
        <v>514</v>
      </c>
      <c r="C111" s="4" t="s">
        <v>826</v>
      </c>
      <c r="E111" s="71"/>
      <c r="F111" s="71"/>
      <c r="G111" s="71"/>
      <c r="H111" s="141"/>
      <c r="I111" s="129"/>
    </row>
    <row r="112" spans="2:9" x14ac:dyDescent="0.2">
      <c r="C112" s="132" t="s">
        <v>886</v>
      </c>
      <c r="D112" s="132"/>
      <c r="F112" s="1"/>
      <c r="G112" s="292">
        <v>0</v>
      </c>
      <c r="H112" s="1"/>
      <c r="I112" s="152"/>
    </row>
    <row r="113" spans="1:9" ht="12.75" customHeight="1" x14ac:dyDescent="0.2">
      <c r="C113" s="132" t="s">
        <v>827</v>
      </c>
      <c r="D113" s="132"/>
      <c r="E113" s="292">
        <v>0</v>
      </c>
      <c r="F113" s="1"/>
      <c r="H113" s="1"/>
      <c r="I113" s="152" t="s">
        <v>712</v>
      </c>
    </row>
    <row r="114" spans="1:9" x14ac:dyDescent="0.2">
      <c r="C114" s="132" t="s">
        <v>145</v>
      </c>
      <c r="D114" s="132"/>
      <c r="E114" s="292">
        <v>0</v>
      </c>
      <c r="F114" s="1"/>
      <c r="H114" s="1"/>
      <c r="I114" s="153" t="s">
        <v>1079</v>
      </c>
    </row>
    <row r="115" spans="1:9" x14ac:dyDescent="0.2">
      <c r="C115" s="132" t="s">
        <v>144</v>
      </c>
      <c r="D115" s="132"/>
      <c r="F115" s="1"/>
      <c r="G115" s="292">
        <v>0</v>
      </c>
      <c r="H115" s="1"/>
      <c r="I115" s="152"/>
    </row>
    <row r="116" spans="1:9" x14ac:dyDescent="0.2">
      <c r="C116" s="132" t="s">
        <v>612</v>
      </c>
      <c r="D116" s="132"/>
      <c r="F116" s="1"/>
      <c r="G116" s="292">
        <v>0</v>
      </c>
      <c r="H116" s="1"/>
      <c r="I116" s="153" t="s">
        <v>564</v>
      </c>
    </row>
    <row r="117" spans="1:9" ht="22.5" x14ac:dyDescent="0.2">
      <c r="C117" s="132" t="s">
        <v>28</v>
      </c>
      <c r="D117" s="132"/>
      <c r="E117" s="292">
        <v>0</v>
      </c>
      <c r="F117" s="1"/>
      <c r="H117" s="1"/>
      <c r="I117" s="151" t="s">
        <v>592</v>
      </c>
    </row>
    <row r="118" spans="1:9" x14ac:dyDescent="0.2">
      <c r="B118" s="28"/>
      <c r="C118" s="132"/>
      <c r="D118" s="132"/>
      <c r="F118" s="1"/>
      <c r="G118" s="1"/>
      <c r="H118" s="1"/>
      <c r="I118" s="1"/>
    </row>
    <row r="119" spans="1:9" ht="24" customHeight="1" x14ac:dyDescent="0.2">
      <c r="B119" s="46" t="s">
        <v>515</v>
      </c>
      <c r="C119" s="1223" t="s">
        <v>1080</v>
      </c>
      <c r="D119" s="1229">
        <v>0</v>
      </c>
      <c r="F119" s="1"/>
      <c r="H119" s="1"/>
      <c r="I119" s="153" t="s">
        <v>1081</v>
      </c>
    </row>
    <row r="120" spans="1:9" ht="21.75" customHeight="1" x14ac:dyDescent="0.2">
      <c r="B120" s="46"/>
      <c r="C120" s="1224"/>
      <c r="D120" s="1229"/>
      <c r="F120" s="1"/>
      <c r="H120" s="1"/>
      <c r="I120" s="152"/>
    </row>
    <row r="121" spans="1:9" x14ac:dyDescent="0.2">
      <c r="B121" s="28"/>
      <c r="C121" s="182" t="s">
        <v>1003</v>
      </c>
      <c r="D121" s="183">
        <f>G112-E113-E114+G115+G116-E117</f>
        <v>0</v>
      </c>
      <c r="F121" s="1"/>
      <c r="G121" s="1"/>
      <c r="H121" s="1"/>
      <c r="I121" s="1"/>
    </row>
    <row r="122" spans="1:9" ht="36" customHeight="1" thickBot="1" x14ac:dyDescent="0.25">
      <c r="C122" s="133" t="s">
        <v>1004</v>
      </c>
      <c r="D122" s="277">
        <f>D119-D121</f>
        <v>0</v>
      </c>
      <c r="E122" s="8"/>
      <c r="F122" s="184"/>
      <c r="G122" s="168">
        <f>D122</f>
        <v>0</v>
      </c>
      <c r="H122" s="1"/>
      <c r="I122" s="189" t="s">
        <v>350</v>
      </c>
    </row>
    <row r="123" spans="1:9" ht="18.75" customHeight="1" thickTop="1" thickBot="1" x14ac:dyDescent="0.25">
      <c r="C123" s="133"/>
      <c r="D123" s="133"/>
      <c r="E123" s="186">
        <f>SUM(E73:E122)</f>
        <v>0</v>
      </c>
      <c r="F123" s="1"/>
      <c r="G123" s="70">
        <f>SUM(G92:G122)</f>
        <v>0</v>
      </c>
      <c r="H123" s="1"/>
      <c r="I123" s="190" t="s">
        <v>351</v>
      </c>
    </row>
    <row r="124" spans="1:9" ht="13.5" thickTop="1" x14ac:dyDescent="0.2">
      <c r="C124" s="133"/>
      <c r="D124" s="133"/>
      <c r="F124" s="1"/>
      <c r="G124" s="1"/>
      <c r="H124" s="1"/>
      <c r="I124" s="1"/>
    </row>
    <row r="125" spans="1:9" ht="15" customHeight="1" x14ac:dyDescent="0.2">
      <c r="A125" s="4" t="s">
        <v>801</v>
      </c>
      <c r="B125" s="1215" t="s">
        <v>1082</v>
      </c>
      <c r="C125" s="1216"/>
      <c r="D125" s="1216"/>
      <c r="E125" s="1216"/>
      <c r="F125" s="1216"/>
      <c r="G125" s="1216"/>
      <c r="H125" s="1216"/>
      <c r="I125" s="1217"/>
    </row>
    <row r="126" spans="1:9" ht="25.5" customHeight="1" x14ac:dyDescent="0.2">
      <c r="B126" s="1218"/>
      <c r="C126" s="1219"/>
      <c r="D126" s="1219"/>
      <c r="E126" s="1219"/>
      <c r="F126" s="1219"/>
      <c r="G126" s="1219"/>
      <c r="H126" s="1219"/>
      <c r="I126" s="1220"/>
    </row>
    <row r="127" spans="1:9" x14ac:dyDescent="0.2">
      <c r="E127" s="1"/>
      <c r="F127" s="1"/>
      <c r="G127" s="141"/>
      <c r="H127" s="141"/>
      <c r="I127" s="129"/>
    </row>
    <row r="128" spans="1:9" ht="12.75" customHeight="1" x14ac:dyDescent="0.2">
      <c r="B128" s="28" t="s">
        <v>513</v>
      </c>
      <c r="C128" s="1019" t="s">
        <v>520</v>
      </c>
      <c r="D128" s="1019"/>
      <c r="E128" s="1019"/>
      <c r="F128" s="1"/>
      <c r="G128" s="1221"/>
      <c r="H128" s="141"/>
      <c r="I128" s="129"/>
    </row>
    <row r="129" spans="1:12" ht="45.75" customHeight="1" x14ac:dyDescent="0.2">
      <c r="C129" s="1019"/>
      <c r="D129" s="1019"/>
      <c r="E129" s="1019"/>
      <c r="F129" s="1"/>
      <c r="G129" s="1221"/>
      <c r="H129" s="141"/>
      <c r="I129" s="129"/>
    </row>
    <row r="130" spans="1:12" x14ac:dyDescent="0.2">
      <c r="E130" s="1"/>
      <c r="F130" s="1"/>
      <c r="G130" s="141"/>
      <c r="H130" s="141"/>
      <c r="I130" s="155" t="s">
        <v>919</v>
      </c>
    </row>
    <row r="131" spans="1:12" x14ac:dyDescent="0.2">
      <c r="B131" s="28" t="s">
        <v>514</v>
      </c>
      <c r="C131" s="1019" t="s">
        <v>1083</v>
      </c>
      <c r="D131" s="1019"/>
      <c r="E131" s="1019"/>
      <c r="F131" s="1"/>
      <c r="G131" s="1221"/>
      <c r="H131" s="141"/>
      <c r="I131" s="129"/>
    </row>
    <row r="132" spans="1:12" ht="47.25" customHeight="1" x14ac:dyDescent="0.2">
      <c r="C132" s="1019"/>
      <c r="D132" s="1019"/>
      <c r="E132" s="1019"/>
      <c r="F132" s="1"/>
      <c r="G132" s="1221"/>
      <c r="H132" s="141"/>
      <c r="I132" s="129"/>
    </row>
    <row r="133" spans="1:12" x14ac:dyDescent="0.2">
      <c r="E133" s="1"/>
      <c r="F133" s="1"/>
      <c r="G133" s="141"/>
      <c r="H133" s="141"/>
      <c r="I133" s="129"/>
    </row>
    <row r="134" spans="1:12" ht="13.5" customHeight="1" x14ac:dyDescent="0.2">
      <c r="A134" s="4" t="s">
        <v>807</v>
      </c>
      <c r="B134" s="1215" t="s">
        <v>504</v>
      </c>
      <c r="C134" s="1216"/>
      <c r="D134" s="1216"/>
      <c r="E134" s="1216"/>
      <c r="F134" s="1216"/>
      <c r="G134" s="1216"/>
      <c r="H134" s="1216"/>
      <c r="I134" s="1217"/>
      <c r="J134" s="1"/>
      <c r="K134" s="1"/>
      <c r="L134" s="1"/>
    </row>
    <row r="135" spans="1:12" ht="12" customHeight="1" x14ac:dyDescent="0.2">
      <c r="B135" s="1218"/>
      <c r="C135" s="1219"/>
      <c r="D135" s="1219"/>
      <c r="E135" s="1219"/>
      <c r="F135" s="1219"/>
      <c r="G135" s="1219"/>
      <c r="H135" s="1219"/>
      <c r="I135" s="1220"/>
      <c r="J135" s="1"/>
      <c r="K135" s="1"/>
      <c r="L135" s="1"/>
    </row>
    <row r="136" spans="1:12" ht="5.25" customHeight="1" x14ac:dyDescent="0.2">
      <c r="C136" s="143"/>
      <c r="D136" s="143"/>
      <c r="E136" s="128"/>
      <c r="F136" s="128"/>
      <c r="G136" s="128"/>
      <c r="H136" s="128"/>
      <c r="I136" s="128"/>
      <c r="J136" s="1"/>
      <c r="K136" s="1"/>
      <c r="L136" s="1"/>
    </row>
    <row r="137" spans="1:12" ht="37.5" customHeight="1" x14ac:dyDescent="0.2">
      <c r="C137" s="157" t="s">
        <v>833</v>
      </c>
      <c r="D137" s="157"/>
      <c r="E137" s="144" t="s">
        <v>593</v>
      </c>
      <c r="F137" s="142"/>
      <c r="G137" s="144" t="s">
        <v>594</v>
      </c>
      <c r="H137" s="142"/>
      <c r="I137" s="128"/>
      <c r="J137" s="1"/>
      <c r="K137" s="1"/>
      <c r="L137" s="1"/>
    </row>
    <row r="138" spans="1:12" x14ac:dyDescent="0.2">
      <c r="E138" s="1"/>
      <c r="F138" s="10"/>
      <c r="G138" s="1"/>
      <c r="H138" s="1"/>
      <c r="I138" s="1"/>
      <c r="J138" s="1"/>
      <c r="K138" s="1"/>
      <c r="L138" s="1"/>
    </row>
    <row r="139" spans="1:12" x14ac:dyDescent="0.2">
      <c r="C139" t="str">
        <f>+$C39</f>
        <v>General government</v>
      </c>
      <c r="E139" s="236">
        <f t="shared" ref="E139:E147" si="1">D$122*G39</f>
        <v>0</v>
      </c>
      <c r="F139" s="1"/>
      <c r="G139" s="1"/>
      <c r="H139" s="1"/>
      <c r="I139" s="1"/>
      <c r="J139" s="1"/>
      <c r="K139" s="1"/>
      <c r="L139" s="1"/>
    </row>
    <row r="140" spans="1:12" x14ac:dyDescent="0.2">
      <c r="C140" t="str">
        <f>+C40</f>
        <v>Public safety</v>
      </c>
      <c r="E140" s="236">
        <f t="shared" si="1"/>
        <v>0</v>
      </c>
      <c r="F140" s="1"/>
      <c r="G140" s="1"/>
      <c r="H140" s="1"/>
      <c r="I140" s="1"/>
      <c r="J140" s="1"/>
      <c r="K140" s="1"/>
      <c r="L140" s="1"/>
    </row>
    <row r="141" spans="1:12" x14ac:dyDescent="0.2">
      <c r="C141" t="str">
        <f>+C41</f>
        <v>Transportation</v>
      </c>
      <c r="E141" s="236">
        <f t="shared" si="1"/>
        <v>0</v>
      </c>
      <c r="F141" s="1"/>
      <c r="G141" s="1"/>
      <c r="H141" s="1"/>
      <c r="I141" s="1"/>
      <c r="J141" s="1"/>
      <c r="K141" s="1"/>
      <c r="L141" s="1"/>
    </row>
    <row r="142" spans="1:12" x14ac:dyDescent="0.2">
      <c r="C142" t="s">
        <v>816</v>
      </c>
      <c r="E142" s="236">
        <f t="shared" si="1"/>
        <v>0</v>
      </c>
      <c r="F142" s="1"/>
      <c r="G142" s="1"/>
      <c r="H142" s="1"/>
      <c r="I142" s="1"/>
      <c r="J142" s="1"/>
      <c r="K142" s="1"/>
      <c r="L142" s="1"/>
    </row>
    <row r="143" spans="1:12" x14ac:dyDescent="0.2">
      <c r="C143" t="s">
        <v>805</v>
      </c>
      <c r="E143" s="236">
        <f t="shared" si="1"/>
        <v>0</v>
      </c>
      <c r="F143" s="1"/>
      <c r="G143" s="1"/>
      <c r="H143" s="1"/>
      <c r="I143" s="1"/>
      <c r="J143" s="1"/>
      <c r="K143" s="1"/>
      <c r="L143" s="1"/>
    </row>
    <row r="144" spans="1:12" x14ac:dyDescent="0.2">
      <c r="C144" t="s">
        <v>307</v>
      </c>
      <c r="E144" s="236">
        <f t="shared" si="1"/>
        <v>0</v>
      </c>
      <c r="F144" s="1"/>
      <c r="G144" s="1"/>
      <c r="H144" s="1"/>
      <c r="I144" s="1"/>
      <c r="J144" s="1"/>
      <c r="K144" s="1"/>
      <c r="L144" s="1"/>
    </row>
    <row r="145" spans="1:12" x14ac:dyDescent="0.2">
      <c r="C145" t="s">
        <v>19</v>
      </c>
      <c r="E145" s="236">
        <f t="shared" si="1"/>
        <v>0</v>
      </c>
      <c r="F145" s="1"/>
      <c r="G145" s="1"/>
      <c r="H145" s="1"/>
      <c r="I145" s="6"/>
      <c r="J145" s="1"/>
      <c r="K145" s="1"/>
      <c r="L145" s="1"/>
    </row>
    <row r="146" spans="1:12" x14ac:dyDescent="0.2">
      <c r="C146" t="s">
        <v>172</v>
      </c>
      <c r="E146" s="236">
        <f t="shared" si="1"/>
        <v>0</v>
      </c>
      <c r="F146" s="1"/>
      <c r="G146" s="1"/>
      <c r="H146" s="1"/>
      <c r="I146" s="187"/>
      <c r="J146" s="1"/>
      <c r="K146" s="1"/>
      <c r="L146" s="1"/>
    </row>
    <row r="147" spans="1:12" ht="12.75" customHeight="1" x14ac:dyDescent="0.2">
      <c r="C147" s="280" t="s">
        <v>726</v>
      </c>
      <c r="E147" s="236">
        <f t="shared" si="1"/>
        <v>0</v>
      </c>
      <c r="F147" s="1"/>
      <c r="G147" s="1"/>
      <c r="H147" s="1"/>
      <c r="J147" s="1"/>
      <c r="K147" s="1"/>
      <c r="L147" s="1"/>
    </row>
    <row r="148" spans="1:12" x14ac:dyDescent="0.2">
      <c r="E148" s="1"/>
      <c r="F148" s="1"/>
      <c r="G148" s="1"/>
      <c r="H148" s="1"/>
      <c r="I148" s="1153" t="s">
        <v>187</v>
      </c>
      <c r="J148" s="1"/>
      <c r="K148" s="1"/>
      <c r="L148" s="1"/>
    </row>
    <row r="149" spans="1:12" ht="12" customHeight="1" x14ac:dyDescent="0.2">
      <c r="C149" t="str">
        <f>+C52</f>
        <v>Water and sewer</v>
      </c>
      <c r="E149" s="1"/>
      <c r="F149" s="1"/>
      <c r="G149" s="236">
        <f>D$122*G52</f>
        <v>0</v>
      </c>
      <c r="H149" s="1"/>
      <c r="I149" s="1153"/>
      <c r="J149" s="1"/>
      <c r="K149" s="1"/>
      <c r="L149" s="1"/>
    </row>
    <row r="150" spans="1:12" x14ac:dyDescent="0.2">
      <c r="C150" t="str">
        <f>+C53</f>
        <v>Electric</v>
      </c>
      <c r="E150" s="1"/>
      <c r="F150" s="1"/>
      <c r="G150" s="236">
        <f>D$122*G53</f>
        <v>0</v>
      </c>
      <c r="H150" s="1"/>
      <c r="I150" s="1153"/>
      <c r="J150" s="1"/>
      <c r="K150" s="1"/>
      <c r="L150" s="1"/>
    </row>
    <row r="151" spans="1:12" x14ac:dyDescent="0.2">
      <c r="C151" s="280" t="s">
        <v>735</v>
      </c>
      <c r="E151" s="1"/>
      <c r="F151" s="1"/>
      <c r="G151" s="236">
        <f>D$122*G54</f>
        <v>0</v>
      </c>
      <c r="H151" s="1"/>
      <c r="I151" s="1153"/>
      <c r="J151" s="1"/>
      <c r="K151" s="1"/>
      <c r="L151" s="1"/>
    </row>
    <row r="152" spans="1:12" x14ac:dyDescent="0.2">
      <c r="C152" s="280" t="s">
        <v>736</v>
      </c>
      <c r="E152" s="1"/>
      <c r="F152" s="1"/>
      <c r="G152" s="236">
        <f>D$122*G55</f>
        <v>0</v>
      </c>
      <c r="H152" s="1"/>
      <c r="I152" s="1233"/>
      <c r="J152" s="1"/>
      <c r="K152" s="1"/>
      <c r="L152" s="1"/>
    </row>
    <row r="153" spans="1:12" ht="13.5" thickBot="1" x14ac:dyDescent="0.25">
      <c r="C153" s="132" t="s">
        <v>595</v>
      </c>
      <c r="D153" s="132"/>
      <c r="E153" s="70">
        <f>SUM(E139:E152)</f>
        <v>0</v>
      </c>
      <c r="F153" s="1"/>
      <c r="G153" s="70">
        <f>SUM(G149:G152)</f>
        <v>0</v>
      </c>
      <c r="H153" s="191" t="s">
        <v>512</v>
      </c>
      <c r="I153" s="70">
        <f>SUM(E153:G153)</f>
        <v>0</v>
      </c>
      <c r="J153" s="1"/>
      <c r="K153" s="1"/>
      <c r="L153" s="1"/>
    </row>
    <row r="154" spans="1:12" ht="13.5" thickTop="1" x14ac:dyDescent="0.2">
      <c r="E154" s="1"/>
      <c r="F154" s="1"/>
      <c r="G154" s="1"/>
      <c r="H154" s="1"/>
      <c r="I154" s="129"/>
    </row>
    <row r="155" spans="1:12" ht="25.5" customHeight="1" x14ac:dyDescent="0.2">
      <c r="A155" s="4" t="s">
        <v>823</v>
      </c>
      <c r="B155" s="1107" t="s">
        <v>1023</v>
      </c>
      <c r="C155" s="1108"/>
      <c r="D155" s="1108"/>
      <c r="E155" s="1108"/>
      <c r="F155" s="1108"/>
      <c r="G155" s="1108"/>
      <c r="H155" s="1108"/>
      <c r="I155" s="1109"/>
    </row>
    <row r="156" spans="1:12" ht="12.75" customHeight="1" x14ac:dyDescent="0.2">
      <c r="E156" s="1"/>
      <c r="F156" s="1"/>
      <c r="G156" s="1"/>
      <c r="H156" s="1"/>
      <c r="I156" s="129"/>
    </row>
    <row r="157" spans="1:12" x14ac:dyDescent="0.2">
      <c r="E157" s="3" t="s">
        <v>509</v>
      </c>
      <c r="F157" s="33"/>
      <c r="G157" s="3" t="s">
        <v>510</v>
      </c>
      <c r="H157" s="33"/>
    </row>
    <row r="158" spans="1:12" x14ac:dyDescent="0.2">
      <c r="E158" s="174"/>
      <c r="F158" s="33"/>
      <c r="G158" s="178"/>
      <c r="H158" s="33"/>
      <c r="I158" s="154"/>
    </row>
    <row r="159" spans="1:12" x14ac:dyDescent="0.2">
      <c r="A159" s="158" t="s">
        <v>565</v>
      </c>
      <c r="C159" t="s">
        <v>596</v>
      </c>
      <c r="E159" s="62">
        <f t="shared" ref="E159:E177" si="2">E73</f>
        <v>0</v>
      </c>
      <c r="G159" s="57"/>
    </row>
    <row r="160" spans="1:12" x14ac:dyDescent="0.2">
      <c r="C160" t="s">
        <v>239</v>
      </c>
      <c r="E160" s="62">
        <f t="shared" si="2"/>
        <v>0</v>
      </c>
      <c r="G160" s="57"/>
    </row>
    <row r="161" spans="3:9" x14ac:dyDescent="0.2">
      <c r="C161" t="s">
        <v>53</v>
      </c>
      <c r="E161" s="62">
        <f t="shared" si="2"/>
        <v>0</v>
      </c>
      <c r="G161" s="57"/>
    </row>
    <row r="162" spans="3:9" x14ac:dyDescent="0.2">
      <c r="C162" t="s">
        <v>835</v>
      </c>
      <c r="E162" s="62">
        <f t="shared" si="2"/>
        <v>0</v>
      </c>
      <c r="G162" s="57"/>
    </row>
    <row r="163" spans="3:9" x14ac:dyDescent="0.2">
      <c r="C163" t="s">
        <v>56</v>
      </c>
      <c r="E163" s="62">
        <f t="shared" si="2"/>
        <v>0</v>
      </c>
      <c r="G163" s="57"/>
    </row>
    <row r="164" spans="3:9" x14ac:dyDescent="0.2">
      <c r="C164" t="s">
        <v>57</v>
      </c>
      <c r="E164" s="62">
        <f t="shared" si="2"/>
        <v>0</v>
      </c>
      <c r="G164" s="57"/>
    </row>
    <row r="165" spans="3:9" x14ac:dyDescent="0.2">
      <c r="C165" t="s">
        <v>811</v>
      </c>
      <c r="E165" s="62">
        <f t="shared" si="2"/>
        <v>0</v>
      </c>
      <c r="G165" s="57"/>
    </row>
    <row r="166" spans="3:9" x14ac:dyDescent="0.2">
      <c r="C166" t="s">
        <v>812</v>
      </c>
      <c r="E166" s="62">
        <f t="shared" si="2"/>
        <v>0</v>
      </c>
      <c r="G166" s="57"/>
    </row>
    <row r="167" spans="3:9" x14ac:dyDescent="0.2">
      <c r="C167" t="s">
        <v>809</v>
      </c>
      <c r="E167" s="62">
        <f t="shared" si="2"/>
        <v>0</v>
      </c>
      <c r="G167" s="57"/>
    </row>
    <row r="168" spans="3:9" x14ac:dyDescent="0.2">
      <c r="C168" t="s">
        <v>597</v>
      </c>
      <c r="E168" s="62">
        <f t="shared" si="2"/>
        <v>0</v>
      </c>
      <c r="G168" s="57"/>
      <c r="I168" s="6" t="s">
        <v>1025</v>
      </c>
    </row>
    <row r="169" spans="3:9" x14ac:dyDescent="0.2">
      <c r="C169" s="579" t="s">
        <v>2042</v>
      </c>
      <c r="E169" s="62">
        <f t="shared" si="2"/>
        <v>0</v>
      </c>
      <c r="G169" s="57"/>
      <c r="I169" s="6"/>
    </row>
    <row r="170" spans="3:9" ht="38.25" x14ac:dyDescent="0.2">
      <c r="C170" s="590" t="s">
        <v>4006</v>
      </c>
      <c r="E170" s="62">
        <f t="shared" si="2"/>
        <v>0</v>
      </c>
      <c r="G170" s="57"/>
      <c r="I170" s="6"/>
    </row>
    <row r="171" spans="3:9" ht="25.5" x14ac:dyDescent="0.2">
      <c r="C171" s="590" t="s">
        <v>4015</v>
      </c>
      <c r="E171" s="62">
        <f t="shared" si="2"/>
        <v>0</v>
      </c>
      <c r="G171" s="57"/>
      <c r="I171" s="6"/>
    </row>
    <row r="172" spans="3:9" x14ac:dyDescent="0.2">
      <c r="C172" s="579" t="s">
        <v>4016</v>
      </c>
      <c r="E172" s="62">
        <f t="shared" si="2"/>
        <v>0</v>
      </c>
      <c r="G172" s="57"/>
      <c r="I172" s="6"/>
    </row>
    <row r="173" spans="3:9" ht="28.9" customHeight="1" x14ac:dyDescent="0.2">
      <c r="C173" s="613" t="s">
        <v>4018</v>
      </c>
      <c r="E173" s="62">
        <f t="shared" si="2"/>
        <v>0</v>
      </c>
      <c r="G173" s="57"/>
      <c r="I173" s="6"/>
    </row>
    <row r="174" spans="3:9" x14ac:dyDescent="0.2">
      <c r="C174" s="579" t="s">
        <v>3975</v>
      </c>
      <c r="E174" s="62">
        <f t="shared" si="2"/>
        <v>0</v>
      </c>
      <c r="G174" s="57"/>
      <c r="I174" s="6"/>
    </row>
    <row r="175" spans="3:9" ht="25.5" x14ac:dyDescent="0.2">
      <c r="C175" s="590" t="s">
        <v>4014</v>
      </c>
      <c r="E175" s="62">
        <f t="shared" si="2"/>
        <v>0</v>
      </c>
      <c r="G175" s="57"/>
      <c r="I175" s="6"/>
    </row>
    <row r="176" spans="3:9" x14ac:dyDescent="0.2">
      <c r="C176" s="579" t="s">
        <v>4023</v>
      </c>
      <c r="E176" s="62">
        <f t="shared" si="2"/>
        <v>0</v>
      </c>
      <c r="G176" s="57"/>
      <c r="I176" s="6"/>
    </row>
    <row r="177" spans="3:9" ht="28.9" customHeight="1" x14ac:dyDescent="0.2">
      <c r="C177" s="613" t="s">
        <v>4022</v>
      </c>
      <c r="E177" s="62">
        <f t="shared" si="2"/>
        <v>0</v>
      </c>
      <c r="G177" s="57"/>
      <c r="I177" s="6"/>
    </row>
    <row r="178" spans="3:9" x14ac:dyDescent="0.2">
      <c r="C178" t="s">
        <v>598</v>
      </c>
      <c r="E178" s="57"/>
      <c r="G178" s="62">
        <f t="shared" ref="G178:G191" si="3">G92</f>
        <v>0</v>
      </c>
    </row>
    <row r="179" spans="3:9" x14ac:dyDescent="0.2">
      <c r="C179" t="s">
        <v>599</v>
      </c>
      <c r="E179" s="57"/>
      <c r="G179" s="62">
        <f t="shared" si="3"/>
        <v>0</v>
      </c>
    </row>
    <row r="180" spans="3:9" x14ac:dyDescent="0.2">
      <c r="C180" t="s">
        <v>600</v>
      </c>
      <c r="E180" s="57"/>
      <c r="G180" s="62">
        <f t="shared" si="3"/>
        <v>0</v>
      </c>
    </row>
    <row r="181" spans="3:9" x14ac:dyDescent="0.2">
      <c r="C181" t="s">
        <v>601</v>
      </c>
      <c r="E181" s="57"/>
      <c r="G181" s="62">
        <f t="shared" si="3"/>
        <v>0</v>
      </c>
    </row>
    <row r="182" spans="3:9" x14ac:dyDescent="0.2">
      <c r="C182" s="132" t="s">
        <v>58</v>
      </c>
      <c r="E182" s="57"/>
      <c r="G182" s="62">
        <f t="shared" si="3"/>
        <v>0</v>
      </c>
    </row>
    <row r="183" spans="3:9" x14ac:dyDescent="0.2">
      <c r="C183" s="132" t="s">
        <v>834</v>
      </c>
      <c r="E183" s="57"/>
      <c r="G183" s="62">
        <f t="shared" si="3"/>
        <v>0</v>
      </c>
    </row>
    <row r="184" spans="3:9" x14ac:dyDescent="0.2">
      <c r="C184" t="s">
        <v>916</v>
      </c>
      <c r="E184" s="57"/>
      <c r="G184" s="62">
        <f t="shared" si="3"/>
        <v>0</v>
      </c>
    </row>
    <row r="185" spans="3:9" x14ac:dyDescent="0.2">
      <c r="C185" t="s">
        <v>917</v>
      </c>
      <c r="E185" s="57"/>
      <c r="G185" s="62">
        <f t="shared" si="3"/>
        <v>0</v>
      </c>
    </row>
    <row r="186" spans="3:9" x14ac:dyDescent="0.2">
      <c r="C186" t="s">
        <v>370</v>
      </c>
      <c r="E186" s="57"/>
      <c r="G186" s="62">
        <f t="shared" si="3"/>
        <v>0</v>
      </c>
    </row>
    <row r="187" spans="3:9" x14ac:dyDescent="0.2">
      <c r="C187" t="s">
        <v>918</v>
      </c>
      <c r="E187" s="57"/>
      <c r="G187" s="62">
        <f t="shared" si="3"/>
        <v>0</v>
      </c>
    </row>
    <row r="188" spans="3:9" ht="51" x14ac:dyDescent="0.2">
      <c r="C188" s="611" t="s">
        <v>4006</v>
      </c>
      <c r="E188" s="57"/>
      <c r="G188" s="62">
        <f t="shared" si="3"/>
        <v>0</v>
      </c>
    </row>
    <row r="189" spans="3:9" ht="25.5" x14ac:dyDescent="0.2">
      <c r="C189" s="611" t="s">
        <v>4015</v>
      </c>
      <c r="E189" s="57"/>
      <c r="G189" s="62">
        <f t="shared" si="3"/>
        <v>0</v>
      </c>
    </row>
    <row r="190" spans="3:9" x14ac:dyDescent="0.2">
      <c r="C190" s="612" t="s">
        <v>4016</v>
      </c>
      <c r="E190" s="57"/>
      <c r="G190" s="62">
        <f t="shared" si="3"/>
        <v>0</v>
      </c>
    </row>
    <row r="191" spans="3:9" ht="38.25" x14ac:dyDescent="0.2">
      <c r="C191" s="611" t="s">
        <v>4018</v>
      </c>
      <c r="E191" s="57"/>
      <c r="G191" s="62">
        <f t="shared" si="3"/>
        <v>0</v>
      </c>
    </row>
    <row r="192" spans="3:9" ht="25.5" x14ac:dyDescent="0.2">
      <c r="C192" s="611" t="s">
        <v>4014</v>
      </c>
      <c r="E192" s="57"/>
      <c r="G192" s="62">
        <f t="shared" ref="G192:G194" si="4">G106</f>
        <v>0</v>
      </c>
    </row>
    <row r="193" spans="3:9" x14ac:dyDescent="0.2">
      <c r="C193" s="612" t="s">
        <v>4017</v>
      </c>
      <c r="E193" s="57"/>
      <c r="G193" s="62">
        <f t="shared" si="4"/>
        <v>0</v>
      </c>
    </row>
    <row r="194" spans="3:9" ht="25.5" x14ac:dyDescent="0.2">
      <c r="C194" s="611" t="s">
        <v>4022</v>
      </c>
      <c r="E194" s="57"/>
      <c r="G194" s="62">
        <f t="shared" si="4"/>
        <v>0</v>
      </c>
    </row>
    <row r="195" spans="3:9" x14ac:dyDescent="0.2">
      <c r="C195" t="s">
        <v>477</v>
      </c>
      <c r="E195" s="11"/>
      <c r="G195" s="11">
        <f>G109+G131</f>
        <v>0</v>
      </c>
    </row>
    <row r="196" spans="3:9" ht="6" customHeight="1" x14ac:dyDescent="0.2">
      <c r="E196" s="57"/>
      <c r="G196" s="57"/>
    </row>
    <row r="197" spans="3:9" x14ac:dyDescent="0.2">
      <c r="C197" t="s">
        <v>416</v>
      </c>
      <c r="E197" s="57"/>
      <c r="G197" s="11">
        <f>G112</f>
        <v>0</v>
      </c>
    </row>
    <row r="198" spans="3:9" x14ac:dyDescent="0.2">
      <c r="C198" t="s">
        <v>602</v>
      </c>
      <c r="E198" s="57"/>
      <c r="G198" s="11">
        <f>G116</f>
        <v>0</v>
      </c>
    </row>
    <row r="199" spans="3:9" x14ac:dyDescent="0.2">
      <c r="C199" t="s">
        <v>603</v>
      </c>
      <c r="E199" s="11">
        <f>E117</f>
        <v>0</v>
      </c>
      <c r="G199" s="57"/>
      <c r="I199" s="6" t="s">
        <v>148</v>
      </c>
    </row>
    <row r="200" spans="3:9" x14ac:dyDescent="0.2">
      <c r="C200" t="s">
        <v>478</v>
      </c>
      <c r="E200" s="11">
        <f>E113</f>
        <v>0</v>
      </c>
      <c r="G200" s="57"/>
    </row>
    <row r="201" spans="3:9" x14ac:dyDescent="0.2">
      <c r="C201" t="s">
        <v>146</v>
      </c>
      <c r="E201" s="11"/>
      <c r="G201" s="11">
        <f>G115</f>
        <v>0</v>
      </c>
    </row>
    <row r="202" spans="3:9" x14ac:dyDescent="0.2">
      <c r="C202" t="s">
        <v>147</v>
      </c>
      <c r="E202" s="11">
        <f>E114</f>
        <v>0</v>
      </c>
      <c r="G202" s="57"/>
    </row>
    <row r="203" spans="3:9" ht="6" customHeight="1" x14ac:dyDescent="0.2">
      <c r="E203" s="57"/>
      <c r="G203" s="57"/>
    </row>
    <row r="204" spans="3:9" x14ac:dyDescent="0.2">
      <c r="C204" s="132" t="s">
        <v>604</v>
      </c>
      <c r="D204" s="132"/>
      <c r="E204" s="11"/>
      <c r="G204" s="11">
        <f t="shared" ref="G204:G212" si="5">E139</f>
        <v>0</v>
      </c>
    </row>
    <row r="205" spans="3:9" x14ac:dyDescent="0.2">
      <c r="C205" s="132" t="s">
        <v>605</v>
      </c>
      <c r="D205" s="132"/>
      <c r="E205" s="11"/>
      <c r="G205" s="11">
        <f t="shared" si="5"/>
        <v>0</v>
      </c>
    </row>
    <row r="206" spans="3:9" x14ac:dyDescent="0.2">
      <c r="C206" s="132" t="s">
        <v>606</v>
      </c>
      <c r="D206" s="132"/>
      <c r="E206" s="11"/>
      <c r="G206" s="11">
        <f t="shared" si="5"/>
        <v>0</v>
      </c>
    </row>
    <row r="207" spans="3:9" x14ac:dyDescent="0.2">
      <c r="C207" t="s">
        <v>1024</v>
      </c>
      <c r="E207" s="11"/>
      <c r="G207" s="11">
        <f t="shared" si="5"/>
        <v>0</v>
      </c>
    </row>
    <row r="208" spans="3:9" x14ac:dyDescent="0.2">
      <c r="C208" s="132" t="s">
        <v>607</v>
      </c>
      <c r="D208" s="132"/>
      <c r="E208" s="11"/>
      <c r="G208" s="11">
        <f t="shared" si="5"/>
        <v>0</v>
      </c>
      <c r="I208" s="6" t="s">
        <v>149</v>
      </c>
    </row>
    <row r="209" spans="3:9" x14ac:dyDescent="0.2">
      <c r="C209" s="132" t="s">
        <v>307</v>
      </c>
      <c r="D209" s="132"/>
      <c r="E209" s="11"/>
      <c r="G209" s="11">
        <f t="shared" si="5"/>
        <v>0</v>
      </c>
    </row>
    <row r="210" spans="3:9" x14ac:dyDescent="0.2">
      <c r="C210" s="132" t="s">
        <v>608</v>
      </c>
      <c r="D210" s="132"/>
      <c r="E210" s="11"/>
      <c r="G210" s="11">
        <f t="shared" si="5"/>
        <v>0</v>
      </c>
    </row>
    <row r="211" spans="3:9" x14ac:dyDescent="0.2">
      <c r="C211" s="132" t="s">
        <v>172</v>
      </c>
      <c r="D211" s="132"/>
      <c r="E211" s="11"/>
      <c r="G211" s="11">
        <f t="shared" si="5"/>
        <v>0</v>
      </c>
    </row>
    <row r="212" spans="3:9" x14ac:dyDescent="0.2">
      <c r="C212" s="323" t="s">
        <v>726</v>
      </c>
      <c r="D212" s="132"/>
      <c r="E212" s="11"/>
      <c r="G212" s="11">
        <f t="shared" si="5"/>
        <v>0</v>
      </c>
    </row>
    <row r="213" spans="3:9" x14ac:dyDescent="0.2">
      <c r="C213" s="132" t="s">
        <v>711</v>
      </c>
      <c r="D213" s="132"/>
      <c r="E213" s="11"/>
      <c r="G213" s="11">
        <f>G153+G128</f>
        <v>0</v>
      </c>
    </row>
    <row r="214" spans="3:9" ht="6.75" customHeight="1" x14ac:dyDescent="0.2">
      <c r="C214" s="132"/>
      <c r="D214" s="132"/>
      <c r="E214" s="10"/>
      <c r="F214" s="1"/>
      <c r="G214" s="10"/>
    </row>
    <row r="215" spans="3:9" ht="13.5" thickBot="1" x14ac:dyDescent="0.25">
      <c r="C215" s="132"/>
      <c r="D215" s="132"/>
      <c r="E215" s="70">
        <f>SUM(E159:E213)</f>
        <v>0</v>
      </c>
      <c r="F215" s="1"/>
      <c r="G215" s="70">
        <f>SUM(G159:G213)</f>
        <v>0</v>
      </c>
    </row>
    <row r="216" spans="3:9" ht="18.75" customHeight="1" thickTop="1" x14ac:dyDescent="0.2">
      <c r="C216" s="132"/>
      <c r="D216" s="132"/>
      <c r="E216" s="10"/>
      <c r="F216" s="1"/>
      <c r="G216" s="10"/>
    </row>
    <row r="217" spans="3:9" x14ac:dyDescent="0.2">
      <c r="C217" s="1134" t="s">
        <v>609</v>
      </c>
      <c r="D217" s="1134"/>
      <c r="E217" t="s">
        <v>49</v>
      </c>
    </row>
    <row r="219" spans="3:9" x14ac:dyDescent="0.2">
      <c r="C219" t="s">
        <v>352</v>
      </c>
      <c r="E219" s="11">
        <f>G153+G128</f>
        <v>0</v>
      </c>
      <c r="G219" s="57"/>
    </row>
    <row r="220" spans="3:9" ht="12.75" customHeight="1" x14ac:dyDescent="0.2">
      <c r="C220" s="132" t="s">
        <v>610</v>
      </c>
      <c r="D220" s="132"/>
      <c r="E220" s="57"/>
      <c r="G220" s="11">
        <f>G149</f>
        <v>0</v>
      </c>
    </row>
    <row r="221" spans="3:9" ht="22.5" x14ac:dyDescent="0.2">
      <c r="C221" s="132" t="s">
        <v>611</v>
      </c>
      <c r="D221" s="132"/>
      <c r="E221" s="57"/>
      <c r="G221" s="11">
        <f>G150</f>
        <v>0</v>
      </c>
      <c r="I221" s="264" t="s">
        <v>638</v>
      </c>
    </row>
    <row r="222" spans="3:9" x14ac:dyDescent="0.2">
      <c r="C222" s="323" t="s">
        <v>635</v>
      </c>
      <c r="D222" s="132"/>
      <c r="E222" s="57"/>
      <c r="G222" s="11">
        <f>G151</f>
        <v>0</v>
      </c>
      <c r="I222" s="338"/>
    </row>
    <row r="223" spans="3:9" x14ac:dyDescent="0.2">
      <c r="C223" s="323" t="s">
        <v>636</v>
      </c>
      <c r="D223" s="132"/>
      <c r="E223" s="57"/>
      <c r="G223" s="11">
        <f>G152</f>
        <v>0</v>
      </c>
      <c r="I223" s="338"/>
    </row>
    <row r="224" spans="3:9" x14ac:dyDescent="0.2">
      <c r="C224" s="132" t="s">
        <v>732</v>
      </c>
      <c r="D224" s="132"/>
      <c r="E224" s="57"/>
      <c r="G224" s="159">
        <f>G128</f>
        <v>0</v>
      </c>
    </row>
    <row r="225" spans="3:9" ht="13.5" thickBot="1" x14ac:dyDescent="0.25">
      <c r="E225" s="58">
        <f>SUM(E219:E221)</f>
        <v>0</v>
      </c>
      <c r="G225" s="65">
        <f>SUM(G220:G224)</f>
        <v>0</v>
      </c>
    </row>
    <row r="226" spans="3:9" ht="13.5" thickTop="1" x14ac:dyDescent="0.2"/>
    <row r="227" spans="3:9" x14ac:dyDescent="0.2">
      <c r="C227" s="1106" t="s">
        <v>491</v>
      </c>
      <c r="D227" s="1019"/>
      <c r="E227" s="1019"/>
      <c r="F227" s="1019"/>
      <c r="G227" s="1019"/>
      <c r="H227" s="1019"/>
      <c r="I227" s="1019"/>
    </row>
    <row r="228" spans="3:9" x14ac:dyDescent="0.2">
      <c r="C228" s="1019"/>
      <c r="D228" s="1019"/>
      <c r="E228" s="1019"/>
      <c r="F228" s="1019"/>
      <c r="G228" s="1019"/>
      <c r="H228" s="1019"/>
      <c r="I228" s="1019"/>
    </row>
  </sheetData>
  <sheetProtection algorithmName="SHA-512" hashValue="zQ+h2gdTQc/MINPgrIbmGMrqNok9oG7JIF+3W6X3mlzsMCx8UIEs/xSHrAaFQIeM/P1yh0JdJjNnjvN3wxqs8w==" saltValue="fLfS8D2auRmW1srKtNtm/Q==" spinCount="100000" sheet="1" objects="1" scenarios="1"/>
  <customSheetViews>
    <customSheetView guid="{D2B860EA-92EC-4999-9A59-C624E1F8C7FB}" hiddenRows="1">
      <selection activeCell="N122" sqref="N122"/>
      <rowBreaks count="2" manualBreakCount="2">
        <brk id="68" max="8" man="1"/>
        <brk id="153" max="8" man="1"/>
      </rowBreaks>
      <pageMargins left="0.39" right="0.4" top="0.66" bottom="0.5" header="0.5" footer="0.5"/>
      <printOptions horizontalCentered="1"/>
      <pageSetup scale="70" orientation="portrait" r:id="rId1"/>
      <headerFooter alignWithMargins="0">
        <oddHeader>&amp;REntry K.3</oddHeader>
        <oddFooter>&amp;L&amp;8&amp;D - County model&amp;R&amp;P</oddFooter>
      </headerFooter>
    </customSheetView>
    <customSheetView guid="{C1197650-3ED8-49E4-8E4C-0D1D4B503FC0}" hiddenRows="1">
      <selection activeCell="N122" sqref="N122"/>
      <rowBreaks count="2" manualBreakCount="2">
        <brk id="68" max="8" man="1"/>
        <brk id="153" max="8" man="1"/>
      </rowBreaks>
      <pageMargins left="0.39" right="0.4" top="0.66" bottom="0.5" header="0.5" footer="0.5"/>
      <printOptions horizontalCentered="1"/>
      <pageSetup scale="70" orientation="portrait" r:id="rId2"/>
      <headerFooter alignWithMargins="0">
        <oddHeader>&amp;REntry K.3</oddHeader>
        <oddFooter>&amp;L&amp;8&amp;D - County model&amp;R&amp;P</oddFooter>
      </headerFooter>
    </customSheetView>
  </customSheetViews>
  <mergeCells count="27">
    <mergeCell ref="C227:I228"/>
    <mergeCell ref="B125:I126"/>
    <mergeCell ref="C131:E132"/>
    <mergeCell ref="G131:G132"/>
    <mergeCell ref="G65:I66"/>
    <mergeCell ref="C119:C120"/>
    <mergeCell ref="D119:D120"/>
    <mergeCell ref="C217:D217"/>
    <mergeCell ref="C66:D66"/>
    <mergeCell ref="B155:I155"/>
    <mergeCell ref="B134:I135"/>
    <mergeCell ref="C128:E129"/>
    <mergeCell ref="G128:G129"/>
    <mergeCell ref="B69:I70"/>
    <mergeCell ref="I148:I152"/>
    <mergeCell ref="C30:I30"/>
    <mergeCell ref="C1:I1"/>
    <mergeCell ref="C35:G35"/>
    <mergeCell ref="B2:I3"/>
    <mergeCell ref="B4:I4"/>
    <mergeCell ref="C14:I15"/>
    <mergeCell ref="C20:I21"/>
    <mergeCell ref="C23:I23"/>
    <mergeCell ref="C27:I28"/>
    <mergeCell ref="C17:I18"/>
    <mergeCell ref="C24:I25"/>
    <mergeCell ref="B32:I33"/>
  </mergeCells>
  <phoneticPr fontId="14" type="noConversion"/>
  <printOptions horizontalCentered="1"/>
  <pageMargins left="0.39" right="0.4" top="0.66" bottom="0.5" header="0.5" footer="0.5"/>
  <pageSetup scale="70" orientation="portrait" r:id="rId3"/>
  <headerFooter alignWithMargins="0">
    <oddHeader>&amp;REntry K.3</oddHeader>
    <oddFooter>&amp;L&amp;8&amp;D - County model&amp;R&amp;P</oddFooter>
  </headerFooter>
  <rowBreaks count="2" manualBreakCount="2">
    <brk id="68" max="8" man="1"/>
    <brk id="153" max="8" man="1"/>
  </rowBreaks>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07"/>
  <sheetViews>
    <sheetView topLeftCell="A19" workbookViewId="0">
      <selection activeCell="L195" sqref="L195"/>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2.140625" customWidth="1"/>
    <col min="14" max="14" width="18" bestFit="1" customWidth="1"/>
    <col min="15" max="15" width="0.85546875" customWidth="1"/>
    <col min="16" max="16" width="1.140625" customWidth="1"/>
    <col min="17" max="17" width="12.85546875" bestFit="1" customWidth="1"/>
  </cols>
  <sheetData>
    <row r="1" spans="1:16" ht="7.5" customHeight="1" x14ac:dyDescent="0.2"/>
    <row r="2" spans="1:16" ht="33.75" customHeight="1" x14ac:dyDescent="0.25">
      <c r="A2" s="1103" t="s">
        <v>403</v>
      </c>
      <c r="B2" s="1104"/>
      <c r="C2" s="1104"/>
      <c r="D2" s="1104"/>
      <c r="E2" s="1104"/>
      <c r="F2" s="1104"/>
      <c r="G2" s="1104"/>
      <c r="H2" s="1104"/>
      <c r="I2" s="1104"/>
      <c r="J2" s="1104"/>
      <c r="K2" s="1104"/>
      <c r="L2" s="1104"/>
      <c r="M2" s="1104"/>
      <c r="N2" s="1104"/>
      <c r="O2" s="1105"/>
    </row>
    <row r="3" spans="1:16" ht="12" customHeight="1" x14ac:dyDescent="0.2">
      <c r="H3" s="31"/>
    </row>
    <row r="4" spans="1:16" ht="64.5" customHeight="1" x14ac:dyDescent="0.2">
      <c r="B4" s="1019" t="s">
        <v>273</v>
      </c>
      <c r="C4" s="1032"/>
      <c r="D4" s="1032"/>
      <c r="E4" s="1032"/>
      <c r="F4" s="1032"/>
      <c r="G4" s="1032"/>
      <c r="H4" s="1032"/>
      <c r="I4" s="1032"/>
      <c r="J4" s="1032"/>
      <c r="K4" s="1032"/>
      <c r="L4" s="1032"/>
      <c r="M4" s="1032"/>
      <c r="N4" s="1032"/>
      <c r="O4" s="1032"/>
      <c r="P4" s="1032"/>
    </row>
    <row r="5" spans="1:16" ht="7.5" customHeight="1" x14ac:dyDescent="0.2">
      <c r="B5" s="24"/>
    </row>
    <row r="6" spans="1:16" ht="12.75" customHeight="1" x14ac:dyDescent="0.2">
      <c r="A6" s="4"/>
      <c r="B6" s="30" t="s">
        <v>513</v>
      </c>
      <c r="C6" s="1019" t="s">
        <v>799</v>
      </c>
      <c r="D6" s="1019"/>
      <c r="E6" s="1019"/>
      <c r="F6" s="1019"/>
      <c r="G6" s="1019"/>
      <c r="H6" s="1019"/>
      <c r="I6" s="1019"/>
      <c r="J6" s="1019"/>
      <c r="K6" s="1019"/>
      <c r="L6" s="1019"/>
      <c r="M6" s="1019"/>
      <c r="N6" s="1019"/>
    </row>
    <row r="7" spans="1:16" ht="52.5" customHeight="1" x14ac:dyDescent="0.2">
      <c r="A7" s="4"/>
      <c r="B7" s="30"/>
      <c r="C7" s="1019"/>
      <c r="D7" s="1019"/>
      <c r="E7" s="1019"/>
      <c r="F7" s="1019"/>
      <c r="G7" s="1019"/>
      <c r="H7" s="1019"/>
      <c r="I7" s="1019"/>
      <c r="J7" s="1019"/>
      <c r="K7" s="1019"/>
      <c r="L7" s="1019"/>
      <c r="M7" s="1019"/>
      <c r="N7" s="1019"/>
    </row>
    <row r="8" spans="1:16" ht="6.75" customHeight="1" x14ac:dyDescent="0.2">
      <c r="B8" s="30"/>
    </row>
    <row r="9" spans="1:16" ht="12.75" customHeight="1" x14ac:dyDescent="0.2">
      <c r="B9" s="30" t="s">
        <v>514</v>
      </c>
      <c r="C9" s="1019" t="s">
        <v>155</v>
      </c>
      <c r="D9" s="1019"/>
      <c r="E9" s="1019"/>
      <c r="F9" s="1019"/>
      <c r="G9" s="1019"/>
      <c r="H9" s="1019"/>
      <c r="I9" s="1019"/>
      <c r="J9" s="1019"/>
      <c r="K9" s="1019"/>
      <c r="L9" s="1019"/>
      <c r="M9" s="1019"/>
      <c r="N9" s="1019"/>
    </row>
    <row r="10" spans="1:16" ht="51" customHeight="1" x14ac:dyDescent="0.2">
      <c r="B10" s="30"/>
      <c r="C10" s="1019"/>
      <c r="D10" s="1019"/>
      <c r="E10" s="1019"/>
      <c r="F10" s="1019"/>
      <c r="G10" s="1019"/>
      <c r="H10" s="1019"/>
      <c r="I10" s="1019"/>
      <c r="J10" s="1019"/>
      <c r="K10" s="1019"/>
      <c r="L10" s="1019"/>
      <c r="M10" s="1019"/>
      <c r="N10" s="1019"/>
    </row>
    <row r="11" spans="1:16" ht="6.75" customHeight="1" x14ac:dyDescent="0.2">
      <c r="B11" s="30"/>
      <c r="C11" s="24"/>
    </row>
    <row r="12" spans="1:16" ht="12.75" customHeight="1" x14ac:dyDescent="0.2">
      <c r="B12" s="30" t="s">
        <v>515</v>
      </c>
      <c r="C12" s="1106" t="s">
        <v>1064</v>
      </c>
      <c r="D12" s="1106"/>
      <c r="E12" s="1106"/>
      <c r="F12" s="1106"/>
      <c r="G12" s="1106"/>
      <c r="H12" s="1106"/>
      <c r="I12" s="1106"/>
      <c r="J12" s="1106"/>
      <c r="K12" s="1106"/>
      <c r="L12" s="1106"/>
      <c r="M12" s="1106"/>
      <c r="N12" s="1106"/>
    </row>
    <row r="13" spans="1:16" ht="12.75" customHeight="1" x14ac:dyDescent="0.2">
      <c r="B13" s="30"/>
      <c r="C13" s="1106"/>
      <c r="D13" s="1106"/>
      <c r="E13" s="1106"/>
      <c r="F13" s="1106"/>
      <c r="G13" s="1106"/>
      <c r="H13" s="1106"/>
      <c r="I13" s="1106"/>
      <c r="J13" s="1106"/>
      <c r="K13" s="1106"/>
      <c r="L13" s="1106"/>
      <c r="M13" s="1106"/>
      <c r="N13" s="1106"/>
    </row>
    <row r="14" spans="1:16" ht="12.75" customHeight="1" x14ac:dyDescent="0.2">
      <c r="B14" s="30"/>
      <c r="C14" s="1106"/>
      <c r="D14" s="1106"/>
      <c r="E14" s="1106"/>
      <c r="F14" s="1106"/>
      <c r="G14" s="1106"/>
      <c r="H14" s="1106"/>
      <c r="I14" s="1106"/>
      <c r="J14" s="1106"/>
      <c r="K14" s="1106"/>
      <c r="L14" s="1106"/>
      <c r="M14" s="1106"/>
      <c r="N14" s="1106"/>
    </row>
    <row r="15" spans="1:16" ht="12.75" customHeight="1" x14ac:dyDescent="0.2">
      <c r="B15" s="30"/>
      <c r="C15" s="1106"/>
      <c r="D15" s="1106"/>
      <c r="E15" s="1106"/>
      <c r="F15" s="1106"/>
      <c r="G15" s="1106"/>
      <c r="H15" s="1106"/>
      <c r="I15" s="1106"/>
      <c r="J15" s="1106"/>
      <c r="K15" s="1106"/>
      <c r="L15" s="1106"/>
      <c r="M15" s="1106"/>
      <c r="N15" s="1106"/>
    </row>
    <row r="16" spans="1:16" ht="12.75" customHeight="1" x14ac:dyDescent="0.2">
      <c r="B16" s="30"/>
      <c r="C16" s="1106"/>
      <c r="D16" s="1106"/>
      <c r="E16" s="1106"/>
      <c r="F16" s="1106"/>
      <c r="G16" s="1106"/>
      <c r="H16" s="1106"/>
      <c r="I16" s="1106"/>
      <c r="J16" s="1106"/>
      <c r="K16" s="1106"/>
      <c r="L16" s="1106"/>
      <c r="M16" s="1106"/>
      <c r="N16" s="1106"/>
    </row>
    <row r="17" spans="2:14" ht="7.5" customHeight="1" x14ac:dyDescent="0.2">
      <c r="B17" s="30"/>
      <c r="C17" s="24"/>
    </row>
    <row r="18" spans="2:14" ht="15" customHeight="1" x14ac:dyDescent="0.2">
      <c r="B18" s="30" t="s">
        <v>541</v>
      </c>
      <c r="C18" s="1029" t="s">
        <v>626</v>
      </c>
      <c r="D18" s="1019"/>
      <c r="E18" s="1019"/>
      <c r="F18" s="1019"/>
      <c r="G18" s="1019"/>
      <c r="H18" s="1019"/>
      <c r="I18" s="1019"/>
      <c r="J18" s="1019"/>
      <c r="K18" s="1019"/>
      <c r="L18" s="1019"/>
      <c r="M18" s="1019"/>
      <c r="N18" s="1019"/>
    </row>
    <row r="19" spans="2:14" ht="102.6" customHeight="1" x14ac:dyDescent="0.2">
      <c r="B19" s="30"/>
      <c r="C19" s="1019"/>
      <c r="D19" s="1019"/>
      <c r="E19" s="1019"/>
      <c r="F19" s="1019"/>
      <c r="G19" s="1019"/>
      <c r="H19" s="1019"/>
      <c r="I19" s="1019"/>
      <c r="J19" s="1019"/>
      <c r="K19" s="1019"/>
      <c r="L19" s="1019"/>
      <c r="M19" s="1019"/>
      <c r="N19" s="1019"/>
    </row>
    <row r="20" spans="2:14" ht="7.5" customHeight="1" x14ac:dyDescent="0.2">
      <c r="B20" s="30"/>
      <c r="C20" s="24"/>
    </row>
    <row r="21" spans="2:14" ht="12.75" customHeight="1" x14ac:dyDescent="0.2">
      <c r="B21" s="30" t="s">
        <v>542</v>
      </c>
      <c r="C21" s="1169" t="s">
        <v>1065</v>
      </c>
      <c r="D21" s="1169"/>
      <c r="E21" s="1169"/>
      <c r="F21" s="1169"/>
      <c r="G21" s="1169"/>
      <c r="H21" s="1169"/>
      <c r="I21" s="1169"/>
      <c r="J21" s="1169"/>
      <c r="K21" s="1169"/>
      <c r="L21" s="1169"/>
      <c r="M21" s="1169"/>
      <c r="N21" s="1169"/>
    </row>
    <row r="22" spans="2:14" ht="12.75" customHeight="1" x14ac:dyDescent="0.2">
      <c r="B22" s="30"/>
      <c r="C22" s="1169"/>
      <c r="D22" s="1169"/>
      <c r="E22" s="1169"/>
      <c r="F22" s="1169"/>
      <c r="G22" s="1169"/>
      <c r="H22" s="1169"/>
      <c r="I22" s="1169"/>
      <c r="J22" s="1169"/>
      <c r="K22" s="1169"/>
      <c r="L22" s="1169"/>
      <c r="M22" s="1169"/>
      <c r="N22" s="1169"/>
    </row>
    <row r="23" spans="2:14" ht="12.75" customHeight="1" x14ac:dyDescent="0.2">
      <c r="B23" s="30"/>
      <c r="C23" s="1169"/>
      <c r="D23" s="1169"/>
      <c r="E23" s="1169"/>
      <c r="F23" s="1169"/>
      <c r="G23" s="1169"/>
      <c r="H23" s="1169"/>
      <c r="I23" s="1169"/>
      <c r="J23" s="1169"/>
      <c r="K23" s="1169"/>
      <c r="L23" s="1169"/>
      <c r="M23" s="1169"/>
      <c r="N23" s="1169"/>
    </row>
    <row r="24" spans="2:14" ht="12.75" customHeight="1" x14ac:dyDescent="0.2">
      <c r="B24" s="30"/>
      <c r="C24" s="1169"/>
      <c r="D24" s="1169"/>
      <c r="E24" s="1169"/>
      <c r="F24" s="1169"/>
      <c r="G24" s="1169"/>
      <c r="H24" s="1169"/>
      <c r="I24" s="1169"/>
      <c r="J24" s="1169"/>
      <c r="K24" s="1169"/>
      <c r="L24" s="1169"/>
      <c r="M24" s="1169"/>
      <c r="N24" s="1169"/>
    </row>
    <row r="25" spans="2:14" ht="12.75" customHeight="1" x14ac:dyDescent="0.2">
      <c r="B25" s="30"/>
      <c r="C25" s="1169"/>
      <c r="D25" s="1169"/>
      <c r="E25" s="1169"/>
      <c r="F25" s="1169"/>
      <c r="G25" s="1169"/>
      <c r="H25" s="1169"/>
      <c r="I25" s="1169"/>
      <c r="J25" s="1169"/>
      <c r="K25" s="1169"/>
      <c r="L25" s="1169"/>
      <c r="M25" s="1169"/>
      <c r="N25" s="1169"/>
    </row>
    <row r="26" spans="2:14" ht="16.899999999999999" customHeight="1" x14ac:dyDescent="0.2">
      <c r="B26" s="30"/>
      <c r="C26" s="1169"/>
      <c r="D26" s="1169"/>
      <c r="E26" s="1169"/>
      <c r="F26" s="1169"/>
      <c r="G26" s="1169"/>
      <c r="H26" s="1169"/>
      <c r="I26" s="1169"/>
      <c r="J26" s="1169"/>
      <c r="K26" s="1169"/>
      <c r="L26" s="1169"/>
      <c r="M26" s="1169"/>
      <c r="N26" s="1169"/>
    </row>
    <row r="27" spans="2:14" ht="7.5" customHeight="1" x14ac:dyDescent="0.2">
      <c r="B27" s="30"/>
      <c r="C27" s="24"/>
    </row>
    <row r="28" spans="2:14" ht="12.75" customHeight="1" x14ac:dyDescent="0.2">
      <c r="B28" s="30" t="s">
        <v>855</v>
      </c>
      <c r="C28" s="1019" t="s">
        <v>162</v>
      </c>
      <c r="D28" s="1019"/>
      <c r="E28" s="1019"/>
      <c r="F28" s="1019"/>
      <c r="G28" s="1019"/>
      <c r="H28" s="1019"/>
      <c r="I28" s="1019"/>
      <c r="J28" s="1019"/>
      <c r="K28" s="1019"/>
      <c r="L28" s="1019"/>
      <c r="M28" s="1019"/>
      <c r="N28" s="1019"/>
    </row>
    <row r="29" spans="2:14" ht="24.75" customHeight="1" x14ac:dyDescent="0.2">
      <c r="B29" s="30"/>
      <c r="C29" s="1019"/>
      <c r="D29" s="1019"/>
      <c r="E29" s="1019"/>
      <c r="F29" s="1019"/>
      <c r="G29" s="1019"/>
      <c r="H29" s="1019"/>
      <c r="I29" s="1019"/>
      <c r="J29" s="1019"/>
      <c r="K29" s="1019"/>
      <c r="L29" s="1019"/>
      <c r="M29" s="1019"/>
      <c r="N29" s="1019"/>
    </row>
    <row r="30" spans="2:14" ht="7.5" customHeight="1" x14ac:dyDescent="0.2">
      <c r="B30" s="30"/>
      <c r="C30" s="24"/>
    </row>
    <row r="31" spans="2:14" ht="12.75" customHeight="1" x14ac:dyDescent="0.2">
      <c r="B31" s="30" t="s">
        <v>937</v>
      </c>
      <c r="C31" s="1019" t="s">
        <v>139</v>
      </c>
      <c r="D31" s="1019"/>
      <c r="E31" s="1019"/>
      <c r="F31" s="1019"/>
      <c r="G31" s="1019"/>
      <c r="H31" s="1019"/>
      <c r="I31" s="1019"/>
      <c r="J31" s="1019"/>
      <c r="K31" s="1019"/>
      <c r="L31" s="1019"/>
      <c r="M31" s="1019"/>
      <c r="N31" s="1019"/>
    </row>
    <row r="32" spans="2:14" ht="12.75" customHeight="1" x14ac:dyDescent="0.2">
      <c r="B32" s="30"/>
      <c r="C32" s="1019"/>
      <c r="D32" s="1019"/>
      <c r="E32" s="1019"/>
      <c r="F32" s="1019"/>
      <c r="G32" s="1019"/>
      <c r="H32" s="1019"/>
      <c r="I32" s="1019"/>
      <c r="J32" s="1019"/>
      <c r="K32" s="1019"/>
      <c r="L32" s="1019"/>
      <c r="M32" s="1019"/>
      <c r="N32" s="1019"/>
    </row>
    <row r="33" spans="1:14" ht="13.5" customHeight="1" x14ac:dyDescent="0.2">
      <c r="B33" s="30"/>
      <c r="C33" s="1019"/>
      <c r="D33" s="1019"/>
      <c r="E33" s="1019"/>
      <c r="F33" s="1019"/>
      <c r="G33" s="1019"/>
      <c r="H33" s="1019"/>
      <c r="I33" s="1019"/>
      <c r="J33" s="1019"/>
      <c r="K33" s="1019"/>
      <c r="L33" s="1019"/>
      <c r="M33" s="1019"/>
      <c r="N33" s="1019"/>
    </row>
    <row r="34" spans="1:14" ht="12.75" customHeight="1" x14ac:dyDescent="0.2">
      <c r="B34" s="30"/>
      <c r="C34" s="1019"/>
      <c r="D34" s="1019"/>
      <c r="E34" s="1019"/>
      <c r="F34" s="1019"/>
      <c r="G34" s="1019"/>
      <c r="H34" s="1019"/>
      <c r="I34" s="1019"/>
      <c r="J34" s="1019"/>
      <c r="K34" s="1019"/>
      <c r="L34" s="1019"/>
      <c r="M34" s="1019"/>
      <c r="N34" s="1019"/>
    </row>
    <row r="35" spans="1:14" ht="7.5" customHeight="1" x14ac:dyDescent="0.2">
      <c r="B35" s="30"/>
      <c r="C35" s="24"/>
      <c r="D35" s="24"/>
      <c r="E35" s="24"/>
      <c r="F35" s="24"/>
      <c r="G35" s="24"/>
      <c r="H35" s="24"/>
      <c r="I35" s="24"/>
      <c r="J35" s="24"/>
      <c r="K35" s="24"/>
      <c r="L35" s="24"/>
      <c r="M35" s="24"/>
      <c r="N35" s="24"/>
    </row>
    <row r="36" spans="1:14" ht="12.75" customHeight="1" x14ac:dyDescent="0.2">
      <c r="B36" s="30" t="s">
        <v>293</v>
      </c>
      <c r="C36" s="1019" t="s">
        <v>643</v>
      </c>
      <c r="D36" s="1019"/>
      <c r="E36" s="1019"/>
      <c r="F36" s="1019"/>
      <c r="G36" s="1019"/>
      <c r="H36" s="1019"/>
      <c r="I36" s="1019"/>
      <c r="J36" s="1019"/>
      <c r="K36" s="1019"/>
      <c r="L36" s="1019"/>
      <c r="M36" s="1019"/>
      <c r="N36" s="1019"/>
    </row>
    <row r="37" spans="1:14" ht="12.75" customHeight="1" x14ac:dyDescent="0.2">
      <c r="B37" s="30"/>
      <c r="C37" s="1019"/>
      <c r="D37" s="1019"/>
      <c r="E37" s="1019"/>
      <c r="F37" s="1019"/>
      <c r="G37" s="1019"/>
      <c r="H37" s="1019"/>
      <c r="I37" s="1019"/>
      <c r="J37" s="1019"/>
      <c r="K37" s="1019"/>
      <c r="L37" s="1019"/>
      <c r="M37" s="1019"/>
      <c r="N37" s="1019"/>
    </row>
    <row r="38" spans="1:14" ht="12.75" customHeight="1" x14ac:dyDescent="0.2">
      <c r="B38" s="30"/>
      <c r="C38" s="1019"/>
      <c r="D38" s="1019"/>
      <c r="E38" s="1019"/>
      <c r="F38" s="1019"/>
      <c r="G38" s="1019"/>
      <c r="H38" s="1019"/>
      <c r="I38" s="1019"/>
      <c r="J38" s="1019"/>
      <c r="K38" s="1019"/>
      <c r="L38" s="1019"/>
      <c r="M38" s="1019"/>
      <c r="N38" s="1019"/>
    </row>
    <row r="39" spans="1:14" ht="12.75" customHeight="1" x14ac:dyDescent="0.2">
      <c r="B39" s="30"/>
      <c r="C39" s="1019"/>
      <c r="D39" s="1019"/>
      <c r="E39" s="1019"/>
      <c r="F39" s="1019"/>
      <c r="G39" s="1019"/>
      <c r="H39" s="1019"/>
      <c r="I39" s="1019"/>
      <c r="J39" s="1019"/>
      <c r="K39" s="1019"/>
      <c r="L39" s="1019"/>
      <c r="M39" s="1019"/>
      <c r="N39" s="1019"/>
    </row>
    <row r="40" spans="1:14" ht="12.75" customHeight="1" x14ac:dyDescent="0.2">
      <c r="B40" s="30"/>
      <c r="C40" s="1019"/>
      <c r="D40" s="1019"/>
      <c r="E40" s="1019"/>
      <c r="F40" s="1019"/>
      <c r="G40" s="1019"/>
      <c r="H40" s="1019"/>
      <c r="I40" s="1019"/>
      <c r="J40" s="1019"/>
      <c r="K40" s="1019"/>
      <c r="L40" s="1019"/>
      <c r="M40" s="1019"/>
      <c r="N40" s="1019"/>
    </row>
    <row r="41" spans="1:14" ht="7.5" customHeight="1" x14ac:dyDescent="0.2">
      <c r="B41" s="30"/>
      <c r="C41" s="24"/>
      <c r="D41" s="24"/>
      <c r="E41" s="24"/>
      <c r="F41" s="24"/>
      <c r="G41" s="24"/>
      <c r="H41" s="24"/>
      <c r="I41" s="24"/>
      <c r="J41" s="24"/>
      <c r="K41" s="24"/>
      <c r="L41" s="24"/>
      <c r="M41" s="24"/>
      <c r="N41" s="24"/>
    </row>
    <row r="42" spans="1:14" ht="12.75" customHeight="1" x14ac:dyDescent="0.2">
      <c r="B42" s="30" t="s">
        <v>33</v>
      </c>
      <c r="C42" s="1019" t="s">
        <v>1066</v>
      </c>
      <c r="D42" s="1019"/>
      <c r="E42" s="1019"/>
      <c r="F42" s="1019"/>
      <c r="G42" s="1019"/>
      <c r="H42" s="1019"/>
      <c r="I42" s="1019"/>
      <c r="J42" s="1019"/>
      <c r="K42" s="1019"/>
      <c r="L42" s="1019"/>
      <c r="M42" s="1019"/>
      <c r="N42" s="1019"/>
    </row>
    <row r="43" spans="1:14" ht="12.75" customHeight="1" x14ac:dyDescent="0.2">
      <c r="B43" s="30"/>
      <c r="C43" s="1019"/>
      <c r="D43" s="1019"/>
      <c r="E43" s="1019"/>
      <c r="F43" s="1019"/>
      <c r="G43" s="1019"/>
      <c r="H43" s="1019"/>
      <c r="I43" s="1019"/>
      <c r="J43" s="1019"/>
      <c r="K43" s="1019"/>
      <c r="L43" s="1019"/>
      <c r="M43" s="1019"/>
      <c r="N43" s="1019"/>
    </row>
    <row r="44" spans="1:14" ht="12.75" customHeight="1" x14ac:dyDescent="0.2">
      <c r="B44" s="30"/>
      <c r="C44" s="1019"/>
      <c r="D44" s="1019"/>
      <c r="E44" s="1019"/>
      <c r="F44" s="1019"/>
      <c r="G44" s="1019"/>
      <c r="H44" s="1019"/>
      <c r="I44" s="1019"/>
      <c r="J44" s="1019"/>
      <c r="K44" s="1019"/>
      <c r="L44" s="1019"/>
      <c r="M44" s="1019"/>
      <c r="N44" s="1019"/>
    </row>
    <row r="45" spans="1:14" ht="22.5" customHeight="1" x14ac:dyDescent="0.2">
      <c r="B45" s="30"/>
      <c r="C45" s="24"/>
    </row>
    <row r="46" spans="1:14" ht="25.5" customHeight="1" x14ac:dyDescent="0.2">
      <c r="A46" s="4" t="s">
        <v>539</v>
      </c>
      <c r="B46" s="1107" t="s">
        <v>85</v>
      </c>
      <c r="C46" s="1108"/>
      <c r="D46" s="1108"/>
      <c r="E46" s="1108"/>
      <c r="F46" s="1108"/>
      <c r="G46" s="1108"/>
      <c r="H46" s="1108"/>
      <c r="I46" s="1108"/>
      <c r="J46" s="1108"/>
      <c r="K46" s="1108"/>
      <c r="L46" s="1108"/>
      <c r="M46" s="1108"/>
      <c r="N46" s="1109"/>
    </row>
    <row r="49" spans="1:19" x14ac:dyDescent="0.2">
      <c r="B49" s="28" t="s">
        <v>513</v>
      </c>
      <c r="C49" s="1019" t="s">
        <v>402</v>
      </c>
      <c r="D49" s="1019"/>
      <c r="E49" s="1019"/>
      <c r="F49" s="1019"/>
      <c r="G49" s="1019"/>
      <c r="H49" s="1019"/>
      <c r="I49" s="1019"/>
      <c r="J49" s="1019"/>
      <c r="K49" s="1019"/>
      <c r="L49" s="1019"/>
      <c r="N49" s="1234">
        <f>200000+70000+619059+10000+1500000</f>
        <v>2399059</v>
      </c>
      <c r="S49" t="s">
        <v>4216</v>
      </c>
    </row>
    <row r="50" spans="1:19" ht="12" customHeight="1" x14ac:dyDescent="0.2">
      <c r="C50" s="1019"/>
      <c r="D50" s="1019"/>
      <c r="E50" s="1019"/>
      <c r="F50" s="1019"/>
      <c r="G50" s="1019"/>
      <c r="H50" s="1019"/>
      <c r="I50" s="1019"/>
      <c r="J50" s="1019"/>
      <c r="K50" s="1019"/>
      <c r="L50" s="1019"/>
      <c r="N50" s="1234"/>
      <c r="Q50" s="1007">
        <f>200000+70000+619059+10000+1500000</f>
        <v>2399059</v>
      </c>
      <c r="R50" s="1008">
        <f>N49-Q50</f>
        <v>0</v>
      </c>
      <c r="S50" t="s">
        <v>4215</v>
      </c>
    </row>
    <row r="51" spans="1:19" x14ac:dyDescent="0.2">
      <c r="C51" s="6"/>
    </row>
    <row r="52" spans="1:19" ht="16.5" customHeight="1" x14ac:dyDescent="0.2">
      <c r="B52" s="28" t="s">
        <v>514</v>
      </c>
      <c r="C52" s="1106" t="s">
        <v>68</v>
      </c>
      <c r="D52" s="1106"/>
      <c r="E52" s="1106"/>
      <c r="F52" s="1106"/>
      <c r="G52" s="1106"/>
      <c r="H52" s="1106"/>
      <c r="I52" s="1106"/>
      <c r="J52" s="1106"/>
      <c r="K52" s="1106"/>
      <c r="L52" s="1106"/>
      <c r="N52" s="1141">
        <v>0</v>
      </c>
    </row>
    <row r="53" spans="1:19" x14ac:dyDescent="0.2">
      <c r="C53" s="1106"/>
      <c r="D53" s="1106"/>
      <c r="E53" s="1106"/>
      <c r="F53" s="1106"/>
      <c r="G53" s="1106"/>
      <c r="H53" s="1106"/>
      <c r="I53" s="1106"/>
      <c r="J53" s="1106"/>
      <c r="K53" s="1106"/>
      <c r="L53" s="1106"/>
      <c r="N53" s="1141"/>
    </row>
    <row r="54" spans="1:19" x14ac:dyDescent="0.2">
      <c r="C54" s="192"/>
      <c r="D54" s="193"/>
      <c r="E54" s="193"/>
      <c r="F54" s="193"/>
      <c r="G54" s="193"/>
      <c r="H54" s="193"/>
      <c r="I54" s="193"/>
      <c r="J54" s="193"/>
      <c r="K54" s="193"/>
      <c r="L54" s="193"/>
      <c r="M54" s="193"/>
    </row>
    <row r="55" spans="1:19" x14ac:dyDescent="0.2">
      <c r="C55" s="6"/>
    </row>
    <row r="56" spans="1:19" x14ac:dyDescent="0.2">
      <c r="C56" s="6"/>
    </row>
    <row r="57" spans="1:19" ht="25.5" customHeight="1" x14ac:dyDescent="0.2">
      <c r="A57" s="4" t="s">
        <v>540</v>
      </c>
      <c r="B57" s="1100" t="s">
        <v>86</v>
      </c>
      <c r="C57" s="1110"/>
      <c r="D57" s="1110"/>
      <c r="E57" s="1110"/>
      <c r="F57" s="1110"/>
      <c r="G57" s="1110"/>
      <c r="H57" s="1110"/>
      <c r="I57" s="1110"/>
      <c r="J57" s="1110"/>
      <c r="K57" s="1110"/>
      <c r="L57" s="1110"/>
      <c r="M57" s="1110"/>
      <c r="N57" s="1111"/>
    </row>
    <row r="58" spans="1:19" x14ac:dyDescent="0.2">
      <c r="H58" s="1"/>
    </row>
    <row r="59" spans="1:19" x14ac:dyDescent="0.2">
      <c r="H59" s="1"/>
    </row>
    <row r="60" spans="1:19" x14ac:dyDescent="0.2">
      <c r="B60" s="28" t="s">
        <v>513</v>
      </c>
      <c r="C60" s="1019" t="s">
        <v>577</v>
      </c>
      <c r="D60" s="1019"/>
      <c r="E60" s="1019"/>
      <c r="F60" s="1019"/>
      <c r="G60" s="1019"/>
      <c r="H60" s="1019"/>
      <c r="I60" s="1019"/>
      <c r="J60" s="1019"/>
      <c r="K60" s="1019"/>
      <c r="L60" s="1019"/>
      <c r="N60" s="1141">
        <v>0</v>
      </c>
    </row>
    <row r="61" spans="1:19" ht="26.25" customHeight="1" x14ac:dyDescent="0.2">
      <c r="C61" s="1019"/>
      <c r="D61" s="1019"/>
      <c r="E61" s="1019"/>
      <c r="F61" s="1019"/>
      <c r="G61" s="1019"/>
      <c r="H61" s="1019"/>
      <c r="I61" s="1019"/>
      <c r="J61" s="1019"/>
      <c r="K61" s="1019"/>
      <c r="L61" s="1019"/>
      <c r="N61" s="1141"/>
    </row>
    <row r="62" spans="1:19" ht="8.25" customHeight="1" x14ac:dyDescent="0.2">
      <c r="N62" s="25"/>
    </row>
    <row r="63" spans="1:19" x14ac:dyDescent="0.2">
      <c r="B63" s="28" t="s">
        <v>514</v>
      </c>
      <c r="C63" s="1019" t="s">
        <v>479</v>
      </c>
      <c r="D63" s="1019"/>
      <c r="E63" s="1019"/>
      <c r="F63" s="1019"/>
      <c r="G63" s="1019"/>
      <c r="H63" s="1019"/>
      <c r="I63" s="1019"/>
      <c r="J63" s="1019"/>
      <c r="K63" s="1019"/>
      <c r="L63" s="1019"/>
      <c r="N63" s="1141">
        <v>0</v>
      </c>
    </row>
    <row r="64" spans="1:19" ht="24.75" customHeight="1" x14ac:dyDescent="0.2">
      <c r="C64" s="1019"/>
      <c r="D64" s="1019"/>
      <c r="E64" s="1019"/>
      <c r="F64" s="1019"/>
      <c r="G64" s="1019"/>
      <c r="H64" s="1019"/>
      <c r="I64" s="1019"/>
      <c r="J64" s="1019"/>
      <c r="K64" s="1019"/>
      <c r="L64" s="1019"/>
      <c r="N64" s="1141"/>
    </row>
    <row r="65" spans="1:17" ht="12.75" customHeight="1" x14ac:dyDescent="0.2">
      <c r="L65" s="25"/>
    </row>
    <row r="66" spans="1:17" ht="12.75" customHeight="1" x14ac:dyDescent="0.2">
      <c r="L66" s="25"/>
    </row>
    <row r="67" spans="1:17" ht="36" customHeight="1" x14ac:dyDescent="0.2">
      <c r="A67" s="4" t="s">
        <v>801</v>
      </c>
      <c r="B67" s="1100" t="s">
        <v>153</v>
      </c>
      <c r="C67" s="1110"/>
      <c r="D67" s="1110"/>
      <c r="E67" s="1110"/>
      <c r="F67" s="1110"/>
      <c r="G67" s="1110"/>
      <c r="H67" s="1110"/>
      <c r="I67" s="1110"/>
      <c r="J67" s="1110"/>
      <c r="K67" s="1110"/>
      <c r="L67" s="1110"/>
      <c r="M67" s="1110"/>
      <c r="N67" s="1111"/>
    </row>
    <row r="68" spans="1:17" ht="13.5" customHeight="1" x14ac:dyDescent="0.2">
      <c r="L68" s="25"/>
    </row>
    <row r="69" spans="1:17" ht="12.75" customHeight="1" x14ac:dyDescent="0.2">
      <c r="B69" s="28" t="s">
        <v>513</v>
      </c>
      <c r="C69" s="1019" t="s">
        <v>1067</v>
      </c>
      <c r="D69" s="1019"/>
      <c r="E69" s="1019"/>
      <c r="F69" s="1019"/>
      <c r="G69" s="1019"/>
      <c r="H69" s="1019"/>
      <c r="I69" s="1019"/>
      <c r="J69" s="1019"/>
      <c r="K69" s="1019"/>
      <c r="L69" s="1019"/>
      <c r="N69" s="1141">
        <v>0</v>
      </c>
    </row>
    <row r="70" spans="1:17" ht="12.75" customHeight="1" x14ac:dyDescent="0.2">
      <c r="B70" s="28"/>
      <c r="C70" s="1019"/>
      <c r="D70" s="1019"/>
      <c r="E70" s="1019"/>
      <c r="F70" s="1019"/>
      <c r="G70" s="1019"/>
      <c r="H70" s="1019"/>
      <c r="I70" s="1019"/>
      <c r="J70" s="1019"/>
      <c r="K70" s="1019"/>
      <c r="L70" s="1019"/>
      <c r="N70" s="1141"/>
    </row>
    <row r="71" spans="1:17" ht="12.75" customHeight="1" x14ac:dyDescent="0.2">
      <c r="B71" s="28"/>
      <c r="C71" s="1019"/>
      <c r="D71" s="1019"/>
      <c r="E71" s="1019"/>
      <c r="F71" s="1019"/>
      <c r="G71" s="1019"/>
      <c r="H71" s="1019"/>
      <c r="I71" s="1019"/>
      <c r="J71" s="1019"/>
      <c r="K71" s="1019"/>
      <c r="L71" s="1019"/>
      <c r="N71" s="1141"/>
    </row>
    <row r="72" spans="1:17" ht="6" customHeight="1" x14ac:dyDescent="0.2">
      <c r="N72" s="25"/>
    </row>
    <row r="73" spans="1:17" ht="12.75" customHeight="1" x14ac:dyDescent="0.2">
      <c r="B73" s="28" t="s">
        <v>514</v>
      </c>
      <c r="C73" s="1019" t="s">
        <v>925</v>
      </c>
      <c r="D73" s="1019"/>
      <c r="E73" s="1019"/>
      <c r="F73" s="1019"/>
      <c r="G73" s="1019"/>
      <c r="H73" s="1019"/>
      <c r="I73" s="1019"/>
      <c r="J73" s="1019"/>
      <c r="K73" s="1019"/>
      <c r="L73" s="1019"/>
      <c r="N73" s="1141"/>
    </row>
    <row r="74" spans="1:17" ht="12.75" hidden="1" customHeight="1" x14ac:dyDescent="0.2">
      <c r="C74" s="1019"/>
      <c r="D74" s="1019"/>
      <c r="E74" s="1019"/>
      <c r="F74" s="1019"/>
      <c r="G74" s="1019"/>
      <c r="H74" s="1019"/>
      <c r="I74" s="1019"/>
      <c r="J74" s="1019"/>
      <c r="K74" s="1019"/>
      <c r="L74" s="1019"/>
      <c r="N74" s="1141"/>
    </row>
    <row r="75" spans="1:17" x14ac:dyDescent="0.2">
      <c r="C75" s="1019"/>
      <c r="D75" s="1019"/>
      <c r="E75" s="1019"/>
      <c r="F75" s="1019"/>
      <c r="G75" s="1019"/>
      <c r="H75" s="1019"/>
      <c r="I75" s="1019"/>
      <c r="J75" s="1019"/>
      <c r="K75" s="1019"/>
      <c r="L75" s="1019"/>
      <c r="N75" s="1141"/>
    </row>
    <row r="76" spans="1:17" ht="9" customHeight="1" x14ac:dyDescent="0.2">
      <c r="N76" s="25"/>
    </row>
    <row r="77" spans="1:17" ht="12.75" customHeight="1" x14ac:dyDescent="0.2">
      <c r="B77" s="28" t="s">
        <v>515</v>
      </c>
      <c r="C77" s="1019" t="s">
        <v>926</v>
      </c>
      <c r="D77" s="1019"/>
      <c r="E77" s="1019"/>
      <c r="F77" s="1019"/>
      <c r="G77" s="1019"/>
      <c r="H77" s="1019"/>
      <c r="I77" s="1019"/>
      <c r="J77" s="1019"/>
      <c r="K77" s="1019"/>
      <c r="L77" s="1019"/>
      <c r="N77" s="1141">
        <v>0</v>
      </c>
      <c r="Q77" s="38"/>
    </row>
    <row r="78" spans="1:17" ht="12.75" customHeight="1" x14ac:dyDescent="0.2">
      <c r="B78" s="28"/>
      <c r="C78" s="1019"/>
      <c r="D78" s="1019"/>
      <c r="E78" s="1019"/>
      <c r="F78" s="1019"/>
      <c r="G78" s="1019"/>
      <c r="H78" s="1019"/>
      <c r="I78" s="1019"/>
      <c r="J78" s="1019"/>
      <c r="K78" s="1019"/>
      <c r="L78" s="1019"/>
      <c r="N78" s="1141"/>
      <c r="Q78" s="38"/>
    </row>
    <row r="79" spans="1:17" ht="6" customHeight="1" x14ac:dyDescent="0.2">
      <c r="B79" s="28"/>
      <c r="N79" s="25"/>
    </row>
    <row r="80" spans="1:17" ht="12.75" customHeight="1" x14ac:dyDescent="0.2">
      <c r="B80" s="28" t="s">
        <v>541</v>
      </c>
      <c r="C80" s="1019" t="s">
        <v>152</v>
      </c>
      <c r="D80" s="1019"/>
      <c r="E80" s="1019"/>
      <c r="F80" s="1019"/>
      <c r="G80" s="1019"/>
      <c r="H80" s="1019"/>
      <c r="I80" s="1019"/>
      <c r="J80" s="1019"/>
      <c r="K80" s="1019"/>
      <c r="L80" s="1019"/>
      <c r="N80" s="1141">
        <v>0</v>
      </c>
    </row>
    <row r="81" spans="1:14" ht="12.75" customHeight="1" x14ac:dyDescent="0.2">
      <c r="B81" s="28"/>
      <c r="C81" s="1019"/>
      <c r="D81" s="1019"/>
      <c r="E81" s="1019"/>
      <c r="F81" s="1019"/>
      <c r="G81" s="1019"/>
      <c r="H81" s="1019"/>
      <c r="I81" s="1019"/>
      <c r="J81" s="1019"/>
      <c r="K81" s="1019"/>
      <c r="L81" s="1019"/>
      <c r="N81" s="1141"/>
    </row>
    <row r="82" spans="1:14" ht="13.5" customHeight="1" x14ac:dyDescent="0.2">
      <c r="B82" s="28"/>
      <c r="C82" s="1019"/>
      <c r="D82" s="1019"/>
      <c r="E82" s="1019"/>
      <c r="F82" s="1019"/>
      <c r="G82" s="1019"/>
      <c r="H82" s="1019"/>
      <c r="I82" s="1019"/>
      <c r="J82" s="1019"/>
      <c r="K82" s="1019"/>
      <c r="L82" s="1019"/>
      <c r="N82" s="1141"/>
    </row>
    <row r="83" spans="1:14" ht="21.75" customHeight="1" x14ac:dyDescent="0.2"/>
    <row r="84" spans="1:14" ht="25.5" customHeight="1" x14ac:dyDescent="0.2">
      <c r="A84" s="4" t="s">
        <v>807</v>
      </c>
      <c r="B84" s="1097" t="s">
        <v>154</v>
      </c>
      <c r="C84" s="1098"/>
      <c r="D84" s="1098"/>
      <c r="E84" s="1098"/>
      <c r="F84" s="1098"/>
      <c r="G84" s="1098"/>
      <c r="H84" s="1098"/>
      <c r="I84" s="1098"/>
      <c r="J84" s="1098"/>
      <c r="K84" s="1098"/>
      <c r="L84" s="1098"/>
      <c r="M84" s="1098"/>
      <c r="N84" s="1099"/>
    </row>
    <row r="85" spans="1:14" ht="12.75" customHeight="1" x14ac:dyDescent="0.2"/>
    <row r="86" spans="1:14" ht="17.25" customHeight="1" x14ac:dyDescent="0.2">
      <c r="B86" s="28" t="s">
        <v>513</v>
      </c>
      <c r="C86" s="1019" t="s">
        <v>138</v>
      </c>
      <c r="D86" s="1019"/>
      <c r="E86" s="1019"/>
      <c r="F86" s="1019"/>
      <c r="G86" s="1019"/>
      <c r="H86" s="1019"/>
      <c r="I86" s="1019"/>
      <c r="J86" s="1019"/>
      <c r="K86" s="1019"/>
      <c r="L86" s="1019"/>
      <c r="N86" s="287">
        <v>0</v>
      </c>
    </row>
    <row r="87" spans="1:14" ht="5.25" customHeight="1" x14ac:dyDescent="0.2">
      <c r="C87" s="24"/>
      <c r="D87" s="24"/>
      <c r="E87" s="24"/>
      <c r="F87" s="24"/>
      <c r="G87" s="24"/>
      <c r="H87" s="24"/>
      <c r="I87" s="24"/>
      <c r="J87" s="24"/>
      <c r="K87" s="24"/>
      <c r="L87" s="24"/>
      <c r="N87" s="280"/>
    </row>
    <row r="88" spans="1:14" ht="17.25" customHeight="1" x14ac:dyDescent="0.2">
      <c r="B88" s="28" t="s">
        <v>514</v>
      </c>
      <c r="C88" s="1032" t="s">
        <v>678</v>
      </c>
      <c r="D88" s="1032"/>
      <c r="E88" s="1032"/>
      <c r="F88" s="1032"/>
      <c r="G88" s="1032"/>
      <c r="H88" s="1032"/>
      <c r="I88" s="1032"/>
      <c r="J88" s="1032"/>
      <c r="N88" s="287">
        <v>0</v>
      </c>
    </row>
    <row r="89" spans="1:14" ht="3.75" customHeight="1" x14ac:dyDescent="0.2">
      <c r="N89" s="297"/>
    </row>
    <row r="90" spans="1:14" ht="12.75" customHeight="1" x14ac:dyDescent="0.2"/>
    <row r="91" spans="1:14" ht="12.75" customHeight="1" x14ac:dyDescent="0.2">
      <c r="C91" s="2" t="s">
        <v>137</v>
      </c>
    </row>
    <row r="92" spans="1:14" ht="21.75" customHeight="1" x14ac:dyDescent="0.2"/>
    <row r="93" spans="1:14" ht="25.5" customHeight="1" x14ac:dyDescent="0.2">
      <c r="A93" s="4" t="s">
        <v>823</v>
      </c>
      <c r="B93" s="1097" t="s">
        <v>285</v>
      </c>
      <c r="C93" s="1098"/>
      <c r="D93" s="1098"/>
      <c r="E93" s="1098"/>
      <c r="F93" s="1098"/>
      <c r="G93" s="1098"/>
      <c r="H93" s="1098"/>
      <c r="I93" s="1098"/>
      <c r="J93" s="1098"/>
      <c r="K93" s="1098"/>
      <c r="L93" s="1098"/>
      <c r="M93" s="1098"/>
      <c r="N93" s="1099"/>
    </row>
    <row r="94" spans="1:14" ht="12.75" customHeight="1" x14ac:dyDescent="0.2"/>
    <row r="95" spans="1:14" ht="12.75" customHeight="1" x14ac:dyDescent="0.2">
      <c r="B95" s="28" t="s">
        <v>513</v>
      </c>
      <c r="C95" s="1019" t="s">
        <v>851</v>
      </c>
      <c r="D95" s="1019"/>
      <c r="E95" s="1019"/>
      <c r="F95" s="1019"/>
      <c r="G95" s="1019"/>
      <c r="H95" s="1019"/>
      <c r="I95" s="1019"/>
      <c r="J95" s="1019"/>
    </row>
    <row r="96" spans="1:14" ht="68.45" customHeight="1" x14ac:dyDescent="0.2">
      <c r="C96" s="1019"/>
      <c r="D96" s="1019"/>
      <c r="E96" s="1019"/>
      <c r="F96" s="1019"/>
      <c r="G96" s="1019"/>
      <c r="H96" s="1019"/>
      <c r="I96" s="1019"/>
      <c r="J96" s="1019"/>
    </row>
    <row r="97" spans="1:14" ht="4.5" customHeight="1" x14ac:dyDescent="0.2">
      <c r="C97" s="24"/>
      <c r="D97" s="24"/>
      <c r="E97" s="24"/>
      <c r="F97" s="24"/>
      <c r="G97" s="24"/>
      <c r="H97" s="24"/>
      <c r="I97" s="24"/>
      <c r="J97" s="24"/>
    </row>
    <row r="98" spans="1:14" ht="12.75" customHeight="1" x14ac:dyDescent="0.2">
      <c r="I98" t="s">
        <v>189</v>
      </c>
      <c r="N98" s="287">
        <v>0</v>
      </c>
    </row>
    <row r="99" spans="1:14" ht="12.75" customHeight="1" x14ac:dyDescent="0.2">
      <c r="I99" t="s">
        <v>214</v>
      </c>
      <c r="N99" s="287">
        <v>0</v>
      </c>
    </row>
    <row r="100" spans="1:14" ht="6" customHeight="1" x14ac:dyDescent="0.2">
      <c r="N100" s="357"/>
    </row>
    <row r="101" spans="1:14" ht="12.75" customHeight="1" thickBot="1" x14ac:dyDescent="0.25">
      <c r="N101" s="58">
        <f>SUM(N98:N99)</f>
        <v>0</v>
      </c>
    </row>
    <row r="102" spans="1:14" ht="24" customHeight="1" thickTop="1" x14ac:dyDescent="0.2"/>
    <row r="103" spans="1:14" ht="25.5" customHeight="1" x14ac:dyDescent="0.2">
      <c r="A103" s="4" t="s">
        <v>715</v>
      </c>
      <c r="B103" s="1097" t="s">
        <v>649</v>
      </c>
      <c r="C103" s="1098"/>
      <c r="D103" s="1098"/>
      <c r="E103" s="1098"/>
      <c r="F103" s="1098"/>
      <c r="G103" s="1098"/>
      <c r="H103" s="1098"/>
      <c r="I103" s="1098"/>
      <c r="J103" s="1098"/>
      <c r="K103" s="1098"/>
      <c r="L103" s="1098"/>
      <c r="M103" s="1098"/>
      <c r="N103" s="1099"/>
    </row>
    <row r="104" spans="1:14" ht="16.5" customHeight="1" x14ac:dyDescent="0.2"/>
    <row r="105" spans="1:14" ht="12.75" customHeight="1" x14ac:dyDescent="0.2">
      <c r="B105" s="28" t="s">
        <v>513</v>
      </c>
      <c r="C105" t="s">
        <v>709</v>
      </c>
      <c r="N105" s="287">
        <v>0</v>
      </c>
    </row>
    <row r="106" spans="1:14" ht="6" customHeight="1" x14ac:dyDescent="0.2">
      <c r="N106" s="25"/>
    </row>
    <row r="107" spans="1:14" ht="12.75" customHeight="1" x14ac:dyDescent="0.2">
      <c r="B107" s="28" t="s">
        <v>514</v>
      </c>
      <c r="C107" t="s">
        <v>161</v>
      </c>
      <c r="N107" s="287">
        <v>171429</v>
      </c>
    </row>
    <row r="108" spans="1:14" ht="6" customHeight="1" x14ac:dyDescent="0.2">
      <c r="N108" s="25"/>
    </row>
    <row r="109" spans="1:14" ht="12.75" customHeight="1" x14ac:dyDescent="0.2">
      <c r="B109" s="28" t="s">
        <v>515</v>
      </c>
      <c r="C109" t="s">
        <v>647</v>
      </c>
      <c r="N109" s="287">
        <v>625000</v>
      </c>
    </row>
    <row r="110" spans="1:14" ht="6" customHeight="1" x14ac:dyDescent="0.2">
      <c r="N110" s="25"/>
    </row>
    <row r="111" spans="1:14" ht="12.75" customHeight="1" x14ac:dyDescent="0.2">
      <c r="B111" s="28" t="s">
        <v>541</v>
      </c>
      <c r="C111" t="s">
        <v>648</v>
      </c>
      <c r="N111" s="287">
        <v>0</v>
      </c>
    </row>
    <row r="112" spans="1:14" ht="6" customHeight="1" x14ac:dyDescent="0.2">
      <c r="N112" s="25"/>
    </row>
    <row r="113" spans="1:14" ht="12.75" customHeight="1" x14ac:dyDescent="0.2">
      <c r="B113" s="28" t="s">
        <v>542</v>
      </c>
      <c r="C113" t="s">
        <v>4118</v>
      </c>
      <c r="N113" s="287">
        <v>44777</v>
      </c>
    </row>
    <row r="114" spans="1:14" ht="5.45" customHeight="1" x14ac:dyDescent="0.2">
      <c r="B114" s="28"/>
      <c r="N114" s="357"/>
    </row>
    <row r="115" spans="1:14" ht="12.75" customHeight="1" x14ac:dyDescent="0.2">
      <c r="B115" s="28" t="s">
        <v>855</v>
      </c>
      <c r="C115" t="s">
        <v>4163</v>
      </c>
      <c r="N115" s="287">
        <f>9515+11852</f>
        <v>21367</v>
      </c>
    </row>
    <row r="116" spans="1:14" ht="6" customHeight="1" x14ac:dyDescent="0.2">
      <c r="N116" s="25"/>
    </row>
    <row r="117" spans="1:14" ht="12.75" customHeight="1" x14ac:dyDescent="0.2">
      <c r="B117" s="28" t="s">
        <v>937</v>
      </c>
      <c r="C117" s="1019" t="s">
        <v>960</v>
      </c>
      <c r="D117" s="1032"/>
      <c r="E117" s="1032"/>
      <c r="F117" s="1032"/>
      <c r="G117" s="1032"/>
      <c r="H117" s="1032"/>
      <c r="I117" s="1032"/>
      <c r="J117" s="1032"/>
      <c r="K117" s="1032"/>
      <c r="L117" s="1032"/>
      <c r="N117" s="287">
        <v>0</v>
      </c>
    </row>
    <row r="118" spans="1:14" ht="12.75" customHeight="1" x14ac:dyDescent="0.2">
      <c r="B118" s="28"/>
      <c r="C118" s="1032"/>
      <c r="D118" s="1032"/>
      <c r="E118" s="1032"/>
      <c r="F118" s="1032"/>
      <c r="G118" s="1032"/>
      <c r="H118" s="1032"/>
      <c r="I118" s="1032"/>
      <c r="J118" s="1032"/>
      <c r="K118" s="1032"/>
      <c r="L118" s="1032"/>
      <c r="N118" s="373"/>
    </row>
    <row r="119" spans="1:14" ht="6" customHeight="1" x14ac:dyDescent="0.2">
      <c r="N119" s="25"/>
    </row>
    <row r="120" spans="1:14" ht="13.5" customHeight="1" x14ac:dyDescent="0.2">
      <c r="B120" s="28" t="s">
        <v>293</v>
      </c>
      <c r="C120" s="280" t="s">
        <v>645</v>
      </c>
      <c r="N120" s="287">
        <v>0</v>
      </c>
    </row>
    <row r="121" spans="1:14" ht="6" customHeight="1" x14ac:dyDescent="0.2">
      <c r="N121" s="25"/>
    </row>
    <row r="122" spans="1:14" ht="12.75" customHeight="1" x14ac:dyDescent="0.2">
      <c r="B122" s="28" t="s">
        <v>33</v>
      </c>
      <c r="C122" s="280" t="s">
        <v>646</v>
      </c>
      <c r="N122" s="310">
        <v>0</v>
      </c>
    </row>
    <row r="123" spans="1:14" ht="12.75" customHeight="1" x14ac:dyDescent="0.2"/>
    <row r="124" spans="1:14" ht="24" customHeight="1" x14ac:dyDescent="0.2"/>
    <row r="125" spans="1:14" ht="25.5" customHeight="1" x14ac:dyDescent="0.2">
      <c r="A125" s="4" t="s">
        <v>716</v>
      </c>
      <c r="B125" s="1097" t="s">
        <v>280</v>
      </c>
      <c r="C125" s="1098"/>
      <c r="D125" s="1098"/>
      <c r="E125" s="1098"/>
      <c r="F125" s="1098"/>
      <c r="G125" s="1098"/>
      <c r="H125" s="1098"/>
      <c r="I125" s="1098"/>
      <c r="J125" s="1098"/>
      <c r="K125" s="1098"/>
      <c r="L125" s="1098"/>
      <c r="M125" s="1098"/>
      <c r="N125" s="1099"/>
    </row>
    <row r="126" spans="1:14" ht="16.5" customHeight="1" x14ac:dyDescent="0.2"/>
    <row r="127" spans="1:14" ht="12.75" customHeight="1" x14ac:dyDescent="0.2">
      <c r="B127" s="28" t="s">
        <v>513</v>
      </c>
      <c r="C127" s="1019" t="s">
        <v>992</v>
      </c>
      <c r="D127" s="1019"/>
      <c r="E127" s="1019"/>
      <c r="F127" s="1019"/>
      <c r="G127" s="1019"/>
      <c r="H127" s="1019"/>
      <c r="I127" s="1019"/>
      <c r="J127" s="1019"/>
      <c r="M127" s="33"/>
    </row>
    <row r="128" spans="1:14" ht="51.75" customHeight="1" x14ac:dyDescent="0.2">
      <c r="C128" s="1019"/>
      <c r="D128" s="1019"/>
      <c r="E128" s="1019"/>
      <c r="F128" s="1019"/>
      <c r="G128" s="1019"/>
      <c r="H128" s="1019"/>
      <c r="I128" s="1019"/>
      <c r="J128" s="1019"/>
      <c r="L128" s="1235" t="s">
        <v>906</v>
      </c>
      <c r="M128" s="1235"/>
      <c r="N128" s="1235"/>
    </row>
    <row r="129" spans="1:14" ht="15.75" customHeight="1" x14ac:dyDescent="0.2">
      <c r="J129" s="3" t="s">
        <v>679</v>
      </c>
      <c r="L129" s="3" t="s">
        <v>878</v>
      </c>
      <c r="N129" s="3" t="s">
        <v>877</v>
      </c>
    </row>
    <row r="130" spans="1:14" ht="12.75" customHeight="1" x14ac:dyDescent="0.2">
      <c r="G130" t="s">
        <v>879</v>
      </c>
      <c r="J130" s="287">
        <v>0</v>
      </c>
      <c r="K130" s="297"/>
      <c r="L130" s="287">
        <v>0</v>
      </c>
      <c r="M130" s="297"/>
      <c r="N130" s="287">
        <v>0</v>
      </c>
    </row>
    <row r="131" spans="1:14" ht="12.75" customHeight="1" x14ac:dyDescent="0.2">
      <c r="G131" t="s">
        <v>988</v>
      </c>
      <c r="J131" s="287">
        <v>0</v>
      </c>
      <c r="K131" s="297"/>
      <c r="L131" s="287">
        <v>0</v>
      </c>
      <c r="M131" s="297"/>
      <c r="N131" s="287">
        <v>0</v>
      </c>
    </row>
    <row r="132" spans="1:14" ht="12.75" customHeight="1" x14ac:dyDescent="0.2">
      <c r="G132" t="s">
        <v>214</v>
      </c>
      <c r="J132" s="287">
        <v>0</v>
      </c>
      <c r="K132" s="297"/>
      <c r="L132" s="287">
        <v>0</v>
      </c>
      <c r="M132" s="297"/>
      <c r="N132" s="287">
        <v>0</v>
      </c>
    </row>
    <row r="133" spans="1:14" ht="12.75" customHeight="1" x14ac:dyDescent="0.2">
      <c r="G133" t="s">
        <v>816</v>
      </c>
      <c r="J133" s="287">
        <v>0</v>
      </c>
      <c r="K133" s="297"/>
      <c r="L133" s="287">
        <v>0</v>
      </c>
      <c r="M133" s="297"/>
      <c r="N133" s="287">
        <v>0</v>
      </c>
    </row>
    <row r="134" spans="1:14" ht="12.75" customHeight="1" x14ac:dyDescent="0.2">
      <c r="G134" t="s">
        <v>805</v>
      </c>
      <c r="J134" s="287">
        <v>0</v>
      </c>
      <c r="K134" s="297"/>
      <c r="L134" s="287">
        <v>0</v>
      </c>
      <c r="M134" s="297"/>
      <c r="N134" s="287">
        <v>0</v>
      </c>
    </row>
    <row r="135" spans="1:14" ht="12.75" customHeight="1" x14ac:dyDescent="0.2">
      <c r="G135" t="s">
        <v>215</v>
      </c>
      <c r="J135" s="287">
        <v>0</v>
      </c>
      <c r="K135" s="297"/>
      <c r="L135" s="287">
        <v>0</v>
      </c>
      <c r="M135" s="297"/>
      <c r="N135" s="287">
        <v>0</v>
      </c>
    </row>
    <row r="136" spans="1:14" ht="12.75" customHeight="1" x14ac:dyDescent="0.2">
      <c r="G136" t="s">
        <v>216</v>
      </c>
      <c r="J136" s="287">
        <v>0</v>
      </c>
      <c r="K136" s="297"/>
      <c r="L136" s="287">
        <v>0</v>
      </c>
      <c r="M136" s="297"/>
      <c r="N136" s="287">
        <v>0</v>
      </c>
    </row>
    <row r="137" spans="1:14" ht="12.75" customHeight="1" x14ac:dyDescent="0.2">
      <c r="G137" t="s">
        <v>172</v>
      </c>
      <c r="J137" s="287">
        <v>0</v>
      </c>
      <c r="K137" s="297"/>
      <c r="L137" s="287">
        <v>0</v>
      </c>
      <c r="M137" s="297"/>
      <c r="N137" s="287">
        <v>0</v>
      </c>
    </row>
    <row r="138" spans="1:14" ht="12.75" customHeight="1" x14ac:dyDescent="0.2">
      <c r="G138" s="280" t="s">
        <v>726</v>
      </c>
      <c r="J138" s="287">
        <v>0</v>
      </c>
      <c r="K138" s="297"/>
      <c r="L138" s="287">
        <v>0</v>
      </c>
      <c r="M138" s="281"/>
      <c r="N138" s="287">
        <v>0</v>
      </c>
    </row>
    <row r="139" spans="1:14" ht="12.75" customHeight="1" thickBot="1" x14ac:dyDescent="0.25">
      <c r="J139" s="54">
        <f>SUM(J130:J138)</f>
        <v>0</v>
      </c>
      <c r="K139" s="25"/>
      <c r="L139" s="54">
        <f>SUM(L130:L138)</f>
        <v>0</v>
      </c>
      <c r="M139" s="35"/>
      <c r="N139" s="54">
        <f>SUM(N130:N138)</f>
        <v>0</v>
      </c>
    </row>
    <row r="140" spans="1:14" ht="12.75" customHeight="1" thickTop="1" x14ac:dyDescent="0.2"/>
    <row r="141" spans="1:14" ht="12.75" customHeight="1" x14ac:dyDescent="0.2"/>
    <row r="142" spans="1:14" ht="25.5" customHeight="1" x14ac:dyDescent="0.2">
      <c r="A142" s="4" t="s">
        <v>785</v>
      </c>
      <c r="B142" s="1097" t="s">
        <v>677</v>
      </c>
      <c r="C142" s="1098"/>
      <c r="D142" s="1098"/>
      <c r="E142" s="1098"/>
      <c r="F142" s="1098"/>
      <c r="G142" s="1098"/>
      <c r="H142" s="1098"/>
      <c r="I142" s="1098"/>
      <c r="J142" s="1098"/>
      <c r="K142" s="1098"/>
      <c r="L142" s="1098"/>
      <c r="M142" s="1192"/>
      <c r="N142" s="1099"/>
    </row>
    <row r="143" spans="1:14" ht="12.75" customHeight="1" x14ac:dyDescent="0.2"/>
    <row r="144" spans="1:14" ht="12.75" customHeight="1" x14ac:dyDescent="0.2">
      <c r="B144" s="28" t="s">
        <v>513</v>
      </c>
      <c r="C144" s="1019" t="s">
        <v>575</v>
      </c>
      <c r="D144" s="1019"/>
      <c r="E144" s="1019"/>
      <c r="F144" s="1019"/>
      <c r="G144" s="1019"/>
      <c r="H144" s="1019"/>
      <c r="I144" s="1019"/>
      <c r="J144" s="1019"/>
    </row>
    <row r="145" spans="1:14" ht="50.25" customHeight="1" x14ac:dyDescent="0.2">
      <c r="C145" s="1019"/>
      <c r="D145" s="1019"/>
      <c r="E145" s="1019"/>
      <c r="F145" s="1019"/>
      <c r="G145" s="1019"/>
      <c r="H145" s="1019"/>
      <c r="I145" s="1019"/>
      <c r="J145" s="1019"/>
      <c r="L145" s="3" t="s">
        <v>509</v>
      </c>
      <c r="M145" s="33"/>
      <c r="N145" s="3" t="s">
        <v>510</v>
      </c>
    </row>
    <row r="146" spans="1:14" ht="12.75" customHeight="1" x14ac:dyDescent="0.2">
      <c r="H146" t="s">
        <v>680</v>
      </c>
      <c r="L146" s="287">
        <v>0</v>
      </c>
      <c r="M146" s="297"/>
      <c r="N146" s="287">
        <v>0</v>
      </c>
    </row>
    <row r="147" spans="1:14" ht="12.75" customHeight="1" x14ac:dyDescent="0.2">
      <c r="H147" t="s">
        <v>189</v>
      </c>
      <c r="L147" s="287">
        <v>0</v>
      </c>
      <c r="M147" s="297"/>
      <c r="N147" s="287">
        <v>0</v>
      </c>
    </row>
    <row r="148" spans="1:14" ht="12.75" customHeight="1" x14ac:dyDescent="0.2">
      <c r="H148" t="s">
        <v>988</v>
      </c>
      <c r="L148" s="287">
        <v>0</v>
      </c>
      <c r="M148" s="297"/>
      <c r="N148" s="287">
        <v>0</v>
      </c>
    </row>
    <row r="149" spans="1:14" ht="12.75" customHeight="1" x14ac:dyDescent="0.2">
      <c r="H149" t="s">
        <v>214</v>
      </c>
      <c r="L149" s="287">
        <v>0</v>
      </c>
      <c r="M149" s="297"/>
      <c r="N149" s="287">
        <v>0</v>
      </c>
    </row>
    <row r="150" spans="1:14" ht="12.75" customHeight="1" x14ac:dyDescent="0.2">
      <c r="H150" t="s">
        <v>816</v>
      </c>
      <c r="L150" s="287">
        <v>0</v>
      </c>
      <c r="M150" s="297"/>
      <c r="N150" s="287">
        <v>0</v>
      </c>
    </row>
    <row r="151" spans="1:14" ht="12.75" customHeight="1" x14ac:dyDescent="0.2">
      <c r="H151" t="s">
        <v>805</v>
      </c>
      <c r="L151" s="287">
        <v>0</v>
      </c>
      <c r="M151" s="297"/>
      <c r="N151" s="287">
        <v>0</v>
      </c>
    </row>
    <row r="152" spans="1:14" ht="12.75" customHeight="1" x14ac:dyDescent="0.2">
      <c r="H152" t="s">
        <v>215</v>
      </c>
      <c r="L152" s="287">
        <v>0</v>
      </c>
      <c r="M152" s="297"/>
      <c r="N152" s="287">
        <v>0</v>
      </c>
    </row>
    <row r="153" spans="1:14" ht="12.75" customHeight="1" x14ac:dyDescent="0.2">
      <c r="H153" t="s">
        <v>216</v>
      </c>
      <c r="L153" s="287">
        <v>0</v>
      </c>
      <c r="M153" s="297"/>
      <c r="N153" s="287">
        <v>0</v>
      </c>
    </row>
    <row r="154" spans="1:14" ht="12.75" customHeight="1" x14ac:dyDescent="0.2">
      <c r="H154" t="s">
        <v>172</v>
      </c>
      <c r="L154" s="287">
        <v>0</v>
      </c>
      <c r="M154" s="297"/>
      <c r="N154" s="287">
        <v>0</v>
      </c>
    </row>
    <row r="155" spans="1:14" ht="12.75" customHeight="1" x14ac:dyDescent="0.2">
      <c r="H155" s="280" t="s">
        <v>726</v>
      </c>
      <c r="L155" s="287">
        <v>0</v>
      </c>
      <c r="M155" s="297"/>
      <c r="N155" s="287">
        <v>0</v>
      </c>
    </row>
    <row r="156" spans="1:14" ht="12.75" customHeight="1" x14ac:dyDescent="0.2">
      <c r="H156" t="s">
        <v>1068</v>
      </c>
      <c r="L156" s="287">
        <v>0</v>
      </c>
      <c r="M156" s="297"/>
      <c r="N156" s="287">
        <v>0</v>
      </c>
    </row>
    <row r="157" spans="1:14" ht="12.75" customHeight="1" thickBot="1" x14ac:dyDescent="0.25">
      <c r="L157" s="54">
        <f>SUM(L146:L156)</f>
        <v>0</v>
      </c>
      <c r="M157" s="25"/>
      <c r="N157" s="54">
        <f>SUM(N146:N156)</f>
        <v>0</v>
      </c>
    </row>
    <row r="158" spans="1:14" ht="12.75" customHeight="1" thickTop="1" x14ac:dyDescent="0.2"/>
    <row r="159" spans="1:14" ht="25.5" customHeight="1" x14ac:dyDescent="0.2">
      <c r="A159" s="201" t="s">
        <v>993</v>
      </c>
      <c r="B159" s="1097" t="s">
        <v>36</v>
      </c>
      <c r="C159" s="1098"/>
      <c r="D159" s="1098"/>
      <c r="E159" s="1098"/>
      <c r="F159" s="1098"/>
      <c r="G159" s="1098"/>
      <c r="H159" s="1098"/>
      <c r="I159" s="1098"/>
      <c r="J159" s="1098"/>
      <c r="K159" s="1098"/>
      <c r="L159" s="1098"/>
      <c r="M159" s="1098"/>
      <c r="N159" s="1099"/>
    </row>
    <row r="160" spans="1:14" ht="12.75" customHeight="1" x14ac:dyDescent="0.2"/>
    <row r="161" spans="1:14" ht="12.75" customHeight="1" x14ac:dyDescent="0.2">
      <c r="B161" s="28" t="s">
        <v>513</v>
      </c>
      <c r="C161" s="1019" t="s">
        <v>35</v>
      </c>
      <c r="D161" s="1019"/>
      <c r="E161" s="1019"/>
      <c r="F161" s="1019"/>
      <c r="G161" s="1019"/>
      <c r="H161" s="1019"/>
      <c r="I161" s="1019"/>
      <c r="J161" s="1019"/>
      <c r="N161" s="1141"/>
    </row>
    <row r="162" spans="1:14" ht="12.75" customHeight="1" x14ac:dyDescent="0.2">
      <c r="C162" s="1019"/>
      <c r="D162" s="1019"/>
      <c r="E162" s="1019"/>
      <c r="F162" s="1019"/>
      <c r="G162" s="1019"/>
      <c r="H162" s="1019"/>
      <c r="I162" s="1019"/>
      <c r="J162" s="1019"/>
      <c r="N162" s="1141"/>
    </row>
    <row r="163" spans="1:14" ht="12.75" customHeight="1" x14ac:dyDescent="0.2"/>
    <row r="164" spans="1:14" ht="12.75" customHeight="1" x14ac:dyDescent="0.2">
      <c r="B164" s="28" t="s">
        <v>514</v>
      </c>
      <c r="C164" s="1019" t="s">
        <v>37</v>
      </c>
      <c r="D164" s="1019"/>
      <c r="E164" s="1019"/>
      <c r="F164" s="1019"/>
      <c r="G164" s="1019"/>
      <c r="H164" s="1019"/>
      <c r="I164" s="1019"/>
      <c r="J164" s="1019"/>
      <c r="N164" s="1141"/>
    </row>
    <row r="165" spans="1:14" ht="12.75" customHeight="1" x14ac:dyDescent="0.2">
      <c r="C165" s="1019"/>
      <c r="D165" s="1019"/>
      <c r="E165" s="1019"/>
      <c r="F165" s="1019"/>
      <c r="G165" s="1019"/>
      <c r="H165" s="1019"/>
      <c r="I165" s="1019"/>
      <c r="J165" s="1019"/>
      <c r="N165" s="1141"/>
    </row>
    <row r="166" spans="1:14" ht="12.75" customHeight="1" x14ac:dyDescent="0.2"/>
    <row r="167" spans="1:14" ht="25.5" customHeight="1" x14ac:dyDescent="0.2">
      <c r="A167" s="4" t="s">
        <v>786</v>
      </c>
      <c r="B167" s="1097" t="s">
        <v>1069</v>
      </c>
      <c r="C167" s="1098"/>
      <c r="D167" s="1098"/>
      <c r="E167" s="1098"/>
      <c r="F167" s="1098"/>
      <c r="G167" s="1098"/>
      <c r="H167" s="1098"/>
      <c r="I167" s="1098"/>
      <c r="J167" s="1098"/>
      <c r="K167" s="1098"/>
      <c r="L167" s="1098"/>
      <c r="M167" s="1098"/>
      <c r="N167" s="1099"/>
    </row>
    <row r="168" spans="1:14" ht="12.75" customHeight="1" x14ac:dyDescent="0.2"/>
    <row r="169" spans="1:14" ht="12.75" customHeight="1" x14ac:dyDescent="0.2">
      <c r="B169" s="4" t="s">
        <v>1058</v>
      </c>
    </row>
    <row r="170" spans="1:14" ht="12.75" customHeight="1" x14ac:dyDescent="0.2">
      <c r="B170" s="28" t="s">
        <v>513</v>
      </c>
      <c r="C170" t="s">
        <v>664</v>
      </c>
      <c r="L170" s="287">
        <f>'M. Net Position Calculation'!E79</f>
        <v>10547310</v>
      </c>
    </row>
    <row r="171" spans="1:14" ht="12.75" customHeight="1" x14ac:dyDescent="0.2">
      <c r="L171" s="25"/>
    </row>
    <row r="172" spans="1:14" ht="12.75" customHeight="1" x14ac:dyDescent="0.2">
      <c r="B172" s="28" t="s">
        <v>514</v>
      </c>
      <c r="C172" t="s">
        <v>562</v>
      </c>
      <c r="L172" s="287">
        <f>'M. Net Position Calculation'!C92</f>
        <v>4127169</v>
      </c>
    </row>
    <row r="173" spans="1:14" ht="12.75" customHeight="1" x14ac:dyDescent="0.2">
      <c r="L173" s="25"/>
    </row>
    <row r="174" spans="1:14" ht="12.75" customHeight="1" x14ac:dyDescent="0.2">
      <c r="B174" s="28"/>
      <c r="C174" s="4" t="s">
        <v>1058</v>
      </c>
      <c r="L174" s="25"/>
      <c r="N174" s="11">
        <f>L170-L172</f>
        <v>6420141</v>
      </c>
    </row>
    <row r="175" spans="1:14" ht="7.5" customHeight="1" x14ac:dyDescent="0.2">
      <c r="L175" s="25"/>
    </row>
    <row r="176" spans="1:14" ht="12.75" customHeight="1" x14ac:dyDescent="0.2">
      <c r="B176" s="4" t="s">
        <v>665</v>
      </c>
      <c r="L176" s="25"/>
    </row>
    <row r="177" spans="2:14" ht="12.75" customHeight="1" x14ac:dyDescent="0.2">
      <c r="C177" t="s">
        <v>666</v>
      </c>
      <c r="L177" s="287">
        <v>0</v>
      </c>
    </row>
    <row r="178" spans="2:14" ht="12.75" customHeight="1" x14ac:dyDescent="0.2">
      <c r="C178" t="s">
        <v>184</v>
      </c>
      <c r="L178" s="287">
        <v>0</v>
      </c>
    </row>
    <row r="179" spans="2:14" ht="12.75" customHeight="1" x14ac:dyDescent="0.2">
      <c r="C179" t="s">
        <v>989</v>
      </c>
      <c r="L179" s="287">
        <v>0</v>
      </c>
    </row>
    <row r="180" spans="2:14" ht="12.75" customHeight="1" x14ac:dyDescent="0.2">
      <c r="C180" t="s">
        <v>988</v>
      </c>
      <c r="L180" s="287">
        <v>1783</v>
      </c>
    </row>
    <row r="181" spans="2:14" ht="12.75" customHeight="1" x14ac:dyDescent="0.2">
      <c r="C181" t="s">
        <v>667</v>
      </c>
      <c r="L181" s="287">
        <v>0</v>
      </c>
    </row>
    <row r="182" spans="2:14" ht="12.75" customHeight="1" x14ac:dyDescent="0.2">
      <c r="C182" s="579" t="s">
        <v>4199</v>
      </c>
      <c r="L182" s="287">
        <v>46346</v>
      </c>
    </row>
    <row r="183" spans="2:14" ht="12.75" customHeight="1" x14ac:dyDescent="0.2">
      <c r="C183" s="579" t="s">
        <v>4211</v>
      </c>
      <c r="L183" s="287">
        <v>2268038</v>
      </c>
    </row>
    <row r="184" spans="2:14" ht="12.75" customHeight="1" x14ac:dyDescent="0.2">
      <c r="C184" t="s">
        <v>742</v>
      </c>
      <c r="L184" s="287">
        <v>0</v>
      </c>
    </row>
    <row r="185" spans="2:14" ht="12.75" customHeight="1" x14ac:dyDescent="0.2">
      <c r="C185" t="s">
        <v>172</v>
      </c>
      <c r="L185" s="287">
        <v>561237</v>
      </c>
      <c r="M185" t="s">
        <v>4180</v>
      </c>
    </row>
    <row r="186" spans="2:14" ht="12.75" customHeight="1" x14ac:dyDescent="0.2">
      <c r="C186" t="s">
        <v>777</v>
      </c>
      <c r="L186" s="287">
        <v>17285</v>
      </c>
      <c r="M186" t="s">
        <v>4180</v>
      </c>
    </row>
    <row r="187" spans="2:14" ht="12.75" customHeight="1" x14ac:dyDescent="0.2">
      <c r="C187" t="s">
        <v>1041</v>
      </c>
      <c r="L187" s="287">
        <v>4159606</v>
      </c>
      <c r="M187" t="s">
        <v>4180</v>
      </c>
    </row>
    <row r="188" spans="2:14" ht="12.75" customHeight="1" x14ac:dyDescent="0.2">
      <c r="C188" s="280" t="s">
        <v>4012</v>
      </c>
      <c r="L188" s="287">
        <v>76023</v>
      </c>
    </row>
    <row r="189" spans="2:14" ht="12.75" customHeight="1" x14ac:dyDescent="0.2">
      <c r="C189" s="280" t="s">
        <v>668</v>
      </c>
      <c r="L189" s="287">
        <v>0</v>
      </c>
    </row>
    <row r="190" spans="2:14" ht="12.75" customHeight="1" x14ac:dyDescent="0.2">
      <c r="C190" s="280" t="s">
        <v>669</v>
      </c>
      <c r="L190" s="287">
        <v>0</v>
      </c>
      <c r="N190" s="11">
        <f>SUM(L177:L190)</f>
        <v>7130318</v>
      </c>
    </row>
    <row r="191" spans="2:14" ht="7.5" customHeight="1" x14ac:dyDescent="0.2"/>
    <row r="192" spans="2:14" ht="12.75" customHeight="1" x14ac:dyDescent="0.2">
      <c r="B192" s="4" t="s">
        <v>670</v>
      </c>
      <c r="L192" s="287">
        <v>1669081</v>
      </c>
      <c r="N192" s="1030" t="str">
        <f>IF(L194=L195," ","Recheck numbers above and detail in Worksheet M.  Above entry is out of balance.")</f>
        <v>Recheck numbers above and detail in Worksheet M.  Above entry is out of balance.</v>
      </c>
    </row>
    <row r="193" spans="1:19" ht="12.75" customHeight="1" x14ac:dyDescent="0.2">
      <c r="N193" s="1030"/>
      <c r="Q193" s="5">
        <f>15681628-L194</f>
        <v>462088</v>
      </c>
    </row>
    <row r="194" spans="1:19" ht="12.75" customHeight="1" x14ac:dyDescent="0.2">
      <c r="C194" s="343" t="s">
        <v>264</v>
      </c>
      <c r="D194" s="343"/>
      <c r="E194" s="344" t="s">
        <v>1070</v>
      </c>
      <c r="F194" s="340"/>
      <c r="G194" s="340"/>
      <c r="H194" s="340"/>
      <c r="I194" s="340"/>
      <c r="J194" s="340"/>
      <c r="K194" s="340"/>
      <c r="L194" s="341">
        <f>ROUND(N174+N190+L192,0)</f>
        <v>15219540</v>
      </c>
      <c r="N194" s="1030"/>
      <c r="R194" s="5"/>
      <c r="S194" s="5"/>
    </row>
    <row r="195" spans="1:19" ht="12.75" customHeight="1" x14ac:dyDescent="0.2">
      <c r="E195" s="344" t="s">
        <v>265</v>
      </c>
      <c r="F195" s="340"/>
      <c r="G195" s="340"/>
      <c r="H195" s="340"/>
      <c r="I195" s="340"/>
      <c r="J195" s="340"/>
      <c r="K195" s="340"/>
      <c r="L195" s="342">
        <f>ROUND('Conversion Worksheet'!BG183+'Conversion Worksheet'!BG193-'Conversion Worksheet'!BF193,0)</f>
        <v>15055746</v>
      </c>
      <c r="N195" s="1030"/>
      <c r="Q195" s="5">
        <f>L194-L195</f>
        <v>163794</v>
      </c>
    </row>
    <row r="196" spans="1:19" ht="23.25" customHeight="1" x14ac:dyDescent="0.2"/>
    <row r="197" spans="1:19" ht="25.5" customHeight="1" x14ac:dyDescent="0.2">
      <c r="A197" s="4" t="s">
        <v>786</v>
      </c>
      <c r="B197" s="1097" t="s">
        <v>688</v>
      </c>
      <c r="C197" s="1098"/>
      <c r="D197" s="1098"/>
      <c r="E197" s="1098"/>
      <c r="F197" s="1098"/>
      <c r="G197" s="1098"/>
      <c r="H197" s="1098"/>
      <c r="I197" s="1098"/>
      <c r="J197" s="1098"/>
      <c r="K197" s="1098"/>
      <c r="L197" s="1098"/>
      <c r="M197" s="1098"/>
      <c r="N197" s="1099"/>
    </row>
    <row r="198" spans="1:19" ht="6" customHeight="1" x14ac:dyDescent="0.2">
      <c r="A198" s="4"/>
      <c r="B198" s="4"/>
      <c r="C198" s="4"/>
      <c r="D198" s="4"/>
      <c r="E198" s="4"/>
      <c r="F198" s="4"/>
      <c r="G198" s="4"/>
      <c r="H198" s="4"/>
    </row>
    <row r="199" spans="1:19" ht="21" customHeight="1" x14ac:dyDescent="0.2">
      <c r="C199" s="232" t="s">
        <v>464</v>
      </c>
      <c r="J199" s="36" t="s">
        <v>509</v>
      </c>
      <c r="K199" s="27"/>
      <c r="L199" s="36" t="s">
        <v>510</v>
      </c>
    </row>
    <row r="200" spans="1:19" x14ac:dyDescent="0.2">
      <c r="A200" t="s">
        <v>404</v>
      </c>
      <c r="C200" s="229" t="s">
        <v>455</v>
      </c>
      <c r="D200" t="s">
        <v>405</v>
      </c>
      <c r="J200" s="61">
        <f>N49+N52</f>
        <v>2399059</v>
      </c>
      <c r="K200" s="72"/>
      <c r="L200" s="61"/>
      <c r="N200" s="2"/>
    </row>
    <row r="201" spans="1:19" x14ac:dyDescent="0.2">
      <c r="C201" s="229"/>
      <c r="E201" t="s">
        <v>406</v>
      </c>
      <c r="J201" s="61"/>
      <c r="K201" s="72"/>
      <c r="L201" s="61">
        <f>N49+N52</f>
        <v>2399059</v>
      </c>
    </row>
    <row r="202" spans="1:19" ht="4.5" customHeight="1" x14ac:dyDescent="0.2">
      <c r="C202" s="229"/>
      <c r="J202" s="25"/>
      <c r="K202" s="72"/>
      <c r="L202" s="25"/>
    </row>
    <row r="203" spans="1:19" x14ac:dyDescent="0.2">
      <c r="A203" t="s">
        <v>407</v>
      </c>
      <c r="C203" s="229" t="s">
        <v>456</v>
      </c>
      <c r="D203" t="s">
        <v>58</v>
      </c>
      <c r="J203" s="61">
        <f>N60</f>
        <v>0</v>
      </c>
      <c r="K203" s="72"/>
      <c r="L203" s="61"/>
      <c r="N203" t="s">
        <v>111</v>
      </c>
    </row>
    <row r="204" spans="1:19" x14ac:dyDescent="0.2">
      <c r="C204" s="229"/>
      <c r="D204" t="s">
        <v>834</v>
      </c>
      <c r="H204" s="2"/>
      <c r="J204" s="61">
        <f>N63</f>
        <v>0</v>
      </c>
      <c r="K204" s="72"/>
      <c r="L204" s="61"/>
      <c r="N204" s="6" t="s">
        <v>409</v>
      </c>
    </row>
    <row r="205" spans="1:19" ht="12.75" customHeight="1" x14ac:dyDescent="0.2">
      <c r="C205" s="229"/>
      <c r="E205" t="s">
        <v>53</v>
      </c>
      <c r="J205" s="61"/>
      <c r="K205" s="72"/>
      <c r="L205" s="61">
        <f>N60</f>
        <v>0</v>
      </c>
    </row>
    <row r="206" spans="1:19" x14ac:dyDescent="0.2">
      <c r="C206" s="229"/>
      <c r="E206" t="s">
        <v>835</v>
      </c>
      <c r="J206" s="61"/>
      <c r="K206" s="72"/>
      <c r="L206" s="61">
        <f>N63</f>
        <v>0</v>
      </c>
    </row>
    <row r="207" spans="1:19" ht="4.5" customHeight="1" x14ac:dyDescent="0.2">
      <c r="C207" s="229"/>
      <c r="J207" s="25"/>
      <c r="K207" s="72"/>
      <c r="L207" s="25"/>
    </row>
    <row r="208" spans="1:19" x14ac:dyDescent="0.2">
      <c r="A208" t="s">
        <v>408</v>
      </c>
      <c r="C208" s="229" t="s">
        <v>457</v>
      </c>
      <c r="D208" t="s">
        <v>834</v>
      </c>
      <c r="J208" s="61">
        <f>N80</f>
        <v>0</v>
      </c>
      <c r="K208" s="72"/>
      <c r="L208" s="61"/>
    </row>
    <row r="209" spans="1:14" x14ac:dyDescent="0.2">
      <c r="D209" t="s">
        <v>58</v>
      </c>
      <c r="J209" s="11">
        <f>N73</f>
        <v>0</v>
      </c>
      <c r="K209" s="72"/>
      <c r="L209" s="61"/>
      <c r="N209" s="6" t="s">
        <v>112</v>
      </c>
    </row>
    <row r="210" spans="1:14" x14ac:dyDescent="0.2">
      <c r="B210" s="14"/>
      <c r="D210" t="s">
        <v>415</v>
      </c>
      <c r="J210" s="61">
        <f>IF((L211+L212)-(J208+J209)&lt;0,0,(L211+L212)-(J208+J209))</f>
        <v>0</v>
      </c>
      <c r="K210" s="72"/>
      <c r="L210" s="61">
        <f>IF((L211+L212)-(J208+J209)&gt;0,0,(L211+L212)-(J208+J209))</f>
        <v>0</v>
      </c>
      <c r="N210" s="6" t="s">
        <v>114</v>
      </c>
    </row>
    <row r="211" spans="1:14" x14ac:dyDescent="0.2">
      <c r="E211" t="s">
        <v>835</v>
      </c>
      <c r="J211" s="61"/>
      <c r="K211" s="72"/>
      <c r="L211" s="61">
        <f>N77</f>
        <v>0</v>
      </c>
      <c r="N211" s="6" t="s">
        <v>113</v>
      </c>
    </row>
    <row r="212" spans="1:14" x14ac:dyDescent="0.2">
      <c r="E212" t="s">
        <v>53</v>
      </c>
      <c r="J212" s="61"/>
      <c r="K212" s="72"/>
      <c r="L212" s="61">
        <f>N69</f>
        <v>0</v>
      </c>
    </row>
    <row r="213" spans="1:14" ht="3.75" customHeight="1" x14ac:dyDescent="0.2">
      <c r="J213" s="72"/>
      <c r="K213" s="72"/>
      <c r="L213" s="72"/>
    </row>
    <row r="214" spans="1:14" x14ac:dyDescent="0.2">
      <c r="A214" t="s">
        <v>871</v>
      </c>
      <c r="C214" s="230" t="s">
        <v>458</v>
      </c>
      <c r="D214" t="s">
        <v>286</v>
      </c>
      <c r="J214" s="61">
        <f>N86</f>
        <v>0</v>
      </c>
      <c r="K214" s="72"/>
      <c r="L214" s="61"/>
    </row>
    <row r="215" spans="1:14" x14ac:dyDescent="0.2">
      <c r="C215" s="230"/>
      <c r="E215" t="s">
        <v>53</v>
      </c>
      <c r="J215" s="61"/>
      <c r="K215" s="72"/>
      <c r="L215" s="61">
        <f>N86</f>
        <v>0</v>
      </c>
      <c r="N215" s="6" t="s">
        <v>419</v>
      </c>
    </row>
    <row r="216" spans="1:14" x14ac:dyDescent="0.2">
      <c r="C216" s="230"/>
      <c r="D216" t="s">
        <v>58</v>
      </c>
      <c r="J216" s="61">
        <f>N88</f>
        <v>0</v>
      </c>
      <c r="K216" s="72"/>
      <c r="L216" s="61"/>
      <c r="N216" s="6" t="s">
        <v>420</v>
      </c>
    </row>
    <row r="217" spans="1:14" x14ac:dyDescent="0.2">
      <c r="C217" s="230"/>
      <c r="E217" t="s">
        <v>287</v>
      </c>
      <c r="J217" s="61"/>
      <c r="K217" s="72"/>
      <c r="L217" s="61">
        <f>N88</f>
        <v>0</v>
      </c>
    </row>
    <row r="218" spans="1:14" ht="5.25" customHeight="1" x14ac:dyDescent="0.2">
      <c r="C218" s="230"/>
      <c r="J218" s="72"/>
      <c r="K218" s="72"/>
      <c r="L218" s="72"/>
    </row>
    <row r="219" spans="1:14" x14ac:dyDescent="0.2">
      <c r="A219" t="s">
        <v>872</v>
      </c>
      <c r="C219" s="230" t="s">
        <v>459</v>
      </c>
      <c r="D219" t="s">
        <v>329</v>
      </c>
      <c r="J219" s="61">
        <f>N98</f>
        <v>0</v>
      </c>
      <c r="K219" s="72"/>
      <c r="L219" s="61"/>
    </row>
    <row r="220" spans="1:14" x14ac:dyDescent="0.2">
      <c r="C220" s="230"/>
      <c r="D220" t="s">
        <v>873</v>
      </c>
      <c r="J220" s="61">
        <f>N99</f>
        <v>0</v>
      </c>
      <c r="K220" s="72"/>
      <c r="L220" s="61"/>
      <c r="N220" s="6" t="s">
        <v>422</v>
      </c>
    </row>
    <row r="221" spans="1:14" x14ac:dyDescent="0.2">
      <c r="C221" s="230"/>
      <c r="E221" t="s">
        <v>189</v>
      </c>
      <c r="F221" s="38"/>
      <c r="J221" s="57"/>
      <c r="L221" s="11">
        <f>N98</f>
        <v>0</v>
      </c>
      <c r="N221" s="6" t="s">
        <v>421</v>
      </c>
    </row>
    <row r="222" spans="1:14" x14ac:dyDescent="0.2">
      <c r="C222" s="230"/>
      <c r="E222" t="s">
        <v>214</v>
      </c>
      <c r="J222" s="57"/>
      <c r="L222" s="11">
        <f>N99</f>
        <v>0</v>
      </c>
    </row>
    <row r="223" spans="1:14" ht="3.75" customHeight="1" x14ac:dyDescent="0.2">
      <c r="C223" s="230"/>
    </row>
    <row r="224" spans="1:14" x14ac:dyDescent="0.2">
      <c r="A224" t="s">
        <v>874</v>
      </c>
      <c r="C224" s="230" t="s">
        <v>460</v>
      </c>
      <c r="D224" t="s">
        <v>656</v>
      </c>
      <c r="J224" s="11">
        <f>N105</f>
        <v>0</v>
      </c>
      <c r="L224" s="57"/>
    </row>
    <row r="225" spans="3:14" x14ac:dyDescent="0.2">
      <c r="C225" s="230"/>
      <c r="D225" t="s">
        <v>655</v>
      </c>
      <c r="J225" s="11">
        <f>N107</f>
        <v>171429</v>
      </c>
      <c r="L225" s="57"/>
      <c r="N225" s="6"/>
    </row>
    <row r="226" spans="3:14" x14ac:dyDescent="0.2">
      <c r="C226" s="230"/>
      <c r="D226" t="s">
        <v>654</v>
      </c>
      <c r="J226" s="11">
        <f>N109</f>
        <v>625000</v>
      </c>
      <c r="L226" s="57"/>
      <c r="N226" s="6"/>
    </row>
    <row r="227" spans="3:14" x14ac:dyDescent="0.2">
      <c r="C227" s="230"/>
      <c r="D227" t="s">
        <v>653</v>
      </c>
      <c r="J227" s="11">
        <f>N111</f>
        <v>0</v>
      </c>
      <c r="L227" s="57"/>
      <c r="N227" s="6"/>
    </row>
    <row r="228" spans="3:14" x14ac:dyDescent="0.2">
      <c r="C228" s="230"/>
      <c r="D228" t="s">
        <v>4100</v>
      </c>
      <c r="J228" s="11">
        <f>N113</f>
        <v>44777</v>
      </c>
      <c r="L228" s="57"/>
      <c r="N228" s="6"/>
    </row>
    <row r="229" spans="3:14" x14ac:dyDescent="0.2">
      <c r="C229" s="230"/>
      <c r="D229" t="s">
        <v>4182</v>
      </c>
      <c r="J229" s="11">
        <f>N115</f>
        <v>21367</v>
      </c>
      <c r="L229" s="57"/>
      <c r="N229" s="6"/>
    </row>
    <row r="230" spans="3:14" x14ac:dyDescent="0.2">
      <c r="C230" s="230"/>
      <c r="D230" t="s">
        <v>1026</v>
      </c>
      <c r="J230" s="11">
        <f>N117</f>
        <v>0</v>
      </c>
      <c r="L230" s="57"/>
      <c r="N230" s="6"/>
    </row>
    <row r="231" spans="3:14" x14ac:dyDescent="0.2">
      <c r="C231" s="230"/>
      <c r="D231" s="280" t="s">
        <v>651</v>
      </c>
      <c r="J231" s="11">
        <f>N120</f>
        <v>0</v>
      </c>
      <c r="L231" s="57"/>
      <c r="N231" s="6"/>
    </row>
    <row r="232" spans="3:14" x14ac:dyDescent="0.2">
      <c r="C232" s="230"/>
      <c r="D232" s="280" t="s">
        <v>652</v>
      </c>
      <c r="J232" s="11">
        <f>N122</f>
        <v>0</v>
      </c>
      <c r="L232" s="57"/>
      <c r="N232" s="6" t="s">
        <v>428</v>
      </c>
    </row>
    <row r="233" spans="3:14" x14ac:dyDescent="0.2">
      <c r="C233" s="230"/>
      <c r="E233" t="s">
        <v>657</v>
      </c>
      <c r="J233" s="57"/>
      <c r="L233" s="11">
        <f>N105</f>
        <v>0</v>
      </c>
      <c r="N233" s="6" t="s">
        <v>650</v>
      </c>
    </row>
    <row r="234" spans="3:14" x14ac:dyDescent="0.2">
      <c r="C234" s="230"/>
      <c r="E234" t="s">
        <v>658</v>
      </c>
      <c r="J234" s="57"/>
      <c r="L234" s="11">
        <f>N107</f>
        <v>171429</v>
      </c>
      <c r="N234" s="6"/>
    </row>
    <row r="235" spans="3:14" x14ac:dyDescent="0.2">
      <c r="C235" s="230"/>
      <c r="E235" t="s">
        <v>659</v>
      </c>
      <c r="J235" s="57"/>
      <c r="L235" s="11">
        <f>N109</f>
        <v>625000</v>
      </c>
      <c r="N235" s="6"/>
    </row>
    <row r="236" spans="3:14" x14ac:dyDescent="0.2">
      <c r="C236" s="230"/>
      <c r="E236" t="s">
        <v>660</v>
      </c>
      <c r="J236" s="57"/>
      <c r="L236" s="11">
        <f>N111</f>
        <v>0</v>
      </c>
      <c r="N236" s="6"/>
    </row>
    <row r="237" spans="3:14" x14ac:dyDescent="0.2">
      <c r="C237" s="230"/>
      <c r="E237" t="s">
        <v>661</v>
      </c>
      <c r="J237" s="57"/>
      <c r="L237" s="11">
        <f>N113</f>
        <v>44777</v>
      </c>
      <c r="N237" s="6"/>
    </row>
    <row r="238" spans="3:14" x14ac:dyDescent="0.2">
      <c r="C238" s="230"/>
      <c r="E238" t="s">
        <v>4183</v>
      </c>
      <c r="J238" s="57"/>
      <c r="L238" s="11">
        <f>N115</f>
        <v>21367</v>
      </c>
      <c r="N238" s="6"/>
    </row>
    <row r="239" spans="3:14" x14ac:dyDescent="0.2">
      <c r="C239" s="230"/>
      <c r="E239" t="s">
        <v>875</v>
      </c>
      <c r="J239" s="57"/>
      <c r="L239" s="11">
        <f>N117</f>
        <v>0</v>
      </c>
      <c r="N239" s="6"/>
    </row>
    <row r="240" spans="3:14" x14ac:dyDescent="0.2">
      <c r="C240" s="230"/>
      <c r="E240" s="280" t="s">
        <v>663</v>
      </c>
      <c r="J240" s="57"/>
      <c r="L240" s="11">
        <f>N120</f>
        <v>0</v>
      </c>
      <c r="N240" s="6"/>
    </row>
    <row r="241" spans="1:14" x14ac:dyDescent="0.2">
      <c r="C241" s="230"/>
      <c r="E241" s="280" t="s">
        <v>662</v>
      </c>
      <c r="J241" s="57"/>
      <c r="L241" s="11">
        <f>N122</f>
        <v>0</v>
      </c>
      <c r="N241" s="6"/>
    </row>
    <row r="242" spans="1:14" ht="4.5" customHeight="1" x14ac:dyDescent="0.2">
      <c r="C242" s="230"/>
    </row>
    <row r="243" spans="1:14" x14ac:dyDescent="0.2">
      <c r="A243" t="s">
        <v>876</v>
      </c>
      <c r="C243" s="230" t="s">
        <v>461</v>
      </c>
      <c r="D243" t="s">
        <v>189</v>
      </c>
      <c r="J243" s="61">
        <f t="shared" ref="J243:J251" si="0">J130</f>
        <v>0</v>
      </c>
      <c r="L243" s="57"/>
    </row>
    <row r="244" spans="1:14" x14ac:dyDescent="0.2">
      <c r="C244" s="230"/>
      <c r="D244" t="s">
        <v>988</v>
      </c>
      <c r="J244" s="61">
        <f t="shared" si="0"/>
        <v>0</v>
      </c>
      <c r="L244" s="57"/>
    </row>
    <row r="245" spans="1:14" x14ac:dyDescent="0.2">
      <c r="C245" s="230"/>
      <c r="D245" t="s">
        <v>214</v>
      </c>
      <c r="J245" s="61">
        <f t="shared" si="0"/>
        <v>0</v>
      </c>
      <c r="L245" s="57"/>
    </row>
    <row r="246" spans="1:14" x14ac:dyDescent="0.2">
      <c r="C246" s="230"/>
      <c r="D246" t="s">
        <v>816</v>
      </c>
      <c r="J246" s="61">
        <f t="shared" si="0"/>
        <v>0</v>
      </c>
      <c r="L246" s="57"/>
    </row>
    <row r="247" spans="1:14" x14ac:dyDescent="0.2">
      <c r="C247" s="230"/>
      <c r="D247" t="s">
        <v>805</v>
      </c>
      <c r="J247" s="61">
        <f t="shared" si="0"/>
        <v>0</v>
      </c>
      <c r="L247" s="57"/>
    </row>
    <row r="248" spans="1:14" x14ac:dyDescent="0.2">
      <c r="C248" s="230"/>
      <c r="D248" t="s">
        <v>215</v>
      </c>
      <c r="J248" s="61">
        <f t="shared" si="0"/>
        <v>0</v>
      </c>
      <c r="L248" s="57"/>
    </row>
    <row r="249" spans="1:14" x14ac:dyDescent="0.2">
      <c r="C249" s="230"/>
      <c r="D249" t="s">
        <v>216</v>
      </c>
      <c r="J249" s="61">
        <f t="shared" si="0"/>
        <v>0</v>
      </c>
      <c r="L249" s="57"/>
    </row>
    <row r="250" spans="1:14" x14ac:dyDescent="0.2">
      <c r="C250" s="230"/>
      <c r="D250" t="s">
        <v>172</v>
      </c>
      <c r="J250" s="61">
        <f t="shared" si="0"/>
        <v>0</v>
      </c>
      <c r="L250" s="57"/>
    </row>
    <row r="251" spans="1:14" x14ac:dyDescent="0.2">
      <c r="C251" s="230"/>
      <c r="D251" s="280" t="s">
        <v>726</v>
      </c>
      <c r="J251" s="61">
        <f t="shared" si="0"/>
        <v>0</v>
      </c>
      <c r="L251" s="57"/>
    </row>
    <row r="252" spans="1:14" x14ac:dyDescent="0.2">
      <c r="C252" s="230"/>
      <c r="E252" t="s">
        <v>169</v>
      </c>
      <c r="J252" s="61"/>
      <c r="K252" s="72"/>
      <c r="L252" s="61">
        <f>J139</f>
        <v>0</v>
      </c>
    </row>
    <row r="253" spans="1:14" x14ac:dyDescent="0.2">
      <c r="C253" s="230"/>
      <c r="D253" t="s">
        <v>886</v>
      </c>
      <c r="J253" s="61">
        <f>L139+N139</f>
        <v>0</v>
      </c>
      <c r="K253" s="72"/>
      <c r="L253" s="61"/>
    </row>
    <row r="254" spans="1:14" x14ac:dyDescent="0.2">
      <c r="C254" s="230"/>
      <c r="E254" t="s">
        <v>429</v>
      </c>
      <c r="J254" s="61"/>
      <c r="K254" s="72"/>
      <c r="L254" s="61">
        <f t="shared" ref="L254:L262" si="1">L130</f>
        <v>0</v>
      </c>
    </row>
    <row r="255" spans="1:14" x14ac:dyDescent="0.2">
      <c r="C255" s="230"/>
      <c r="E255" t="s">
        <v>430</v>
      </c>
      <c r="J255" s="61"/>
      <c r="K255" s="72"/>
      <c r="L255" s="61">
        <f t="shared" si="1"/>
        <v>0</v>
      </c>
    </row>
    <row r="256" spans="1:14" x14ac:dyDescent="0.2">
      <c r="C256" s="230"/>
      <c r="E256" t="s">
        <v>431</v>
      </c>
      <c r="J256" s="61"/>
      <c r="K256" s="72"/>
      <c r="L256" s="61">
        <f t="shared" si="1"/>
        <v>0</v>
      </c>
    </row>
    <row r="257" spans="3:14" x14ac:dyDescent="0.2">
      <c r="C257" s="230"/>
      <c r="E257" t="s">
        <v>432</v>
      </c>
      <c r="J257" s="61"/>
      <c r="K257" s="72"/>
      <c r="L257" s="61">
        <f t="shared" si="1"/>
        <v>0</v>
      </c>
      <c r="N257" s="6" t="s">
        <v>423</v>
      </c>
    </row>
    <row r="258" spans="3:14" x14ac:dyDescent="0.2">
      <c r="C258" s="230"/>
      <c r="E258" t="s">
        <v>433</v>
      </c>
      <c r="J258" s="61"/>
      <c r="K258" s="72"/>
      <c r="L258" s="61">
        <f t="shared" si="1"/>
        <v>0</v>
      </c>
      <c r="N258" s="6" t="s">
        <v>424</v>
      </c>
    </row>
    <row r="259" spans="3:14" x14ac:dyDescent="0.2">
      <c r="C259" s="230"/>
      <c r="E259" t="s">
        <v>434</v>
      </c>
      <c r="J259" s="61"/>
      <c r="K259" s="72"/>
      <c r="L259" s="61">
        <f t="shared" si="1"/>
        <v>0</v>
      </c>
    </row>
    <row r="260" spans="3:14" x14ac:dyDescent="0.2">
      <c r="C260" s="230"/>
      <c r="E260" t="s">
        <v>435</v>
      </c>
      <c r="J260" s="61"/>
      <c r="K260" s="72"/>
      <c r="L260" s="61">
        <f t="shared" si="1"/>
        <v>0</v>
      </c>
    </row>
    <row r="261" spans="3:14" x14ac:dyDescent="0.2">
      <c r="C261" s="230"/>
      <c r="E261" t="s">
        <v>177</v>
      </c>
      <c r="J261" s="61"/>
      <c r="K261" s="72"/>
      <c r="L261" s="61">
        <f t="shared" si="1"/>
        <v>0</v>
      </c>
    </row>
    <row r="262" spans="3:14" x14ac:dyDescent="0.2">
      <c r="C262" s="230"/>
      <c r="E262" s="280" t="s">
        <v>436</v>
      </c>
      <c r="J262" s="61"/>
      <c r="K262" s="72"/>
      <c r="L262" s="61">
        <f t="shared" si="1"/>
        <v>0</v>
      </c>
    </row>
    <row r="263" spans="3:14" x14ac:dyDescent="0.2">
      <c r="C263" s="230"/>
      <c r="E263" t="s">
        <v>437</v>
      </c>
      <c r="J263" s="61"/>
      <c r="K263" s="72"/>
      <c r="L263" s="61">
        <f t="shared" ref="L263:L271" si="2">N130</f>
        <v>0</v>
      </c>
    </row>
    <row r="264" spans="3:14" x14ac:dyDescent="0.2">
      <c r="C264" s="230"/>
      <c r="E264" t="s">
        <v>438</v>
      </c>
      <c r="J264" s="61"/>
      <c r="K264" s="72"/>
      <c r="L264" s="61">
        <f t="shared" si="2"/>
        <v>0</v>
      </c>
    </row>
    <row r="265" spans="3:14" x14ac:dyDescent="0.2">
      <c r="C265" s="230"/>
      <c r="E265" t="s">
        <v>439</v>
      </c>
      <c r="J265" s="61"/>
      <c r="K265" s="72"/>
      <c r="L265" s="61">
        <f t="shared" si="2"/>
        <v>0</v>
      </c>
    </row>
    <row r="266" spans="3:14" x14ac:dyDescent="0.2">
      <c r="C266" s="230"/>
      <c r="E266" t="s">
        <v>480</v>
      </c>
      <c r="J266" s="61"/>
      <c r="K266" s="72"/>
      <c r="L266" s="61">
        <f t="shared" si="2"/>
        <v>0</v>
      </c>
    </row>
    <row r="267" spans="3:14" x14ac:dyDescent="0.2">
      <c r="C267" s="230"/>
      <c r="E267" t="s">
        <v>481</v>
      </c>
      <c r="J267" s="61"/>
      <c r="K267" s="72"/>
      <c r="L267" s="61">
        <f t="shared" si="2"/>
        <v>0</v>
      </c>
    </row>
    <row r="268" spans="3:14" x14ac:dyDescent="0.2">
      <c r="C268" s="230"/>
      <c r="E268" t="s">
        <v>482</v>
      </c>
      <c r="J268" s="61"/>
      <c r="K268" s="72"/>
      <c r="L268" s="61">
        <f t="shared" si="2"/>
        <v>0</v>
      </c>
    </row>
    <row r="269" spans="3:14" x14ac:dyDescent="0.2">
      <c r="C269" s="230"/>
      <c r="E269" t="s">
        <v>483</v>
      </c>
      <c r="J269" s="61"/>
      <c r="K269" s="72"/>
      <c r="L269" s="61">
        <f t="shared" si="2"/>
        <v>0</v>
      </c>
    </row>
    <row r="270" spans="3:14" x14ac:dyDescent="0.2">
      <c r="C270" s="230"/>
      <c r="E270" t="s">
        <v>178</v>
      </c>
      <c r="J270" s="61"/>
      <c r="K270" s="72"/>
      <c r="L270" s="61">
        <f t="shared" si="2"/>
        <v>0</v>
      </c>
    </row>
    <row r="271" spans="3:14" x14ac:dyDescent="0.2">
      <c r="C271" s="230"/>
      <c r="E271" s="280" t="s">
        <v>537</v>
      </c>
      <c r="J271" s="61"/>
      <c r="K271" s="72"/>
      <c r="L271" s="61">
        <f t="shared" si="2"/>
        <v>0</v>
      </c>
    </row>
    <row r="272" spans="3:14" ht="3" customHeight="1" x14ac:dyDescent="0.2">
      <c r="C272" s="230"/>
    </row>
    <row r="273" spans="2:16" x14ac:dyDescent="0.2">
      <c r="B273" t="s">
        <v>880</v>
      </c>
      <c r="C273" s="230" t="s">
        <v>462</v>
      </c>
      <c r="D273" t="s">
        <v>680</v>
      </c>
      <c r="J273" s="61">
        <f t="shared" ref="J273:J283" si="3">L146</f>
        <v>0</v>
      </c>
      <c r="K273" s="72"/>
      <c r="L273" s="61">
        <f t="shared" ref="L273:L283" si="4">N146</f>
        <v>0</v>
      </c>
    </row>
    <row r="274" spans="2:16" x14ac:dyDescent="0.2">
      <c r="C274" s="230"/>
      <c r="D274" t="s">
        <v>189</v>
      </c>
      <c r="J274" s="61">
        <f t="shared" si="3"/>
        <v>0</v>
      </c>
      <c r="K274" s="72"/>
      <c r="L274" s="61">
        <f t="shared" si="4"/>
        <v>0</v>
      </c>
    </row>
    <row r="275" spans="2:16" x14ac:dyDescent="0.2">
      <c r="C275" s="230"/>
      <c r="D275" t="s">
        <v>988</v>
      </c>
      <c r="J275" s="61">
        <f t="shared" si="3"/>
        <v>0</v>
      </c>
      <c r="K275" s="72"/>
      <c r="L275" s="61">
        <f t="shared" si="4"/>
        <v>0</v>
      </c>
    </row>
    <row r="276" spans="2:16" x14ac:dyDescent="0.2">
      <c r="C276" s="230"/>
      <c r="D276" t="s">
        <v>214</v>
      </c>
      <c r="J276" s="61">
        <f t="shared" si="3"/>
        <v>0</v>
      </c>
      <c r="K276" s="72"/>
      <c r="L276" s="61">
        <f t="shared" si="4"/>
        <v>0</v>
      </c>
    </row>
    <row r="277" spans="2:16" x14ac:dyDescent="0.2">
      <c r="C277" s="230"/>
      <c r="D277" t="s">
        <v>816</v>
      </c>
      <c r="J277" s="61">
        <f t="shared" si="3"/>
        <v>0</v>
      </c>
      <c r="K277" s="72"/>
      <c r="L277" s="61">
        <f t="shared" si="4"/>
        <v>0</v>
      </c>
      <c r="N277" s="6" t="s">
        <v>425</v>
      </c>
    </row>
    <row r="278" spans="2:16" x14ac:dyDescent="0.2">
      <c r="C278" s="230"/>
      <c r="D278" t="s">
        <v>805</v>
      </c>
      <c r="J278" s="61">
        <f t="shared" si="3"/>
        <v>0</v>
      </c>
      <c r="K278" s="72"/>
      <c r="L278" s="61">
        <f t="shared" si="4"/>
        <v>0</v>
      </c>
      <c r="N278" s="6" t="s">
        <v>426</v>
      </c>
    </row>
    <row r="279" spans="2:16" x14ac:dyDescent="0.2">
      <c r="C279" s="230"/>
      <c r="D279" t="s">
        <v>215</v>
      </c>
      <c r="J279" s="61">
        <f t="shared" si="3"/>
        <v>0</v>
      </c>
      <c r="K279" s="72"/>
      <c r="L279" s="61">
        <f t="shared" si="4"/>
        <v>0</v>
      </c>
      <c r="N279" s="6" t="s">
        <v>427</v>
      </c>
    </row>
    <row r="280" spans="2:16" x14ac:dyDescent="0.2">
      <c r="C280" s="230"/>
      <c r="D280" t="s">
        <v>216</v>
      </c>
      <c r="J280" s="61">
        <f t="shared" si="3"/>
        <v>0</v>
      </c>
      <c r="K280" s="72"/>
      <c r="L280" s="61">
        <f t="shared" si="4"/>
        <v>0</v>
      </c>
    </row>
    <row r="281" spans="2:16" x14ac:dyDescent="0.2">
      <c r="C281" s="230"/>
      <c r="D281" t="s">
        <v>172</v>
      </c>
      <c r="J281" s="61">
        <f t="shared" si="3"/>
        <v>0</v>
      </c>
      <c r="K281" s="72"/>
      <c r="L281" s="61">
        <f t="shared" si="4"/>
        <v>0</v>
      </c>
    </row>
    <row r="282" spans="2:16" x14ac:dyDescent="0.2">
      <c r="C282" s="230"/>
      <c r="D282" s="280" t="s">
        <v>726</v>
      </c>
      <c r="J282" s="61">
        <f t="shared" si="3"/>
        <v>0</v>
      </c>
      <c r="K282" s="72"/>
      <c r="L282" s="61">
        <f t="shared" si="4"/>
        <v>0</v>
      </c>
    </row>
    <row r="283" spans="2:16" x14ac:dyDescent="0.2">
      <c r="C283" s="230"/>
      <c r="D283" t="s">
        <v>732</v>
      </c>
      <c r="J283" s="61">
        <f t="shared" si="3"/>
        <v>0</v>
      </c>
      <c r="K283" s="72"/>
      <c r="L283" s="61">
        <f t="shared" si="4"/>
        <v>0</v>
      </c>
    </row>
    <row r="284" spans="2:16" ht="4.5" customHeight="1" x14ac:dyDescent="0.2">
      <c r="J284" s="72"/>
      <c r="K284" s="72"/>
      <c r="L284" s="72"/>
      <c r="N284" s="1030" t="s">
        <v>41</v>
      </c>
      <c r="O284" s="1030"/>
      <c r="P284" s="1030"/>
    </row>
    <row r="285" spans="2:16" ht="12.75" customHeight="1" x14ac:dyDescent="0.2">
      <c r="B285" s="358" t="s">
        <v>38</v>
      </c>
      <c r="C285" s="231" t="s">
        <v>463</v>
      </c>
      <c r="D285" t="s">
        <v>39</v>
      </c>
      <c r="J285" s="61">
        <f>N161</f>
        <v>0</v>
      </c>
      <c r="K285" s="72"/>
      <c r="L285" s="61"/>
      <c r="N285" s="1030"/>
      <c r="O285" s="1030"/>
      <c r="P285" s="1030"/>
    </row>
    <row r="286" spans="2:16" x14ac:dyDescent="0.2">
      <c r="C286" s="230"/>
      <c r="D286" t="s">
        <v>42</v>
      </c>
      <c r="J286" s="61">
        <f>N164</f>
        <v>0</v>
      </c>
      <c r="K286" s="72"/>
      <c r="L286" s="61"/>
      <c r="N286" s="1030"/>
      <c r="O286" s="1030"/>
      <c r="P286" s="1030"/>
    </row>
    <row r="287" spans="2:16" x14ac:dyDescent="0.2">
      <c r="C287" s="230"/>
      <c r="E287" t="s">
        <v>40</v>
      </c>
      <c r="J287" s="61"/>
      <c r="K287" s="72"/>
      <c r="L287" s="61">
        <f>N161+N164</f>
        <v>0</v>
      </c>
      <c r="N287" s="1030"/>
      <c r="O287" s="1030"/>
      <c r="P287" s="1030"/>
    </row>
    <row r="288" spans="2:16" ht="4.5" customHeight="1" x14ac:dyDescent="0.2">
      <c r="C288" s="230"/>
      <c r="N288" s="1030"/>
      <c r="O288" s="1030"/>
      <c r="P288" s="1030"/>
    </row>
    <row r="289" spans="2:14" x14ac:dyDescent="0.2">
      <c r="B289" t="s">
        <v>994</v>
      </c>
      <c r="C289" s="229" t="s">
        <v>34</v>
      </c>
      <c r="D289" t="s">
        <v>732</v>
      </c>
      <c r="J289" s="11">
        <f>N174+L177+L178+L179+L180+L181+L182+L183+L184+L185+L186+L187+L188+L189+L190+L192</f>
        <v>15219540</v>
      </c>
      <c r="L289" s="57"/>
    </row>
    <row r="290" spans="2:14" x14ac:dyDescent="0.2">
      <c r="E290" t="s">
        <v>1058</v>
      </c>
      <c r="J290" s="57"/>
      <c r="L290" s="11">
        <f>N174</f>
        <v>6420141</v>
      </c>
    </row>
    <row r="291" spans="2:14" x14ac:dyDescent="0.2">
      <c r="E291" t="s">
        <v>995</v>
      </c>
      <c r="J291" s="57"/>
      <c r="L291" s="11">
        <f t="shared" ref="L291:L296" si="5">L177</f>
        <v>0</v>
      </c>
    </row>
    <row r="292" spans="2:14" x14ac:dyDescent="0.2">
      <c r="E292" t="s">
        <v>996</v>
      </c>
      <c r="J292" s="57"/>
      <c r="L292" s="11">
        <f t="shared" si="5"/>
        <v>0</v>
      </c>
    </row>
    <row r="293" spans="2:14" x14ac:dyDescent="0.2">
      <c r="E293" t="s">
        <v>997</v>
      </c>
      <c r="J293" s="57"/>
      <c r="L293" s="11">
        <f t="shared" si="5"/>
        <v>0</v>
      </c>
    </row>
    <row r="294" spans="2:14" x14ac:dyDescent="0.2">
      <c r="E294" t="s">
        <v>998</v>
      </c>
      <c r="J294" s="57"/>
      <c r="L294" s="11">
        <f t="shared" si="5"/>
        <v>1783</v>
      </c>
      <c r="N294" s="1030" t="s">
        <v>1071</v>
      </c>
    </row>
    <row r="295" spans="2:14" x14ac:dyDescent="0.2">
      <c r="E295" t="s">
        <v>558</v>
      </c>
      <c r="J295" s="57"/>
      <c r="L295" s="11">
        <f t="shared" si="5"/>
        <v>0</v>
      </c>
      <c r="N295" s="1030"/>
    </row>
    <row r="296" spans="2:14" x14ac:dyDescent="0.2">
      <c r="E296" t="s">
        <v>4181</v>
      </c>
      <c r="J296" s="57"/>
      <c r="L296" s="11">
        <f t="shared" si="5"/>
        <v>46346</v>
      </c>
      <c r="N296" s="1030"/>
    </row>
    <row r="297" spans="2:14" x14ac:dyDescent="0.2">
      <c r="E297" t="s">
        <v>4197</v>
      </c>
      <c r="J297" s="57"/>
      <c r="L297" s="11">
        <f>L183</f>
        <v>2268038</v>
      </c>
      <c r="N297" s="1030"/>
    </row>
    <row r="298" spans="2:14" x14ac:dyDescent="0.2">
      <c r="E298" t="s">
        <v>217</v>
      </c>
      <c r="J298" s="57"/>
      <c r="L298" s="11">
        <f t="shared" ref="L298:L304" si="6">L184</f>
        <v>0</v>
      </c>
      <c r="N298" s="1030"/>
    </row>
    <row r="299" spans="2:14" x14ac:dyDescent="0.2">
      <c r="E299" t="s">
        <v>218</v>
      </c>
      <c r="J299" s="57"/>
      <c r="L299" s="11">
        <f t="shared" si="6"/>
        <v>561237</v>
      </c>
      <c r="N299" s="1030"/>
    </row>
    <row r="300" spans="2:14" x14ac:dyDescent="0.2">
      <c r="E300" t="s">
        <v>263</v>
      </c>
      <c r="J300" s="57"/>
      <c r="L300" s="11">
        <f t="shared" si="6"/>
        <v>17285</v>
      </c>
      <c r="N300" s="124"/>
    </row>
    <row r="301" spans="2:14" x14ac:dyDescent="0.2">
      <c r="E301" t="s">
        <v>1042</v>
      </c>
      <c r="J301" s="57"/>
      <c r="L301" s="11">
        <f t="shared" si="6"/>
        <v>4159606</v>
      </c>
      <c r="N301" s="124"/>
    </row>
    <row r="302" spans="2:14" x14ac:dyDescent="0.2">
      <c r="E302" s="280" t="s">
        <v>559</v>
      </c>
      <c r="J302" s="57"/>
      <c r="L302" s="11">
        <f t="shared" si="6"/>
        <v>76023</v>
      </c>
    </row>
    <row r="303" spans="2:14" x14ac:dyDescent="0.2">
      <c r="E303" s="280" t="s">
        <v>560</v>
      </c>
      <c r="J303" s="57"/>
      <c r="L303" s="11">
        <f t="shared" si="6"/>
        <v>0</v>
      </c>
    </row>
    <row r="304" spans="2:14" x14ac:dyDescent="0.2">
      <c r="E304" s="280" t="s">
        <v>561</v>
      </c>
      <c r="J304" s="57"/>
      <c r="L304" s="11">
        <f t="shared" si="6"/>
        <v>0</v>
      </c>
    </row>
    <row r="305" spans="5:12" x14ac:dyDescent="0.2">
      <c r="E305" t="s">
        <v>952</v>
      </c>
      <c r="J305" s="57"/>
      <c r="L305" s="11">
        <f>L192</f>
        <v>1669081</v>
      </c>
    </row>
    <row r="306" spans="5:12" ht="13.5" thickBot="1" x14ac:dyDescent="0.25">
      <c r="J306" s="58">
        <f>SUM(J200:J305)</f>
        <v>18481172</v>
      </c>
      <c r="K306" s="82"/>
      <c r="L306" s="58">
        <f>SUM(L200:L305)</f>
        <v>18481172</v>
      </c>
    </row>
    <row r="307" spans="5:12" ht="13.5" thickTop="1" x14ac:dyDescent="0.2"/>
  </sheetData>
  <customSheetViews>
    <customSheetView guid="{D2B860EA-92EC-4999-9A59-C624E1F8C7FB}" scale="90" hiddenRows="1" topLeftCell="A73">
      <selection activeCell="N114" sqref="N114"/>
      <rowBreaks count="3" manualBreakCount="3">
        <brk id="64" max="15" man="1"/>
        <brk id="138" max="15" man="1"/>
        <brk id="219" max="15" man="1"/>
      </rowBreaks>
      <pageMargins left="0.5" right="0.45" top="0.72" bottom="0.71" header="0.5" footer="0.5"/>
      <printOptions horizontalCentered="1"/>
      <pageSetup scale="65" orientation="portrait" r:id="rId1"/>
      <headerFooter alignWithMargins="0">
        <oddHeader>&amp;R&amp;"Arial,Bold"&amp;12Entry  L</oddHeader>
        <oddFooter>&amp;L&amp;8&amp;D - County model&amp;R&amp;P</oddFooter>
      </headerFooter>
    </customSheetView>
    <customSheetView guid="{C1197650-3ED8-49E4-8E4C-0D1D4B503FC0}" scale="90" hiddenRows="1" topLeftCell="A73">
      <selection activeCell="N114" sqref="N114"/>
      <rowBreaks count="3" manualBreakCount="3">
        <brk id="64" max="15" man="1"/>
        <brk id="138" max="15" man="1"/>
        <brk id="219" max="15" man="1"/>
      </rowBreaks>
      <pageMargins left="0.5" right="0.45" top="0.72" bottom="0.71" header="0.5" footer="0.5"/>
      <printOptions horizontalCentered="1"/>
      <pageSetup scale="65" orientation="portrait" r:id="rId2"/>
      <headerFooter alignWithMargins="0">
        <oddHeader>&amp;R&amp;"Arial,Bold"&amp;12Entry  L</oddHeader>
        <oddFooter>&amp;L&amp;8&amp;D - County model&amp;R&amp;P</oddFooter>
      </headerFooter>
    </customSheetView>
  </customSheetViews>
  <mergeCells count="52">
    <mergeCell ref="C42:N44"/>
    <mergeCell ref="C31:N34"/>
    <mergeCell ref="B159:N159"/>
    <mergeCell ref="C161:J162"/>
    <mergeCell ref="C36:N40"/>
    <mergeCell ref="B142:N142"/>
    <mergeCell ref="L128:N128"/>
    <mergeCell ref="B103:N103"/>
    <mergeCell ref="B125:N125"/>
    <mergeCell ref="C127:J128"/>
    <mergeCell ref="N63:N64"/>
    <mergeCell ref="B67:N67"/>
    <mergeCell ref="C63:L64"/>
    <mergeCell ref="C117:L118"/>
    <mergeCell ref="C88:J88"/>
    <mergeCell ref="C86:L86"/>
    <mergeCell ref="N294:N299"/>
    <mergeCell ref="B197:N197"/>
    <mergeCell ref="B167:N167"/>
    <mergeCell ref="C144:J145"/>
    <mergeCell ref="N192:N195"/>
    <mergeCell ref="N284:P288"/>
    <mergeCell ref="C164:J165"/>
    <mergeCell ref="N161:N162"/>
    <mergeCell ref="N164:N165"/>
    <mergeCell ref="C18:N19"/>
    <mergeCell ref="C28:N29"/>
    <mergeCell ref="C21:N26"/>
    <mergeCell ref="C12:N16"/>
    <mergeCell ref="A2:O2"/>
    <mergeCell ref="B4:P4"/>
    <mergeCell ref="C6:N7"/>
    <mergeCell ref="C9:N10"/>
    <mergeCell ref="N69:N71"/>
    <mergeCell ref="N73:N75"/>
    <mergeCell ref="N77:N78"/>
    <mergeCell ref="C69:L71"/>
    <mergeCell ref="C73:L75"/>
    <mergeCell ref="C77:L78"/>
    <mergeCell ref="B46:N46"/>
    <mergeCell ref="B57:N57"/>
    <mergeCell ref="N60:N61"/>
    <mergeCell ref="C49:L50"/>
    <mergeCell ref="C60:L61"/>
    <mergeCell ref="C52:L53"/>
    <mergeCell ref="N52:N53"/>
    <mergeCell ref="N49:N50"/>
    <mergeCell ref="B84:N84"/>
    <mergeCell ref="B93:N93"/>
    <mergeCell ref="C95:J96"/>
    <mergeCell ref="N80:N82"/>
    <mergeCell ref="C80:L82"/>
  </mergeCells>
  <phoneticPr fontId="14" type="noConversion"/>
  <printOptions horizontalCentered="1"/>
  <pageMargins left="0.5" right="0.45" top="0.72" bottom="0.71" header="0.5" footer="0.5"/>
  <pageSetup scale="65" orientation="portrait" r:id="rId3"/>
  <headerFooter alignWithMargins="0">
    <oddHeader>&amp;R&amp;"Arial,Bold"&amp;12Entry  L</oddHeader>
    <oddFooter>&amp;L&amp;8&amp;D - County model&amp;R&amp;P</oddFooter>
  </headerFooter>
  <rowBreaks count="3" manualBreakCount="3">
    <brk id="64" max="15" man="1"/>
    <brk id="140" max="15" man="1"/>
    <brk id="223" max="15" man="1"/>
  </rowBreak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19"/>
  <sheetViews>
    <sheetView topLeftCell="A13" workbookViewId="0">
      <selection activeCell="C120" sqref="C120"/>
    </sheetView>
  </sheetViews>
  <sheetFormatPr defaultRowHeight="12.75" x14ac:dyDescent="0.2"/>
  <cols>
    <col min="1" max="1" width="3.42578125" customWidth="1"/>
    <col min="2" max="2" width="41.140625" customWidth="1"/>
    <col min="3" max="3" width="12.5703125" customWidth="1"/>
    <col min="4" max="4" width="12.85546875" customWidth="1"/>
    <col min="5" max="5" width="14" customWidth="1"/>
    <col min="6" max="6" width="13.140625" customWidth="1"/>
    <col min="7" max="7" width="11.28515625" customWidth="1"/>
    <col min="8" max="8" width="9.140625" customWidth="1"/>
    <col min="9" max="9" width="12.85546875" bestFit="1" customWidth="1"/>
  </cols>
  <sheetData>
    <row r="1" spans="1:12" ht="36.75" customHeight="1" x14ac:dyDescent="0.3">
      <c r="A1" s="1240" t="s">
        <v>1060</v>
      </c>
      <c r="B1" s="1241"/>
      <c r="C1" s="1241"/>
      <c r="D1" s="1241"/>
      <c r="E1" s="1241"/>
      <c r="F1" s="1241"/>
      <c r="G1" s="1241"/>
      <c r="H1" s="1241"/>
      <c r="I1" s="1242"/>
      <c r="J1" s="262"/>
      <c r="K1" s="262"/>
      <c r="L1" s="262"/>
    </row>
    <row r="2" spans="1:12" ht="11.25" customHeight="1" x14ac:dyDescent="0.2"/>
    <row r="3" spans="1:12" ht="51.75" customHeight="1" x14ac:dyDescent="0.2">
      <c r="B3" s="1019" t="s">
        <v>1121</v>
      </c>
      <c r="C3" s="1019"/>
      <c r="D3" s="1019"/>
      <c r="E3" s="1019"/>
      <c r="F3" s="1019"/>
      <c r="G3" s="1019"/>
      <c r="H3" s="1019"/>
      <c r="I3" s="1019"/>
    </row>
    <row r="4" spans="1:12" ht="4.5" customHeight="1" x14ac:dyDescent="0.2"/>
    <row r="5" spans="1:12" ht="27" customHeight="1" x14ac:dyDescent="0.2">
      <c r="B5" s="1019" t="s">
        <v>123</v>
      </c>
      <c r="C5" s="1019"/>
      <c r="D5" s="1019"/>
      <c r="E5" s="1019"/>
      <c r="F5" s="1019"/>
      <c r="G5" s="1019"/>
      <c r="H5" s="1019"/>
      <c r="I5" s="1019"/>
    </row>
    <row r="6" spans="1:12" ht="11.25" customHeight="1" x14ac:dyDescent="0.2"/>
    <row r="7" spans="1:12" ht="25.5" customHeight="1" x14ac:dyDescent="0.25">
      <c r="A7" s="4" t="s">
        <v>539</v>
      </c>
      <c r="B7" s="1243" t="s">
        <v>1122</v>
      </c>
      <c r="C7" s="1244"/>
      <c r="D7" s="1244"/>
      <c r="E7" s="1244"/>
      <c r="F7" s="1244"/>
      <c r="G7" s="1244"/>
      <c r="H7" s="1244"/>
      <c r="I7" s="1245"/>
    </row>
    <row r="8" spans="1:12" ht="6.75" customHeight="1" x14ac:dyDescent="0.25">
      <c r="B8" s="263"/>
      <c r="C8" s="263"/>
      <c r="D8" s="263"/>
      <c r="E8" s="263"/>
      <c r="F8" s="263"/>
      <c r="G8" s="263"/>
    </row>
    <row r="9" spans="1:12" ht="12.75" customHeight="1" x14ac:dyDescent="0.25">
      <c r="B9" s="263"/>
      <c r="C9" s="263"/>
      <c r="D9" s="263"/>
      <c r="E9" s="263"/>
      <c r="F9" s="263"/>
      <c r="G9" s="263"/>
    </row>
    <row r="10" spans="1:12" ht="12.75" customHeight="1" x14ac:dyDescent="0.25">
      <c r="B10" s="263"/>
      <c r="C10" s="263"/>
      <c r="D10" s="263"/>
      <c r="E10" s="263"/>
      <c r="F10" s="263"/>
      <c r="G10" s="263"/>
    </row>
    <row r="11" spans="1:12" ht="12.75" customHeight="1" x14ac:dyDescent="0.25">
      <c r="B11" s="263"/>
      <c r="C11" s="263"/>
      <c r="D11" s="263"/>
      <c r="E11" s="263"/>
      <c r="F11" s="263"/>
      <c r="G11" s="263"/>
    </row>
    <row r="12" spans="1:12" ht="12.75" customHeight="1" x14ac:dyDescent="0.25">
      <c r="B12" s="263"/>
      <c r="C12" s="263"/>
      <c r="D12" s="263"/>
      <c r="E12" s="263"/>
      <c r="F12" s="263"/>
      <c r="G12" s="263"/>
    </row>
    <row r="13" spans="1:12" ht="12.75" customHeight="1" x14ac:dyDescent="0.25">
      <c r="B13" s="263"/>
      <c r="C13" s="263"/>
      <c r="D13" s="263"/>
      <c r="E13" s="263"/>
      <c r="F13" s="263"/>
      <c r="G13" s="263"/>
    </row>
    <row r="14" spans="1:12" ht="12.75" customHeight="1" x14ac:dyDescent="0.25">
      <c r="B14" s="263"/>
      <c r="C14" s="263"/>
      <c r="D14" s="263"/>
      <c r="E14" s="263"/>
      <c r="F14" s="263"/>
      <c r="G14" s="263"/>
    </row>
    <row r="15" spans="1:12" ht="12.75" customHeight="1" x14ac:dyDescent="0.25">
      <c r="B15" s="263"/>
      <c r="C15" s="263"/>
      <c r="D15" s="263"/>
      <c r="E15" s="263"/>
      <c r="F15" s="263"/>
      <c r="G15" s="263"/>
    </row>
    <row r="16" spans="1:12" ht="12.75" customHeight="1" x14ac:dyDescent="0.25">
      <c r="B16" s="263"/>
      <c r="C16" s="263"/>
      <c r="D16" s="263"/>
      <c r="E16" s="263"/>
      <c r="F16" s="263"/>
      <c r="G16" s="263"/>
    </row>
    <row r="17" spans="2:9" ht="9" customHeight="1" x14ac:dyDescent="0.25">
      <c r="B17" s="263"/>
      <c r="C17" s="263"/>
      <c r="D17" s="263"/>
      <c r="E17" s="263"/>
      <c r="F17" s="263"/>
      <c r="G17" s="263"/>
    </row>
    <row r="18" spans="2:9" ht="9" customHeight="1" x14ac:dyDescent="0.25">
      <c r="B18" s="263"/>
      <c r="C18" s="263"/>
      <c r="D18" s="263"/>
      <c r="E18" s="263"/>
      <c r="F18" s="263"/>
      <c r="G18" s="263"/>
    </row>
    <row r="19" spans="2:9" ht="15.75" x14ac:dyDescent="0.25">
      <c r="B19" s="239"/>
      <c r="C19" s="345" t="s">
        <v>65</v>
      </c>
      <c r="D19" s="345" t="s">
        <v>65</v>
      </c>
      <c r="E19" s="346" t="s">
        <v>66</v>
      </c>
      <c r="F19" s="347" t="s">
        <v>66</v>
      </c>
      <c r="G19" s="311" t="s">
        <v>356</v>
      </c>
    </row>
    <row r="20" spans="2:9" x14ac:dyDescent="0.2">
      <c r="B20" s="240"/>
      <c r="C20" s="312" t="s">
        <v>354</v>
      </c>
      <c r="D20" s="312"/>
      <c r="E20" s="312"/>
      <c r="F20" s="278" t="s">
        <v>355</v>
      </c>
      <c r="G20" s="312" t="s">
        <v>353</v>
      </c>
    </row>
    <row r="21" spans="2:9" x14ac:dyDescent="0.2">
      <c r="B21" s="241" t="s">
        <v>357</v>
      </c>
      <c r="C21" s="313" t="s">
        <v>358</v>
      </c>
      <c r="D21" s="313" t="s">
        <v>1048</v>
      </c>
      <c r="E21" s="313" t="s">
        <v>1049</v>
      </c>
      <c r="F21" s="314" t="s">
        <v>359</v>
      </c>
      <c r="G21" s="313" t="s">
        <v>1123</v>
      </c>
    </row>
    <row r="22" spans="2:9" ht="3.75" customHeight="1" x14ac:dyDescent="0.2">
      <c r="B22" s="7"/>
      <c r="C22" s="315"/>
      <c r="D22" s="315"/>
      <c r="E22" s="315"/>
      <c r="F22" s="315"/>
      <c r="G22" s="348"/>
    </row>
    <row r="23" spans="2:9" x14ac:dyDescent="0.2">
      <c r="B23" s="242" t="s">
        <v>189</v>
      </c>
      <c r="C23" s="326">
        <v>0</v>
      </c>
      <c r="D23" s="326">
        <v>0</v>
      </c>
      <c r="E23" s="326">
        <v>0</v>
      </c>
      <c r="F23" s="326">
        <v>0</v>
      </c>
      <c r="G23" s="349">
        <f t="shared" ref="G23:G35" si="0">+C23+D23-E23-F23</f>
        <v>0</v>
      </c>
      <c r="H23" s="243"/>
    </row>
    <row r="24" spans="2:9" ht="15" x14ac:dyDescent="0.2">
      <c r="B24" s="242" t="s">
        <v>1017</v>
      </c>
      <c r="C24" s="989">
        <v>1783</v>
      </c>
      <c r="D24" s="989">
        <f>4478</f>
        <v>4478</v>
      </c>
      <c r="E24" s="989">
        <v>4478</v>
      </c>
      <c r="F24" s="327">
        <v>0</v>
      </c>
      <c r="G24" s="349">
        <f>+C24+D24-E24-F24</f>
        <v>1783</v>
      </c>
      <c r="H24" s="68" t="s">
        <v>336</v>
      </c>
    </row>
    <row r="25" spans="2:9" x14ac:dyDescent="0.2">
      <c r="B25" s="242" t="s">
        <v>989</v>
      </c>
      <c r="C25" s="990">
        <v>0</v>
      </c>
      <c r="D25" s="990">
        <v>0</v>
      </c>
      <c r="E25" s="990">
        <v>0</v>
      </c>
      <c r="F25" s="327">
        <v>0</v>
      </c>
      <c r="G25" s="349">
        <f t="shared" si="0"/>
        <v>0</v>
      </c>
      <c r="H25" s="243"/>
    </row>
    <row r="26" spans="2:9" x14ac:dyDescent="0.2">
      <c r="B26" s="242" t="s">
        <v>360</v>
      </c>
      <c r="C26" s="990">
        <v>0</v>
      </c>
      <c r="D26" s="990">
        <v>0</v>
      </c>
      <c r="E26" s="990">
        <v>0</v>
      </c>
      <c r="F26" s="327">
        <v>0</v>
      </c>
      <c r="G26" s="349">
        <f t="shared" si="0"/>
        <v>0</v>
      </c>
      <c r="H26" s="243"/>
    </row>
    <row r="27" spans="2:9" x14ac:dyDescent="0.2">
      <c r="B27" s="242" t="s">
        <v>183</v>
      </c>
      <c r="C27" s="991">
        <v>0</v>
      </c>
      <c r="D27" s="990">
        <v>0</v>
      </c>
      <c r="E27" s="990">
        <v>0</v>
      </c>
      <c r="F27" s="327">
        <v>0</v>
      </c>
      <c r="G27" s="349">
        <f t="shared" si="0"/>
        <v>0</v>
      </c>
      <c r="H27" s="243"/>
    </row>
    <row r="28" spans="2:9" x14ac:dyDescent="0.2">
      <c r="B28" s="995" t="s">
        <v>4211</v>
      </c>
      <c r="C28" s="991">
        <v>330000</v>
      </c>
      <c r="D28" s="990">
        <f>2153376-215338</f>
        <v>1938038</v>
      </c>
      <c r="E28" s="990">
        <v>0</v>
      </c>
      <c r="F28" s="327">
        <v>0</v>
      </c>
      <c r="G28" s="349">
        <f>+C28+D28-E28-F28</f>
        <v>2268038</v>
      </c>
    </row>
    <row r="29" spans="2:9" ht="15" x14ac:dyDescent="0.2">
      <c r="B29" s="242" t="s">
        <v>306</v>
      </c>
      <c r="C29" s="989">
        <v>2244</v>
      </c>
      <c r="D29" s="989">
        <v>0</v>
      </c>
      <c r="E29" s="989">
        <v>2244</v>
      </c>
      <c r="F29" s="327">
        <v>0</v>
      </c>
      <c r="G29" s="349">
        <f>+C29+D29-E29-F29</f>
        <v>0</v>
      </c>
      <c r="H29" s="68" t="s">
        <v>466</v>
      </c>
    </row>
    <row r="30" spans="2:9" ht="15" x14ac:dyDescent="0.2">
      <c r="B30" s="242" t="s">
        <v>172</v>
      </c>
      <c r="C30" s="989">
        <f>46000+558550+44530+72179</f>
        <v>721259</v>
      </c>
      <c r="D30" s="989">
        <v>2687</v>
      </c>
      <c r="E30" s="989">
        <f>90530+72179</f>
        <v>162709</v>
      </c>
      <c r="F30" s="327">
        <v>0</v>
      </c>
      <c r="G30" s="349">
        <f>+C30+D30-E30-F30</f>
        <v>561237</v>
      </c>
      <c r="H30" s="68" t="s">
        <v>191</v>
      </c>
      <c r="I30" s="302"/>
    </row>
    <row r="31" spans="2:9" ht="15" x14ac:dyDescent="0.2">
      <c r="B31" s="971" t="s">
        <v>4097</v>
      </c>
      <c r="C31" s="989">
        <v>53478</v>
      </c>
      <c r="D31" s="989">
        <v>0</v>
      </c>
      <c r="E31" s="989">
        <v>7132</v>
      </c>
      <c r="F31" s="327">
        <v>0</v>
      </c>
      <c r="G31" s="349">
        <f t="shared" si="0"/>
        <v>46346</v>
      </c>
      <c r="H31" s="68" t="s">
        <v>337</v>
      </c>
      <c r="I31" s="302">
        <v>46346</v>
      </c>
    </row>
    <row r="32" spans="2:9" ht="15" x14ac:dyDescent="0.2">
      <c r="B32" s="324" t="s">
        <v>777</v>
      </c>
      <c r="C32" s="990">
        <f>17285+76023</f>
        <v>93308</v>
      </c>
      <c r="D32" s="990"/>
      <c r="E32" s="990"/>
      <c r="F32" s="327"/>
      <c r="G32" s="349">
        <f t="shared" si="0"/>
        <v>93308</v>
      </c>
      <c r="H32" s="68" t="s">
        <v>11</v>
      </c>
    </row>
    <row r="33" spans="2:9" ht="15" x14ac:dyDescent="0.2">
      <c r="B33" s="324" t="s">
        <v>1041</v>
      </c>
      <c r="C33" s="990">
        <v>0</v>
      </c>
      <c r="D33" s="989">
        <f>4155128+4478</f>
        <v>4159606</v>
      </c>
      <c r="E33" s="990">
        <v>0</v>
      </c>
      <c r="F33" s="327">
        <v>0</v>
      </c>
      <c r="G33" s="349">
        <f>+C33+D33-E33-F33</f>
        <v>4159606</v>
      </c>
      <c r="H33" s="68" t="s">
        <v>12</v>
      </c>
      <c r="I33" s="302">
        <v>4159606</v>
      </c>
    </row>
    <row r="34" spans="2:9" ht="15" x14ac:dyDescent="0.2">
      <c r="B34" s="242" t="s">
        <v>361</v>
      </c>
      <c r="C34" s="327">
        <v>0</v>
      </c>
      <c r="D34" s="327">
        <v>0</v>
      </c>
      <c r="E34" s="327">
        <v>0</v>
      </c>
      <c r="F34" s="327">
        <v>0</v>
      </c>
      <c r="G34" s="349">
        <f t="shared" si="0"/>
        <v>0</v>
      </c>
      <c r="H34" s="68"/>
    </row>
    <row r="35" spans="2:9" x14ac:dyDescent="0.2">
      <c r="B35" s="244" t="s">
        <v>773</v>
      </c>
      <c r="C35" s="296">
        <v>0</v>
      </c>
      <c r="D35" s="327">
        <v>0</v>
      </c>
      <c r="E35" s="327">
        <v>0</v>
      </c>
      <c r="F35" s="327">
        <v>0</v>
      </c>
      <c r="G35" s="349">
        <f t="shared" si="0"/>
        <v>0</v>
      </c>
      <c r="H35" s="243"/>
    </row>
    <row r="36" spans="2:9" x14ac:dyDescent="0.2">
      <c r="B36" s="242"/>
      <c r="C36" s="328"/>
      <c r="D36" s="328"/>
      <c r="E36" s="328"/>
      <c r="F36" s="328"/>
      <c r="G36" s="329"/>
    </row>
    <row r="37" spans="2:9" x14ac:dyDescent="0.2">
      <c r="B37" s="354" t="s">
        <v>902</v>
      </c>
      <c r="C37" s="330">
        <f>SUM(C23:C35)</f>
        <v>1202072</v>
      </c>
      <c r="D37" s="330">
        <f>SUM(D23:D35)</f>
        <v>6104809</v>
      </c>
      <c r="E37" s="330">
        <f>SUM(E23:E35)</f>
        <v>176563</v>
      </c>
      <c r="F37" s="330">
        <f>SUM(F23:F35)</f>
        <v>0</v>
      </c>
      <c r="G37" s="330">
        <f>SUM(G23:G35)</f>
        <v>7130318</v>
      </c>
    </row>
    <row r="38" spans="2:9" ht="7.5" customHeight="1" x14ac:dyDescent="0.2"/>
    <row r="39" spans="2:9" hidden="1" x14ac:dyDescent="0.2"/>
    <row r="40" spans="2:9" hidden="1" x14ac:dyDescent="0.2">
      <c r="B40" s="239"/>
      <c r="C40" s="245"/>
      <c r="D40" s="245"/>
      <c r="E40" s="245"/>
      <c r="F40" s="237"/>
      <c r="G40" s="245" t="s">
        <v>353</v>
      </c>
    </row>
    <row r="41" spans="2:9" hidden="1" x14ac:dyDescent="0.2">
      <c r="B41" s="240"/>
      <c r="C41" s="246" t="s">
        <v>354</v>
      </c>
      <c r="D41" s="246" t="s">
        <v>362</v>
      </c>
      <c r="E41" s="246" t="s">
        <v>362</v>
      </c>
      <c r="F41" s="27" t="s">
        <v>355</v>
      </c>
      <c r="G41" s="246" t="s">
        <v>356</v>
      </c>
    </row>
    <row r="42" spans="2:9" hidden="1" x14ac:dyDescent="0.2">
      <c r="B42" s="247" t="s">
        <v>363</v>
      </c>
      <c r="C42" s="248" t="s">
        <v>358</v>
      </c>
      <c r="D42" s="248" t="s">
        <v>364</v>
      </c>
      <c r="E42" s="248" t="s">
        <v>365</v>
      </c>
      <c r="F42" s="36" t="s">
        <v>359</v>
      </c>
      <c r="G42" s="248" t="s">
        <v>640</v>
      </c>
    </row>
    <row r="43" spans="2:9" hidden="1" x14ac:dyDescent="0.2">
      <c r="B43" s="249"/>
      <c r="C43" s="245"/>
      <c r="D43" s="245"/>
      <c r="E43" s="245"/>
      <c r="F43" s="237"/>
      <c r="G43" s="245"/>
    </row>
    <row r="44" spans="2:9" hidden="1" x14ac:dyDescent="0.2">
      <c r="B44" s="242" t="s">
        <v>366</v>
      </c>
      <c r="C44" s="250"/>
      <c r="D44" s="250"/>
      <c r="E44" s="250"/>
      <c r="F44" s="250"/>
      <c r="G44" s="250">
        <f t="shared" ref="G44:G49" si="1">+C44+D44-E44-F44</f>
        <v>0</v>
      </c>
    </row>
    <row r="45" spans="2:9" hidden="1" x14ac:dyDescent="0.2">
      <c r="B45" s="242" t="s">
        <v>367</v>
      </c>
      <c r="C45" s="251"/>
      <c r="D45" s="251"/>
      <c r="E45" s="251"/>
      <c r="F45" s="251"/>
      <c r="G45" s="250">
        <f t="shared" si="1"/>
        <v>0</v>
      </c>
    </row>
    <row r="46" spans="2:9" hidden="1" x14ac:dyDescent="0.2">
      <c r="B46" s="242" t="s">
        <v>23</v>
      </c>
      <c r="C46" s="251"/>
      <c r="D46" s="251"/>
      <c r="E46" s="251"/>
      <c r="F46" s="251"/>
      <c r="G46" s="250">
        <f t="shared" si="1"/>
        <v>0</v>
      </c>
    </row>
    <row r="47" spans="2:9" hidden="1" x14ac:dyDescent="0.2">
      <c r="B47" s="242" t="s">
        <v>368</v>
      </c>
      <c r="C47" s="251"/>
      <c r="D47" s="251"/>
      <c r="E47" s="251"/>
      <c r="F47" s="251"/>
      <c r="G47" s="250">
        <f t="shared" si="1"/>
        <v>0</v>
      </c>
    </row>
    <row r="48" spans="2:9" hidden="1" x14ac:dyDescent="0.2">
      <c r="B48" s="242" t="s">
        <v>369</v>
      </c>
      <c r="C48" s="251"/>
      <c r="D48" s="251"/>
      <c r="E48" s="251"/>
      <c r="F48" s="251"/>
      <c r="G48" s="250">
        <f t="shared" si="1"/>
        <v>0</v>
      </c>
    </row>
    <row r="49" spans="1:12" hidden="1" x14ac:dyDescent="0.2">
      <c r="B49" s="244" t="s">
        <v>704</v>
      </c>
      <c r="C49" s="8"/>
      <c r="D49" s="251"/>
      <c r="E49" s="251"/>
      <c r="F49" s="251"/>
      <c r="G49" s="250">
        <f t="shared" si="1"/>
        <v>0</v>
      </c>
    </row>
    <row r="50" spans="1:12" hidden="1" x14ac:dyDescent="0.2">
      <c r="B50" s="239"/>
      <c r="C50" s="239"/>
      <c r="D50" s="239"/>
      <c r="E50" s="239"/>
      <c r="F50" s="252"/>
      <c r="G50" s="239"/>
    </row>
    <row r="51" spans="1:12" hidden="1" x14ac:dyDescent="0.2">
      <c r="B51" s="250" t="s">
        <v>902</v>
      </c>
      <c r="C51" s="250">
        <f>SUM(C44:C49)</f>
        <v>0</v>
      </c>
      <c r="D51" s="250">
        <f>SUM(D44:D49)</f>
        <v>0</v>
      </c>
      <c r="E51" s="250">
        <f>SUM(E44:E49)</f>
        <v>0</v>
      </c>
      <c r="F51" s="250">
        <f>SUM(F44:F49)</f>
        <v>0</v>
      </c>
      <c r="G51" s="250">
        <f>SUM(G44:G49)</f>
        <v>0</v>
      </c>
    </row>
    <row r="52" spans="1:12" ht="15" x14ac:dyDescent="0.2">
      <c r="B52" s="106" t="s">
        <v>336</v>
      </c>
      <c r="C52" s="158" t="s">
        <v>1045</v>
      </c>
    </row>
    <row r="53" spans="1:12" ht="12.75" customHeight="1" x14ac:dyDescent="0.2">
      <c r="B53" s="106" t="s">
        <v>337</v>
      </c>
      <c r="C53" s="579" t="s">
        <v>4094</v>
      </c>
      <c r="H53" s="24"/>
      <c r="I53" s="24"/>
      <c r="J53" s="24"/>
    </row>
    <row r="54" spans="1:12" ht="12.75" customHeight="1" x14ac:dyDescent="0.2">
      <c r="B54" s="106" t="s">
        <v>466</v>
      </c>
      <c r="C54" s="1106" t="s">
        <v>1046</v>
      </c>
      <c r="D54" s="1019"/>
      <c r="E54" s="1019"/>
      <c r="F54" s="1019"/>
      <c r="G54" s="24"/>
    </row>
    <row r="55" spans="1:12" ht="25.5" customHeight="1" x14ac:dyDescent="0.2">
      <c r="B55" s="540" t="s">
        <v>191</v>
      </c>
      <c r="C55" s="1029" t="s">
        <v>4098</v>
      </c>
      <c r="D55" s="1019"/>
      <c r="E55" s="1019"/>
      <c r="F55" s="1019"/>
      <c r="G55" s="1019"/>
      <c r="H55" s="1019"/>
    </row>
    <row r="56" spans="1:12" ht="12.75" customHeight="1" x14ac:dyDescent="0.2">
      <c r="B56" s="106" t="s">
        <v>11</v>
      </c>
      <c r="C56" s="1019" t="s">
        <v>67</v>
      </c>
      <c r="D56" s="1019"/>
      <c r="E56" s="1019"/>
      <c r="F56" s="1019"/>
      <c r="G56" s="1019"/>
      <c r="H56" s="1019"/>
      <c r="I56" s="1019"/>
    </row>
    <row r="57" spans="1:12" ht="15" x14ac:dyDescent="0.2">
      <c r="B57" s="106" t="s">
        <v>12</v>
      </c>
      <c r="C57" s="1106" t="s">
        <v>1044</v>
      </c>
      <c r="D57" s="1019"/>
      <c r="E57" s="1019"/>
      <c r="F57" s="1019"/>
      <c r="G57" s="1019"/>
    </row>
    <row r="58" spans="1:12" ht="27.75" customHeight="1" x14ac:dyDescent="0.2">
      <c r="B58" s="541" t="s">
        <v>512</v>
      </c>
      <c r="C58" s="1106" t="s">
        <v>1059</v>
      </c>
      <c r="D58" s="1019"/>
      <c r="E58" s="1019"/>
      <c r="F58" s="1019"/>
      <c r="G58" s="1019"/>
      <c r="H58" s="1019"/>
    </row>
    <row r="59" spans="1:12" ht="24.75" customHeight="1" x14ac:dyDescent="0.2">
      <c r="B59" s="541" t="s">
        <v>1047</v>
      </c>
      <c r="C59" s="1247" t="s">
        <v>1143</v>
      </c>
      <c r="D59" s="1248"/>
      <c r="E59" s="1248"/>
      <c r="F59" s="1248"/>
      <c r="G59" s="1248"/>
      <c r="H59" s="1248"/>
    </row>
    <row r="60" spans="1:12" ht="25.5" customHeight="1" x14ac:dyDescent="0.25">
      <c r="A60" s="4" t="s">
        <v>540</v>
      </c>
      <c r="B60" s="1243" t="s">
        <v>1056</v>
      </c>
      <c r="C60" s="1244"/>
      <c r="D60" s="1244"/>
      <c r="E60" s="1244"/>
      <c r="F60" s="1244"/>
      <c r="G60" s="1244"/>
      <c r="H60" s="1244"/>
      <c r="I60" s="1245"/>
      <c r="J60" s="253"/>
      <c r="K60" s="253"/>
      <c r="L60" s="253"/>
    </row>
    <row r="61" spans="1:12" ht="6.75" customHeight="1" x14ac:dyDescent="0.2">
      <c r="B61" s="1246"/>
      <c r="C61" s="1246"/>
      <c r="D61" s="1246"/>
      <c r="E61" s="1246"/>
      <c r="F61" s="1246"/>
      <c r="G61" s="1246"/>
      <c r="H61" s="1246"/>
      <c r="I61" s="1246"/>
      <c r="J61" s="253"/>
      <c r="K61" s="253"/>
      <c r="L61" s="253"/>
    </row>
    <row r="62" spans="1:12" x14ac:dyDescent="0.2">
      <c r="B62" s="273" t="s">
        <v>241</v>
      </c>
      <c r="C62" s="27"/>
      <c r="D62" s="27"/>
    </row>
    <row r="63" spans="1:12" x14ac:dyDescent="0.2">
      <c r="B63" s="252"/>
      <c r="C63" s="33" t="s">
        <v>628</v>
      </c>
      <c r="D63" s="33" t="s">
        <v>630</v>
      </c>
      <c r="E63" s="33" t="s">
        <v>631</v>
      </c>
    </row>
    <row r="64" spans="1:12" x14ac:dyDescent="0.2">
      <c r="B64" s="226" t="s">
        <v>627</v>
      </c>
      <c r="C64" s="268" t="s">
        <v>640</v>
      </c>
      <c r="D64" s="3" t="s">
        <v>818</v>
      </c>
      <c r="E64" s="3" t="s">
        <v>640</v>
      </c>
    </row>
    <row r="65" spans="2:9" x14ac:dyDescent="0.2">
      <c r="B65" s="24" t="s">
        <v>242</v>
      </c>
      <c r="C65" s="270">
        <f>'Conversion Worksheet'!BF43</f>
        <v>1831706</v>
      </c>
    </row>
    <row r="66" spans="2:9" x14ac:dyDescent="0.2">
      <c r="B66" s="24" t="s">
        <v>243</v>
      </c>
      <c r="C66" s="269" t="str">
        <f>'Conversion Worksheet'!BF47</f>
        <v xml:space="preserve"> </v>
      </c>
    </row>
    <row r="67" spans="2:9" x14ac:dyDescent="0.2">
      <c r="B67" s="24" t="s">
        <v>244</v>
      </c>
      <c r="C67" s="269">
        <f>'Conversion Worksheet'!BF48</f>
        <v>10605990</v>
      </c>
      <c r="D67" s="269">
        <f>'Conversion Worksheet'!BG51</f>
        <v>5081174</v>
      </c>
    </row>
    <row r="68" spans="2:9" x14ac:dyDescent="0.2">
      <c r="B68" s="24" t="s">
        <v>245</v>
      </c>
      <c r="C68" s="269">
        <f>'Conversion Worksheet'!BF52</f>
        <v>1372948</v>
      </c>
      <c r="D68" s="269">
        <f>'Conversion Worksheet'!BG55</f>
        <v>525721</v>
      </c>
    </row>
    <row r="69" spans="2:9" x14ac:dyDescent="0.2">
      <c r="B69" s="24" t="s">
        <v>246</v>
      </c>
      <c r="C69" s="269">
        <f>'Conversion Worksheet'!BF56</f>
        <v>1962693</v>
      </c>
      <c r="D69" s="269">
        <f>'Conversion Worksheet'!BG59</f>
        <v>1246433</v>
      </c>
      <c r="F69" s="1239" t="s">
        <v>1142</v>
      </c>
      <c r="G69" s="1239"/>
      <c r="H69" s="1239"/>
      <c r="I69" s="1239"/>
    </row>
    <row r="70" spans="2:9" x14ac:dyDescent="0.2">
      <c r="B70" s="590" t="s">
        <v>4178</v>
      </c>
      <c r="C70" s="269">
        <v>93279</v>
      </c>
      <c r="D70" s="269">
        <v>72777</v>
      </c>
      <c r="F70" s="1239"/>
      <c r="G70" s="1239"/>
      <c r="H70" s="1239"/>
      <c r="I70" s="1239"/>
    </row>
    <row r="71" spans="2:9" x14ac:dyDescent="0.2">
      <c r="B71" s="24" t="s">
        <v>961</v>
      </c>
      <c r="C71" s="269">
        <f>'Conversion Worksheet'!BF62</f>
        <v>818508</v>
      </c>
      <c r="D71" s="269">
        <f>'Conversion Worksheet'!BG65</f>
        <v>521129</v>
      </c>
      <c r="F71" s="1239"/>
      <c r="G71" s="1239"/>
      <c r="H71" s="1239"/>
      <c r="I71" s="1239"/>
    </row>
    <row r="72" spans="2:9" x14ac:dyDescent="0.2">
      <c r="B72" s="590" t="s">
        <v>4179</v>
      </c>
      <c r="C72" s="269">
        <v>5000</v>
      </c>
      <c r="D72" s="269">
        <v>245</v>
      </c>
      <c r="F72" s="978"/>
      <c r="G72" s="978"/>
      <c r="H72" s="978"/>
      <c r="I72" s="978"/>
    </row>
    <row r="73" spans="2:9" x14ac:dyDescent="0.2">
      <c r="B73" s="24" t="s">
        <v>962</v>
      </c>
      <c r="C73" s="269">
        <f>'Conversion Worksheet'!BF66</f>
        <v>1040672</v>
      </c>
      <c r="D73" s="269">
        <f>'Conversion Worksheet'!BG69</f>
        <v>338033</v>
      </c>
    </row>
    <row r="74" spans="2:9" x14ac:dyDescent="0.2">
      <c r="B74" s="590" t="s">
        <v>4176</v>
      </c>
      <c r="C74" s="269">
        <v>279755</v>
      </c>
      <c r="D74" s="269">
        <v>22999</v>
      </c>
    </row>
    <row r="75" spans="2:9" x14ac:dyDescent="0.2">
      <c r="B75" s="590" t="s">
        <v>4177</v>
      </c>
      <c r="C75" s="269">
        <v>72338</v>
      </c>
      <c r="D75" s="269">
        <v>21535</v>
      </c>
    </row>
    <row r="76" spans="2:9" x14ac:dyDescent="0.2">
      <c r="B76" s="325" t="s">
        <v>963</v>
      </c>
      <c r="C76" s="269">
        <v>0</v>
      </c>
      <c r="D76" s="206">
        <v>0</v>
      </c>
    </row>
    <row r="77" spans="2:9" x14ac:dyDescent="0.2">
      <c r="B77" s="325" t="s">
        <v>964</v>
      </c>
      <c r="C77" s="269" t="str">
        <f>'Conversion Worksheet'!BF74</f>
        <v xml:space="preserve"> </v>
      </c>
      <c r="D77" s="206">
        <f>'Conversion Worksheet'!BG77</f>
        <v>0</v>
      </c>
    </row>
    <row r="78" spans="2:9" x14ac:dyDescent="0.2">
      <c r="B78" s="24" t="s">
        <v>965</v>
      </c>
      <c r="C78" s="271">
        <f>'Conversion Worksheet'!BF46</f>
        <v>294467</v>
      </c>
      <c r="D78" s="235"/>
    </row>
    <row r="79" spans="2:9" ht="13.5" thickBot="1" x14ac:dyDescent="0.25">
      <c r="B79" s="274" t="s">
        <v>629</v>
      </c>
      <c r="C79" s="272">
        <f>SUM(C64:C78)</f>
        <v>18377356</v>
      </c>
      <c r="D79" s="272">
        <f>SUM(D67:D77)</f>
        <v>7830046</v>
      </c>
      <c r="E79" s="350">
        <f>C79-D79</f>
        <v>10547310</v>
      </c>
    </row>
    <row r="80" spans="2:9" ht="13.5" thickTop="1" x14ac:dyDescent="0.2"/>
    <row r="81" spans="2:8" x14ac:dyDescent="0.2">
      <c r="B81" s="226" t="s">
        <v>967</v>
      </c>
    </row>
    <row r="82" spans="2:8" ht="25.5" x14ac:dyDescent="0.2">
      <c r="B82" s="24" t="s">
        <v>4191</v>
      </c>
      <c r="C82" s="337">
        <f>11290000+261536+50633+1200000</f>
        <v>12802169</v>
      </c>
      <c r="F82">
        <v>12560874</v>
      </c>
      <c r="G82" s="337">
        <f>150000+600000+61500+52500+10025000+1050000+211089+410785</f>
        <v>12560874</v>
      </c>
    </row>
    <row r="83" spans="2:8" ht="27.6" customHeight="1" x14ac:dyDescent="0.2">
      <c r="B83" s="988" t="s">
        <v>4192</v>
      </c>
      <c r="C83" s="337"/>
      <c r="G83" s="337"/>
    </row>
    <row r="84" spans="2:8" ht="13.15" customHeight="1" x14ac:dyDescent="0.2">
      <c r="B84" s="24" t="s">
        <v>4193</v>
      </c>
      <c r="C84" s="353"/>
    </row>
    <row r="85" spans="2:8" ht="25.5" x14ac:dyDescent="0.2">
      <c r="B85" s="336" t="s">
        <v>888</v>
      </c>
      <c r="C85" s="337">
        <f>2895000+1200000</f>
        <v>4095000</v>
      </c>
    </row>
    <row r="86" spans="2:8" ht="24.75" customHeight="1" x14ac:dyDescent="0.2">
      <c r="B86" s="336" t="s">
        <v>889</v>
      </c>
      <c r="C86" s="337">
        <v>2250000</v>
      </c>
      <c r="D86" s="1239" t="s">
        <v>122</v>
      </c>
      <c r="E86" s="1239"/>
      <c r="F86" s="1239"/>
      <c r="H86" s="579"/>
    </row>
    <row r="87" spans="2:8" ht="25.5" x14ac:dyDescent="0.2">
      <c r="B87" s="336" t="s">
        <v>776</v>
      </c>
      <c r="C87" s="337">
        <v>2330000</v>
      </c>
      <c r="D87" s="266"/>
      <c r="H87" s="579"/>
    </row>
    <row r="88" spans="2:8" x14ac:dyDescent="0.2">
      <c r="B88" s="336" t="s">
        <v>4190</v>
      </c>
      <c r="C88" s="285">
        <v>0</v>
      </c>
      <c r="H88" s="579"/>
    </row>
    <row r="89" spans="2:8" x14ac:dyDescent="0.2">
      <c r="B89" s="132"/>
      <c r="C89" s="283"/>
      <c r="H89" s="579"/>
    </row>
    <row r="90" spans="2:8" ht="13.5" thickBot="1" x14ac:dyDescent="0.25">
      <c r="B90" s="24" t="s">
        <v>969</v>
      </c>
      <c r="C90" s="34"/>
      <c r="G90" s="82"/>
    </row>
    <row r="91" spans="2:8" ht="13.5" thickTop="1" x14ac:dyDescent="0.2">
      <c r="B91" s="24" t="s">
        <v>868</v>
      </c>
      <c r="C91" s="296">
        <v>0</v>
      </c>
    </row>
    <row r="92" spans="2:8" x14ac:dyDescent="0.2">
      <c r="B92" s="226" t="s">
        <v>970</v>
      </c>
      <c r="C92" s="351">
        <f>+C82-C85-C86-C87-C88-C89+C91</f>
        <v>4127169</v>
      </c>
    </row>
    <row r="94" spans="2:8" ht="13.5" thickBot="1" x14ac:dyDescent="0.25">
      <c r="B94" s="331" t="s">
        <v>1058</v>
      </c>
      <c r="C94" s="276">
        <f>E79-C92</f>
        <v>6420141</v>
      </c>
      <c r="D94" s="6"/>
    </row>
    <row r="95" spans="2:8" ht="20.25" customHeight="1" thickTop="1" x14ac:dyDescent="0.2">
      <c r="B95" s="226"/>
    </row>
    <row r="96" spans="2:8" hidden="1" x14ac:dyDescent="0.2">
      <c r="B96" s="226"/>
    </row>
    <row r="97" spans="2:7" hidden="1" x14ac:dyDescent="0.2">
      <c r="B97" s="254"/>
      <c r="C97" s="245"/>
      <c r="E97" s="245" t="s">
        <v>972</v>
      </c>
      <c r="F97" s="245" t="s">
        <v>973</v>
      </c>
      <c r="G97" s="238"/>
    </row>
    <row r="98" spans="2:7" hidden="1" x14ac:dyDescent="0.2">
      <c r="B98" s="240"/>
      <c r="C98" s="246" t="s">
        <v>974</v>
      </c>
      <c r="D98" s="245"/>
      <c r="E98" s="246" t="s">
        <v>975</v>
      </c>
      <c r="F98" s="246" t="s">
        <v>976</v>
      </c>
      <c r="G98" s="255"/>
    </row>
    <row r="99" spans="2:7" hidden="1" x14ac:dyDescent="0.2">
      <c r="B99" s="247" t="s">
        <v>363</v>
      </c>
      <c r="C99" s="248" t="s">
        <v>977</v>
      </c>
      <c r="D99" s="246" t="s">
        <v>23</v>
      </c>
      <c r="E99" s="248" t="s">
        <v>979</v>
      </c>
      <c r="F99" s="248" t="s">
        <v>980</v>
      </c>
      <c r="G99" s="256" t="s">
        <v>902</v>
      </c>
    </row>
    <row r="100" spans="2:7" hidden="1" x14ac:dyDescent="0.2">
      <c r="B100" s="239"/>
      <c r="C100" s="239"/>
      <c r="D100" s="248" t="s">
        <v>978</v>
      </c>
      <c r="E100" s="239"/>
      <c r="F100" s="239"/>
      <c r="G100" s="239"/>
    </row>
    <row r="101" spans="2:7" hidden="1" x14ac:dyDescent="0.2">
      <c r="B101" s="257" t="s">
        <v>981</v>
      </c>
      <c r="C101" s="240"/>
      <c r="D101" s="239"/>
      <c r="E101" s="240"/>
      <c r="F101" s="240"/>
      <c r="G101" s="240">
        <f>+C101+D102+E101+F101</f>
        <v>0</v>
      </c>
    </row>
    <row r="102" spans="2:7" hidden="1" x14ac:dyDescent="0.2">
      <c r="B102" s="240" t="s">
        <v>824</v>
      </c>
      <c r="C102" s="240"/>
      <c r="D102" s="240"/>
      <c r="E102" s="240"/>
      <c r="F102" s="240"/>
      <c r="G102" s="240">
        <f>+C102+D103+E102+F102</f>
        <v>0</v>
      </c>
    </row>
    <row r="103" spans="2:7" hidden="1" x14ac:dyDescent="0.2">
      <c r="B103" s="240" t="s">
        <v>982</v>
      </c>
      <c r="C103" s="240"/>
      <c r="D103" s="240"/>
      <c r="E103" s="240"/>
      <c r="F103" s="240"/>
      <c r="G103" s="240"/>
    </row>
    <row r="104" spans="2:7" hidden="1" x14ac:dyDescent="0.2">
      <c r="B104" s="240" t="s">
        <v>983</v>
      </c>
      <c r="C104" s="250"/>
      <c r="D104" s="240"/>
      <c r="E104" s="250"/>
      <c r="F104" s="250"/>
      <c r="G104" s="250">
        <f>+C104+D105+E104+F104</f>
        <v>0</v>
      </c>
    </row>
    <row r="105" spans="2:7" hidden="1" x14ac:dyDescent="0.2">
      <c r="B105" s="258" t="s">
        <v>966</v>
      </c>
      <c r="C105" s="240">
        <f>+C101+C102-C104</f>
        <v>0</v>
      </c>
      <c r="D105" s="250"/>
      <c r="E105" s="240">
        <f>+E101+E102-E104</f>
        <v>0</v>
      </c>
      <c r="F105" s="240">
        <f>+F101+F102-F104</f>
        <v>0</v>
      </c>
      <c r="G105" s="240">
        <f>+G101+G102-G104</f>
        <v>0</v>
      </c>
    </row>
    <row r="106" spans="2:7" hidden="1" x14ac:dyDescent="0.2">
      <c r="B106" s="257" t="s">
        <v>984</v>
      </c>
      <c r="C106" s="240"/>
      <c r="D106" s="240">
        <f>+D102+D103-D105</f>
        <v>0</v>
      </c>
      <c r="E106" s="240"/>
      <c r="F106" s="240"/>
      <c r="G106" s="240"/>
    </row>
    <row r="107" spans="2:7" hidden="1" x14ac:dyDescent="0.2">
      <c r="B107" s="257" t="s">
        <v>968</v>
      </c>
      <c r="C107" s="240"/>
      <c r="D107" s="240"/>
      <c r="E107" s="240"/>
      <c r="F107" s="240"/>
      <c r="G107" s="240">
        <f>+C107+D108+E107+F107</f>
        <v>0</v>
      </c>
    </row>
    <row r="108" spans="2:7" hidden="1" x14ac:dyDescent="0.2">
      <c r="B108" s="240" t="s">
        <v>632</v>
      </c>
      <c r="C108" s="240"/>
      <c r="D108" s="240"/>
      <c r="E108" s="240"/>
      <c r="F108" s="240"/>
      <c r="G108" s="240">
        <f>+C108+D109+E108+F108</f>
        <v>0</v>
      </c>
    </row>
    <row r="109" spans="2:7" hidden="1" x14ac:dyDescent="0.2">
      <c r="B109" s="257" t="s">
        <v>969</v>
      </c>
      <c r="C109" s="240"/>
      <c r="D109" s="240"/>
      <c r="E109" s="240"/>
      <c r="F109" s="240"/>
      <c r="G109" s="240"/>
    </row>
    <row r="110" spans="2:7" hidden="1" x14ac:dyDescent="0.2">
      <c r="B110" s="257" t="s">
        <v>633</v>
      </c>
      <c r="C110" s="240"/>
      <c r="D110" s="240"/>
      <c r="E110" s="240"/>
      <c r="F110" s="240"/>
      <c r="G110" s="240">
        <f>+C110+D111+E110+F110</f>
        <v>0</v>
      </c>
    </row>
    <row r="111" spans="2:7" hidden="1" x14ac:dyDescent="0.2">
      <c r="B111" s="259" t="s">
        <v>985</v>
      </c>
      <c r="C111" s="250"/>
      <c r="D111" s="240"/>
      <c r="E111" s="250"/>
      <c r="F111" s="250"/>
      <c r="G111" s="250">
        <f>+C111+D112+E111+F111</f>
        <v>0</v>
      </c>
    </row>
    <row r="112" spans="2:7" hidden="1" x14ac:dyDescent="0.2">
      <c r="B112" s="267" t="s">
        <v>971</v>
      </c>
      <c r="C112" s="239">
        <f>+C105-C107-C108+C110+C111</f>
        <v>0</v>
      </c>
      <c r="D112" s="250"/>
      <c r="E112" s="239">
        <f>+E105-E107-E108+E110+E111</f>
        <v>0</v>
      </c>
      <c r="F112" s="239">
        <f>+F105-F107-F108+F110+F111</f>
        <v>0</v>
      </c>
      <c r="G112" s="240">
        <f>+G105-G107-G108+G110+G111</f>
        <v>0</v>
      </c>
    </row>
    <row r="113" spans="1:12" ht="25.5" customHeight="1" x14ac:dyDescent="0.25">
      <c r="A113" s="4" t="s">
        <v>801</v>
      </c>
      <c r="B113" s="1236" t="s">
        <v>1061</v>
      </c>
      <c r="C113" s="1237"/>
      <c r="D113" s="1237"/>
      <c r="E113" s="1237"/>
      <c r="F113" s="1237"/>
      <c r="G113" s="1237"/>
      <c r="H113" s="1237"/>
      <c r="I113" s="1238"/>
      <c r="J113" s="253"/>
      <c r="K113" s="253"/>
      <c r="L113" s="253"/>
    </row>
    <row r="115" spans="1:12" ht="20.100000000000001" customHeight="1" x14ac:dyDescent="0.2">
      <c r="B115" s="24" t="s">
        <v>1062</v>
      </c>
      <c r="C115" s="260">
        <f>('Conversion Worksheet'!BG183)+('Conversion Worksheet'!BG193-'Conversion Worksheet'!BF193)</f>
        <v>15055746</v>
      </c>
      <c r="D115" s="266" t="s">
        <v>552</v>
      </c>
      <c r="E115" s="24"/>
      <c r="F115" s="24"/>
    </row>
    <row r="116" spans="1:12" ht="20.100000000000001" customHeight="1" x14ac:dyDescent="0.2">
      <c r="B116" s="24" t="s">
        <v>1063</v>
      </c>
      <c r="C116" s="260">
        <f>G37</f>
        <v>7130318</v>
      </c>
      <c r="D116" s="266" t="s">
        <v>550</v>
      </c>
      <c r="E116" s="24"/>
      <c r="F116" s="24"/>
    </row>
    <row r="117" spans="1:12" ht="20.100000000000001" customHeight="1" x14ac:dyDescent="0.2">
      <c r="B117" s="24" t="s">
        <v>1057</v>
      </c>
      <c r="C117" s="261">
        <f>+C94</f>
        <v>6420141</v>
      </c>
      <c r="D117" s="266" t="s">
        <v>551</v>
      </c>
      <c r="E117" s="24"/>
      <c r="F117" s="24"/>
    </row>
    <row r="118" spans="1:12" ht="20.100000000000001" customHeight="1" thickBot="1" x14ac:dyDescent="0.25">
      <c r="B118" s="542" t="s">
        <v>1135</v>
      </c>
      <c r="C118" s="352">
        <f>+C115-C116-C117</f>
        <v>1505287</v>
      </c>
      <c r="D118" s="24"/>
      <c r="E118" s="24"/>
      <c r="F118" s="24"/>
    </row>
    <row r="119" spans="1:12" ht="13.5" thickTop="1" x14ac:dyDescent="0.2">
      <c r="D119" s="24"/>
    </row>
  </sheetData>
  <customSheetViews>
    <customSheetView guid="{D2B860EA-92EC-4999-9A59-C624E1F8C7FB}" hiddenRows="1" topLeftCell="B64">
      <selection activeCell="I53" sqref="I53"/>
      <pageMargins left="0.43" right="0.45" top="0.68" bottom="0.67" header="0.5" footer="0.5"/>
      <printOptions horizontalCentered="1"/>
      <pageSetup scale="54" orientation="portrait" r:id="rId1"/>
      <headerFooter alignWithMargins="0">
        <oddHeader xml:space="preserve">&amp;R&amp;8M - Supporting Schedule
</oddHeader>
        <oddFooter>&amp;L&amp;8&amp;D - County model&amp;R&amp;P</oddFooter>
      </headerFooter>
    </customSheetView>
    <customSheetView guid="{C1197650-3ED8-49E4-8E4C-0D1D4B503FC0}" hiddenRows="1" topLeftCell="B64">
      <selection activeCell="I53" sqref="I53"/>
      <pageMargins left="0.43" right="0.45" top="0.68" bottom="0.67" header="0.5" footer="0.5"/>
      <printOptions horizontalCentered="1"/>
      <pageSetup scale="54" orientation="portrait" r:id="rId2"/>
      <headerFooter alignWithMargins="0">
        <oddHeader xml:space="preserve">&amp;R&amp;8M - Supporting Schedule
</oddHeader>
        <oddFooter>&amp;L&amp;8&amp;D - County model&amp;R&amp;P</oddFooter>
      </headerFooter>
    </customSheetView>
  </customSheetViews>
  <mergeCells count="15">
    <mergeCell ref="A1:I1"/>
    <mergeCell ref="B60:I60"/>
    <mergeCell ref="B61:I61"/>
    <mergeCell ref="B7:I7"/>
    <mergeCell ref="C54:F54"/>
    <mergeCell ref="C57:G57"/>
    <mergeCell ref="C59:H59"/>
    <mergeCell ref="C58:H58"/>
    <mergeCell ref="C56:I56"/>
    <mergeCell ref="B113:I113"/>
    <mergeCell ref="B3:I3"/>
    <mergeCell ref="B5:I5"/>
    <mergeCell ref="F69:I71"/>
    <mergeCell ref="D86:F86"/>
    <mergeCell ref="C55:H55"/>
  </mergeCells>
  <phoneticPr fontId="0" type="noConversion"/>
  <printOptions horizontalCentered="1"/>
  <pageMargins left="0.43" right="0.45" top="0.68" bottom="0.67" header="0.5" footer="0.5"/>
  <pageSetup scale="54" orientation="portrait" r:id="rId3"/>
  <headerFooter alignWithMargins="0">
    <oddHeader xml:space="preserve">&amp;R&amp;8M - Supporting Schedule
</oddHeader>
    <oddFooter>&amp;L&amp;8&amp;D - County model&amp;R&amp;P</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V159"/>
  <sheetViews>
    <sheetView topLeftCell="A121" zoomScale="80" zoomScaleNormal="80" workbookViewId="0">
      <selection activeCell="D114" sqref="D114"/>
    </sheetView>
  </sheetViews>
  <sheetFormatPr defaultColWidth="9.140625" defaultRowHeight="12.75" x14ac:dyDescent="0.2"/>
  <cols>
    <col min="1" max="1" width="11.85546875" customWidth="1"/>
    <col min="2" max="2" width="55.5703125" bestFit="1" customWidth="1"/>
    <col min="3" max="3" width="26.85546875" customWidth="1"/>
    <col min="4" max="4" width="21.42578125" customWidth="1"/>
    <col min="5" max="5" width="18.28515625" customWidth="1"/>
    <col min="6" max="6" width="25.42578125" customWidth="1"/>
    <col min="7" max="7" width="18.28515625" customWidth="1"/>
    <col min="8" max="8" width="20" customWidth="1"/>
    <col min="9" max="9" width="32.85546875" customWidth="1"/>
    <col min="10" max="10" width="19.42578125" customWidth="1"/>
    <col min="11" max="11" width="23" customWidth="1"/>
    <col min="12" max="12" width="18.28515625" customWidth="1"/>
    <col min="13" max="13" width="20" customWidth="1"/>
    <col min="14" max="14" width="16.28515625" customWidth="1"/>
    <col min="15" max="15" width="19.42578125" customWidth="1"/>
    <col min="16" max="16" width="28.140625" customWidth="1"/>
    <col min="17" max="17" width="13.85546875" customWidth="1"/>
    <col min="18" max="18" width="22.42578125" customWidth="1"/>
    <col min="19" max="19" width="5.7109375" customWidth="1"/>
    <col min="20" max="20" width="13.5703125" customWidth="1"/>
    <col min="21" max="21" width="26.85546875" customWidth="1"/>
    <col min="22" max="22" width="16.7109375" customWidth="1"/>
  </cols>
  <sheetData>
    <row r="2" spans="1:4" ht="38.25" customHeight="1" x14ac:dyDescent="0.25">
      <c r="A2" s="1243" t="s">
        <v>2026</v>
      </c>
      <c r="B2" s="1244"/>
      <c r="C2" s="1245"/>
    </row>
    <row r="5" spans="1:4" ht="61.15" customHeight="1" x14ac:dyDescent="0.2">
      <c r="A5" s="1249" t="s">
        <v>4184</v>
      </c>
      <c r="B5" s="1249"/>
      <c r="C5" s="1249"/>
    </row>
    <row r="11" spans="1:4" ht="15" x14ac:dyDescent="0.2">
      <c r="A11" s="564" t="s">
        <v>539</v>
      </c>
      <c r="B11" s="565" t="s">
        <v>3546</v>
      </c>
      <c r="C11" s="565"/>
      <c r="D11" s="566"/>
    </row>
    <row r="13" spans="1:4" x14ac:dyDescent="0.2">
      <c r="B13" s="182" t="s">
        <v>2027</v>
      </c>
      <c r="C13" s="618" t="s">
        <v>2620</v>
      </c>
    </row>
    <row r="14" spans="1:4" x14ac:dyDescent="0.2">
      <c r="C14" s="280"/>
    </row>
    <row r="15" spans="1:4" x14ac:dyDescent="0.2">
      <c r="B15" t="s">
        <v>2085</v>
      </c>
      <c r="C15" s="618" t="s">
        <v>2086</v>
      </c>
    </row>
    <row r="16" spans="1:4" x14ac:dyDescent="0.2">
      <c r="C16" s="280"/>
    </row>
    <row r="17" spans="1:22" ht="46.5" customHeight="1" x14ac:dyDescent="0.2">
      <c r="B17" s="619" t="s">
        <v>4091</v>
      </c>
      <c r="C17" s="640">
        <v>1001000</v>
      </c>
    </row>
    <row r="18" spans="1:22" x14ac:dyDescent="0.2">
      <c r="C18" s="280" t="s">
        <v>3965</v>
      </c>
      <c r="N18" s="5">
        <f>+J26+K26+L26+M26</f>
        <v>3563142</v>
      </c>
    </row>
    <row r="19" spans="1:22" x14ac:dyDescent="0.2">
      <c r="N19" s="5">
        <f>+O26+R26</f>
        <v>142241</v>
      </c>
    </row>
    <row r="20" spans="1:22" x14ac:dyDescent="0.2">
      <c r="N20" s="5">
        <f>+N18-N19</f>
        <v>3420901</v>
      </c>
    </row>
    <row r="21" spans="1:22" hidden="1" x14ac:dyDescent="0.2">
      <c r="C21">
        <v>3</v>
      </c>
      <c r="D21">
        <v>4</v>
      </c>
      <c r="F21">
        <v>5</v>
      </c>
      <c r="G21">
        <v>6</v>
      </c>
      <c r="H21">
        <v>7</v>
      </c>
      <c r="I21">
        <v>8</v>
      </c>
      <c r="J21">
        <v>9</v>
      </c>
      <c r="K21">
        <v>10</v>
      </c>
      <c r="L21">
        <v>11</v>
      </c>
      <c r="M21">
        <v>12</v>
      </c>
      <c r="N21">
        <v>13</v>
      </c>
      <c r="O21">
        <v>14</v>
      </c>
      <c r="P21">
        <v>15</v>
      </c>
      <c r="Q21">
        <v>16</v>
      </c>
      <c r="R21">
        <v>17</v>
      </c>
      <c r="S21">
        <v>18</v>
      </c>
      <c r="T21">
        <v>19</v>
      </c>
      <c r="U21">
        <v>20</v>
      </c>
      <c r="V21">
        <v>21</v>
      </c>
    </row>
    <row r="22" spans="1:22" ht="15" x14ac:dyDescent="0.25">
      <c r="J22" s="562" t="s">
        <v>1144</v>
      </c>
      <c r="K22" s="562"/>
      <c r="L22" s="562"/>
      <c r="M22" s="562"/>
      <c r="O22" s="562" t="s">
        <v>1145</v>
      </c>
      <c r="P22" s="562"/>
      <c r="Q22" s="562"/>
      <c r="R22" s="562"/>
      <c r="T22" s="562" t="s">
        <v>1146</v>
      </c>
      <c r="U22" s="562"/>
      <c r="V22" s="562"/>
    </row>
    <row r="23" spans="1:22" ht="105" x14ac:dyDescent="0.25">
      <c r="A23" s="563" t="s">
        <v>1147</v>
      </c>
      <c r="B23" s="563" t="s">
        <v>1148</v>
      </c>
      <c r="C23" s="563" t="s">
        <v>2087</v>
      </c>
      <c r="D23" s="563" t="s">
        <v>2088</v>
      </c>
      <c r="E23" s="563" t="s">
        <v>2089</v>
      </c>
      <c r="F23" s="563" t="s">
        <v>2090</v>
      </c>
      <c r="G23" s="563" t="s">
        <v>2091</v>
      </c>
      <c r="H23" s="563" t="s">
        <v>2092</v>
      </c>
      <c r="I23" s="563"/>
      <c r="J23" s="563" t="s">
        <v>1150</v>
      </c>
      <c r="K23" s="563" t="s">
        <v>1151</v>
      </c>
      <c r="L23" s="563" t="s">
        <v>1152</v>
      </c>
      <c r="M23" s="563" t="s">
        <v>1153</v>
      </c>
      <c r="N23" s="563"/>
      <c r="O23" s="563" t="s">
        <v>1150</v>
      </c>
      <c r="P23" s="563" t="s">
        <v>1151</v>
      </c>
      <c r="Q23" s="563" t="s">
        <v>1152</v>
      </c>
      <c r="R23" s="563" t="s">
        <v>1153</v>
      </c>
      <c r="S23" s="563"/>
      <c r="T23" s="563" t="s">
        <v>1154</v>
      </c>
      <c r="U23" s="563" t="s">
        <v>1155</v>
      </c>
      <c r="V23" s="563" t="s">
        <v>2093</v>
      </c>
    </row>
    <row r="24" spans="1:22" ht="15" x14ac:dyDescent="0.25">
      <c r="A24" s="563"/>
      <c r="B24" s="563"/>
      <c r="C24" s="563"/>
      <c r="D24" s="563"/>
      <c r="E24" s="563"/>
      <c r="F24" s="563"/>
      <c r="G24" s="563"/>
      <c r="H24" s="563"/>
      <c r="I24" s="563"/>
      <c r="J24" s="563"/>
      <c r="K24" s="563"/>
      <c r="L24" s="563"/>
      <c r="M24" s="563"/>
      <c r="N24" s="563"/>
      <c r="O24" s="563"/>
      <c r="P24" s="563"/>
      <c r="Q24" s="563"/>
      <c r="R24" s="563"/>
      <c r="S24" s="563"/>
      <c r="T24" s="563"/>
      <c r="U24" s="563"/>
      <c r="V24" s="563"/>
    </row>
    <row r="25" spans="1:22" ht="30" x14ac:dyDescent="0.25">
      <c r="A25" s="563" t="s">
        <v>2094</v>
      </c>
      <c r="B25" s="931" t="s">
        <v>4089</v>
      </c>
      <c r="C25" s="563"/>
      <c r="D25" s="563"/>
      <c r="E25" s="563"/>
      <c r="F25" s="563"/>
      <c r="G25" s="563"/>
      <c r="H25" s="563"/>
      <c r="I25" s="563"/>
      <c r="J25" s="563"/>
      <c r="K25" s="563"/>
      <c r="L25" s="563"/>
      <c r="M25" s="563"/>
      <c r="N25" s="563"/>
      <c r="O25" s="563"/>
      <c r="P25" s="563"/>
      <c r="Q25" s="563"/>
      <c r="R25" s="563"/>
      <c r="S25" s="563"/>
      <c r="T25" s="563"/>
      <c r="U25" s="563"/>
      <c r="V25" s="563"/>
    </row>
    <row r="26" spans="1:22" x14ac:dyDescent="0.2">
      <c r="A26" s="581" t="str">
        <f>VLOOKUP(C13,'[8]N.1b LGERS 2018 PY'!$B$911:$C$1813,2,FALSE)</f>
        <v>9xxxy</v>
      </c>
      <c r="B26" t="str">
        <f>C13</f>
        <v>Carolina County</v>
      </c>
      <c r="C26" s="620">
        <f>VLOOKUP($A$26,'[9]2019 LGERS summary'!A:U,3,FALSE)</f>
        <v>2.6327999999999998E-3</v>
      </c>
      <c r="D26" s="620">
        <f>VLOOKUP($A$26,'[9]N.1b LGERS 2018 PY'!$A:$W,'[9]N.1 GASB 68 LGERS'!C21,FALSE)</f>
        <v>2.6581E-3</v>
      </c>
      <c r="E26" s="620">
        <f>C26-D26</f>
        <v>-2.5299999999999998E-5</v>
      </c>
      <c r="F26" s="25">
        <f>VLOOKUP($A$26,'[9]LGERS Contributions FY 2018'!$A:$W,'[9]N.1 GASB 68 LGERS'!C21,FALSE)</f>
        <v>1197982</v>
      </c>
      <c r="G26" s="25">
        <f>VLOOKUP($A$26,'[9]N.1b LGERS 2018 PY'!$A:$W,'[9]N.1 GASB 68 LGERS'!H21,FALSE)</f>
        <v>4060841</v>
      </c>
      <c r="H26" s="25">
        <f>VLOOKUP($A$26,'[9]2019 LGERS summary'!$A:$W,'[9]N.1 GASB 68 LGERS'!F21,FALSE)</f>
        <v>6245902</v>
      </c>
      <c r="I26" s="25"/>
      <c r="J26" s="25">
        <f>VLOOKUP($A$26,'[9]2019 LGERS summary'!$A:$W,'[9]N.1 GASB 68 LGERS'!H21,FALSE)</f>
        <v>963594</v>
      </c>
      <c r="K26" s="25">
        <f>VLOOKUP($A$26,'[9]2019 LGERS summary'!$A:$W,'[9]N.1 GASB 68 LGERS'!I21,FALSE)</f>
        <v>857376</v>
      </c>
      <c r="L26" s="25">
        <f>VLOOKUP($A$26,'[9]2019 LGERS summary'!$A:$W,'[9]N.1 GASB 68 LGERS'!J21,FALSE)</f>
        <v>1657421</v>
      </c>
      <c r="M26" s="25">
        <f>VLOOKUP($A$26,'[9]2019 LGERS summary'!$A:$W,'[9]N.1 GASB 68 LGERS'!K21,FALSE)</f>
        <v>84751</v>
      </c>
      <c r="N26" s="25"/>
      <c r="O26" s="25">
        <f>VLOOKUP($A$26,'[9]2019 LGERS summary'!$A:$W,'[9]N.1 GASB 68 LGERS'!N21,FALSE)</f>
        <v>32333</v>
      </c>
      <c r="P26" s="570">
        <f>VLOOKUP($A$26,'[9]N.1b LGERS 2018 PY'!$A:$W,'[9]N.1 GASB 68 LGERS'!P21,FALSE)</f>
        <v>0</v>
      </c>
      <c r="Q26" s="25">
        <f>VLOOKUP($A$26,'[9]N.1b LGERS 2018 PY'!$A:$W,'[9]N.1 GASB 68 LGERS'!Q21,FALSE)</f>
        <v>0</v>
      </c>
      <c r="R26" s="25">
        <f>VLOOKUP($A$26,'[9]2019 LGERS summary'!$A:$W,'[9]N.1 GASB 68 LGERS'!P21,FALSE)</f>
        <v>109908</v>
      </c>
      <c r="S26" s="25"/>
      <c r="T26" s="25">
        <f>VLOOKUP($A$26,'[9]2019 LGERS summary'!$A:$W,'[9]N.1 GASB 68 LGERS'!S21,FALSE)</f>
        <v>1734944</v>
      </c>
      <c r="U26" s="25">
        <f>VLOOKUP($A$26,'[9]2019 LGERS summary'!$A:$W,'[9]N.1 GASB 68 LGERS'!T21,FALSE)</f>
        <v>11083</v>
      </c>
      <c r="V26" s="25">
        <f>VLOOKUP($A$26,'[9]2019 LGERS summary'!$A:$W,'[9]N.1 GASB 68 LGERS'!U21,FALSE)</f>
        <v>1746027</v>
      </c>
    </row>
    <row r="27" spans="1:22" ht="15" x14ac:dyDescent="0.25">
      <c r="A27" s="563"/>
      <c r="B27" s="563"/>
      <c r="C27" s="563"/>
      <c r="D27" s="563"/>
      <c r="E27" s="563"/>
      <c r="F27" s="563"/>
      <c r="G27" s="563"/>
      <c r="H27" s="563"/>
      <c r="I27" s="563"/>
      <c r="J27" s="563"/>
      <c r="K27" s="563"/>
      <c r="L27" s="563"/>
      <c r="M27" s="563"/>
      <c r="N27" s="563"/>
      <c r="O27" s="563"/>
      <c r="P27" s="819"/>
      <c r="Q27" s="563"/>
      <c r="R27" s="563"/>
      <c r="S27" s="563"/>
      <c r="T27" s="563"/>
      <c r="U27" s="563"/>
      <c r="V27" s="563"/>
    </row>
    <row r="28" spans="1:22" x14ac:dyDescent="0.2">
      <c r="A28" s="33" t="str">
        <f>VLOOKUP(C15,'[9]N.1b LGERS 2018 PY'!B911:C1811,2,FALSE)</f>
        <v>N/A</v>
      </c>
      <c r="B28" s="621" t="str">
        <f>C15</f>
        <v>No additional agency chosen</v>
      </c>
      <c r="C28" s="620">
        <f>VLOOKUP($A$28,'[9]N.1b LGERS 2018 PY'!$A:$W,'[9]N.1 GASB 68 LGERS'!C21,FALSE)</f>
        <v>0</v>
      </c>
      <c r="D28" s="620">
        <f>VLOOKUP($A$28,'[9]N.1b LGERS 2018 PY'!$A:$W,'[9]N.1 GASB 68 LGERS'!D21,FALSE)</f>
        <v>0</v>
      </c>
      <c r="E28" s="620">
        <f>C28-D28</f>
        <v>0</v>
      </c>
      <c r="F28" s="25">
        <f>VLOOKUP($A$28,'[9]N.1b LGERS 2018 PY'!$A:$W,'[9]N.1 GASB 68 LGERS'!F21,FALSE)</f>
        <v>0</v>
      </c>
      <c r="G28" s="25">
        <f>VLOOKUP($A$28,'[9]N.1b LGERS 2018 PY'!$A:$W,'[9]N.1 GASB 68 LGERS'!G21,FALSE)</f>
        <v>0</v>
      </c>
      <c r="H28" s="25">
        <f>VLOOKUP($A$28,'[9]N.1b LGERS 2018 PY'!$A:$W,'[9]N.1 GASB 68 LGERS'!H21,FALSE)</f>
        <v>0</v>
      </c>
      <c r="I28" s="25"/>
      <c r="J28" s="25">
        <f>VLOOKUP($A$28,'[9]N.1b LGERS 2018 PY'!$A:$W,'[9]N.1 GASB 68 LGERS'!J21,FALSE)</f>
        <v>0</v>
      </c>
      <c r="K28" s="25">
        <f>VLOOKUP($A$28,'[9]N.1b LGERS 2018 PY'!$A:$W,'[9]N.1 GASB 68 LGERS'!K21,FALSE)</f>
        <v>0</v>
      </c>
      <c r="L28" s="25">
        <f>VLOOKUP($A$28,'[9]N.1b LGERS 2018 PY'!$A:$W,'[9]N.1 GASB 68 LGERS'!L21,FALSE)</f>
        <v>0</v>
      </c>
      <c r="M28" s="25">
        <f>VLOOKUP($A$28,'[9]N.1b LGERS 2018 PY'!$A:$W,'[9]N.1 GASB 68 LGERS'!M21,FALSE)</f>
        <v>0</v>
      </c>
      <c r="N28" s="25"/>
      <c r="O28" s="25">
        <f>VLOOKUP($A$28,'[9]N.1b LGERS 2018 PY'!$A:$W,'[9]N.1 GASB 68 LGERS'!O21,FALSE)</f>
        <v>0</v>
      </c>
      <c r="P28" s="570">
        <f>VLOOKUP($A$28,'[9]N.1b LGERS 2018 PY'!$A:$W,'[9]N.1 GASB 68 LGERS'!P21,FALSE)</f>
        <v>0</v>
      </c>
      <c r="Q28" s="25">
        <f>VLOOKUP($A$28,'[9]N.1b LGERS 2018 PY'!$A:$W,'[9]N.1 GASB 68 LGERS'!Q21,FALSE)</f>
        <v>0</v>
      </c>
      <c r="R28" s="25">
        <f>VLOOKUP($A$28,'[9]N.1b LGERS 2018 PY'!$A:$W,'[9]N.1 GASB 68 LGERS'!R21,FALSE)</f>
        <v>0</v>
      </c>
      <c r="S28" s="25"/>
      <c r="T28" s="25">
        <f>VLOOKUP($A$28,'[9]N.1b LGERS 2018 PY'!$A:$W,'[9]N.1 GASB 68 LGERS'!T21,FALSE)</f>
        <v>0</v>
      </c>
      <c r="U28" s="25">
        <f>VLOOKUP($A$28,'[9]N.1b LGERS 2018 PY'!$A:$W,'[9]N.1 GASB 68 LGERS'!U21,FALSE)</f>
        <v>0</v>
      </c>
      <c r="V28" s="25">
        <f>VLOOKUP($A$28,'[9]N.1b LGERS 2018 PY'!$A:$W,'[9]N.1 GASB 68 LGERS'!V21,FALSE)</f>
        <v>0</v>
      </c>
    </row>
    <row r="29" spans="1:22" ht="15" x14ac:dyDescent="0.25">
      <c r="A29" s="563"/>
      <c r="B29" s="563"/>
      <c r="C29" s="563"/>
      <c r="D29" s="563"/>
      <c r="E29" s="563"/>
      <c r="F29" s="563"/>
      <c r="G29" s="563"/>
      <c r="H29" s="563"/>
      <c r="I29" s="563"/>
      <c r="J29" s="563"/>
      <c r="K29" s="563"/>
      <c r="L29" s="563"/>
      <c r="M29" s="563"/>
      <c r="N29" s="563"/>
      <c r="O29" s="563"/>
      <c r="P29" s="563"/>
      <c r="Q29" s="563"/>
      <c r="R29" s="563"/>
      <c r="S29" s="563"/>
      <c r="T29" s="563"/>
      <c r="U29" s="563"/>
      <c r="V29" s="563"/>
    </row>
    <row r="30" spans="1:22" x14ac:dyDescent="0.2">
      <c r="B30" t="s">
        <v>2095</v>
      </c>
      <c r="C30" s="620">
        <f>C26+C28</f>
        <v>2.6327999999999998E-3</v>
      </c>
      <c r="D30" s="620">
        <f>D26+D28</f>
        <v>2.6581E-3</v>
      </c>
      <c r="E30" s="620">
        <f>C30-D30</f>
        <v>-2.5299999999999998E-5</v>
      </c>
      <c r="F30" s="622">
        <f>F26+F28</f>
        <v>1197982</v>
      </c>
      <c r="G30" s="622">
        <f>G26+G28</f>
        <v>4060841</v>
      </c>
      <c r="H30" s="622">
        <f>H26+H28</f>
        <v>6245902</v>
      </c>
      <c r="I30" s="622"/>
      <c r="J30" s="622">
        <f>J26+J28</f>
        <v>963594</v>
      </c>
      <c r="K30" s="622">
        <f>K26+K28</f>
        <v>857376</v>
      </c>
      <c r="L30" s="622">
        <f>L26+L28</f>
        <v>1657421</v>
      </c>
      <c r="M30" s="622">
        <f>M26+M28</f>
        <v>84751</v>
      </c>
      <c r="N30" s="622"/>
      <c r="O30" s="622">
        <f>O26+O28</f>
        <v>32333</v>
      </c>
      <c r="P30" s="622">
        <f>P26+P28</f>
        <v>0</v>
      </c>
      <c r="Q30" s="622">
        <f>Q26+Q28</f>
        <v>0</v>
      </c>
      <c r="R30" s="622">
        <f>R26+R28</f>
        <v>109908</v>
      </c>
      <c r="S30" s="622"/>
      <c r="T30" s="622">
        <f>T26+T28</f>
        <v>1734944</v>
      </c>
      <c r="U30" s="622">
        <f>U26+U28</f>
        <v>11083</v>
      </c>
      <c r="V30" s="622">
        <f>V26+V28</f>
        <v>1746027</v>
      </c>
    </row>
    <row r="32" spans="1:22" x14ac:dyDescent="0.2">
      <c r="A32" s="14"/>
      <c r="B32" t="s">
        <v>4086</v>
      </c>
      <c r="F32" s="622">
        <f>'[9]LGERS Contributions FY 2018'!C901</f>
        <v>489372689</v>
      </c>
      <c r="G32" s="622">
        <f>'[9]2018 LGERS summary'!F908</f>
        <v>1527723006</v>
      </c>
      <c r="H32" s="622">
        <f>'[9]2019 LGERS summary'!E928</f>
        <v>2372341991</v>
      </c>
      <c r="I32" s="622"/>
      <c r="J32" s="622">
        <f>'[9]2019 LGERS summary'!G928</f>
        <v>365996013</v>
      </c>
      <c r="K32" s="622">
        <f>'[9]2019 LGERS summary'!H928</f>
        <v>325651977</v>
      </c>
      <c r="L32" s="622">
        <f>'[9]2019 LGERS summary'!I928</f>
        <v>629527990</v>
      </c>
      <c r="M32" s="622">
        <f>'[9]2019 LGERS summary'!J928</f>
        <v>39321171</v>
      </c>
      <c r="N32" s="622"/>
      <c r="O32" s="622">
        <f>'[9]2019 LGERS summary'!M928</f>
        <v>12280987</v>
      </c>
      <c r="P32" s="622">
        <f>'[9]N.1b LGERS 2018 PY'!O909</f>
        <v>0</v>
      </c>
      <c r="Q32" s="622">
        <f>'[9]N.1b LGERS 2018 PY'!P909</f>
        <v>0</v>
      </c>
      <c r="R32" s="622">
        <f>'[9]2019 LGERS summary'!O928</f>
        <v>39321083</v>
      </c>
      <c r="S32" s="622"/>
      <c r="T32" s="622">
        <f>'[9]2019 LGERS summary'!R928</f>
        <v>658973009</v>
      </c>
      <c r="U32" s="622">
        <f>'[9]2019 LGERS summary'!S928</f>
        <v>6</v>
      </c>
      <c r="V32" s="622">
        <f>'[9]2019 LGERS summary'!T928</f>
        <v>658973015</v>
      </c>
    </row>
    <row r="33" spans="1:22" x14ac:dyDescent="0.2">
      <c r="A33" s="14"/>
      <c r="F33" s="622"/>
      <c r="G33" s="622"/>
      <c r="H33" s="622"/>
      <c r="J33" s="622"/>
      <c r="K33" s="622"/>
      <c r="L33" s="622"/>
      <c r="M33" s="622"/>
      <c r="O33" s="622"/>
      <c r="P33" s="622"/>
      <c r="Q33" s="622"/>
      <c r="R33" s="622"/>
      <c r="T33" s="622"/>
      <c r="U33" s="622"/>
      <c r="V33" s="622"/>
    </row>
    <row r="34" spans="1:22" ht="28.5" customHeight="1" x14ac:dyDescent="0.2">
      <c r="A34" s="932" t="s">
        <v>2096</v>
      </c>
      <c r="B34" s="933" t="s">
        <v>4090</v>
      </c>
      <c r="F34" s="622"/>
      <c r="G34" s="622"/>
      <c r="H34" s="622"/>
      <c r="J34" s="622"/>
      <c r="K34" s="622"/>
      <c r="L34" s="622"/>
      <c r="M34" s="622"/>
      <c r="O34" s="622"/>
      <c r="P34" s="622"/>
      <c r="Q34" s="622"/>
      <c r="R34" s="622"/>
      <c r="T34" s="622"/>
      <c r="U34" s="622"/>
      <c r="V34" s="622"/>
    </row>
    <row r="35" spans="1:22" x14ac:dyDescent="0.2">
      <c r="A35" s="581" t="str">
        <f>VLOOKUP(C13,'[9]N.1b LGERS 2018 PY'!B911:C1813,2,FALSE)</f>
        <v>9xxxy</v>
      </c>
      <c r="B35" t="str">
        <f>C15</f>
        <v>No additional agency chosen</v>
      </c>
      <c r="C35" s="620">
        <f>VLOOKUP($A$35,'[9]N.1b LGERS 2018 PY'!$A:$U,'[9]N.1 GASB 68 LGERS'!C21,FALSE)</f>
        <v>2.6581E-3</v>
      </c>
      <c r="D35" s="620">
        <f>VLOOKUP($A$35,'[9]N.1b LGERS 2018 PY'!$A:$U,'[9]N.1 GASB 68 LGERS'!D21,FALSE)</f>
        <v>2.3587E-3</v>
      </c>
      <c r="E35" s="620">
        <f>C35-D35</f>
        <v>2.9940000000000001E-4</v>
      </c>
      <c r="F35" s="25">
        <f>VLOOKUP($A$35,'[9]N.1b LGERS 2018 PY'!$A:$U,'[9]N.1 GASB 68 LGERS'!F21,FALSE)</f>
        <v>1110621</v>
      </c>
      <c r="G35" s="25">
        <f>VLOOKUP($A$35,'[9]N.1b LGERS 2018 PY'!$A:$U,'[9]N.1 GASB 68 LGERS'!G21,FALSE)</f>
        <v>5005952</v>
      </c>
      <c r="H35" s="25">
        <f>VLOOKUP($A$35,'[9]N.1b LGERS 2018 PY'!$A:$U,'[9]N.1 GASB 68 LGERS'!H21,FALSE)</f>
        <v>4060841</v>
      </c>
      <c r="I35" s="25"/>
      <c r="J35" s="25">
        <f>VLOOKUP($A$35,'[9]N.1b LGERS 2018 PY'!$A:$U,'[9]N.1 GASB 68 LGERS'!J21,FALSE)</f>
        <v>233942</v>
      </c>
      <c r="K35" s="25">
        <f>VLOOKUP($A$35,'[9]N.1b LGERS 2018 PY'!$A:$U,'[9]N.1 GASB 68 LGERS'!K21,FALSE)</f>
        <v>985977</v>
      </c>
      <c r="L35" s="25">
        <f>VLOOKUP($A$35,'[9]N.1b LGERS 2018 PY'!$A:$U,'[9]N.1 GASB 68 LGERS'!L21,FALSE)</f>
        <v>579944</v>
      </c>
      <c r="M35" s="25">
        <f>VLOOKUP($A$35,'[9]N.1b LGERS 2018 PY'!$A:$U,'[9]N.1 GASB 68 LGERS'!M21,FALSE)</f>
        <v>130818</v>
      </c>
      <c r="N35" s="25"/>
      <c r="O35" s="25">
        <f>VLOOKUP($A$35,'[9]N.1b LGERS 2018 PY'!$A:$U,'[9]N.1 GASB 68 LGERS'!O21,FALSE)</f>
        <v>114950</v>
      </c>
      <c r="P35" s="25">
        <f>VLOOKUP($A$35,'[9]N.1b LGERS 2018 PY'!$A:$U,'[9]N.1 GASB 68 LGERS'!P21,FALSE)</f>
        <v>0</v>
      </c>
      <c r="Q35" s="25">
        <f>VLOOKUP($A$35,'[9]N.1b LGERS 2018 PY'!$A:$U,'[9]N.1 GASB 68 LGERS'!Q21,FALSE)</f>
        <v>0</v>
      </c>
      <c r="R35" s="25">
        <f>VLOOKUP($A$35,'[9]N.1b LGERS 2018 PY'!$A:$U,'[9]N.1 GASB 68 LGERS'!R21,FALSE)</f>
        <v>31847</v>
      </c>
      <c r="S35" s="25"/>
      <c r="T35" s="25">
        <f>VLOOKUP($A$35,'[9]N.1b LGERS 2018 PY'!$A:$U,'[9]N.1 GASB 68 LGERS'!T21,FALSE)</f>
        <v>1368507</v>
      </c>
      <c r="U35" s="25">
        <f>VLOOKUP($A$35,'[9]N.1b LGERS 2018 PY'!$A:$U,'[9]N.1 GASB 68 LGERS'!U21,FALSE)</f>
        <v>33872</v>
      </c>
      <c r="V35" s="25">
        <f>VLOOKUP($A$35,'[9]N.1b LGERS 2018 PY'!$A:$U,'[9]N.1 GASB 68 LGERS'!V21,FALSE)</f>
        <v>1402379</v>
      </c>
    </row>
    <row r="36" spans="1:22" x14ac:dyDescent="0.2">
      <c r="A36" s="14"/>
      <c r="C36" s="620"/>
      <c r="E36" s="620"/>
      <c r="F36" s="622"/>
      <c r="G36" s="622"/>
      <c r="H36" s="622"/>
      <c r="J36" s="622"/>
      <c r="K36" s="622"/>
      <c r="L36" s="622"/>
      <c r="M36" s="622"/>
      <c r="O36" s="622"/>
      <c r="P36" s="622"/>
      <c r="Q36" s="622"/>
      <c r="R36" s="622"/>
      <c r="T36" s="622"/>
      <c r="U36" s="622"/>
      <c r="V36" s="622"/>
    </row>
    <row r="37" spans="1:22" x14ac:dyDescent="0.2">
      <c r="A37" s="33" t="str">
        <f>VLOOKUP(C15,'[9]N.1b LGERS 2018 PY'!B911:C1811,2,FALSE)</f>
        <v>N/A</v>
      </c>
      <c r="B37" s="624" t="str">
        <f>C15</f>
        <v>No additional agency chosen</v>
      </c>
      <c r="C37" s="620">
        <f>VLOOKUP($A$37,'[9]N.1b LGERS 2018 PY'!$A:$U,'[9]N.1 GASB 68 LGERS'!C21,FALSE)</f>
        <v>0</v>
      </c>
      <c r="D37" s="620">
        <f>VLOOKUP($A$37,'[9]N.1b LGERS 2018 PY'!$A:$U,'[8]N.1 GASB 68 LGERS'!D21,FALSE)</f>
        <v>0</v>
      </c>
      <c r="E37" s="620">
        <f t="shared" ref="E37" si="0">C37-D37</f>
        <v>0</v>
      </c>
      <c r="F37" s="620">
        <f>VLOOKUP($A$37,'[9]N.1b LGERS 2018 PY'!$A:$U,'[9]N.1 GASB 68 LGERS'!F21,FALSE)</f>
        <v>0</v>
      </c>
      <c r="G37" s="620">
        <f>VLOOKUP($A$37,'[9]N.1b LGERS 2018 PY'!$A:$U,'[9]N.1 GASB 68 LGERS'!G21,FALSE)</f>
        <v>0</v>
      </c>
      <c r="H37" s="620">
        <f>VLOOKUP($A$37,'[9]N.1b LGERS 2018 PY'!$A:$U,'[9]N.1 GASB 68 LGERS'!H21,FALSE)</f>
        <v>0</v>
      </c>
      <c r="I37" s="25"/>
      <c r="J37" s="25">
        <f>VLOOKUP($A$37,'[9]N.1b LGERS 2018 PY'!$A:$U,'[9]N.1 GASB 68 LGERS'!J21,FALSE)</f>
        <v>0</v>
      </c>
      <c r="K37" s="25">
        <f>VLOOKUP($A$37,'[9]N.1b LGERS 2018 PY'!$A:$U,'[9]N.1 GASB 68 LGERS'!K21,FALSE)</f>
        <v>0</v>
      </c>
      <c r="L37" s="25">
        <f>VLOOKUP($A$37,'[9]N.1b LGERS 2018 PY'!$A:$U,'[9]N.1 GASB 68 LGERS'!L21,FALSE)</f>
        <v>0</v>
      </c>
      <c r="M37" s="25">
        <f>VLOOKUP($A$37,'[9]N.1b LGERS 2018 PY'!$A:$U,'[9]N.1 GASB 68 LGERS'!M21,FALSE)</f>
        <v>0</v>
      </c>
      <c r="N37" s="25"/>
      <c r="O37" s="25">
        <f>VLOOKUP($A$37,'[9]N.1b LGERS 2018 PY'!$A:$U,'[9]N.1 GASB 68 LGERS'!O21,FALSE)</f>
        <v>0</v>
      </c>
      <c r="P37" s="25">
        <f>VLOOKUP($A$37,'[9]N.1b LGERS 2018 PY'!$A:$U,'[9]N.1 GASB 68 LGERS'!P21,FALSE)</f>
        <v>0</v>
      </c>
      <c r="Q37" s="25">
        <f>VLOOKUP($A$37,'[9]N.1b LGERS 2018 PY'!$A:$U,'[9]N.1 GASB 68 LGERS'!Q21,FALSE)</f>
        <v>0</v>
      </c>
      <c r="R37" s="25">
        <f>VLOOKUP($A$37,'[9]N.1b LGERS 2018 PY'!$A:$U,'[9]N.1 GASB 68 LGERS'!R21,FALSE)</f>
        <v>0</v>
      </c>
      <c r="S37" s="25"/>
      <c r="T37" s="25">
        <f>VLOOKUP($A$37,'[9]N.1b LGERS 2018 PY'!$A:$U,'[9]N.1 GASB 68 LGERS'!T21,FALSE)</f>
        <v>0</v>
      </c>
      <c r="U37" s="25">
        <f>VLOOKUP($A$37,'[9]N.1b LGERS 2018 PY'!$A:$U,'[9]N.1 GASB 68 LGERS'!U21,FALSE)</f>
        <v>0</v>
      </c>
      <c r="V37" s="25">
        <f>VLOOKUP($A$37,'[9]N.1b LGERS 2018 PY'!$A:$U,'[9]N.1 GASB 68 LGERS'!V21,FALSE)</f>
        <v>0</v>
      </c>
    </row>
    <row r="38" spans="1:22" ht="15" x14ac:dyDescent="0.25">
      <c r="A38" s="623"/>
      <c r="F38" s="622"/>
      <c r="G38" s="622"/>
      <c r="H38" s="622"/>
      <c r="J38" s="622"/>
      <c r="K38" s="622"/>
      <c r="L38" s="622"/>
      <c r="M38" s="622"/>
      <c r="O38" s="622"/>
      <c r="P38" s="622"/>
      <c r="Q38" s="622"/>
      <c r="R38" s="622"/>
      <c r="T38" s="622"/>
      <c r="U38" s="622"/>
      <c r="V38" s="622"/>
    </row>
    <row r="39" spans="1:22" x14ac:dyDescent="0.2">
      <c r="A39" s="14"/>
      <c r="B39" t="s">
        <v>2095</v>
      </c>
      <c r="C39" s="620">
        <f>C35+C37</f>
        <v>2.6581E-3</v>
      </c>
      <c r="D39" s="620">
        <f>D35+D37</f>
        <v>2.3587E-3</v>
      </c>
      <c r="E39" s="620">
        <f>C39-D39</f>
        <v>2.9940000000000001E-4</v>
      </c>
      <c r="F39" s="622">
        <f>F35+F37</f>
        <v>1110621</v>
      </c>
      <c r="G39" s="622">
        <f>G35+G37</f>
        <v>5005952</v>
      </c>
      <c r="H39" s="622">
        <f>H35+H37</f>
        <v>4060841</v>
      </c>
      <c r="I39" s="622"/>
      <c r="J39" s="622">
        <f>J35+J37</f>
        <v>233942</v>
      </c>
      <c r="K39" s="622">
        <f>K35+K37</f>
        <v>985977</v>
      </c>
      <c r="L39" s="622">
        <f>L35+L37</f>
        <v>579944</v>
      </c>
      <c r="M39" s="622">
        <f>M35+M37</f>
        <v>130818</v>
      </c>
      <c r="N39" s="622"/>
      <c r="O39" s="622">
        <f>O35+O37</f>
        <v>114950</v>
      </c>
      <c r="P39" s="622">
        <f>P35+P37</f>
        <v>0</v>
      </c>
      <c r="Q39" s="622">
        <f>Q35+Q37</f>
        <v>0</v>
      </c>
      <c r="R39" s="622">
        <f>R35+R37</f>
        <v>31847</v>
      </c>
      <c r="S39" s="622"/>
      <c r="T39" s="622">
        <f>T35+T37</f>
        <v>1368507</v>
      </c>
      <c r="U39" s="622">
        <f>U35+U37</f>
        <v>33872</v>
      </c>
      <c r="V39" s="622">
        <f>V35+V37</f>
        <v>1402379</v>
      </c>
    </row>
    <row r="40" spans="1:22" x14ac:dyDescent="0.2">
      <c r="A40" s="14"/>
      <c r="F40" s="622"/>
      <c r="G40" s="622"/>
      <c r="H40" s="622"/>
      <c r="J40" s="622"/>
      <c r="K40" s="622"/>
      <c r="L40" s="622"/>
      <c r="M40" s="622"/>
      <c r="O40" s="622"/>
      <c r="P40" s="622"/>
      <c r="Q40" s="622"/>
      <c r="R40" s="622"/>
      <c r="T40" s="622"/>
      <c r="U40" s="622"/>
      <c r="V40" s="622"/>
    </row>
    <row r="41" spans="1:22" x14ac:dyDescent="0.2">
      <c r="A41" s="14"/>
      <c r="B41" t="s">
        <v>3547</v>
      </c>
      <c r="F41" s="622">
        <f>'[9]N.1b LGERS 2018 PY'!E909</f>
        <v>459076658</v>
      </c>
      <c r="G41" s="622">
        <f>'[9]N.1b LGERS 2018 PY'!F909</f>
        <v>2063974821</v>
      </c>
      <c r="H41" s="622">
        <f>'[9]N.1b LGERS 2018 PY'!G909</f>
        <v>1527723006</v>
      </c>
      <c r="I41" s="622"/>
      <c r="J41" s="622">
        <f>'[9]N.1b LGERS 2018 PY'!I909</f>
        <v>88010998</v>
      </c>
      <c r="K41" s="622">
        <f>'[9]N.1b LGERS 2018 PY'!J909</f>
        <v>370932998</v>
      </c>
      <c r="L41" s="622">
        <f>'[9]N.1b LGERS 2018 PY'!K909</f>
        <v>218179990</v>
      </c>
      <c r="M41" s="622">
        <f>'[9]N.1b LGERS 2018 PY'!L909</f>
        <v>44399345</v>
      </c>
      <c r="N41" s="622"/>
      <c r="O41" s="622">
        <f>'[9]N.1b LGERS 2018 PY'!N909</f>
        <v>43245007</v>
      </c>
      <c r="P41" s="622">
        <f>'[9]N.1b LGERS 2018 PY'!O909</f>
        <v>0</v>
      </c>
      <c r="Q41" s="622">
        <f>'[9]N.1b LGERS 2018 PY'!P909</f>
        <v>0</v>
      </c>
      <c r="R41" s="622">
        <f>'[9]N.1b LGERS 2018 PY'!Q909</f>
        <v>44399369</v>
      </c>
      <c r="S41" s="622"/>
      <c r="T41" s="622">
        <f>'[9]N.1b LGERS 2018 PY'!S909</f>
        <v>514844016</v>
      </c>
      <c r="U41" s="622">
        <f>'[9]N.1b LGERS 2018 PY'!T909</f>
        <v>36</v>
      </c>
      <c r="V41" s="622">
        <f>'[9]N.1b LGERS 2018 PY'!U909</f>
        <v>514844052</v>
      </c>
    </row>
    <row r="42" spans="1:22" x14ac:dyDescent="0.2">
      <c r="C42" s="35"/>
      <c r="D42" s="35"/>
      <c r="E42" s="35"/>
      <c r="F42" s="35"/>
      <c r="G42" s="35"/>
      <c r="H42" s="35"/>
      <c r="I42" s="35"/>
      <c r="J42" s="35"/>
      <c r="K42" s="35"/>
      <c r="L42" s="35"/>
      <c r="M42" s="35"/>
      <c r="N42" s="35"/>
      <c r="O42" s="35"/>
      <c r="P42" s="35"/>
      <c r="Q42" s="35"/>
      <c r="R42" s="35"/>
      <c r="S42" s="35"/>
      <c r="U42" s="5"/>
      <c r="V42" s="5"/>
    </row>
    <row r="43" spans="1:22" ht="25.5" x14ac:dyDescent="0.2">
      <c r="J43" s="24" t="s">
        <v>3548</v>
      </c>
      <c r="K43" s="5">
        <f>K39-P39</f>
        <v>985977</v>
      </c>
    </row>
    <row r="44" spans="1:22" ht="15" x14ac:dyDescent="0.25">
      <c r="A44" s="14"/>
      <c r="B44" s="670"/>
      <c r="F44" s="34"/>
      <c r="G44" s="34"/>
      <c r="H44" s="34"/>
      <c r="J44" s="34"/>
      <c r="K44" s="34"/>
      <c r="L44" s="34"/>
      <c r="M44" s="34"/>
      <c r="O44" s="35"/>
      <c r="Q44" s="35"/>
      <c r="R44" s="35"/>
      <c r="S44" s="35"/>
      <c r="U44" s="35"/>
      <c r="V44" s="35"/>
    </row>
    <row r="45" spans="1:22" x14ac:dyDescent="0.2">
      <c r="A45" s="14"/>
      <c r="B45" t="s">
        <v>3549</v>
      </c>
      <c r="D45" s="5">
        <f>G30</f>
        <v>4060841</v>
      </c>
      <c r="E45" s="671"/>
      <c r="F45" s="34"/>
      <c r="G45" s="34"/>
      <c r="H45" s="34"/>
      <c r="J45" s="34"/>
      <c r="K45" s="34"/>
      <c r="L45" s="34"/>
      <c r="M45" s="34"/>
    </row>
    <row r="46" spans="1:22" ht="15" x14ac:dyDescent="0.25">
      <c r="A46" s="14"/>
      <c r="B46" t="s">
        <v>3550</v>
      </c>
      <c r="D46" s="5"/>
      <c r="E46" s="671">
        <f>H30</f>
        <v>6245902</v>
      </c>
      <c r="F46" s="828"/>
      <c r="G46" s="34"/>
      <c r="I46" s="34"/>
      <c r="J46" s="34"/>
      <c r="K46" s="34"/>
      <c r="L46" s="34"/>
      <c r="N46" s="34"/>
    </row>
    <row r="47" spans="1:22" x14ac:dyDescent="0.2">
      <c r="A47" s="14"/>
      <c r="B47" t="s">
        <v>3551</v>
      </c>
      <c r="D47" s="5">
        <f>V30</f>
        <v>1746027</v>
      </c>
      <c r="E47" s="671"/>
      <c r="F47" s="34"/>
      <c r="G47" s="34"/>
      <c r="I47" s="34"/>
      <c r="J47" s="34"/>
      <c r="K47" s="34"/>
      <c r="L47" s="34"/>
      <c r="N47" s="34"/>
    </row>
    <row r="48" spans="1:22" x14ac:dyDescent="0.2">
      <c r="A48" s="14"/>
      <c r="B48" t="s">
        <v>3552</v>
      </c>
      <c r="D48" s="5"/>
      <c r="E48" s="671">
        <f>J39</f>
        <v>233942</v>
      </c>
      <c r="F48" s="34"/>
      <c r="G48" s="34"/>
      <c r="I48" s="34"/>
      <c r="J48" s="34"/>
      <c r="K48" s="34"/>
      <c r="L48" s="34"/>
      <c r="N48" s="34"/>
    </row>
    <row r="49" spans="1:14" x14ac:dyDescent="0.2">
      <c r="A49" s="14"/>
      <c r="B49" t="s">
        <v>3553</v>
      </c>
      <c r="D49" s="5"/>
      <c r="E49" s="671">
        <f>IF(K39-P39&gt;0,K39-P39,0)</f>
        <v>985977</v>
      </c>
      <c r="F49" s="34"/>
      <c r="G49" s="34"/>
      <c r="I49" s="34"/>
      <c r="J49" s="34"/>
      <c r="K49" s="34"/>
      <c r="L49" s="34"/>
      <c r="N49" s="34"/>
    </row>
    <row r="50" spans="1:14" x14ac:dyDescent="0.2">
      <c r="A50" s="14"/>
      <c r="B50" t="s">
        <v>3554</v>
      </c>
      <c r="D50" s="5"/>
      <c r="E50" s="671">
        <f>L39</f>
        <v>579944</v>
      </c>
    </row>
    <row r="51" spans="1:14" x14ac:dyDescent="0.2">
      <c r="A51" s="14"/>
      <c r="B51" s="24" t="s">
        <v>3555</v>
      </c>
      <c r="D51" s="5"/>
      <c r="E51" s="671">
        <f>M39</f>
        <v>130818</v>
      </c>
    </row>
    <row r="52" spans="1:14" x14ac:dyDescent="0.2">
      <c r="A52" s="14"/>
      <c r="B52" s="24" t="s">
        <v>3556</v>
      </c>
      <c r="D52" s="5">
        <f>O39</f>
        <v>114950</v>
      </c>
      <c r="E52" s="114"/>
      <c r="F52" s="33"/>
      <c r="G52" s="33"/>
      <c r="H52" s="33"/>
      <c r="J52" s="625"/>
    </row>
    <row r="53" spans="1:14" x14ac:dyDescent="0.2">
      <c r="A53" s="14"/>
      <c r="B53" t="s">
        <v>3557</v>
      </c>
      <c r="D53" s="5">
        <f>IF(P39-K39&gt;0,P39-K39,0)</f>
        <v>0</v>
      </c>
      <c r="E53" s="671"/>
      <c r="F53" s="33"/>
      <c r="G53" s="33"/>
      <c r="H53" s="33"/>
      <c r="J53" s="625"/>
    </row>
    <row r="54" spans="1:14" ht="15" x14ac:dyDescent="0.25">
      <c r="A54" s="14"/>
      <c r="B54" s="370" t="s">
        <v>3558</v>
      </c>
      <c r="C54" s="672"/>
      <c r="D54" s="676">
        <f>Q39</f>
        <v>0</v>
      </c>
      <c r="E54" s="676"/>
      <c r="F54" s="673"/>
      <c r="G54" s="673"/>
      <c r="H54" s="673"/>
      <c r="I54" s="673"/>
      <c r="J54" s="673"/>
      <c r="K54" s="673"/>
      <c r="L54" s="673"/>
      <c r="M54" s="673"/>
      <c r="N54" s="673"/>
    </row>
    <row r="55" spans="1:14" x14ac:dyDescent="0.2">
      <c r="A55" s="14"/>
      <c r="B55" s="370" t="s">
        <v>3559</v>
      </c>
      <c r="C55" s="672"/>
      <c r="D55" s="676">
        <f>R39</f>
        <v>31847</v>
      </c>
      <c r="E55" s="676"/>
      <c r="F55" s="568"/>
      <c r="G55" s="568"/>
      <c r="H55" s="568"/>
    </row>
    <row r="56" spans="1:14" x14ac:dyDescent="0.2">
      <c r="A56" s="14"/>
      <c r="B56" t="s">
        <v>3560</v>
      </c>
      <c r="C56" s="672"/>
      <c r="D56" s="676">
        <f>J30</f>
        <v>963594</v>
      </c>
      <c r="E56" s="676"/>
    </row>
    <row r="57" spans="1:14" x14ac:dyDescent="0.2">
      <c r="A57" s="14"/>
      <c r="B57" t="s">
        <v>3561</v>
      </c>
      <c r="C57" s="672"/>
      <c r="D57" s="676">
        <f>IF(K30-P30&gt;0,K30-P30,0)</f>
        <v>857376</v>
      </c>
      <c r="E57" s="676"/>
      <c r="F57" s="573"/>
      <c r="G57" s="573"/>
      <c r="H57" s="573"/>
    </row>
    <row r="58" spans="1:14" x14ac:dyDescent="0.2">
      <c r="A58" s="14"/>
      <c r="B58" t="s">
        <v>3562</v>
      </c>
      <c r="C58" s="672"/>
      <c r="D58" s="676">
        <f>L30</f>
        <v>1657421</v>
      </c>
      <c r="E58" s="114"/>
    </row>
    <row r="59" spans="1:14" ht="15" x14ac:dyDescent="0.25">
      <c r="A59" s="14"/>
      <c r="B59" s="24" t="s">
        <v>3563</v>
      </c>
      <c r="C59" s="672"/>
      <c r="D59" s="676">
        <f>M30</f>
        <v>84751</v>
      </c>
      <c r="E59" s="114"/>
      <c r="F59" s="669"/>
      <c r="G59" s="669"/>
      <c r="H59" s="669"/>
      <c r="I59" s="670"/>
      <c r="J59" s="670"/>
      <c r="K59" s="670"/>
      <c r="L59" s="670"/>
      <c r="M59" s="670"/>
      <c r="N59" s="670"/>
    </row>
    <row r="60" spans="1:14" x14ac:dyDescent="0.2">
      <c r="A60" s="14"/>
      <c r="B60" s="24" t="s">
        <v>3564</v>
      </c>
      <c r="C60" s="672"/>
      <c r="D60" s="676"/>
      <c r="E60" s="114">
        <f>O30</f>
        <v>32333</v>
      </c>
    </row>
    <row r="61" spans="1:14" x14ac:dyDescent="0.2">
      <c r="A61" s="14"/>
      <c r="B61" t="s">
        <v>3565</v>
      </c>
      <c r="D61" s="5"/>
      <c r="E61" s="671">
        <f>IF(P30-K30&gt;0,P30-K30,0)</f>
        <v>0</v>
      </c>
      <c r="L61" s="573"/>
    </row>
    <row r="62" spans="1:14" x14ac:dyDescent="0.2">
      <c r="A62" s="14"/>
      <c r="B62" s="370" t="s">
        <v>3566</v>
      </c>
      <c r="D62" s="5"/>
      <c r="E62" s="671">
        <f>Q30</f>
        <v>0</v>
      </c>
      <c r="L62" s="573"/>
    </row>
    <row r="63" spans="1:14" x14ac:dyDescent="0.2">
      <c r="A63" s="14"/>
      <c r="B63" s="370" t="s">
        <v>3567</v>
      </c>
      <c r="D63" s="5"/>
      <c r="E63" s="671">
        <f>R30</f>
        <v>109908</v>
      </c>
      <c r="L63" s="568"/>
    </row>
    <row r="64" spans="1:14" x14ac:dyDescent="0.2">
      <c r="A64" s="14"/>
      <c r="B64" t="s">
        <v>3568</v>
      </c>
      <c r="D64" s="5"/>
      <c r="E64" s="671">
        <f>C17</f>
        <v>1001000</v>
      </c>
      <c r="L64" s="573"/>
    </row>
    <row r="65" spans="1:14" x14ac:dyDescent="0.2">
      <c r="A65" s="14"/>
      <c r="B65" t="s">
        <v>3569</v>
      </c>
      <c r="D65" s="5">
        <f>IF(C17-F30&gt;0,C17-F30,0)</f>
        <v>0</v>
      </c>
      <c r="E65" s="671">
        <f>IF(F30-C17&gt;0,F30-C17,0)</f>
        <v>196982</v>
      </c>
      <c r="F65" s="573"/>
      <c r="G65" s="573"/>
      <c r="H65" s="573"/>
      <c r="I65" s="573"/>
      <c r="J65" s="573"/>
      <c r="K65" s="573"/>
      <c r="L65" s="573"/>
      <c r="M65" s="568"/>
      <c r="N65" s="573"/>
    </row>
    <row r="66" spans="1:14" x14ac:dyDescent="0.2">
      <c r="A66" s="14"/>
      <c r="B66" t="s">
        <v>3570</v>
      </c>
      <c r="D66" s="5">
        <f>IF(SUM(E45:E65)&gt;SUM(D45:D65),SUM(E45:E65)-SUM(D45:D65),0)</f>
        <v>0</v>
      </c>
      <c r="E66" s="671">
        <f>IF(SUM(D45:D65)&gt;SUM(E45:E65),SUM(D45:D65)-SUM(E45:E65),0)</f>
        <v>1</v>
      </c>
    </row>
    <row r="67" spans="1:14" x14ac:dyDescent="0.2">
      <c r="A67" s="14"/>
      <c r="D67" s="5">
        <f>SUM(D45:D66)</f>
        <v>9516807</v>
      </c>
      <c r="E67" s="5">
        <f>SUM(E45:E66)</f>
        <v>9516807</v>
      </c>
      <c r="F67" s="568"/>
      <c r="G67" s="568"/>
      <c r="H67" s="568"/>
      <c r="I67" s="568"/>
      <c r="J67" s="568"/>
      <c r="K67" s="568"/>
      <c r="L67" s="568"/>
      <c r="M67" s="568"/>
      <c r="N67" s="568"/>
    </row>
    <row r="68" spans="1:14" x14ac:dyDescent="0.2">
      <c r="A68" s="14"/>
    </row>
    <row r="69" spans="1:14" ht="15" x14ac:dyDescent="0.25">
      <c r="A69" s="14"/>
      <c r="B69" s="670"/>
      <c r="C69" s="669"/>
      <c r="D69" s="669"/>
      <c r="E69" s="669"/>
      <c r="F69" s="669"/>
      <c r="G69" s="669"/>
      <c r="H69" s="669"/>
      <c r="I69" s="669"/>
      <c r="J69" s="669"/>
      <c r="K69" s="669"/>
      <c r="L69" s="669"/>
      <c r="M69" s="669"/>
      <c r="N69" s="669"/>
    </row>
    <row r="70" spans="1:14" x14ac:dyDescent="0.2">
      <c r="A70" s="14"/>
      <c r="E70" s="34"/>
      <c r="F70" s="34"/>
      <c r="G70" s="34"/>
      <c r="I70" s="34"/>
      <c r="J70" s="34"/>
      <c r="K70" s="34"/>
      <c r="L70" s="34"/>
      <c r="N70" s="34"/>
    </row>
    <row r="71" spans="1:14" ht="15" x14ac:dyDescent="0.25">
      <c r="A71" s="14"/>
      <c r="B71" s="670"/>
      <c r="E71" s="34"/>
      <c r="F71" s="34"/>
      <c r="G71" s="34"/>
      <c r="I71" s="34"/>
      <c r="J71" s="34"/>
      <c r="K71" s="34"/>
      <c r="L71" s="34"/>
      <c r="N71" s="34"/>
    </row>
    <row r="72" spans="1:14" x14ac:dyDescent="0.2">
      <c r="A72" s="571" t="s">
        <v>540</v>
      </c>
      <c r="B72" s="1250" t="s">
        <v>2032</v>
      </c>
      <c r="C72" s="1251"/>
      <c r="D72" s="1251"/>
      <c r="E72" s="1251"/>
      <c r="F72" s="1251"/>
      <c r="G72" s="1251"/>
      <c r="H72" s="1251"/>
      <c r="I72" s="1252"/>
    </row>
    <row r="73" spans="1:14" x14ac:dyDescent="0.2">
      <c r="A73" s="571"/>
      <c r="B73" s="128"/>
      <c r="C73" s="128"/>
      <c r="D73" s="128"/>
      <c r="E73" s="128"/>
      <c r="F73" s="128"/>
      <c r="G73" s="128"/>
      <c r="H73" s="128"/>
      <c r="I73" s="128"/>
    </row>
    <row r="74" spans="1:14" x14ac:dyDescent="0.2">
      <c r="A74" s="571"/>
      <c r="B74" s="1253" t="s">
        <v>2075</v>
      </c>
      <c r="C74" s="1254"/>
      <c r="D74" s="1254"/>
      <c r="E74" s="1255"/>
      <c r="F74" s="128"/>
      <c r="G74" s="128"/>
      <c r="H74" s="128"/>
      <c r="I74" s="128"/>
    </row>
    <row r="75" spans="1:14" x14ac:dyDescent="0.2">
      <c r="A75" s="569"/>
      <c r="B75" s="603" t="s">
        <v>2033</v>
      </c>
      <c r="C75" s="917">
        <f>'J. Other Liability &amp; Expenses'!L159</f>
        <v>0.95</v>
      </c>
      <c r="D75" s="128"/>
      <c r="E75" s="604"/>
    </row>
    <row r="76" spans="1:14" x14ac:dyDescent="0.2">
      <c r="A76" s="569"/>
      <c r="B76" s="603" t="s">
        <v>2050</v>
      </c>
      <c r="C76" s="917">
        <f>'J. Other Liability &amp; Expenses'!L160</f>
        <v>0.05</v>
      </c>
      <c r="D76" s="128"/>
      <c r="E76" s="604"/>
    </row>
    <row r="77" spans="1:14" x14ac:dyDescent="0.2">
      <c r="A77" s="569"/>
      <c r="B77" s="605" t="s">
        <v>2051</v>
      </c>
      <c r="C77" s="587">
        <f>SUM(C75:C76)</f>
        <v>1</v>
      </c>
      <c r="D77" s="128" t="str">
        <f>IF(C77=1,"=100%","DOES NOT EQUAL 100%!!!")</f>
        <v>=100%</v>
      </c>
      <c r="E77" s="567"/>
    </row>
    <row r="78" spans="1:14" x14ac:dyDescent="0.2">
      <c r="A78" s="569"/>
      <c r="B78" s="606"/>
      <c r="E78" s="567"/>
    </row>
    <row r="79" spans="1:14" x14ac:dyDescent="0.2">
      <c r="A79" s="569"/>
      <c r="B79" s="607" t="s">
        <v>2061</v>
      </c>
      <c r="E79" s="567"/>
    </row>
    <row r="80" spans="1:14" x14ac:dyDescent="0.2">
      <c r="A80" s="569"/>
      <c r="B80" s="606" t="s">
        <v>2052</v>
      </c>
      <c r="C80" s="587">
        <f>'J. Other Liability &amp; Expenses'!L164</f>
        <v>0.95</v>
      </c>
      <c r="E80" s="567"/>
    </row>
    <row r="81" spans="1:7" x14ac:dyDescent="0.2">
      <c r="A81" s="569"/>
      <c r="B81" s="606" t="s">
        <v>2053</v>
      </c>
      <c r="C81" s="587">
        <f>'J. Other Liability &amp; Expenses'!L165</f>
        <v>0</v>
      </c>
      <c r="E81" s="567"/>
    </row>
    <row r="82" spans="1:7" x14ac:dyDescent="0.2">
      <c r="A82" s="569"/>
      <c r="B82" s="606" t="s">
        <v>2054</v>
      </c>
      <c r="C82" s="587">
        <f>'J. Other Liability &amp; Expenses'!L166</f>
        <v>0</v>
      </c>
      <c r="E82" s="567"/>
    </row>
    <row r="83" spans="1:7" x14ac:dyDescent="0.2">
      <c r="A83" s="569"/>
      <c r="B83" s="606" t="s">
        <v>2055</v>
      </c>
      <c r="C83" s="587">
        <f>'J. Other Liability &amp; Expenses'!L167</f>
        <v>0</v>
      </c>
      <c r="E83" s="567"/>
    </row>
    <row r="84" spans="1:7" x14ac:dyDescent="0.2">
      <c r="A84" s="569"/>
      <c r="B84" s="606" t="s">
        <v>2056</v>
      </c>
      <c r="C84" s="587">
        <f>'J. Other Liability &amp; Expenses'!L168</f>
        <v>0</v>
      </c>
      <c r="E84" s="567"/>
    </row>
    <row r="85" spans="1:7" x14ac:dyDescent="0.2">
      <c r="A85" s="569"/>
      <c r="B85" s="606" t="s">
        <v>2057</v>
      </c>
      <c r="C85" s="587">
        <f>'J. Other Liability &amp; Expenses'!L169</f>
        <v>0</v>
      </c>
      <c r="E85" s="567"/>
    </row>
    <row r="86" spans="1:7" x14ac:dyDescent="0.2">
      <c r="A86" s="569"/>
      <c r="B86" s="606" t="s">
        <v>2058</v>
      </c>
      <c r="C86" s="587">
        <f>'J. Other Liability &amp; Expenses'!L170</f>
        <v>0</v>
      </c>
      <c r="E86" s="567"/>
    </row>
    <row r="87" spans="1:7" x14ac:dyDescent="0.2">
      <c r="A87" s="569"/>
      <c r="B87" s="606" t="s">
        <v>2059</v>
      </c>
      <c r="C87" s="587">
        <f>'J. Other Liability &amp; Expenses'!L171</f>
        <v>0</v>
      </c>
      <c r="E87" s="567"/>
    </row>
    <row r="88" spans="1:7" x14ac:dyDescent="0.2">
      <c r="A88" s="569"/>
      <c r="B88" s="606" t="s">
        <v>2060</v>
      </c>
      <c r="C88" s="587">
        <f>'J. Other Liability &amp; Expenses'!L172</f>
        <v>0</v>
      </c>
      <c r="E88" s="567"/>
    </row>
    <row r="89" spans="1:7" x14ac:dyDescent="0.2">
      <c r="A89" s="569"/>
      <c r="B89" s="608" t="s">
        <v>2062</v>
      </c>
      <c r="C89" s="609">
        <f>SUM(C80:C88)</f>
        <v>0.95</v>
      </c>
      <c r="D89" s="610" t="str">
        <f>IF(C89=C75,"Equals Governmental Activities","DOES NOT EQUAL Governmental Activities!!!")</f>
        <v>Equals Governmental Activities</v>
      </c>
      <c r="E89" s="101"/>
    </row>
    <row r="90" spans="1:7" x14ac:dyDescent="0.2">
      <c r="A90" s="569"/>
      <c r="B90" s="4"/>
    </row>
    <row r="91" spans="1:7" x14ac:dyDescent="0.2">
      <c r="A91" s="569"/>
      <c r="B91" s="4"/>
    </row>
    <row r="92" spans="1:7" x14ac:dyDescent="0.2">
      <c r="A92" s="569"/>
      <c r="B92" s="4"/>
      <c r="F92" s="128"/>
    </row>
    <row r="93" spans="1:7" x14ac:dyDescent="0.2">
      <c r="A93" s="569"/>
      <c r="B93" s="24"/>
      <c r="C93" s="626" t="s">
        <v>2029</v>
      </c>
      <c r="D93" s="626" t="s">
        <v>2030</v>
      </c>
    </row>
    <row r="94" spans="1:7" x14ac:dyDescent="0.2">
      <c r="A94" s="569"/>
      <c r="B94" s="590" t="s">
        <v>1092</v>
      </c>
      <c r="C94" s="236">
        <f t="shared" ref="C94:D101" si="1">G125</f>
        <v>0</v>
      </c>
      <c r="D94" s="236">
        <f t="shared" si="1"/>
        <v>0</v>
      </c>
    </row>
    <row r="95" spans="1:7" x14ac:dyDescent="0.2">
      <c r="A95" s="569"/>
      <c r="B95" s="590" t="s">
        <v>2097</v>
      </c>
      <c r="C95" s="236">
        <f t="shared" si="1"/>
        <v>0</v>
      </c>
      <c r="D95" s="236">
        <f t="shared" si="1"/>
        <v>0</v>
      </c>
      <c r="E95" s="573"/>
      <c r="G95" s="5"/>
    </row>
    <row r="96" spans="1:7" x14ac:dyDescent="0.2">
      <c r="A96" s="569"/>
      <c r="B96" s="590" t="s">
        <v>2028</v>
      </c>
      <c r="C96" s="236">
        <f t="shared" si="1"/>
        <v>0</v>
      </c>
      <c r="D96" s="236">
        <f t="shared" si="1"/>
        <v>2075808</v>
      </c>
      <c r="E96" s="573"/>
      <c r="G96" s="5"/>
    </row>
    <row r="97" spans="1:9" x14ac:dyDescent="0.2">
      <c r="A97" s="569"/>
      <c r="B97" s="590" t="s">
        <v>2063</v>
      </c>
      <c r="C97" s="236">
        <f t="shared" si="1"/>
        <v>1471592</v>
      </c>
      <c r="D97" s="236">
        <f t="shared" si="1"/>
        <v>0</v>
      </c>
      <c r="E97" s="573"/>
    </row>
    <row r="98" spans="1:9" x14ac:dyDescent="0.2">
      <c r="A98" s="569"/>
      <c r="B98" s="590" t="s">
        <v>2064</v>
      </c>
      <c r="C98" s="236">
        <f t="shared" si="1"/>
        <v>0</v>
      </c>
      <c r="D98" s="236">
        <f t="shared" si="1"/>
        <v>0</v>
      </c>
      <c r="E98" s="573"/>
    </row>
    <row r="99" spans="1:9" x14ac:dyDescent="0.2">
      <c r="A99" s="569"/>
      <c r="B99" s="590" t="s">
        <v>2065</v>
      </c>
      <c r="C99" s="236">
        <f t="shared" si="1"/>
        <v>0</v>
      </c>
      <c r="D99" s="236">
        <f t="shared" si="1"/>
        <v>0</v>
      </c>
      <c r="E99" s="573"/>
    </row>
    <row r="100" spans="1:9" x14ac:dyDescent="0.2">
      <c r="A100" s="569"/>
      <c r="B100" s="590" t="s">
        <v>2066</v>
      </c>
      <c r="C100" s="236">
        <f t="shared" si="1"/>
        <v>0</v>
      </c>
      <c r="D100" s="236">
        <f t="shared" si="1"/>
        <v>0</v>
      </c>
      <c r="E100" s="573"/>
    </row>
    <row r="101" spans="1:9" x14ac:dyDescent="0.2">
      <c r="A101" s="569"/>
      <c r="B101" s="590" t="s">
        <v>2067</v>
      </c>
      <c r="C101" s="236">
        <f t="shared" si="1"/>
        <v>0</v>
      </c>
      <c r="D101" s="236">
        <f t="shared" si="1"/>
        <v>0</v>
      </c>
      <c r="E101" s="573"/>
    </row>
    <row r="102" spans="1:9" x14ac:dyDescent="0.2">
      <c r="A102" s="569"/>
      <c r="B102" s="590" t="s">
        <v>3585</v>
      </c>
      <c r="C102" s="236">
        <f t="shared" ref="C102:D105" si="2">G133</f>
        <v>0</v>
      </c>
      <c r="D102" s="236">
        <f t="shared" si="2"/>
        <v>0</v>
      </c>
      <c r="E102" s="573"/>
    </row>
    <row r="103" spans="1:9" x14ac:dyDescent="0.2">
      <c r="A103" s="569"/>
      <c r="B103" s="590" t="s">
        <v>2068</v>
      </c>
      <c r="C103" s="236">
        <f t="shared" si="2"/>
        <v>0</v>
      </c>
      <c r="D103" s="236">
        <f t="shared" si="2"/>
        <v>0</v>
      </c>
      <c r="E103" s="573"/>
      <c r="G103" s="579"/>
      <c r="H103" s="579"/>
    </row>
    <row r="104" spans="1:9" x14ac:dyDescent="0.2">
      <c r="A104" s="569"/>
      <c r="B104" s="590" t="s">
        <v>3586</v>
      </c>
      <c r="C104" s="236">
        <f t="shared" si="2"/>
        <v>0</v>
      </c>
      <c r="D104" s="236">
        <f t="shared" si="2"/>
        <v>0</v>
      </c>
      <c r="E104" s="573"/>
      <c r="G104" s="579"/>
      <c r="H104" s="579"/>
    </row>
    <row r="105" spans="1:9" x14ac:dyDescent="0.2">
      <c r="A105" s="569"/>
      <c r="B105" s="590" t="s">
        <v>2069</v>
      </c>
      <c r="C105" s="236">
        <f t="shared" si="2"/>
        <v>0</v>
      </c>
      <c r="D105" s="236">
        <f t="shared" si="2"/>
        <v>0</v>
      </c>
      <c r="E105" s="573"/>
      <c r="I105" s="579"/>
    </row>
    <row r="106" spans="1:9" ht="25.5" x14ac:dyDescent="0.2">
      <c r="A106" s="569"/>
      <c r="B106" s="590" t="s">
        <v>3571</v>
      </c>
      <c r="C106" s="236">
        <f t="shared" ref="C106:C114" si="3">G137</f>
        <v>693169</v>
      </c>
      <c r="D106" s="236">
        <f t="shared" ref="D106:D114" si="4">H137</f>
        <v>0</v>
      </c>
    </row>
    <row r="107" spans="1:9" ht="25.5" x14ac:dyDescent="0.2">
      <c r="A107" s="569"/>
      <c r="B107" s="590" t="s">
        <v>2098</v>
      </c>
      <c r="C107" s="236">
        <f t="shared" si="3"/>
        <v>0</v>
      </c>
      <c r="D107" s="236">
        <f t="shared" si="4"/>
        <v>122171</v>
      </c>
    </row>
    <row r="108" spans="1:9" x14ac:dyDescent="0.2">
      <c r="A108" s="569"/>
      <c r="B108" s="590" t="s">
        <v>3572</v>
      </c>
      <c r="C108" s="236">
        <f t="shared" si="3"/>
        <v>1023603</v>
      </c>
      <c r="D108" s="236">
        <f t="shared" si="4"/>
        <v>0</v>
      </c>
    </row>
    <row r="109" spans="1:9" ht="38.25" x14ac:dyDescent="0.2">
      <c r="A109" s="569"/>
      <c r="B109" s="590" t="s">
        <v>3573</v>
      </c>
      <c r="C109" s="236">
        <f t="shared" si="3"/>
        <v>0</v>
      </c>
      <c r="D109" s="236">
        <f t="shared" si="4"/>
        <v>43764</v>
      </c>
    </row>
    <row r="110" spans="1:9" ht="25.5" x14ac:dyDescent="0.2">
      <c r="A110" s="569"/>
      <c r="B110" s="590" t="s">
        <v>3574</v>
      </c>
      <c r="C110" s="236">
        <f t="shared" si="3"/>
        <v>78487</v>
      </c>
      <c r="D110" s="236">
        <f t="shared" si="4"/>
        <v>0</v>
      </c>
    </row>
    <row r="111" spans="1:9" ht="25.5" x14ac:dyDescent="0.2">
      <c r="A111" s="569"/>
      <c r="B111" s="590" t="s">
        <v>3575</v>
      </c>
      <c r="C111" s="236">
        <f t="shared" si="3"/>
        <v>0</v>
      </c>
      <c r="D111" s="236">
        <f t="shared" si="4"/>
        <v>0</v>
      </c>
    </row>
    <row r="112" spans="1:9" x14ac:dyDescent="0.2">
      <c r="A112" s="569"/>
      <c r="B112" s="590" t="s">
        <v>3576</v>
      </c>
      <c r="C112" s="236">
        <f t="shared" si="3"/>
        <v>0</v>
      </c>
      <c r="D112" s="236">
        <f t="shared" si="4"/>
        <v>0</v>
      </c>
    </row>
    <row r="113" spans="1:8" ht="38.25" x14ac:dyDescent="0.2">
      <c r="A113" s="569"/>
      <c r="B113" s="590" t="s">
        <v>3577</v>
      </c>
      <c r="C113" s="236">
        <f t="shared" si="3"/>
        <v>0</v>
      </c>
      <c r="D113" s="236">
        <f t="shared" si="4"/>
        <v>74158</v>
      </c>
    </row>
    <row r="114" spans="1:8" x14ac:dyDescent="0.2">
      <c r="A114" s="569"/>
      <c r="B114" s="590" t="s">
        <v>2031</v>
      </c>
      <c r="C114" s="236">
        <f t="shared" si="3"/>
        <v>0</v>
      </c>
      <c r="D114" s="236">
        <f t="shared" si="4"/>
        <v>950950</v>
      </c>
    </row>
    <row r="115" spans="1:8" x14ac:dyDescent="0.2">
      <c r="A115" s="569"/>
      <c r="B115" s="590"/>
      <c r="C115" s="236"/>
      <c r="D115" s="236"/>
    </row>
    <row r="116" spans="1:8" x14ac:dyDescent="0.2">
      <c r="A116" s="569"/>
      <c r="B116" s="24"/>
      <c r="C116" s="570"/>
      <c r="D116" s="570"/>
    </row>
    <row r="117" spans="1:8" ht="13.5" thickBot="1" x14ac:dyDescent="0.25">
      <c r="A117" s="569"/>
      <c r="B117" s="24"/>
      <c r="C117" s="574">
        <f>SUM(C94:C116)</f>
        <v>3266851</v>
      </c>
      <c r="D117" s="574">
        <f>SUM(D94:D116)</f>
        <v>3266851</v>
      </c>
    </row>
    <row r="118" spans="1:8" ht="13.5" thickTop="1" x14ac:dyDescent="0.2">
      <c r="A118" s="569"/>
      <c r="B118" s="24"/>
      <c r="C118" s="570"/>
      <c r="D118" s="570"/>
    </row>
    <row r="119" spans="1:8" x14ac:dyDescent="0.2">
      <c r="A119" s="569"/>
      <c r="B119" s="1256" t="s">
        <v>2071</v>
      </c>
      <c r="C119" s="1256"/>
      <c r="D119" s="1256"/>
      <c r="E119" s="1256"/>
      <c r="F119" s="1256"/>
      <c r="G119" s="1256"/>
      <c r="H119" s="1256"/>
    </row>
    <row r="120" spans="1:8" x14ac:dyDescent="0.2">
      <c r="A120" s="569"/>
      <c r="B120" s="1256"/>
      <c r="C120" s="1256"/>
      <c r="D120" s="1256"/>
      <c r="E120" s="1256"/>
      <c r="F120" s="1256"/>
      <c r="G120" s="1256"/>
      <c r="H120" s="1256"/>
    </row>
    <row r="121" spans="1:8" ht="18" x14ac:dyDescent="0.25">
      <c r="A121" s="569"/>
      <c r="B121" s="592"/>
      <c r="C121" s="592"/>
      <c r="D121" s="592"/>
      <c r="E121" s="592"/>
      <c r="F121" s="592"/>
      <c r="G121" s="592"/>
      <c r="H121" s="591"/>
    </row>
    <row r="122" spans="1:8" ht="18" x14ac:dyDescent="0.2">
      <c r="A122" s="569"/>
      <c r="B122" s="592"/>
      <c r="C122" s="593"/>
      <c r="D122" s="595"/>
      <c r="E122" s="596"/>
      <c r="F122" s="592"/>
      <c r="G122" s="1118" t="s">
        <v>902</v>
      </c>
      <c r="H122" s="1119"/>
    </row>
    <row r="123" spans="1:8" x14ac:dyDescent="0.2">
      <c r="A123" s="569"/>
      <c r="B123" s="24"/>
      <c r="C123" s="627"/>
      <c r="D123" s="628"/>
      <c r="E123" s="213"/>
      <c r="G123" s="171"/>
      <c r="H123" s="172"/>
    </row>
    <row r="124" spans="1:8" x14ac:dyDescent="0.2">
      <c r="A124" s="569"/>
      <c r="B124" s="24"/>
      <c r="C124" s="594" t="s">
        <v>509</v>
      </c>
      <c r="D124" s="122" t="s">
        <v>510</v>
      </c>
      <c r="E124" s="214" t="s">
        <v>2070</v>
      </c>
      <c r="G124" s="50" t="s">
        <v>509</v>
      </c>
      <c r="H124" s="51" t="s">
        <v>510</v>
      </c>
    </row>
    <row r="125" spans="1:8" ht="12.75" customHeight="1" x14ac:dyDescent="0.2">
      <c r="A125" s="569"/>
      <c r="B125" s="590" t="s">
        <v>1092</v>
      </c>
      <c r="C125" s="674">
        <v>0</v>
      </c>
      <c r="D125" s="629">
        <v>0</v>
      </c>
      <c r="E125" s="597">
        <f>C125-D125</f>
        <v>0</v>
      </c>
      <c r="G125" s="87">
        <f t="shared" ref="G125:G145" si="5">IF(E125&lt;0,0,E125)</f>
        <v>0</v>
      </c>
      <c r="H125" s="599">
        <f t="shared" ref="H125:H145" si="6">IF(E125&gt;0,0,E125*-1)</f>
        <v>0</v>
      </c>
    </row>
    <row r="126" spans="1:8" ht="12.75" customHeight="1" x14ac:dyDescent="0.2">
      <c r="A126" s="569"/>
      <c r="B126" s="590" t="s">
        <v>2097</v>
      </c>
      <c r="C126" s="631">
        <v>0</v>
      </c>
      <c r="D126" s="630">
        <v>0</v>
      </c>
      <c r="E126" s="597">
        <f t="shared" ref="E126:E145" si="7">C126-D126</f>
        <v>0</v>
      </c>
      <c r="G126" s="87">
        <f t="shared" si="5"/>
        <v>0</v>
      </c>
      <c r="H126" s="599">
        <f>IF(E126&gt;0,0,E126*-1)</f>
        <v>0</v>
      </c>
    </row>
    <row r="127" spans="1:8" x14ac:dyDescent="0.2">
      <c r="A127" s="569"/>
      <c r="B127" s="590" t="s">
        <v>2028</v>
      </c>
      <c r="C127" s="631">
        <f>(D45+D46)*C75</f>
        <v>3857799</v>
      </c>
      <c r="D127" s="630">
        <f>(E45+E46)*C75</f>
        <v>5933607</v>
      </c>
      <c r="E127" s="597">
        <f t="shared" si="7"/>
        <v>-2075808</v>
      </c>
      <c r="G127" s="87">
        <f t="shared" si="5"/>
        <v>0</v>
      </c>
      <c r="H127" s="599">
        <f>IF(E127&gt;0,0,E127*-1)</f>
        <v>2075808</v>
      </c>
    </row>
    <row r="128" spans="1:8" x14ac:dyDescent="0.2">
      <c r="A128" s="569"/>
      <c r="B128" s="590" t="s">
        <v>2063</v>
      </c>
      <c r="C128" s="631">
        <f t="shared" ref="C128:C136" si="8">($D$47+$D$65+$D$66)*C80</f>
        <v>1658726</v>
      </c>
      <c r="D128" s="630">
        <f t="shared" ref="D128:D136" si="9">($E$47+$E$65+$E$66)*C80</f>
        <v>187134</v>
      </c>
      <c r="E128" s="597">
        <f t="shared" si="7"/>
        <v>1471592</v>
      </c>
      <c r="G128" s="87">
        <f>IF(E128&lt;0,0,E128)-E146</f>
        <v>1471592</v>
      </c>
      <c r="H128" s="599">
        <f t="shared" si="6"/>
        <v>0</v>
      </c>
    </row>
    <row r="129" spans="2:10" x14ac:dyDescent="0.2">
      <c r="B129" s="590" t="s">
        <v>2064</v>
      </c>
      <c r="C129" s="631">
        <f t="shared" si="8"/>
        <v>0</v>
      </c>
      <c r="D129" s="630">
        <f t="shared" si="9"/>
        <v>0</v>
      </c>
      <c r="E129" s="597">
        <f t="shared" si="7"/>
        <v>0</v>
      </c>
      <c r="G129" s="87">
        <f t="shared" si="5"/>
        <v>0</v>
      </c>
      <c r="H129" s="599">
        <f t="shared" si="6"/>
        <v>0</v>
      </c>
    </row>
    <row r="130" spans="2:10" x14ac:dyDescent="0.2">
      <c r="B130" s="590" t="s">
        <v>2065</v>
      </c>
      <c r="C130" s="631">
        <f t="shared" si="8"/>
        <v>0</v>
      </c>
      <c r="D130" s="630">
        <f t="shared" si="9"/>
        <v>0</v>
      </c>
      <c r="E130" s="597">
        <f t="shared" si="7"/>
        <v>0</v>
      </c>
      <c r="G130" s="87">
        <f t="shared" si="5"/>
        <v>0</v>
      </c>
      <c r="H130" s="599">
        <f t="shared" si="6"/>
        <v>0</v>
      </c>
    </row>
    <row r="131" spans="2:10" x14ac:dyDescent="0.2">
      <c r="B131" s="590" t="s">
        <v>2066</v>
      </c>
      <c r="C131" s="631">
        <f t="shared" si="8"/>
        <v>0</v>
      </c>
      <c r="D131" s="630">
        <f t="shared" si="9"/>
        <v>0</v>
      </c>
      <c r="E131" s="597">
        <f t="shared" si="7"/>
        <v>0</v>
      </c>
      <c r="G131" s="87">
        <f t="shared" si="5"/>
        <v>0</v>
      </c>
      <c r="H131" s="599">
        <f t="shared" si="6"/>
        <v>0</v>
      </c>
    </row>
    <row r="132" spans="2:10" x14ac:dyDescent="0.2">
      <c r="B132" s="590" t="s">
        <v>2067</v>
      </c>
      <c r="C132" s="631">
        <f t="shared" si="8"/>
        <v>0</v>
      </c>
      <c r="D132" s="630">
        <f t="shared" si="9"/>
        <v>0</v>
      </c>
      <c r="E132" s="597">
        <f t="shared" si="7"/>
        <v>0</v>
      </c>
      <c r="G132" s="87">
        <f t="shared" si="5"/>
        <v>0</v>
      </c>
      <c r="H132" s="599">
        <f t="shared" si="6"/>
        <v>0</v>
      </c>
    </row>
    <row r="133" spans="2:10" x14ac:dyDescent="0.2">
      <c r="B133" s="590" t="s">
        <v>3585</v>
      </c>
      <c r="C133" s="631">
        <f t="shared" si="8"/>
        <v>0</v>
      </c>
      <c r="D133" s="630">
        <f t="shared" si="9"/>
        <v>0</v>
      </c>
      <c r="E133" s="597">
        <f t="shared" si="7"/>
        <v>0</v>
      </c>
      <c r="G133" s="87">
        <f>IF(E133&lt;0,0,E133)</f>
        <v>0</v>
      </c>
      <c r="H133" s="599">
        <f>IF(E133&gt;0,0,E133*-1)</f>
        <v>0</v>
      </c>
    </row>
    <row r="134" spans="2:10" x14ac:dyDescent="0.2">
      <c r="B134" s="590" t="s">
        <v>2068</v>
      </c>
      <c r="C134" s="631">
        <f t="shared" si="8"/>
        <v>0</v>
      </c>
      <c r="D134" s="630">
        <f t="shared" si="9"/>
        <v>0</v>
      </c>
      <c r="E134" s="597">
        <f t="shared" si="7"/>
        <v>0</v>
      </c>
      <c r="G134" s="87">
        <f>IF(E134&lt;0,0,E134)</f>
        <v>0</v>
      </c>
      <c r="H134" s="599">
        <f>IF(E134&gt;0,0,E134*-1)</f>
        <v>0</v>
      </c>
    </row>
    <row r="135" spans="2:10" x14ac:dyDescent="0.2">
      <c r="B135" s="590" t="s">
        <v>3586</v>
      </c>
      <c r="C135" s="631">
        <f t="shared" si="8"/>
        <v>0</v>
      </c>
      <c r="D135" s="630">
        <f t="shared" si="9"/>
        <v>0</v>
      </c>
      <c r="E135" s="597">
        <f t="shared" si="7"/>
        <v>0</v>
      </c>
      <c r="G135" s="87">
        <f>IF(E135&lt;0,0,E135)</f>
        <v>0</v>
      </c>
      <c r="H135" s="599">
        <f>IF(E135&gt;0,0,E135*-1)</f>
        <v>0</v>
      </c>
    </row>
    <row r="136" spans="2:10" x14ac:dyDescent="0.2">
      <c r="B136" s="590" t="s">
        <v>2069</v>
      </c>
      <c r="C136" s="631">
        <f t="shared" si="8"/>
        <v>0</v>
      </c>
      <c r="D136" s="630">
        <f t="shared" si="9"/>
        <v>0</v>
      </c>
      <c r="E136" s="597">
        <f t="shared" si="7"/>
        <v>0</v>
      </c>
      <c r="G136" s="87">
        <f>IF(E136&lt;0,0,E136)</f>
        <v>0</v>
      </c>
      <c r="H136" s="599">
        <f>IF(E136&gt;0,0,E136*-1)</f>
        <v>0</v>
      </c>
    </row>
    <row r="137" spans="2:10" ht="25.5" x14ac:dyDescent="0.2">
      <c r="B137" s="590" t="s">
        <v>3571</v>
      </c>
      <c r="C137" s="631">
        <f>(D48+D56)*C75</f>
        <v>915414</v>
      </c>
      <c r="D137" s="630">
        <f>(E48+E56)*C75</f>
        <v>222245</v>
      </c>
      <c r="E137" s="597">
        <f t="shared" si="7"/>
        <v>693169</v>
      </c>
      <c r="G137" s="87">
        <f t="shared" si="5"/>
        <v>693169</v>
      </c>
      <c r="H137" s="599">
        <f t="shared" si="6"/>
        <v>0</v>
      </c>
      <c r="J137" s="5">
        <f>+G137+G139+G141</f>
        <v>1795259</v>
      </c>
    </row>
    <row r="138" spans="2:10" ht="25.5" x14ac:dyDescent="0.2">
      <c r="B138" s="590" t="s">
        <v>2098</v>
      </c>
      <c r="C138" s="631">
        <f>(D49+D57)*C75</f>
        <v>814507</v>
      </c>
      <c r="D138" s="630">
        <f>(E49+E57)*C75</f>
        <v>936678</v>
      </c>
      <c r="E138" s="597">
        <f t="shared" si="7"/>
        <v>-122171</v>
      </c>
      <c r="G138" s="87">
        <f t="shared" si="5"/>
        <v>0</v>
      </c>
      <c r="H138" s="599">
        <f t="shared" si="6"/>
        <v>122171</v>
      </c>
      <c r="J138" s="5">
        <f>+H138+H140+H144</f>
        <v>240093</v>
      </c>
    </row>
    <row r="139" spans="2:10" x14ac:dyDescent="0.2">
      <c r="B139" s="590" t="s">
        <v>3572</v>
      </c>
      <c r="C139" s="631">
        <f>(D50+D58)*C75</f>
        <v>1574550</v>
      </c>
      <c r="D139" s="630">
        <f>(E50+E58)*C75</f>
        <v>550947</v>
      </c>
      <c r="E139" s="597">
        <f t="shared" si="7"/>
        <v>1023603</v>
      </c>
      <c r="G139" s="87">
        <f t="shared" si="5"/>
        <v>1023603</v>
      </c>
      <c r="H139" s="599">
        <f t="shared" si="6"/>
        <v>0</v>
      </c>
      <c r="J139" s="5">
        <f>+J137-J138</f>
        <v>1555166</v>
      </c>
    </row>
    <row r="140" spans="2:10" ht="38.25" x14ac:dyDescent="0.2">
      <c r="B140" s="590" t="s">
        <v>3573</v>
      </c>
      <c r="C140" s="631">
        <f>(D51+D59)*C75</f>
        <v>80513</v>
      </c>
      <c r="D140" s="630">
        <f>(E51+E59)*C75</f>
        <v>124277</v>
      </c>
      <c r="E140" s="597">
        <f t="shared" si="7"/>
        <v>-43764</v>
      </c>
      <c r="G140" s="87">
        <f t="shared" si="5"/>
        <v>0</v>
      </c>
      <c r="H140" s="599">
        <f t="shared" si="6"/>
        <v>43764</v>
      </c>
    </row>
    <row r="141" spans="2:10" ht="25.5" x14ac:dyDescent="0.2">
      <c r="B141" s="590" t="s">
        <v>3574</v>
      </c>
      <c r="C141" s="631">
        <f>(D52+D60)*C75</f>
        <v>109203</v>
      </c>
      <c r="D141" s="630">
        <f>(E52+E60)*C75</f>
        <v>30716</v>
      </c>
      <c r="E141" s="597">
        <f t="shared" si="7"/>
        <v>78487</v>
      </c>
      <c r="G141" s="87">
        <f t="shared" si="5"/>
        <v>78487</v>
      </c>
      <c r="H141" s="599">
        <f t="shared" si="6"/>
        <v>0</v>
      </c>
    </row>
    <row r="142" spans="2:10" ht="25.5" x14ac:dyDescent="0.2">
      <c r="B142" s="590" t="s">
        <v>3575</v>
      </c>
      <c r="C142" s="631">
        <f>(D53+D61)*C75</f>
        <v>0</v>
      </c>
      <c r="D142" s="630">
        <f>(E53+E61)*C75</f>
        <v>0</v>
      </c>
      <c r="E142" s="597">
        <f t="shared" si="7"/>
        <v>0</v>
      </c>
      <c r="G142" s="87">
        <f t="shared" si="5"/>
        <v>0</v>
      </c>
      <c r="H142" s="599">
        <f t="shared" si="6"/>
        <v>0</v>
      </c>
    </row>
    <row r="143" spans="2:10" x14ac:dyDescent="0.2">
      <c r="B143" s="590" t="s">
        <v>3576</v>
      </c>
      <c r="C143" s="631">
        <f>(D54+D62)*C75</f>
        <v>0</v>
      </c>
      <c r="D143" s="630">
        <f>(E54+E62)*C75</f>
        <v>0</v>
      </c>
      <c r="E143" s="597">
        <f t="shared" si="7"/>
        <v>0</v>
      </c>
      <c r="G143" s="87">
        <f t="shared" si="5"/>
        <v>0</v>
      </c>
      <c r="H143" s="599">
        <f t="shared" si="6"/>
        <v>0</v>
      </c>
    </row>
    <row r="144" spans="2:10" ht="38.25" x14ac:dyDescent="0.2">
      <c r="B144" s="590" t="s">
        <v>3577</v>
      </c>
      <c r="C144" s="631">
        <f>(D55+D63)*C75</f>
        <v>30255</v>
      </c>
      <c r="D144" s="630">
        <f>(E55+E63)*C75</f>
        <v>104413</v>
      </c>
      <c r="E144" s="597">
        <f t="shared" si="7"/>
        <v>-74158</v>
      </c>
      <c r="G144" s="87">
        <f t="shared" si="5"/>
        <v>0</v>
      </c>
      <c r="H144" s="599">
        <f t="shared" si="6"/>
        <v>74158</v>
      </c>
    </row>
    <row r="145" spans="2:9" x14ac:dyDescent="0.2">
      <c r="B145" s="590" t="s">
        <v>2031</v>
      </c>
      <c r="C145" s="631">
        <f>D64*C75</f>
        <v>0</v>
      </c>
      <c r="D145" s="630">
        <f>E64*C75</f>
        <v>950950</v>
      </c>
      <c r="E145" s="597">
        <f t="shared" si="7"/>
        <v>-950950</v>
      </c>
      <c r="G145" s="87">
        <f t="shared" si="5"/>
        <v>0</v>
      </c>
      <c r="H145" s="599">
        <f t="shared" si="6"/>
        <v>950950</v>
      </c>
      <c r="I145" s="632"/>
    </row>
    <row r="146" spans="2:9" x14ac:dyDescent="0.2">
      <c r="C146" s="600">
        <f>SUM(C124:C145)</f>
        <v>9040967</v>
      </c>
      <c r="D146" s="601">
        <f>SUM(D124:D145)</f>
        <v>9040967</v>
      </c>
      <c r="E146" s="598">
        <f>SUM(E124:E145)</f>
        <v>0</v>
      </c>
      <c r="F146" s="8"/>
      <c r="G146" s="600">
        <f>SUM(G124:G145)</f>
        <v>3266851</v>
      </c>
      <c r="H146" s="601">
        <f>SUM(H124:H145)</f>
        <v>3266851</v>
      </c>
      <c r="I146" s="632"/>
    </row>
    <row r="147" spans="2:9" x14ac:dyDescent="0.2">
      <c r="B147" s="590"/>
      <c r="C147" s="675"/>
      <c r="D147" s="675"/>
      <c r="E147" s="114"/>
      <c r="G147" s="34"/>
      <c r="H147" s="34"/>
      <c r="I147" s="632"/>
    </row>
    <row r="148" spans="2:9" x14ac:dyDescent="0.2">
      <c r="B148" s="590"/>
      <c r="C148" s="675"/>
      <c r="D148" s="675"/>
      <c r="E148" s="114"/>
      <c r="G148" s="34"/>
      <c r="H148" s="34"/>
      <c r="I148" s="632"/>
    </row>
    <row r="149" spans="2:9" x14ac:dyDescent="0.2">
      <c r="B149" s="590"/>
      <c r="C149" s="675"/>
      <c r="D149" s="675"/>
      <c r="E149" s="114"/>
      <c r="G149" s="34"/>
      <c r="H149" s="34"/>
    </row>
    <row r="150" spans="2:9" x14ac:dyDescent="0.2">
      <c r="B150" s="590"/>
      <c r="C150" s="675"/>
      <c r="D150" s="675"/>
      <c r="E150" s="114"/>
      <c r="G150" s="34"/>
      <c r="H150" s="34"/>
    </row>
    <row r="151" spans="2:9" x14ac:dyDescent="0.2">
      <c r="B151" s="590"/>
      <c r="C151" s="675"/>
      <c r="D151" s="675"/>
      <c r="E151" s="114"/>
      <c r="G151" s="34"/>
      <c r="H151" s="34"/>
    </row>
    <row r="152" spans="2:9" x14ac:dyDescent="0.2">
      <c r="B152" s="590"/>
      <c r="C152" s="675"/>
      <c r="D152" s="675"/>
      <c r="E152" s="114"/>
      <c r="G152" s="34"/>
      <c r="H152" s="34"/>
    </row>
    <row r="153" spans="2:9" x14ac:dyDescent="0.2">
      <c r="B153" s="590"/>
      <c r="C153" s="675"/>
      <c r="D153" s="675"/>
      <c r="E153" s="114"/>
      <c r="G153" s="34"/>
      <c r="H153" s="34"/>
    </row>
    <row r="154" spans="2:9" x14ac:dyDescent="0.2">
      <c r="B154" s="590"/>
      <c r="C154" s="675"/>
      <c r="D154" s="675"/>
      <c r="E154" s="114"/>
      <c r="G154" s="34"/>
      <c r="H154" s="34"/>
    </row>
    <row r="155" spans="2:9" x14ac:dyDescent="0.2">
      <c r="B155" s="590"/>
      <c r="C155" s="675"/>
      <c r="D155" s="675"/>
      <c r="E155" s="114"/>
      <c r="G155" s="34"/>
      <c r="H155" s="34"/>
    </row>
    <row r="156" spans="2:9" x14ac:dyDescent="0.2">
      <c r="B156" s="590"/>
      <c r="C156" s="675"/>
      <c r="D156" s="675"/>
      <c r="E156" s="114"/>
      <c r="G156" s="34"/>
      <c r="H156" s="34"/>
    </row>
    <row r="157" spans="2:9" x14ac:dyDescent="0.2">
      <c r="B157" s="590"/>
      <c r="C157" s="675"/>
      <c r="D157" s="675"/>
      <c r="E157" s="114"/>
      <c r="G157" s="34"/>
      <c r="H157" s="34"/>
    </row>
    <row r="158" spans="2:9" x14ac:dyDescent="0.2">
      <c r="B158" s="590"/>
      <c r="C158" s="675"/>
      <c r="D158" s="675"/>
      <c r="E158" s="114"/>
      <c r="G158" s="34"/>
      <c r="H158" s="34"/>
    </row>
    <row r="159" spans="2:9" x14ac:dyDescent="0.2">
      <c r="C159" s="5"/>
      <c r="D159" s="5"/>
      <c r="E159" s="114"/>
      <c r="G159" s="5"/>
      <c r="H159" s="5"/>
    </row>
  </sheetData>
  <customSheetViews>
    <customSheetView guid="{D2B860EA-92EC-4999-9A59-C624E1F8C7FB}" scale="80" fitToPage="1" hiddenRows="1" topLeftCell="A28">
      <selection activeCell="K144" sqref="K144"/>
      <pageMargins left="0.7" right="0.7" top="0.75" bottom="0.75" header="0.3" footer="0.3"/>
      <pageSetup scale="51" fitToWidth="2" fitToHeight="11" orientation="landscape" r:id="rId1"/>
    </customSheetView>
    <customSheetView guid="{C1197650-3ED8-49E4-8E4C-0D1D4B503FC0}" scale="80" fitToPage="1" hiddenRows="1" topLeftCell="A28">
      <selection activeCell="K144" sqref="K144"/>
      <pageMargins left="0.7" right="0.7" top="0.75" bottom="0.75" header="0.3" footer="0.3"/>
      <pageSetup scale="51" fitToWidth="2" fitToHeight="11" orientation="landscape" r:id="rId2"/>
    </customSheetView>
  </customSheetViews>
  <mergeCells count="6">
    <mergeCell ref="G122:H122"/>
    <mergeCell ref="A2:C2"/>
    <mergeCell ref="A5:C5"/>
    <mergeCell ref="B72:I72"/>
    <mergeCell ref="B74:E74"/>
    <mergeCell ref="B119:H120"/>
  </mergeCells>
  <conditionalFormatting sqref="B46:E67">
    <cfRule type="expression" dxfId="9" priority="1">
      <formula>#REF!=2</formula>
    </cfRule>
  </conditionalFormatting>
  <pageMargins left="0.7" right="0.7" top="0.75" bottom="0.75" header="0.3" footer="0.3"/>
  <pageSetup scale="51" fitToWidth="2" fitToHeight="11" orientation="landscape"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100-000000000000}">
          <x14:formula1>
            <xm:f>'N.1a LGERS Data PY'!$B$911:$B$1813</xm:f>
          </x14:formula1>
          <xm:sqref>C15 C13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0EB41-F6A0-4C78-9F8C-315E057233D4}">
  <dimension ref="A1:U1813"/>
  <sheetViews>
    <sheetView workbookViewId="0"/>
  </sheetViews>
  <sheetFormatPr defaultColWidth="9.140625" defaultRowHeight="15" x14ac:dyDescent="0.25"/>
  <cols>
    <col min="1" max="1" width="10.5703125" style="774" customWidth="1"/>
    <col min="2" max="2" width="43.7109375" style="774" customWidth="1"/>
    <col min="3" max="4" width="13.85546875" style="774" customWidth="1"/>
    <col min="5" max="5" width="13.85546875" style="814" customWidth="1"/>
    <col min="6" max="6" width="15.42578125" style="799" bestFit="1" customWidth="1"/>
    <col min="7" max="7" width="18.28515625" style="774" customWidth="1"/>
    <col min="8" max="8" width="3.85546875" style="774" customWidth="1"/>
    <col min="9" max="9" width="18.28515625" style="774" customWidth="1"/>
    <col min="10" max="10" width="20" style="775" customWidth="1"/>
    <col min="11" max="11" width="14.42578125" style="774" customWidth="1"/>
    <col min="12" max="12" width="19.42578125" style="774" customWidth="1"/>
    <col min="13" max="13" width="3.85546875" style="774" customWidth="1"/>
    <col min="14" max="15" width="18.28515625" style="774" customWidth="1"/>
    <col min="16" max="16" width="11.85546875" style="774" customWidth="1"/>
    <col min="17" max="17" width="19.42578125" style="774" customWidth="1"/>
    <col min="18" max="18" width="3.85546875" style="774" customWidth="1"/>
    <col min="19" max="19" width="13.85546875" style="774" customWidth="1"/>
    <col min="20" max="20" width="22.42578125" style="774" customWidth="1"/>
    <col min="21" max="21" width="14.85546875" style="774" bestFit="1" customWidth="1"/>
    <col min="22" max="16384" width="9.140625" style="774"/>
  </cols>
  <sheetData>
    <row r="1" spans="1:21" x14ac:dyDescent="0.25">
      <c r="A1" s="774" t="s">
        <v>4076</v>
      </c>
      <c r="J1" s="774"/>
    </row>
    <row r="2" spans="1:21" x14ac:dyDescent="0.25">
      <c r="A2" s="774" t="s">
        <v>3658</v>
      </c>
      <c r="J2" s="774"/>
    </row>
    <row r="3" spans="1:21" x14ac:dyDescent="0.25">
      <c r="C3">
        <v>3</v>
      </c>
      <c r="D3">
        <v>4</v>
      </c>
      <c r="E3">
        <v>5</v>
      </c>
      <c r="F3">
        <v>6</v>
      </c>
      <c r="G3">
        <v>7</v>
      </c>
      <c r="H3">
        <v>8</v>
      </c>
      <c r="I3">
        <v>9</v>
      </c>
      <c r="J3">
        <v>10</v>
      </c>
      <c r="K3">
        <v>11</v>
      </c>
      <c r="L3">
        <v>12</v>
      </c>
      <c r="M3">
        <v>13</v>
      </c>
      <c r="N3">
        <v>14</v>
      </c>
      <c r="O3">
        <v>15</v>
      </c>
      <c r="P3">
        <v>16</v>
      </c>
      <c r="Q3">
        <v>17</v>
      </c>
      <c r="R3">
        <v>18</v>
      </c>
      <c r="S3">
        <v>19</v>
      </c>
      <c r="T3">
        <v>20</v>
      </c>
      <c r="U3">
        <v>21</v>
      </c>
    </row>
    <row r="4" spans="1:21" x14ac:dyDescent="0.25">
      <c r="I4" s="776" t="s">
        <v>1144</v>
      </c>
      <c r="J4" s="776"/>
      <c r="K4" s="776"/>
      <c r="L4" s="776"/>
      <c r="N4" s="776" t="s">
        <v>1145</v>
      </c>
      <c r="O4" s="776"/>
      <c r="P4" s="776"/>
      <c r="Q4" s="776"/>
      <c r="S4" s="776" t="s">
        <v>1146</v>
      </c>
      <c r="T4" s="776"/>
      <c r="U4" s="776"/>
    </row>
    <row r="5" spans="1:21" ht="120" x14ac:dyDescent="0.25">
      <c r="A5" s="778" t="s">
        <v>1147</v>
      </c>
      <c r="B5" s="778" t="s">
        <v>1148</v>
      </c>
      <c r="C5" s="778" t="s">
        <v>2087</v>
      </c>
      <c r="D5" s="778" t="s">
        <v>2088</v>
      </c>
      <c r="E5" s="815" t="s">
        <v>3951</v>
      </c>
      <c r="F5" s="644" t="s">
        <v>2626</v>
      </c>
      <c r="G5" s="644" t="s">
        <v>1149</v>
      </c>
      <c r="H5" s="778"/>
      <c r="I5" s="778" t="s">
        <v>1150</v>
      </c>
      <c r="J5" s="779" t="s">
        <v>1151</v>
      </c>
      <c r="K5" s="778" t="s">
        <v>1152</v>
      </c>
      <c r="L5" s="778" t="s">
        <v>1153</v>
      </c>
      <c r="M5" s="778"/>
      <c r="N5" s="778" t="s">
        <v>1150</v>
      </c>
      <c r="O5" s="563" t="s">
        <v>1151</v>
      </c>
      <c r="P5" s="778" t="s">
        <v>1152</v>
      </c>
      <c r="Q5" s="778" t="s">
        <v>1153</v>
      </c>
      <c r="R5" s="778"/>
      <c r="S5" s="778" t="s">
        <v>1154</v>
      </c>
      <c r="T5" s="778" t="s">
        <v>1155</v>
      </c>
      <c r="U5" s="778" t="s">
        <v>1156</v>
      </c>
    </row>
    <row r="6" spans="1:21" x14ac:dyDescent="0.25">
      <c r="A6" s="780" t="s">
        <v>822</v>
      </c>
      <c r="B6" s="781" t="s">
        <v>2086</v>
      </c>
      <c r="C6" s="778"/>
      <c r="D6" s="778"/>
      <c r="E6" s="815">
        <v>0</v>
      </c>
      <c r="F6" s="800"/>
      <c r="G6" s="778"/>
      <c r="H6" s="778"/>
      <c r="I6" s="778"/>
      <c r="J6" s="779"/>
      <c r="K6" s="778"/>
      <c r="L6" s="778"/>
      <c r="M6" s="778"/>
      <c r="N6" s="778"/>
      <c r="O6" s="778"/>
      <c r="P6" s="778"/>
      <c r="Q6" s="778"/>
      <c r="R6" s="778"/>
      <c r="S6" s="778"/>
      <c r="T6" s="778"/>
      <c r="U6" s="778"/>
    </row>
    <row r="7" spans="1:21" x14ac:dyDescent="0.25">
      <c r="A7" s="782">
        <v>70505</v>
      </c>
      <c r="B7" s="783" t="s">
        <v>2627</v>
      </c>
      <c r="C7" s="784">
        <v>4.147E-4</v>
      </c>
      <c r="D7" s="784">
        <v>4.6880000000000001E-4</v>
      </c>
      <c r="E7" s="815">
        <v>195765</v>
      </c>
      <c r="F7" s="818">
        <v>994951</v>
      </c>
      <c r="G7" s="785">
        <v>633547</v>
      </c>
      <c r="H7" s="785"/>
      <c r="I7" s="786">
        <v>36498</v>
      </c>
      <c r="J7" s="787">
        <v>153826</v>
      </c>
      <c r="K7" s="786">
        <v>90479</v>
      </c>
      <c r="L7" s="785">
        <v>0</v>
      </c>
      <c r="M7" s="785"/>
      <c r="N7" s="786">
        <v>17934</v>
      </c>
      <c r="O7" s="786">
        <v>0</v>
      </c>
      <c r="P7" s="786">
        <v>0</v>
      </c>
      <c r="Q7" s="785">
        <v>53472</v>
      </c>
      <c r="R7" s="785"/>
      <c r="S7" s="786">
        <v>213506</v>
      </c>
      <c r="T7" s="788">
        <v>-18259</v>
      </c>
      <c r="U7" s="788">
        <v>195247</v>
      </c>
    </row>
    <row r="8" spans="1:21" x14ac:dyDescent="0.25">
      <c r="A8" s="782">
        <v>72265</v>
      </c>
      <c r="B8" s="783" t="s">
        <v>2629</v>
      </c>
      <c r="C8" s="784">
        <v>1.4009999999999999E-4</v>
      </c>
      <c r="D8" s="784">
        <v>1.327E-4</v>
      </c>
      <c r="E8" s="815">
        <v>61817</v>
      </c>
      <c r="F8" s="818">
        <v>281634</v>
      </c>
      <c r="G8" s="785">
        <v>214034</v>
      </c>
      <c r="H8" s="785"/>
      <c r="I8" s="786">
        <v>12330</v>
      </c>
      <c r="J8" s="787">
        <v>51967</v>
      </c>
      <c r="K8" s="786">
        <v>30567</v>
      </c>
      <c r="L8" s="785">
        <v>6550</v>
      </c>
      <c r="M8" s="785"/>
      <c r="N8" s="786">
        <v>6059</v>
      </c>
      <c r="O8" s="786">
        <v>0</v>
      </c>
      <c r="P8" s="786">
        <v>0</v>
      </c>
      <c r="Q8" s="785">
        <v>3729</v>
      </c>
      <c r="R8" s="785"/>
      <c r="S8" s="786">
        <v>72130</v>
      </c>
      <c r="T8" s="788">
        <v>3031</v>
      </c>
      <c r="U8" s="788">
        <v>75161</v>
      </c>
    </row>
    <row r="9" spans="1:21" x14ac:dyDescent="0.25">
      <c r="A9" s="782">
        <v>72593</v>
      </c>
      <c r="B9" s="783" t="s">
        <v>3661</v>
      </c>
      <c r="C9" s="784">
        <v>5.9000000000000003E-6</v>
      </c>
      <c r="D9" s="784">
        <v>0</v>
      </c>
      <c r="E9" s="815">
        <v>1531</v>
      </c>
      <c r="F9" s="818">
        <v>0</v>
      </c>
      <c r="G9" s="785">
        <v>9014</v>
      </c>
      <c r="H9" s="785"/>
      <c r="I9" s="786">
        <v>519</v>
      </c>
      <c r="J9" s="787">
        <v>2188</v>
      </c>
      <c r="K9" s="786">
        <v>1287</v>
      </c>
      <c r="L9" s="785">
        <v>3014</v>
      </c>
      <c r="M9" s="785"/>
      <c r="N9" s="786">
        <v>255</v>
      </c>
      <c r="O9" s="786">
        <v>0</v>
      </c>
      <c r="P9" s="786">
        <v>0</v>
      </c>
      <c r="Q9" s="785">
        <v>0</v>
      </c>
      <c r="R9" s="785"/>
      <c r="S9" s="786">
        <v>3038</v>
      </c>
      <c r="T9" s="788">
        <v>753</v>
      </c>
      <c r="U9" s="788">
        <v>3791</v>
      </c>
    </row>
    <row r="10" spans="1:21" x14ac:dyDescent="0.25">
      <c r="A10" s="782">
        <v>72657</v>
      </c>
      <c r="B10" s="783" t="s">
        <v>2630</v>
      </c>
      <c r="C10" s="784">
        <v>3.9900000000000001E-5</v>
      </c>
      <c r="D10" s="784">
        <v>4.2799999999999997E-5</v>
      </c>
      <c r="E10" s="815">
        <v>16620</v>
      </c>
      <c r="F10" s="818">
        <v>90836</v>
      </c>
      <c r="G10" s="785">
        <v>60956</v>
      </c>
      <c r="H10" s="785"/>
      <c r="I10" s="786">
        <v>3512</v>
      </c>
      <c r="J10" s="787">
        <v>14801</v>
      </c>
      <c r="K10" s="786">
        <v>8705</v>
      </c>
      <c r="L10" s="785">
        <v>3272</v>
      </c>
      <c r="M10" s="785"/>
      <c r="N10" s="786">
        <v>1725</v>
      </c>
      <c r="O10" s="786">
        <v>0</v>
      </c>
      <c r="P10" s="786">
        <v>0</v>
      </c>
      <c r="Q10" s="785">
        <v>6366</v>
      </c>
      <c r="R10" s="785"/>
      <c r="S10" s="786">
        <v>20542</v>
      </c>
      <c r="T10" s="788">
        <v>900</v>
      </c>
      <c r="U10" s="788">
        <v>21442</v>
      </c>
    </row>
    <row r="11" spans="1:21" x14ac:dyDescent="0.25">
      <c r="A11" s="782">
        <v>90001</v>
      </c>
      <c r="B11" s="783" t="s">
        <v>2631</v>
      </c>
      <c r="C11" s="784">
        <v>8.6030000000000004E-4</v>
      </c>
      <c r="D11" s="784">
        <v>8.6910000000000004E-4</v>
      </c>
      <c r="E11" s="815">
        <v>386652</v>
      </c>
      <c r="F11" s="818">
        <v>1844521</v>
      </c>
      <c r="G11" s="785">
        <v>1314300</v>
      </c>
      <c r="H11" s="785"/>
      <c r="I11" s="786">
        <v>75716</v>
      </c>
      <c r="J11" s="787">
        <v>319114</v>
      </c>
      <c r="K11" s="786">
        <v>187700</v>
      </c>
      <c r="L11" s="785">
        <v>11972</v>
      </c>
      <c r="M11" s="785"/>
      <c r="N11" s="786">
        <v>37204</v>
      </c>
      <c r="O11" s="786">
        <v>0</v>
      </c>
      <c r="P11" s="786">
        <v>0</v>
      </c>
      <c r="Q11" s="785">
        <v>15474</v>
      </c>
      <c r="R11" s="785"/>
      <c r="S11" s="786">
        <v>442920</v>
      </c>
      <c r="T11" s="788">
        <v>891</v>
      </c>
      <c r="U11" s="788">
        <f>443812-1</f>
        <v>443811</v>
      </c>
    </row>
    <row r="12" spans="1:21" x14ac:dyDescent="0.25">
      <c r="A12" s="782">
        <v>90002</v>
      </c>
      <c r="B12" s="783" t="s">
        <v>2632</v>
      </c>
      <c r="C12" s="784">
        <v>1.06E-5</v>
      </c>
      <c r="D12" s="784">
        <v>1.15E-5</v>
      </c>
      <c r="E12" s="815">
        <v>6253</v>
      </c>
      <c r="F12" s="818">
        <v>24407</v>
      </c>
      <c r="G12" s="785">
        <v>16194</v>
      </c>
      <c r="H12" s="785"/>
      <c r="I12" s="786">
        <v>933</v>
      </c>
      <c r="J12" s="787">
        <v>3932</v>
      </c>
      <c r="K12" s="786">
        <v>2313</v>
      </c>
      <c r="L12" s="785">
        <v>1497</v>
      </c>
      <c r="M12" s="785"/>
      <c r="N12" s="786">
        <v>458</v>
      </c>
      <c r="O12" s="786">
        <v>0</v>
      </c>
      <c r="P12" s="786">
        <v>0</v>
      </c>
      <c r="Q12" s="785">
        <v>0</v>
      </c>
      <c r="R12" s="785"/>
      <c r="S12" s="786">
        <v>5457</v>
      </c>
      <c r="T12" s="788">
        <v>563</v>
      </c>
      <c r="U12" s="788">
        <v>6020</v>
      </c>
    </row>
    <row r="13" spans="1:21" x14ac:dyDescent="0.25">
      <c r="A13" s="782">
        <v>90011</v>
      </c>
      <c r="B13" s="783" t="s">
        <v>2633</v>
      </c>
      <c r="C13" s="784">
        <v>1.974E-4</v>
      </c>
      <c r="D13" s="784">
        <v>2.0819999999999999E-4</v>
      </c>
      <c r="E13" s="815">
        <v>84205</v>
      </c>
      <c r="F13" s="818">
        <v>441870</v>
      </c>
      <c r="G13" s="785">
        <v>301573</v>
      </c>
      <c r="H13" s="785"/>
      <c r="I13" s="786">
        <v>17373</v>
      </c>
      <c r="J13" s="787">
        <v>73222</v>
      </c>
      <c r="K13" s="786">
        <v>43069</v>
      </c>
      <c r="L13" s="785">
        <v>2300</v>
      </c>
      <c r="M13" s="785"/>
      <c r="N13" s="786">
        <v>8537</v>
      </c>
      <c r="O13" s="786">
        <v>0</v>
      </c>
      <c r="P13" s="786">
        <v>0</v>
      </c>
      <c r="Q13" s="785">
        <v>30094</v>
      </c>
      <c r="R13" s="785"/>
      <c r="S13" s="786">
        <v>101630</v>
      </c>
      <c r="T13" s="788">
        <v>-7615</v>
      </c>
      <c r="U13" s="788">
        <v>94015</v>
      </c>
    </row>
    <row r="14" spans="1:21" x14ac:dyDescent="0.25">
      <c r="A14" s="782">
        <v>90092</v>
      </c>
      <c r="B14" s="783" t="s">
        <v>2634</v>
      </c>
      <c r="C14" s="784">
        <v>3.5349999999999997E-4</v>
      </c>
      <c r="D14" s="784">
        <v>3.946E-4</v>
      </c>
      <c r="E14" s="815">
        <v>186641</v>
      </c>
      <c r="F14" s="818">
        <v>837473</v>
      </c>
      <c r="G14" s="785">
        <v>540050</v>
      </c>
      <c r="H14" s="785"/>
      <c r="I14" s="786">
        <v>31112</v>
      </c>
      <c r="J14" s="787">
        <v>131125</v>
      </c>
      <c r="K14" s="786">
        <v>77127</v>
      </c>
      <c r="L14" s="785">
        <v>0</v>
      </c>
      <c r="M14" s="785"/>
      <c r="N14" s="786">
        <v>15287</v>
      </c>
      <c r="O14" s="786">
        <v>0</v>
      </c>
      <c r="P14" s="786">
        <v>0</v>
      </c>
      <c r="Q14" s="785">
        <v>83168</v>
      </c>
      <c r="R14" s="785"/>
      <c r="S14" s="786">
        <v>181997</v>
      </c>
      <c r="T14" s="788">
        <v>-42793</v>
      </c>
      <c r="U14" s="788">
        <f>139205-1</f>
        <v>139204</v>
      </c>
    </row>
    <row r="15" spans="1:21" x14ac:dyDescent="0.25">
      <c r="A15" s="782">
        <v>90096</v>
      </c>
      <c r="B15" s="783" t="s">
        <v>2635</v>
      </c>
      <c r="C15" s="784">
        <v>9.7559999999999997E-4</v>
      </c>
      <c r="D15" s="784">
        <v>1.3860999999999999E-3</v>
      </c>
      <c r="E15" s="815">
        <v>535127</v>
      </c>
      <c r="F15" s="818">
        <v>2941769</v>
      </c>
      <c r="G15" s="785">
        <v>1490447</v>
      </c>
      <c r="H15" s="785"/>
      <c r="I15" s="786">
        <v>85864</v>
      </c>
      <c r="J15" s="787">
        <v>361882</v>
      </c>
      <c r="K15" s="786">
        <v>212856</v>
      </c>
      <c r="L15" s="785">
        <v>43597</v>
      </c>
      <c r="M15" s="785"/>
      <c r="N15" s="786">
        <v>42190</v>
      </c>
      <c r="O15" s="786">
        <v>0</v>
      </c>
      <c r="P15" s="786">
        <v>0</v>
      </c>
      <c r="Q15" s="785">
        <v>238564</v>
      </c>
      <c r="R15" s="785"/>
      <c r="S15" s="786">
        <v>502282</v>
      </c>
      <c r="T15" s="788">
        <v>-27538</v>
      </c>
      <c r="U15" s="788">
        <v>474744</v>
      </c>
    </row>
    <row r="16" spans="1:21" x14ac:dyDescent="0.25">
      <c r="A16" s="782">
        <v>90098</v>
      </c>
      <c r="B16" s="783" t="s">
        <v>2636</v>
      </c>
      <c r="C16" s="784">
        <v>2.9599999999999998E-4</v>
      </c>
      <c r="D16" s="784">
        <v>2.9280000000000002E-4</v>
      </c>
      <c r="E16" s="815">
        <v>140184</v>
      </c>
      <c r="F16" s="818">
        <v>621420</v>
      </c>
      <c r="G16" s="785">
        <v>452206</v>
      </c>
      <c r="H16" s="785"/>
      <c r="I16" s="786">
        <v>26051</v>
      </c>
      <c r="J16" s="787">
        <v>109796</v>
      </c>
      <c r="K16" s="786">
        <v>64581</v>
      </c>
      <c r="L16" s="785">
        <v>5581</v>
      </c>
      <c r="M16" s="785"/>
      <c r="N16" s="786">
        <v>12801</v>
      </c>
      <c r="O16" s="786">
        <v>0</v>
      </c>
      <c r="P16" s="786">
        <v>0</v>
      </c>
      <c r="Q16" s="785">
        <v>110893</v>
      </c>
      <c r="R16" s="785"/>
      <c r="S16" s="786">
        <v>152394</v>
      </c>
      <c r="T16" s="788">
        <v>-51374</v>
      </c>
      <c r="U16" s="788">
        <v>101020</v>
      </c>
    </row>
    <row r="17" spans="1:21" x14ac:dyDescent="0.25">
      <c r="A17" s="782">
        <v>90099</v>
      </c>
      <c r="B17" s="783" t="s">
        <v>2637</v>
      </c>
      <c r="C17" s="784">
        <v>6.6330000000000002E-4</v>
      </c>
      <c r="D17" s="784">
        <v>4.9330000000000001E-4</v>
      </c>
      <c r="E17" s="815">
        <v>271208</v>
      </c>
      <c r="F17" s="818">
        <v>1046948</v>
      </c>
      <c r="G17" s="785">
        <v>1013339</v>
      </c>
      <c r="H17" s="785"/>
      <c r="I17" s="786">
        <v>58378</v>
      </c>
      <c r="J17" s="787">
        <v>246040</v>
      </c>
      <c r="K17" s="786">
        <v>144719</v>
      </c>
      <c r="L17" s="785">
        <v>89744</v>
      </c>
      <c r="M17" s="785"/>
      <c r="N17" s="786">
        <v>28684</v>
      </c>
      <c r="O17" s="786">
        <v>0</v>
      </c>
      <c r="P17" s="786">
        <v>0</v>
      </c>
      <c r="Q17" s="785">
        <v>44006</v>
      </c>
      <c r="R17" s="785"/>
      <c r="S17" s="786">
        <v>341496</v>
      </c>
      <c r="T17" s="788">
        <v>7780</v>
      </c>
      <c r="U17" s="788">
        <v>349276</v>
      </c>
    </row>
    <row r="18" spans="1:21" x14ac:dyDescent="0.25">
      <c r="A18" s="782">
        <v>90101</v>
      </c>
      <c r="B18" s="783" t="s">
        <v>2638</v>
      </c>
      <c r="C18" s="784">
        <v>6.6312000000000003E-3</v>
      </c>
      <c r="D18" s="784">
        <v>6.3996000000000001E-3</v>
      </c>
      <c r="E18" s="815">
        <v>2960721</v>
      </c>
      <c r="F18" s="818">
        <v>13582095</v>
      </c>
      <c r="G18" s="785">
        <v>10130637</v>
      </c>
      <c r="H18" s="785"/>
      <c r="I18" s="786">
        <v>583619</v>
      </c>
      <c r="J18" s="787">
        <v>2459731</v>
      </c>
      <c r="K18" s="786">
        <v>1446795</v>
      </c>
      <c r="L18" s="785">
        <v>245836</v>
      </c>
      <c r="M18" s="785"/>
      <c r="N18" s="786">
        <v>286766</v>
      </c>
      <c r="O18" s="786">
        <v>0</v>
      </c>
      <c r="P18" s="786">
        <v>0</v>
      </c>
      <c r="Q18" s="785">
        <v>25616</v>
      </c>
      <c r="R18" s="785"/>
      <c r="S18" s="786">
        <v>3414034</v>
      </c>
      <c r="T18" s="788">
        <v>67895</v>
      </c>
      <c r="U18" s="788">
        <f>3481928+1</f>
        <v>3481929</v>
      </c>
    </row>
    <row r="19" spans="1:21" x14ac:dyDescent="0.25">
      <c r="A19" s="782">
        <v>90111</v>
      </c>
      <c r="B19" s="783" t="s">
        <v>2639</v>
      </c>
      <c r="C19" s="784">
        <v>4.9740000000000001E-3</v>
      </c>
      <c r="D19" s="784">
        <v>4.8874000000000001E-3</v>
      </c>
      <c r="E19" s="815">
        <v>2229766</v>
      </c>
      <c r="F19" s="818">
        <v>10372700</v>
      </c>
      <c r="G19" s="785">
        <v>7598894</v>
      </c>
      <c r="H19" s="785"/>
      <c r="I19" s="786">
        <v>437767</v>
      </c>
      <c r="J19" s="787">
        <v>1845021</v>
      </c>
      <c r="K19" s="786">
        <v>1085227</v>
      </c>
      <c r="L19" s="785">
        <v>15088</v>
      </c>
      <c r="M19" s="785"/>
      <c r="N19" s="786">
        <v>215101</v>
      </c>
      <c r="O19" s="786">
        <v>0</v>
      </c>
      <c r="P19" s="786">
        <v>0</v>
      </c>
      <c r="Q19" s="785">
        <v>106602</v>
      </c>
      <c r="R19" s="785"/>
      <c r="S19" s="786">
        <v>2560834</v>
      </c>
      <c r="T19" s="788">
        <v>-53609</v>
      </c>
      <c r="U19" s="788">
        <v>2507225</v>
      </c>
    </row>
    <row r="20" spans="1:21" x14ac:dyDescent="0.25">
      <c r="A20" s="782">
        <v>90114</v>
      </c>
      <c r="B20" s="783" t="s">
        <v>2640</v>
      </c>
      <c r="C20" s="784">
        <v>1.0919E-3</v>
      </c>
      <c r="D20" s="784">
        <v>1.0681E-3</v>
      </c>
      <c r="E20" s="815">
        <v>1108464</v>
      </c>
      <c r="F20" s="818">
        <v>2266866</v>
      </c>
      <c r="G20" s="785">
        <v>1668121</v>
      </c>
      <c r="H20" s="785"/>
      <c r="I20" s="786">
        <v>96099</v>
      </c>
      <c r="J20" s="787">
        <v>405022</v>
      </c>
      <c r="K20" s="786">
        <v>238231</v>
      </c>
      <c r="L20" s="785">
        <v>1077044</v>
      </c>
      <c r="M20" s="785"/>
      <c r="N20" s="786">
        <v>47219</v>
      </c>
      <c r="O20" s="786">
        <v>0</v>
      </c>
      <c r="P20" s="786">
        <v>0</v>
      </c>
      <c r="Q20" s="785">
        <v>0</v>
      </c>
      <c r="R20" s="785"/>
      <c r="S20" s="786">
        <v>562158</v>
      </c>
      <c r="T20" s="788">
        <v>371192</v>
      </c>
      <c r="U20" s="788">
        <v>933350</v>
      </c>
    </row>
    <row r="21" spans="1:21" x14ac:dyDescent="0.25">
      <c r="A21" s="782">
        <v>90117</v>
      </c>
      <c r="B21" s="783" t="s">
        <v>2641</v>
      </c>
      <c r="C21" s="784">
        <v>1.407E-4</v>
      </c>
      <c r="D21" s="784">
        <v>1.35E-4</v>
      </c>
      <c r="E21" s="815">
        <v>80147</v>
      </c>
      <c r="F21" s="818">
        <v>286515</v>
      </c>
      <c r="G21" s="785">
        <v>214951</v>
      </c>
      <c r="H21" s="785"/>
      <c r="I21" s="786">
        <v>12383</v>
      </c>
      <c r="J21" s="787">
        <v>52190</v>
      </c>
      <c r="K21" s="786">
        <v>30698</v>
      </c>
      <c r="L21" s="785">
        <v>44526</v>
      </c>
      <c r="M21" s="785"/>
      <c r="N21" s="786">
        <v>6085</v>
      </c>
      <c r="O21" s="786">
        <v>0</v>
      </c>
      <c r="P21" s="786">
        <v>0</v>
      </c>
      <c r="Q21" s="785">
        <v>0</v>
      </c>
      <c r="R21" s="785"/>
      <c r="S21" s="786">
        <v>72439</v>
      </c>
      <c r="T21" s="788">
        <v>18359</v>
      </c>
      <c r="U21" s="788">
        <f>90797+1</f>
        <v>90798</v>
      </c>
    </row>
    <row r="22" spans="1:21" x14ac:dyDescent="0.25">
      <c r="A22" s="782">
        <v>90121</v>
      </c>
      <c r="B22" s="783" t="s">
        <v>2642</v>
      </c>
      <c r="C22" s="784">
        <v>1.0991E-3</v>
      </c>
      <c r="D22" s="784">
        <v>1.0789E-3</v>
      </c>
      <c r="E22" s="815">
        <v>452142</v>
      </c>
      <c r="F22" s="818">
        <v>2289787</v>
      </c>
      <c r="G22" s="785">
        <v>1679120</v>
      </c>
      <c r="H22" s="785"/>
      <c r="I22" s="786">
        <v>96733</v>
      </c>
      <c r="J22" s="787">
        <v>407692</v>
      </c>
      <c r="K22" s="786">
        <v>239802</v>
      </c>
      <c r="L22" s="785">
        <v>3244</v>
      </c>
      <c r="M22" s="785"/>
      <c r="N22" s="786">
        <v>47531</v>
      </c>
      <c r="O22" s="786">
        <v>0</v>
      </c>
      <c r="P22" s="786">
        <v>0</v>
      </c>
      <c r="Q22" s="785">
        <v>81552</v>
      </c>
      <c r="R22" s="785"/>
      <c r="S22" s="786">
        <v>565865</v>
      </c>
      <c r="T22" s="788">
        <v>-25049</v>
      </c>
      <c r="U22" s="788">
        <v>540816</v>
      </c>
    </row>
    <row r="23" spans="1:21" x14ac:dyDescent="0.25">
      <c r="A23" s="782">
        <v>90131</v>
      </c>
      <c r="B23" s="783" t="s">
        <v>2643</v>
      </c>
      <c r="C23" s="784">
        <v>4.7639999999999998E-4</v>
      </c>
      <c r="D23" s="784">
        <v>5.0440000000000001E-4</v>
      </c>
      <c r="E23" s="815">
        <v>207243</v>
      </c>
      <c r="F23" s="818">
        <v>1070506</v>
      </c>
      <c r="G23" s="785">
        <v>727807</v>
      </c>
      <c r="H23" s="785"/>
      <c r="I23" s="786">
        <v>41928</v>
      </c>
      <c r="J23" s="787">
        <v>176712</v>
      </c>
      <c r="K23" s="786">
        <v>103941</v>
      </c>
      <c r="L23" s="785">
        <v>0</v>
      </c>
      <c r="M23" s="785"/>
      <c r="N23" s="786">
        <v>20602</v>
      </c>
      <c r="O23" s="786">
        <v>0</v>
      </c>
      <c r="P23" s="786">
        <v>0</v>
      </c>
      <c r="Q23" s="785">
        <v>42066</v>
      </c>
      <c r="R23" s="785"/>
      <c r="S23" s="786">
        <v>245272</v>
      </c>
      <c r="T23" s="788">
        <v>-15937</v>
      </c>
      <c r="U23" s="788">
        <v>229335</v>
      </c>
    </row>
    <row r="24" spans="1:21" x14ac:dyDescent="0.25">
      <c r="A24" s="782">
        <v>90141</v>
      </c>
      <c r="B24" s="783" t="s">
        <v>2644</v>
      </c>
      <c r="C24" s="784">
        <v>1.4779999999999999E-4</v>
      </c>
      <c r="D24" s="784">
        <v>1.306E-4</v>
      </c>
      <c r="E24" s="815">
        <v>62655</v>
      </c>
      <c r="F24" s="818">
        <v>277177</v>
      </c>
      <c r="G24" s="785">
        <v>225797</v>
      </c>
      <c r="H24" s="785"/>
      <c r="I24" s="786">
        <v>13008</v>
      </c>
      <c r="J24" s="787">
        <v>54824</v>
      </c>
      <c r="K24" s="786">
        <v>32247</v>
      </c>
      <c r="L24" s="785">
        <v>8660</v>
      </c>
      <c r="M24" s="785"/>
      <c r="N24" s="786">
        <v>6392</v>
      </c>
      <c r="O24" s="786">
        <v>0</v>
      </c>
      <c r="P24" s="786">
        <v>0</v>
      </c>
      <c r="Q24" s="785">
        <v>10174</v>
      </c>
      <c r="R24" s="785"/>
      <c r="S24" s="786">
        <v>76094</v>
      </c>
      <c r="T24" s="788">
        <v>-857</v>
      </c>
      <c r="U24" s="788">
        <v>75237</v>
      </c>
    </row>
    <row r="25" spans="1:21" x14ac:dyDescent="0.25">
      <c r="A25" s="782">
        <v>90151</v>
      </c>
      <c r="B25" s="783" t="s">
        <v>2645</v>
      </c>
      <c r="C25" s="784">
        <v>9.9000000000000001E-6</v>
      </c>
      <c r="D25" s="784">
        <v>1.0000000000000001E-5</v>
      </c>
      <c r="E25" s="815">
        <v>3085</v>
      </c>
      <c r="F25" s="818">
        <v>21223</v>
      </c>
      <c r="G25" s="785">
        <v>15124</v>
      </c>
      <c r="H25" s="785"/>
      <c r="I25" s="786">
        <v>871</v>
      </c>
      <c r="J25" s="787">
        <v>3672</v>
      </c>
      <c r="K25" s="786">
        <v>2160</v>
      </c>
      <c r="L25" s="785">
        <v>0</v>
      </c>
      <c r="M25" s="785"/>
      <c r="N25" s="786">
        <v>428</v>
      </c>
      <c r="O25" s="786">
        <v>0</v>
      </c>
      <c r="P25" s="786">
        <v>0</v>
      </c>
      <c r="Q25" s="785">
        <v>2719</v>
      </c>
      <c r="R25" s="785"/>
      <c r="S25" s="786">
        <v>5097</v>
      </c>
      <c r="T25" s="788">
        <v>-1090</v>
      </c>
      <c r="U25" s="788">
        <v>4007</v>
      </c>
    </row>
    <row r="26" spans="1:21" x14ac:dyDescent="0.25">
      <c r="A26" s="782">
        <v>90161</v>
      </c>
      <c r="B26" s="783" t="s">
        <v>2646</v>
      </c>
      <c r="C26" s="784">
        <v>3.4199999999999998E-5</v>
      </c>
      <c r="D26" s="784">
        <v>3.4799999999999999E-5</v>
      </c>
      <c r="E26" s="815">
        <v>15627</v>
      </c>
      <c r="F26" s="818">
        <v>73857</v>
      </c>
      <c r="G26" s="785">
        <v>52248</v>
      </c>
      <c r="H26" s="785"/>
      <c r="I26" s="786">
        <v>3010</v>
      </c>
      <c r="J26" s="787">
        <v>12686</v>
      </c>
      <c r="K26" s="786">
        <v>7462</v>
      </c>
      <c r="L26" s="785">
        <v>4022</v>
      </c>
      <c r="M26" s="785"/>
      <c r="N26" s="786">
        <v>1479</v>
      </c>
      <c r="O26" s="786">
        <v>0</v>
      </c>
      <c r="P26" s="786">
        <v>0</v>
      </c>
      <c r="Q26" s="785">
        <v>462</v>
      </c>
      <c r="R26" s="785"/>
      <c r="S26" s="786">
        <v>17608</v>
      </c>
      <c r="T26" s="788">
        <v>1591</v>
      </c>
      <c r="U26" s="788">
        <v>19199</v>
      </c>
    </row>
    <row r="27" spans="1:21" x14ac:dyDescent="0.25">
      <c r="A27" s="782">
        <v>90201</v>
      </c>
      <c r="B27" s="783" t="s">
        <v>2647</v>
      </c>
      <c r="C27" s="784">
        <v>1.2126999999999999E-3</v>
      </c>
      <c r="D27" s="784">
        <v>1.2419E-3</v>
      </c>
      <c r="E27" s="815">
        <v>536124</v>
      </c>
      <c r="F27" s="818">
        <v>2635728</v>
      </c>
      <c r="G27" s="785">
        <v>1852670</v>
      </c>
      <c r="H27" s="785"/>
      <c r="I27" s="786">
        <v>106731</v>
      </c>
      <c r="J27" s="787">
        <v>449830</v>
      </c>
      <c r="K27" s="786">
        <v>264587</v>
      </c>
      <c r="L27" s="785">
        <v>36621</v>
      </c>
      <c r="M27" s="785"/>
      <c r="N27" s="786">
        <v>52443</v>
      </c>
      <c r="O27" s="786">
        <v>0</v>
      </c>
      <c r="P27" s="786">
        <v>0</v>
      </c>
      <c r="Q27" s="785">
        <v>36396</v>
      </c>
      <c r="R27" s="785"/>
      <c r="S27" s="786">
        <v>624351</v>
      </c>
      <c r="T27" s="788">
        <v>24941</v>
      </c>
      <c r="U27" s="788">
        <v>649292</v>
      </c>
    </row>
    <row r="28" spans="1:21" x14ac:dyDescent="0.25">
      <c r="A28" s="782">
        <v>90203</v>
      </c>
      <c r="B28" s="783" t="s">
        <v>2648</v>
      </c>
      <c r="C28" s="784">
        <v>1.994E-4</v>
      </c>
      <c r="D28" s="784">
        <v>2.3680000000000001E-4</v>
      </c>
      <c r="E28" s="815">
        <v>91056</v>
      </c>
      <c r="F28" s="818">
        <v>502569</v>
      </c>
      <c r="G28" s="785">
        <v>304628</v>
      </c>
      <c r="H28" s="785"/>
      <c r="I28" s="786">
        <v>17549</v>
      </c>
      <c r="J28" s="787">
        <v>73964</v>
      </c>
      <c r="K28" s="786">
        <v>43505</v>
      </c>
      <c r="L28" s="785">
        <v>2154</v>
      </c>
      <c r="M28" s="785"/>
      <c r="N28" s="786">
        <v>8623</v>
      </c>
      <c r="O28" s="786">
        <v>0</v>
      </c>
      <c r="P28" s="786">
        <v>0</v>
      </c>
      <c r="Q28" s="785">
        <v>49077</v>
      </c>
      <c r="R28" s="785"/>
      <c r="S28" s="786">
        <v>102660</v>
      </c>
      <c r="T28" s="788">
        <v>-18026</v>
      </c>
      <c r="U28" s="788">
        <v>84634</v>
      </c>
    </row>
    <row r="29" spans="1:21" x14ac:dyDescent="0.25">
      <c r="A29" s="782">
        <v>90205</v>
      </c>
      <c r="B29" s="783" t="s">
        <v>2649</v>
      </c>
      <c r="C29" s="784">
        <v>3.0000000000000001E-5</v>
      </c>
      <c r="D29" s="784">
        <v>3.3599999999999997E-5</v>
      </c>
      <c r="E29" s="815">
        <v>14233</v>
      </c>
      <c r="F29" s="818">
        <v>71310</v>
      </c>
      <c r="G29" s="785">
        <v>45832</v>
      </c>
      <c r="H29" s="785"/>
      <c r="I29" s="786">
        <v>2640</v>
      </c>
      <c r="J29" s="787">
        <v>11128</v>
      </c>
      <c r="K29" s="786">
        <v>6545</v>
      </c>
      <c r="L29" s="785">
        <v>769</v>
      </c>
      <c r="M29" s="785"/>
      <c r="N29" s="786">
        <v>1297</v>
      </c>
      <c r="O29" s="786">
        <v>0</v>
      </c>
      <c r="P29" s="786">
        <v>0</v>
      </c>
      <c r="Q29" s="785">
        <v>2625</v>
      </c>
      <c r="R29" s="785"/>
      <c r="S29" s="786">
        <v>15445</v>
      </c>
      <c r="T29" s="788">
        <v>-105</v>
      </c>
      <c r="U29" s="788">
        <v>15340</v>
      </c>
    </row>
    <row r="30" spans="1:21" x14ac:dyDescent="0.25">
      <c r="A30" s="782">
        <v>90206</v>
      </c>
      <c r="B30" s="783" t="s">
        <v>2650</v>
      </c>
      <c r="C30" s="784">
        <v>4.2069999999999998E-4</v>
      </c>
      <c r="D30" s="784">
        <v>4.347E-4</v>
      </c>
      <c r="E30" s="815">
        <v>184249</v>
      </c>
      <c r="F30" s="818">
        <v>922579</v>
      </c>
      <c r="G30" s="785">
        <v>642713</v>
      </c>
      <c r="H30" s="785"/>
      <c r="I30" s="786">
        <v>37026</v>
      </c>
      <c r="J30" s="787">
        <v>156051</v>
      </c>
      <c r="K30" s="786">
        <v>91788</v>
      </c>
      <c r="L30" s="785">
        <v>8978</v>
      </c>
      <c r="M30" s="785"/>
      <c r="N30" s="786">
        <v>18193</v>
      </c>
      <c r="O30" s="786">
        <v>0</v>
      </c>
      <c r="P30" s="786">
        <v>0</v>
      </c>
      <c r="Q30" s="785">
        <v>25382</v>
      </c>
      <c r="R30" s="785"/>
      <c r="S30" s="786">
        <v>216595</v>
      </c>
      <c r="T30" s="788">
        <v>1315</v>
      </c>
      <c r="U30" s="788">
        <v>217910</v>
      </c>
    </row>
    <row r="31" spans="1:21" x14ac:dyDescent="0.25">
      <c r="A31" s="782">
        <v>90211</v>
      </c>
      <c r="B31" s="783" t="s">
        <v>2651</v>
      </c>
      <c r="C31" s="784">
        <v>1.4799999999999999E-4</v>
      </c>
      <c r="D31" s="784">
        <v>1.5689999999999999E-4</v>
      </c>
      <c r="E31" s="815">
        <v>71260</v>
      </c>
      <c r="F31" s="818">
        <v>332994</v>
      </c>
      <c r="G31" s="785">
        <v>226103</v>
      </c>
      <c r="H31" s="785"/>
      <c r="I31" s="786">
        <v>13026</v>
      </c>
      <c r="J31" s="787">
        <v>54898</v>
      </c>
      <c r="K31" s="786">
        <v>32291</v>
      </c>
      <c r="L31" s="785">
        <v>0</v>
      </c>
      <c r="M31" s="785"/>
      <c r="N31" s="786">
        <v>6400</v>
      </c>
      <c r="O31" s="786">
        <v>0</v>
      </c>
      <c r="P31" s="786">
        <v>0</v>
      </c>
      <c r="Q31" s="785">
        <v>15344</v>
      </c>
      <c r="R31" s="785"/>
      <c r="S31" s="786">
        <v>76197</v>
      </c>
      <c r="T31" s="788">
        <v>-6134</v>
      </c>
      <c r="U31" s="788">
        <v>70063</v>
      </c>
    </row>
    <row r="32" spans="1:21" x14ac:dyDescent="0.25">
      <c r="A32" s="782">
        <v>90301</v>
      </c>
      <c r="B32" s="783" t="s">
        <v>2652</v>
      </c>
      <c r="C32" s="784">
        <v>6.7040000000000003E-4</v>
      </c>
      <c r="D32" s="784">
        <v>6.4000000000000005E-4</v>
      </c>
      <c r="E32" s="815">
        <v>280575</v>
      </c>
      <c r="F32" s="818">
        <v>1358294</v>
      </c>
      <c r="G32" s="785">
        <v>1024185</v>
      </c>
      <c r="H32" s="785"/>
      <c r="I32" s="786">
        <v>59003</v>
      </c>
      <c r="J32" s="787">
        <v>248673</v>
      </c>
      <c r="K32" s="786">
        <v>146268</v>
      </c>
      <c r="L32" s="785">
        <v>4314</v>
      </c>
      <c r="M32" s="785"/>
      <c r="N32" s="786">
        <v>28991</v>
      </c>
      <c r="O32" s="786">
        <v>0</v>
      </c>
      <c r="P32" s="786">
        <v>0</v>
      </c>
      <c r="Q32" s="785">
        <v>13341</v>
      </c>
      <c r="R32" s="785"/>
      <c r="S32" s="786">
        <v>345151</v>
      </c>
      <c r="T32" s="788">
        <v>-5567</v>
      </c>
      <c r="U32" s="788">
        <v>339584</v>
      </c>
    </row>
    <row r="33" spans="1:21" x14ac:dyDescent="0.25">
      <c r="A33" s="782">
        <v>90305</v>
      </c>
      <c r="B33" s="783" t="s">
        <v>2653</v>
      </c>
      <c r="C33" s="784">
        <v>1.617E-4</v>
      </c>
      <c r="D33" s="784">
        <v>1.7009999999999999E-4</v>
      </c>
      <c r="E33" s="815">
        <v>85892</v>
      </c>
      <c r="F33" s="818">
        <v>361009</v>
      </c>
      <c r="G33" s="785">
        <v>247033</v>
      </c>
      <c r="H33" s="785"/>
      <c r="I33" s="786">
        <v>14231</v>
      </c>
      <c r="J33" s="787">
        <v>59980</v>
      </c>
      <c r="K33" s="786">
        <v>35280</v>
      </c>
      <c r="L33" s="785">
        <v>20715</v>
      </c>
      <c r="M33" s="785"/>
      <c r="N33" s="786">
        <v>6993</v>
      </c>
      <c r="O33" s="786">
        <v>0</v>
      </c>
      <c r="P33" s="786">
        <v>0</v>
      </c>
      <c r="Q33" s="785">
        <v>0</v>
      </c>
      <c r="R33" s="785"/>
      <c r="S33" s="786">
        <v>83250</v>
      </c>
      <c r="T33" s="788">
        <v>10025</v>
      </c>
      <c r="U33" s="788">
        <v>93275</v>
      </c>
    </row>
    <row r="34" spans="1:21" x14ac:dyDescent="0.25">
      <c r="A34" s="782">
        <v>90307</v>
      </c>
      <c r="B34" s="783" t="s">
        <v>2654</v>
      </c>
      <c r="C34" s="784">
        <v>7.7999999999999999E-6</v>
      </c>
      <c r="D34" s="784">
        <v>7.7000000000000008E-6</v>
      </c>
      <c r="E34" s="815">
        <v>4130</v>
      </c>
      <c r="F34" s="818">
        <v>16342</v>
      </c>
      <c r="G34" s="785">
        <v>11916</v>
      </c>
      <c r="H34" s="785"/>
      <c r="I34" s="786">
        <v>686</v>
      </c>
      <c r="J34" s="787">
        <v>2893</v>
      </c>
      <c r="K34" s="786">
        <v>1702</v>
      </c>
      <c r="L34" s="785">
        <v>647</v>
      </c>
      <c r="M34" s="785"/>
      <c r="N34" s="786">
        <v>337</v>
      </c>
      <c r="O34" s="786">
        <v>0</v>
      </c>
      <c r="P34" s="786">
        <v>0</v>
      </c>
      <c r="Q34" s="785">
        <v>40</v>
      </c>
      <c r="R34" s="785"/>
      <c r="S34" s="786">
        <v>4016</v>
      </c>
      <c r="T34" s="788">
        <v>160</v>
      </c>
      <c r="U34" s="788">
        <v>4176</v>
      </c>
    </row>
    <row r="35" spans="1:21" x14ac:dyDescent="0.25">
      <c r="A35" s="782">
        <v>90401</v>
      </c>
      <c r="B35" s="783" t="s">
        <v>2655</v>
      </c>
      <c r="C35" s="784">
        <v>1.3270999999999999E-3</v>
      </c>
      <c r="D35" s="784">
        <v>1.3626999999999999E-3</v>
      </c>
      <c r="E35" s="815">
        <v>624955</v>
      </c>
      <c r="F35" s="818">
        <v>2892106</v>
      </c>
      <c r="G35" s="785">
        <v>2027441</v>
      </c>
      <c r="H35" s="785"/>
      <c r="I35" s="786">
        <v>116799</v>
      </c>
      <c r="J35" s="787">
        <v>492266</v>
      </c>
      <c r="K35" s="786">
        <v>289547</v>
      </c>
      <c r="L35" s="785">
        <v>44019</v>
      </c>
      <c r="M35" s="785"/>
      <c r="N35" s="786">
        <v>57390</v>
      </c>
      <c r="O35" s="786">
        <v>0</v>
      </c>
      <c r="P35" s="786">
        <v>0</v>
      </c>
      <c r="Q35" s="785">
        <v>11305</v>
      </c>
      <c r="R35" s="785"/>
      <c r="S35" s="786">
        <v>683249</v>
      </c>
      <c r="T35" s="788">
        <v>23981</v>
      </c>
      <c r="U35" s="788">
        <v>707230</v>
      </c>
    </row>
    <row r="36" spans="1:21" x14ac:dyDescent="0.25">
      <c r="A36" s="782">
        <v>90411</v>
      </c>
      <c r="B36" s="783" t="s">
        <v>2656</v>
      </c>
      <c r="C36" s="784">
        <v>3.5100000000000002E-4</v>
      </c>
      <c r="D36" s="784">
        <v>3.5490000000000001E-4</v>
      </c>
      <c r="E36" s="815">
        <v>152317</v>
      </c>
      <c r="F36" s="818">
        <v>753217</v>
      </c>
      <c r="G36" s="785">
        <v>536231</v>
      </c>
      <c r="H36" s="785"/>
      <c r="I36" s="786">
        <v>30892</v>
      </c>
      <c r="J36" s="787">
        <v>130197</v>
      </c>
      <c r="K36" s="786">
        <v>76581</v>
      </c>
      <c r="L36" s="785">
        <v>0</v>
      </c>
      <c r="M36" s="785"/>
      <c r="N36" s="786">
        <v>15179</v>
      </c>
      <c r="O36" s="786">
        <v>0</v>
      </c>
      <c r="P36" s="786">
        <v>0</v>
      </c>
      <c r="Q36" s="785">
        <v>41985</v>
      </c>
      <c r="R36" s="785"/>
      <c r="S36" s="786">
        <v>180710</v>
      </c>
      <c r="T36" s="788">
        <v>-15971</v>
      </c>
      <c r="U36" s="788">
        <v>164739</v>
      </c>
    </row>
    <row r="37" spans="1:21" x14ac:dyDescent="0.25">
      <c r="A37" s="782">
        <v>90413</v>
      </c>
      <c r="B37" s="783" t="s">
        <v>2657</v>
      </c>
      <c r="C37" s="784">
        <v>3.4600000000000001E-5</v>
      </c>
      <c r="D37" s="784">
        <v>3.7299999999999999E-5</v>
      </c>
      <c r="E37" s="815">
        <v>17002</v>
      </c>
      <c r="F37" s="818">
        <v>79163</v>
      </c>
      <c r="G37" s="785">
        <v>52859</v>
      </c>
      <c r="H37" s="785"/>
      <c r="I37" s="786">
        <v>3045</v>
      </c>
      <c r="J37" s="787">
        <v>12834</v>
      </c>
      <c r="K37" s="786">
        <v>7549</v>
      </c>
      <c r="L37" s="785">
        <v>5923</v>
      </c>
      <c r="M37" s="785"/>
      <c r="N37" s="786">
        <v>1496</v>
      </c>
      <c r="O37" s="786">
        <v>0</v>
      </c>
      <c r="P37" s="786">
        <v>0</v>
      </c>
      <c r="Q37" s="785">
        <v>916</v>
      </c>
      <c r="R37" s="785"/>
      <c r="S37" s="786">
        <v>17814</v>
      </c>
      <c r="T37" s="788">
        <v>3416</v>
      </c>
      <c r="U37" s="788">
        <v>21230</v>
      </c>
    </row>
    <row r="38" spans="1:21" x14ac:dyDescent="0.25">
      <c r="A38" s="782">
        <v>90417</v>
      </c>
      <c r="B38" s="783" t="s">
        <v>2658</v>
      </c>
      <c r="C38" s="784">
        <v>1.17E-5</v>
      </c>
      <c r="D38" s="784">
        <v>1.2099999999999999E-5</v>
      </c>
      <c r="E38" s="815">
        <v>8372</v>
      </c>
      <c r="F38" s="818">
        <v>25680</v>
      </c>
      <c r="G38" s="785">
        <v>17874</v>
      </c>
      <c r="H38" s="785"/>
      <c r="I38" s="786">
        <v>1030</v>
      </c>
      <c r="J38" s="787">
        <v>4340</v>
      </c>
      <c r="K38" s="786">
        <v>2553</v>
      </c>
      <c r="L38" s="785">
        <v>3477</v>
      </c>
      <c r="M38" s="785"/>
      <c r="N38" s="786">
        <v>506</v>
      </c>
      <c r="O38" s="786">
        <v>0</v>
      </c>
      <c r="P38" s="786">
        <v>0</v>
      </c>
      <c r="Q38" s="785">
        <v>0</v>
      </c>
      <c r="R38" s="785"/>
      <c r="S38" s="786">
        <v>6024</v>
      </c>
      <c r="T38" s="788">
        <v>1221</v>
      </c>
      <c r="U38" s="788">
        <f>7244+1</f>
        <v>7245</v>
      </c>
    </row>
    <row r="39" spans="1:21" x14ac:dyDescent="0.25">
      <c r="A39" s="782">
        <v>90421</v>
      </c>
      <c r="B39" s="783" t="s">
        <v>2659</v>
      </c>
      <c r="C39" s="784">
        <v>2.19E-5</v>
      </c>
      <c r="D39" s="784">
        <v>2.3600000000000001E-5</v>
      </c>
      <c r="E39" s="815">
        <v>8534</v>
      </c>
      <c r="F39" s="818">
        <v>50087</v>
      </c>
      <c r="G39" s="785">
        <v>33457</v>
      </c>
      <c r="H39" s="785"/>
      <c r="I39" s="786">
        <v>1927</v>
      </c>
      <c r="J39" s="787">
        <v>8123</v>
      </c>
      <c r="K39" s="786">
        <v>4778</v>
      </c>
      <c r="L39" s="785">
        <v>0</v>
      </c>
      <c r="M39" s="785"/>
      <c r="N39" s="786">
        <v>947</v>
      </c>
      <c r="O39" s="786">
        <v>0</v>
      </c>
      <c r="P39" s="786">
        <v>0</v>
      </c>
      <c r="Q39" s="785">
        <v>4721</v>
      </c>
      <c r="R39" s="785"/>
      <c r="S39" s="786">
        <v>11275</v>
      </c>
      <c r="T39" s="788">
        <v>-1814</v>
      </c>
      <c r="U39" s="788">
        <v>9461</v>
      </c>
    </row>
    <row r="40" spans="1:21" x14ac:dyDescent="0.25">
      <c r="A40" s="782">
        <v>90431</v>
      </c>
      <c r="B40" s="783" t="s">
        <v>2660</v>
      </c>
      <c r="C40" s="784">
        <v>4.8300000000000002E-5</v>
      </c>
      <c r="D40" s="784">
        <v>4.2799999999999997E-5</v>
      </c>
      <c r="E40" s="815">
        <v>21844</v>
      </c>
      <c r="F40" s="818">
        <v>90836</v>
      </c>
      <c r="G40" s="785">
        <v>73789</v>
      </c>
      <c r="H40" s="785"/>
      <c r="I40" s="786">
        <v>4251</v>
      </c>
      <c r="J40" s="787">
        <v>17916</v>
      </c>
      <c r="K40" s="786">
        <v>10538</v>
      </c>
      <c r="L40" s="785">
        <v>8663</v>
      </c>
      <c r="M40" s="785"/>
      <c r="N40" s="786">
        <v>2089</v>
      </c>
      <c r="O40" s="786">
        <v>0</v>
      </c>
      <c r="P40" s="786">
        <v>0</v>
      </c>
      <c r="Q40" s="785">
        <v>1273</v>
      </c>
      <c r="R40" s="785"/>
      <c r="S40" s="786">
        <v>24867</v>
      </c>
      <c r="T40" s="788">
        <v>3649</v>
      </c>
      <c r="U40" s="788">
        <v>28516</v>
      </c>
    </row>
    <row r="41" spans="1:21" x14ac:dyDescent="0.25">
      <c r="A41" s="782">
        <v>90441</v>
      </c>
      <c r="B41" s="783" t="s">
        <v>2661</v>
      </c>
      <c r="C41" s="784">
        <v>8.3999999999999992E-6</v>
      </c>
      <c r="D41" s="784">
        <v>9.3999999999999998E-6</v>
      </c>
      <c r="E41" s="815">
        <v>4910</v>
      </c>
      <c r="F41" s="818">
        <v>19950</v>
      </c>
      <c r="G41" s="785">
        <v>12833</v>
      </c>
      <c r="H41" s="785"/>
      <c r="I41" s="786">
        <v>739</v>
      </c>
      <c r="J41" s="787">
        <v>3115</v>
      </c>
      <c r="K41" s="786">
        <v>1833</v>
      </c>
      <c r="L41" s="785">
        <v>890</v>
      </c>
      <c r="M41" s="785"/>
      <c r="N41" s="786">
        <v>363</v>
      </c>
      <c r="O41" s="786">
        <v>0</v>
      </c>
      <c r="P41" s="786">
        <v>0</v>
      </c>
      <c r="Q41" s="785">
        <v>129</v>
      </c>
      <c r="R41" s="785"/>
      <c r="S41" s="786">
        <v>4325</v>
      </c>
      <c r="T41" s="788">
        <v>621</v>
      </c>
      <c r="U41" s="788">
        <v>4946</v>
      </c>
    </row>
    <row r="42" spans="1:21" x14ac:dyDescent="0.25">
      <c r="A42" s="782">
        <v>90451</v>
      </c>
      <c r="B42" s="783" t="s">
        <v>2662</v>
      </c>
      <c r="C42" s="784">
        <v>1.6699999999999999E-5</v>
      </c>
      <c r="D42" s="784">
        <v>1.7900000000000001E-5</v>
      </c>
      <c r="E42" s="815">
        <v>7776</v>
      </c>
      <c r="F42" s="818">
        <v>37990</v>
      </c>
      <c r="G42" s="785">
        <v>25513</v>
      </c>
      <c r="H42" s="785"/>
      <c r="I42" s="786">
        <v>1470</v>
      </c>
      <c r="J42" s="787">
        <v>6194</v>
      </c>
      <c r="K42" s="786">
        <v>3644</v>
      </c>
      <c r="L42" s="785">
        <v>2202</v>
      </c>
      <c r="M42" s="785"/>
      <c r="N42" s="786">
        <v>722</v>
      </c>
      <c r="O42" s="786">
        <v>0</v>
      </c>
      <c r="P42" s="786">
        <v>0</v>
      </c>
      <c r="Q42" s="785">
        <v>903</v>
      </c>
      <c r="R42" s="785"/>
      <c r="S42" s="786">
        <v>8598</v>
      </c>
      <c r="T42" s="788">
        <v>635</v>
      </c>
      <c r="U42" s="788">
        <f>9232+1</f>
        <v>9233</v>
      </c>
    </row>
    <row r="43" spans="1:21" x14ac:dyDescent="0.25">
      <c r="A43" s="782">
        <v>90461</v>
      </c>
      <c r="B43" s="783" t="s">
        <v>2663</v>
      </c>
      <c r="C43" s="784">
        <v>7.4000000000000003E-6</v>
      </c>
      <c r="D43" s="784">
        <v>1.7200000000000001E-5</v>
      </c>
      <c r="E43" s="815">
        <v>3691</v>
      </c>
      <c r="F43" s="818">
        <v>36504</v>
      </c>
      <c r="G43" s="785">
        <v>11305</v>
      </c>
      <c r="H43" s="785"/>
      <c r="I43" s="786">
        <v>651</v>
      </c>
      <c r="J43" s="787">
        <v>2745</v>
      </c>
      <c r="K43" s="786">
        <v>1615</v>
      </c>
      <c r="L43" s="785">
        <v>3066</v>
      </c>
      <c r="M43" s="785"/>
      <c r="N43" s="786">
        <v>320</v>
      </c>
      <c r="O43" s="786">
        <v>0</v>
      </c>
      <c r="P43" s="786">
        <v>0</v>
      </c>
      <c r="Q43" s="785">
        <v>7660</v>
      </c>
      <c r="R43" s="785"/>
      <c r="S43" s="786">
        <v>3810</v>
      </c>
      <c r="T43" s="788">
        <v>-1001</v>
      </c>
      <c r="U43" s="788">
        <f>2808+1</f>
        <v>2809</v>
      </c>
    </row>
    <row r="44" spans="1:21" x14ac:dyDescent="0.25">
      <c r="A44" s="782">
        <v>90501</v>
      </c>
      <c r="B44" s="783" t="s">
        <v>2664</v>
      </c>
      <c r="C44" s="784">
        <v>1.4176E-3</v>
      </c>
      <c r="D44" s="784">
        <v>1.4001E-3</v>
      </c>
      <c r="E44" s="815">
        <v>670210</v>
      </c>
      <c r="F44" s="818">
        <v>2971481</v>
      </c>
      <c r="G44" s="785">
        <v>2165700</v>
      </c>
      <c r="H44" s="785"/>
      <c r="I44" s="786">
        <v>124764</v>
      </c>
      <c r="J44" s="787">
        <v>525835</v>
      </c>
      <c r="K44" s="786">
        <v>309292</v>
      </c>
      <c r="L44" s="785">
        <v>53925</v>
      </c>
      <c r="M44" s="785"/>
      <c r="N44" s="786">
        <v>61304</v>
      </c>
      <c r="O44" s="786">
        <v>0</v>
      </c>
      <c r="P44" s="786">
        <v>0</v>
      </c>
      <c r="Q44" s="785">
        <v>0</v>
      </c>
      <c r="R44" s="785"/>
      <c r="S44" s="786">
        <v>729843</v>
      </c>
      <c r="T44" s="788">
        <v>27148</v>
      </c>
      <c r="U44" s="788">
        <v>756991</v>
      </c>
    </row>
    <row r="45" spans="1:21" x14ac:dyDescent="0.25">
      <c r="A45" s="782">
        <v>90507</v>
      </c>
      <c r="B45" s="783" t="s">
        <v>1193</v>
      </c>
      <c r="C45" s="784">
        <v>6.6000000000000003E-6</v>
      </c>
      <c r="D45" s="784">
        <v>7.3000000000000004E-6</v>
      </c>
      <c r="E45" s="815">
        <v>10408</v>
      </c>
      <c r="F45" s="818">
        <v>15493</v>
      </c>
      <c r="G45" s="785">
        <v>10083</v>
      </c>
      <c r="H45" s="785"/>
      <c r="I45" s="786">
        <v>581</v>
      </c>
      <c r="J45" s="787">
        <v>2448</v>
      </c>
      <c r="K45" s="786">
        <v>1440</v>
      </c>
      <c r="L45" s="785">
        <v>11545</v>
      </c>
      <c r="M45" s="785"/>
      <c r="N45" s="786">
        <v>285</v>
      </c>
      <c r="O45" s="786">
        <v>0</v>
      </c>
      <c r="P45" s="786">
        <v>0</v>
      </c>
      <c r="Q45" s="785">
        <v>0</v>
      </c>
      <c r="R45" s="785"/>
      <c r="S45" s="786">
        <v>3398</v>
      </c>
      <c r="T45" s="788">
        <v>4117</v>
      </c>
      <c r="U45" s="788">
        <v>7515</v>
      </c>
    </row>
    <row r="46" spans="1:21" x14ac:dyDescent="0.25">
      <c r="A46" s="782">
        <v>90511</v>
      </c>
      <c r="B46" s="783" t="s">
        <v>2665</v>
      </c>
      <c r="C46" s="784">
        <v>8.7000000000000001E-5</v>
      </c>
      <c r="D46" s="784">
        <v>9.5500000000000004E-5</v>
      </c>
      <c r="E46" s="815">
        <v>52403</v>
      </c>
      <c r="F46" s="818">
        <v>202683</v>
      </c>
      <c r="G46" s="785">
        <v>132912</v>
      </c>
      <c r="H46" s="785"/>
      <c r="I46" s="786">
        <v>7657</v>
      </c>
      <c r="J46" s="787">
        <v>32271</v>
      </c>
      <c r="K46" s="786">
        <v>18982</v>
      </c>
      <c r="L46" s="785">
        <v>14433</v>
      </c>
      <c r="M46" s="785"/>
      <c r="N46" s="786">
        <v>3762</v>
      </c>
      <c r="O46" s="786">
        <v>0</v>
      </c>
      <c r="P46" s="786">
        <v>0</v>
      </c>
      <c r="Q46" s="785">
        <v>0</v>
      </c>
      <c r="R46" s="785"/>
      <c r="S46" s="786">
        <v>44791</v>
      </c>
      <c r="T46" s="788">
        <v>6485</v>
      </c>
      <c r="U46" s="788">
        <f>51277-1</f>
        <v>51276</v>
      </c>
    </row>
    <row r="47" spans="1:21" x14ac:dyDescent="0.25">
      <c r="A47" s="782">
        <v>90521</v>
      </c>
      <c r="B47" s="783" t="s">
        <v>2666</v>
      </c>
      <c r="C47" s="784">
        <v>1.3880000000000001E-4</v>
      </c>
      <c r="D47" s="784">
        <v>1.395E-4</v>
      </c>
      <c r="E47" s="815">
        <v>56198</v>
      </c>
      <c r="F47" s="818">
        <v>296066</v>
      </c>
      <c r="G47" s="785">
        <v>212048</v>
      </c>
      <c r="H47" s="785"/>
      <c r="I47" s="786">
        <v>12216</v>
      </c>
      <c r="J47" s="787">
        <v>51485</v>
      </c>
      <c r="K47" s="786">
        <v>30283</v>
      </c>
      <c r="L47" s="785">
        <v>0</v>
      </c>
      <c r="M47" s="785"/>
      <c r="N47" s="786">
        <v>6002</v>
      </c>
      <c r="O47" s="786">
        <v>0</v>
      </c>
      <c r="P47" s="786">
        <v>0</v>
      </c>
      <c r="Q47" s="785">
        <v>18446</v>
      </c>
      <c r="R47" s="785"/>
      <c r="S47" s="786">
        <v>71460</v>
      </c>
      <c r="T47" s="788">
        <v>-7131</v>
      </c>
      <c r="U47" s="788">
        <v>64329</v>
      </c>
    </row>
    <row r="48" spans="1:21" x14ac:dyDescent="0.25">
      <c r="A48" s="782">
        <v>90601</v>
      </c>
      <c r="B48" s="783" t="s">
        <v>2667</v>
      </c>
      <c r="C48" s="784">
        <v>1.1888000000000001E-3</v>
      </c>
      <c r="D48" s="784">
        <v>1.1785999999999999E-3</v>
      </c>
      <c r="E48" s="815">
        <v>540985</v>
      </c>
      <c r="F48" s="818">
        <v>2501384</v>
      </c>
      <c r="G48" s="785">
        <v>1816157</v>
      </c>
      <c r="H48" s="785"/>
      <c r="I48" s="786">
        <v>104627</v>
      </c>
      <c r="J48" s="787">
        <v>440965</v>
      </c>
      <c r="K48" s="786">
        <v>259372</v>
      </c>
      <c r="L48" s="785">
        <v>20795</v>
      </c>
      <c r="M48" s="785"/>
      <c r="N48" s="786">
        <v>51410</v>
      </c>
      <c r="O48" s="786">
        <v>0</v>
      </c>
      <c r="P48" s="786">
        <v>0</v>
      </c>
      <c r="Q48" s="785">
        <v>19784</v>
      </c>
      <c r="R48" s="785"/>
      <c r="S48" s="786">
        <v>612047</v>
      </c>
      <c r="T48" s="788">
        <v>8359</v>
      </c>
      <c r="U48" s="788">
        <v>620406</v>
      </c>
    </row>
    <row r="49" spans="1:21" x14ac:dyDescent="0.25">
      <c r="A49" s="782">
        <v>90602</v>
      </c>
      <c r="B49" s="783" t="s">
        <v>2099</v>
      </c>
      <c r="C49" s="784">
        <v>6.3899999999999995E-5</v>
      </c>
      <c r="D49" s="784">
        <v>6.3299999999999994E-5</v>
      </c>
      <c r="E49" s="815">
        <v>34828</v>
      </c>
      <c r="F49" s="818">
        <v>134344</v>
      </c>
      <c r="G49" s="785">
        <v>97621</v>
      </c>
      <c r="H49" s="785"/>
      <c r="I49" s="786">
        <v>5624</v>
      </c>
      <c r="J49" s="787">
        <v>23703</v>
      </c>
      <c r="K49" s="786">
        <v>13942</v>
      </c>
      <c r="L49" s="785">
        <v>38810</v>
      </c>
      <c r="M49" s="785"/>
      <c r="N49" s="786">
        <v>2763</v>
      </c>
      <c r="O49" s="786">
        <v>0</v>
      </c>
      <c r="P49" s="786">
        <v>0</v>
      </c>
      <c r="Q49" s="785">
        <v>0</v>
      </c>
      <c r="R49" s="785"/>
      <c r="S49" s="786">
        <v>32899</v>
      </c>
      <c r="T49" s="788">
        <v>14161</v>
      </c>
      <c r="U49" s="788">
        <f>47059+1</f>
        <v>47060</v>
      </c>
    </row>
    <row r="50" spans="1:21" x14ac:dyDescent="0.25">
      <c r="A50" s="782">
        <v>90605</v>
      </c>
      <c r="B50" s="783" t="s">
        <v>2668</v>
      </c>
      <c r="C50" s="784">
        <v>4.1999999999999998E-5</v>
      </c>
      <c r="D50" s="784">
        <v>3.8399999999999998E-5</v>
      </c>
      <c r="E50" s="815">
        <v>25461</v>
      </c>
      <c r="F50" s="818">
        <v>81498</v>
      </c>
      <c r="G50" s="785">
        <v>64164</v>
      </c>
      <c r="H50" s="785"/>
      <c r="I50" s="786">
        <v>3696</v>
      </c>
      <c r="J50" s="787">
        <v>15579</v>
      </c>
      <c r="K50" s="786">
        <v>9164</v>
      </c>
      <c r="L50" s="785">
        <v>15425</v>
      </c>
      <c r="M50" s="785"/>
      <c r="N50" s="786">
        <v>1816</v>
      </c>
      <c r="O50" s="786">
        <v>0</v>
      </c>
      <c r="P50" s="786">
        <v>0</v>
      </c>
      <c r="Q50" s="785">
        <v>0</v>
      </c>
      <c r="R50" s="785"/>
      <c r="S50" s="786">
        <v>21623</v>
      </c>
      <c r="T50" s="788">
        <v>5623</v>
      </c>
      <c r="U50" s="788">
        <f>27247-1</f>
        <v>27246</v>
      </c>
    </row>
    <row r="51" spans="1:21" x14ac:dyDescent="0.25">
      <c r="A51" s="782">
        <v>90611</v>
      </c>
      <c r="B51" s="783" t="s">
        <v>2669</v>
      </c>
      <c r="C51" s="784">
        <v>1.4880000000000001E-4</v>
      </c>
      <c r="D51" s="784">
        <v>1.5669999999999999E-4</v>
      </c>
      <c r="E51" s="815">
        <v>64371</v>
      </c>
      <c r="F51" s="818">
        <v>332570</v>
      </c>
      <c r="G51" s="785">
        <v>227325</v>
      </c>
      <c r="H51" s="785"/>
      <c r="I51" s="786">
        <v>13096</v>
      </c>
      <c r="J51" s="787">
        <v>55195</v>
      </c>
      <c r="K51" s="786">
        <v>32465</v>
      </c>
      <c r="L51" s="785">
        <v>2524</v>
      </c>
      <c r="M51" s="785"/>
      <c r="N51" s="786">
        <v>6435</v>
      </c>
      <c r="O51" s="786">
        <v>0</v>
      </c>
      <c r="P51" s="786">
        <v>0</v>
      </c>
      <c r="Q51" s="785">
        <v>18006</v>
      </c>
      <c r="R51" s="785"/>
      <c r="S51" s="786">
        <v>76609</v>
      </c>
      <c r="T51" s="788">
        <v>-3082</v>
      </c>
      <c r="U51" s="788">
        <v>73527</v>
      </c>
    </row>
    <row r="52" spans="1:21" x14ac:dyDescent="0.25">
      <c r="A52" s="782">
        <v>90617</v>
      </c>
      <c r="B52" s="783" t="s">
        <v>2670</v>
      </c>
      <c r="C52" s="784">
        <v>2.5999999999999998E-5</v>
      </c>
      <c r="D52" s="784">
        <v>2.6800000000000001E-5</v>
      </c>
      <c r="E52" s="815">
        <v>15821</v>
      </c>
      <c r="F52" s="818">
        <v>56879</v>
      </c>
      <c r="G52" s="785">
        <v>39721</v>
      </c>
      <c r="H52" s="785"/>
      <c r="I52" s="786">
        <v>2288</v>
      </c>
      <c r="J52" s="787">
        <v>9644</v>
      </c>
      <c r="K52" s="786">
        <v>5673</v>
      </c>
      <c r="L52" s="785">
        <v>7632</v>
      </c>
      <c r="M52" s="785"/>
      <c r="N52" s="786">
        <v>1124</v>
      </c>
      <c r="O52" s="786">
        <v>0</v>
      </c>
      <c r="P52" s="786">
        <v>0</v>
      </c>
      <c r="Q52" s="785">
        <v>0</v>
      </c>
      <c r="R52" s="785"/>
      <c r="S52" s="786">
        <v>13386</v>
      </c>
      <c r="T52" s="788">
        <v>4087</v>
      </c>
      <c r="U52" s="788">
        <v>17473</v>
      </c>
    </row>
    <row r="53" spans="1:21" x14ac:dyDescent="0.25">
      <c r="A53" s="782">
        <v>90621</v>
      </c>
      <c r="B53" s="783" t="s">
        <v>2671</v>
      </c>
      <c r="C53" s="784">
        <v>6.3999999999999997E-5</v>
      </c>
      <c r="D53" s="784">
        <v>8.2100000000000003E-5</v>
      </c>
      <c r="E53" s="815">
        <v>27532</v>
      </c>
      <c r="F53" s="818">
        <v>174244</v>
      </c>
      <c r="G53" s="785">
        <v>97774</v>
      </c>
      <c r="H53" s="785"/>
      <c r="I53" s="786">
        <v>5633</v>
      </c>
      <c r="J53" s="787">
        <v>23740</v>
      </c>
      <c r="K53" s="786">
        <v>13964</v>
      </c>
      <c r="L53" s="785">
        <v>588</v>
      </c>
      <c r="M53" s="785"/>
      <c r="N53" s="786">
        <v>2768</v>
      </c>
      <c r="O53" s="786">
        <v>0</v>
      </c>
      <c r="P53" s="786">
        <v>0</v>
      </c>
      <c r="Q53" s="785">
        <v>19000</v>
      </c>
      <c r="R53" s="785"/>
      <c r="S53" s="786">
        <v>32950</v>
      </c>
      <c r="T53" s="788">
        <v>-5337</v>
      </c>
      <c r="U53" s="788">
        <v>27613</v>
      </c>
    </row>
    <row r="54" spans="1:21" x14ac:dyDescent="0.25">
      <c r="A54" s="782">
        <v>90631</v>
      </c>
      <c r="B54" s="783" t="s">
        <v>2672</v>
      </c>
      <c r="C54" s="784">
        <v>3.9560000000000002E-4</v>
      </c>
      <c r="D54" s="784">
        <v>3.8000000000000002E-4</v>
      </c>
      <c r="E54" s="815">
        <v>175402</v>
      </c>
      <c r="F54" s="818">
        <v>806487</v>
      </c>
      <c r="G54" s="785">
        <v>604367</v>
      </c>
      <c r="H54" s="785"/>
      <c r="I54" s="786">
        <v>34817</v>
      </c>
      <c r="J54" s="787">
        <v>146742</v>
      </c>
      <c r="K54" s="786">
        <v>86312</v>
      </c>
      <c r="L54" s="785">
        <v>17764</v>
      </c>
      <c r="M54" s="785"/>
      <c r="N54" s="786">
        <v>17108</v>
      </c>
      <c r="O54" s="786">
        <v>0</v>
      </c>
      <c r="P54" s="786">
        <v>0</v>
      </c>
      <c r="Q54" s="785">
        <v>8233</v>
      </c>
      <c r="R54" s="785"/>
      <c r="S54" s="786">
        <v>203672</v>
      </c>
      <c r="T54" s="788">
        <v>-484</v>
      </c>
      <c r="U54" s="788">
        <f>203189-1</f>
        <v>203188</v>
      </c>
    </row>
    <row r="55" spans="1:21" x14ac:dyDescent="0.25">
      <c r="A55" s="782">
        <v>90641</v>
      </c>
      <c r="B55" s="783" t="s">
        <v>2673</v>
      </c>
      <c r="C55" s="784">
        <v>1.38E-5</v>
      </c>
      <c r="D55" s="784">
        <v>1.4399999999999999E-5</v>
      </c>
      <c r="E55" s="815">
        <v>6944</v>
      </c>
      <c r="F55" s="818">
        <v>30562</v>
      </c>
      <c r="G55" s="785">
        <v>21083</v>
      </c>
      <c r="H55" s="785"/>
      <c r="I55" s="786">
        <v>1215</v>
      </c>
      <c r="J55" s="787">
        <v>5118</v>
      </c>
      <c r="K55" s="786">
        <v>3011</v>
      </c>
      <c r="L55" s="785">
        <v>304</v>
      </c>
      <c r="M55" s="785"/>
      <c r="N55" s="786">
        <v>597</v>
      </c>
      <c r="O55" s="786">
        <v>0</v>
      </c>
      <c r="P55" s="786">
        <v>0</v>
      </c>
      <c r="Q55" s="785">
        <v>517</v>
      </c>
      <c r="R55" s="785"/>
      <c r="S55" s="786">
        <v>7105</v>
      </c>
      <c r="T55" s="788">
        <v>-123</v>
      </c>
      <c r="U55" s="788">
        <v>6982</v>
      </c>
    </row>
    <row r="56" spans="1:21" x14ac:dyDescent="0.25">
      <c r="A56" s="782">
        <v>90651</v>
      </c>
      <c r="B56" s="783" t="s">
        <v>2674</v>
      </c>
      <c r="C56" s="784">
        <v>1E-4</v>
      </c>
      <c r="D56" s="784">
        <v>1.108E-4</v>
      </c>
      <c r="E56" s="815">
        <v>98054</v>
      </c>
      <c r="F56" s="818">
        <v>235155</v>
      </c>
      <c r="G56" s="785">
        <v>152772</v>
      </c>
      <c r="H56" s="785"/>
      <c r="I56" s="786">
        <v>8801</v>
      </c>
      <c r="J56" s="787">
        <v>37093</v>
      </c>
      <c r="K56" s="786">
        <v>21818</v>
      </c>
      <c r="L56" s="785">
        <v>85885</v>
      </c>
      <c r="M56" s="785"/>
      <c r="N56" s="786">
        <v>4325</v>
      </c>
      <c r="O56" s="786">
        <v>0</v>
      </c>
      <c r="P56" s="786">
        <v>0</v>
      </c>
      <c r="Q56" s="785">
        <v>4659</v>
      </c>
      <c r="R56" s="785"/>
      <c r="S56" s="786">
        <v>51484</v>
      </c>
      <c r="T56" s="788">
        <v>25671</v>
      </c>
      <c r="U56" s="788">
        <f>77156-1</f>
        <v>77155</v>
      </c>
    </row>
    <row r="57" spans="1:21" x14ac:dyDescent="0.25">
      <c r="A57" s="782">
        <v>90701</v>
      </c>
      <c r="B57" s="783" t="s">
        <v>3662</v>
      </c>
      <c r="C57" s="784">
        <v>2.6581E-3</v>
      </c>
      <c r="D57" s="784">
        <v>2.3587E-3</v>
      </c>
      <c r="E57" s="815">
        <v>1110621</v>
      </c>
      <c r="F57" s="818">
        <v>0</v>
      </c>
      <c r="G57" s="785">
        <v>4060841</v>
      </c>
      <c r="H57" s="785"/>
      <c r="I57" s="786">
        <v>233942</v>
      </c>
      <c r="J57" s="787">
        <v>985977</v>
      </c>
      <c r="K57" s="786">
        <v>579944</v>
      </c>
      <c r="L57" s="785">
        <v>130818</v>
      </c>
      <c r="M57" s="785"/>
      <c r="N57" s="786">
        <v>114950</v>
      </c>
      <c r="O57" s="786">
        <v>0</v>
      </c>
      <c r="P57" s="786">
        <v>0</v>
      </c>
      <c r="Q57" s="785">
        <v>31847</v>
      </c>
      <c r="R57" s="785"/>
      <c r="S57" s="786">
        <v>1368507</v>
      </c>
      <c r="T57" s="788">
        <v>33872</v>
      </c>
      <c r="U57" s="788">
        <v>1402379</v>
      </c>
    </row>
    <row r="58" spans="1:21" x14ac:dyDescent="0.25">
      <c r="A58" s="782">
        <v>90704</v>
      </c>
      <c r="B58" s="783" t="s">
        <v>2676</v>
      </c>
      <c r="C58" s="784">
        <v>3.3300000000000003E-5</v>
      </c>
      <c r="D58" s="784">
        <v>3.4900000000000001E-5</v>
      </c>
      <c r="E58" s="815">
        <v>23859</v>
      </c>
      <c r="F58" s="818">
        <v>74069</v>
      </c>
      <c r="G58" s="785">
        <v>50873</v>
      </c>
      <c r="H58" s="785"/>
      <c r="I58" s="786">
        <v>2931</v>
      </c>
      <c r="J58" s="787">
        <v>12352</v>
      </c>
      <c r="K58" s="786">
        <v>7265</v>
      </c>
      <c r="L58" s="785">
        <v>14629</v>
      </c>
      <c r="M58" s="785"/>
      <c r="N58" s="786">
        <v>1440</v>
      </c>
      <c r="O58" s="786">
        <v>0</v>
      </c>
      <c r="P58" s="786">
        <v>0</v>
      </c>
      <c r="Q58" s="785">
        <v>0</v>
      </c>
      <c r="R58" s="785"/>
      <c r="S58" s="786">
        <v>17144</v>
      </c>
      <c r="T58" s="788">
        <v>5643</v>
      </c>
      <c r="U58" s="788">
        <f>22788-1</f>
        <v>22787</v>
      </c>
    </row>
    <row r="59" spans="1:21" x14ac:dyDescent="0.25">
      <c r="A59" s="782">
        <v>90705</v>
      </c>
      <c r="B59" s="783" t="s">
        <v>2677</v>
      </c>
      <c r="C59" s="784">
        <v>5.3000000000000001E-5</v>
      </c>
      <c r="D59" s="784">
        <v>3.3899999999999997E-5</v>
      </c>
      <c r="E59" s="815">
        <v>23100</v>
      </c>
      <c r="F59" s="818">
        <v>71947</v>
      </c>
      <c r="G59" s="785">
        <v>80969</v>
      </c>
      <c r="H59" s="785"/>
      <c r="I59" s="786">
        <v>4665</v>
      </c>
      <c r="J59" s="787">
        <v>19659</v>
      </c>
      <c r="K59" s="786">
        <v>11564</v>
      </c>
      <c r="L59" s="785">
        <v>18366</v>
      </c>
      <c r="M59" s="785"/>
      <c r="N59" s="786">
        <v>2292</v>
      </c>
      <c r="O59" s="786">
        <v>0</v>
      </c>
      <c r="P59" s="786">
        <v>0</v>
      </c>
      <c r="Q59" s="785">
        <v>0</v>
      </c>
      <c r="R59" s="785"/>
      <c r="S59" s="786">
        <v>27287</v>
      </c>
      <c r="T59" s="788">
        <v>6194</v>
      </c>
      <c r="U59" s="788">
        <v>33481</v>
      </c>
    </row>
    <row r="60" spans="1:21" x14ac:dyDescent="0.25">
      <c r="A60" s="782">
        <v>90709</v>
      </c>
      <c r="B60" s="783" t="s">
        <v>2678</v>
      </c>
      <c r="C60" s="784">
        <v>1.2650000000000001E-4</v>
      </c>
      <c r="D60" s="784">
        <v>1.4569999999999999E-4</v>
      </c>
      <c r="E60" s="815">
        <v>61710</v>
      </c>
      <c r="F60" s="818">
        <v>309224</v>
      </c>
      <c r="G60" s="785">
        <v>193257</v>
      </c>
      <c r="H60" s="785"/>
      <c r="I60" s="786">
        <v>11133</v>
      </c>
      <c r="J60" s="787">
        <v>46924</v>
      </c>
      <c r="K60" s="786">
        <v>27600</v>
      </c>
      <c r="L60" s="785">
        <v>5085</v>
      </c>
      <c r="M60" s="785"/>
      <c r="N60" s="786">
        <v>5470</v>
      </c>
      <c r="O60" s="786">
        <v>0</v>
      </c>
      <c r="P60" s="786">
        <v>0</v>
      </c>
      <c r="Q60" s="785">
        <v>42511</v>
      </c>
      <c r="R60" s="785"/>
      <c r="S60" s="786">
        <v>65128</v>
      </c>
      <c r="T60" s="788">
        <v>-9374</v>
      </c>
      <c r="U60" s="788">
        <v>55754</v>
      </c>
    </row>
    <row r="61" spans="1:21" x14ac:dyDescent="0.25">
      <c r="A61" s="782">
        <v>90711</v>
      </c>
      <c r="B61" s="783" t="s">
        <v>2679</v>
      </c>
      <c r="C61" s="784">
        <v>1.6877000000000001E-3</v>
      </c>
      <c r="D61" s="784">
        <v>1.7302000000000001E-3</v>
      </c>
      <c r="E61" s="815">
        <v>774256</v>
      </c>
      <c r="F61" s="818">
        <v>3672064</v>
      </c>
      <c r="G61" s="785">
        <v>2578338</v>
      </c>
      <c r="H61" s="785"/>
      <c r="I61" s="786">
        <v>148536</v>
      </c>
      <c r="J61" s="787">
        <v>626023</v>
      </c>
      <c r="K61" s="786">
        <v>368222</v>
      </c>
      <c r="L61" s="785">
        <v>0</v>
      </c>
      <c r="M61" s="785"/>
      <c r="N61" s="786">
        <v>72985</v>
      </c>
      <c r="O61" s="786">
        <v>0</v>
      </c>
      <c r="P61" s="786">
        <v>0</v>
      </c>
      <c r="Q61" s="785">
        <v>160849</v>
      </c>
      <c r="R61" s="785"/>
      <c r="S61" s="786">
        <v>868902</v>
      </c>
      <c r="T61" s="788">
        <v>-68798</v>
      </c>
      <c r="U61" s="788">
        <v>800104</v>
      </c>
    </row>
    <row r="62" spans="1:21" x14ac:dyDescent="0.25">
      <c r="A62" s="782">
        <v>90721</v>
      </c>
      <c r="B62" s="783" t="s">
        <v>2680</v>
      </c>
      <c r="C62" s="784">
        <v>2.8600000000000001E-5</v>
      </c>
      <c r="D62" s="784">
        <v>3.7299999999999999E-5</v>
      </c>
      <c r="E62" s="815">
        <v>15289</v>
      </c>
      <c r="F62" s="818">
        <v>79163</v>
      </c>
      <c r="G62" s="785">
        <v>43693</v>
      </c>
      <c r="H62" s="785"/>
      <c r="I62" s="786">
        <v>2517</v>
      </c>
      <c r="J62" s="787">
        <v>10608</v>
      </c>
      <c r="K62" s="786">
        <v>6240</v>
      </c>
      <c r="L62" s="785">
        <v>2956</v>
      </c>
      <c r="M62" s="785"/>
      <c r="N62" s="786">
        <v>1237</v>
      </c>
      <c r="O62" s="786">
        <v>0</v>
      </c>
      <c r="P62" s="786">
        <v>0</v>
      </c>
      <c r="Q62" s="785">
        <v>4943</v>
      </c>
      <c r="R62" s="785"/>
      <c r="S62" s="786">
        <v>14725</v>
      </c>
      <c r="T62" s="788">
        <v>1072</v>
      </c>
      <c r="U62" s="788">
        <f>15796+1</f>
        <v>15797</v>
      </c>
    </row>
    <row r="63" spans="1:21" x14ac:dyDescent="0.25">
      <c r="A63" s="782">
        <v>90731</v>
      </c>
      <c r="B63" s="783" t="s">
        <v>2681</v>
      </c>
      <c r="C63" s="784">
        <v>1.741E-4</v>
      </c>
      <c r="D63" s="784">
        <v>1.917E-4</v>
      </c>
      <c r="E63" s="815">
        <v>79540</v>
      </c>
      <c r="F63" s="818">
        <v>406852</v>
      </c>
      <c r="G63" s="785">
        <v>265977</v>
      </c>
      <c r="H63" s="785"/>
      <c r="I63" s="786">
        <v>15323</v>
      </c>
      <c r="J63" s="787">
        <v>64580</v>
      </c>
      <c r="K63" s="786">
        <v>37985</v>
      </c>
      <c r="L63" s="785">
        <v>0</v>
      </c>
      <c r="M63" s="785"/>
      <c r="N63" s="786">
        <v>7529</v>
      </c>
      <c r="O63" s="786">
        <v>0</v>
      </c>
      <c r="P63" s="786">
        <v>0</v>
      </c>
      <c r="Q63" s="785">
        <v>18148</v>
      </c>
      <c r="R63" s="785"/>
      <c r="S63" s="786">
        <v>89634</v>
      </c>
      <c r="T63" s="788">
        <v>-7025</v>
      </c>
      <c r="U63" s="788">
        <v>82609</v>
      </c>
    </row>
    <row r="64" spans="1:21" x14ac:dyDescent="0.25">
      <c r="A64" s="782">
        <v>90741</v>
      </c>
      <c r="B64" s="783" t="s">
        <v>2682</v>
      </c>
      <c r="C64" s="784">
        <v>9.0999999999999993E-6</v>
      </c>
      <c r="D64" s="784">
        <v>1.2099999999999999E-5</v>
      </c>
      <c r="E64" s="815">
        <v>6433</v>
      </c>
      <c r="F64" s="818">
        <v>25680</v>
      </c>
      <c r="G64" s="785">
        <v>13902</v>
      </c>
      <c r="H64" s="785"/>
      <c r="I64" s="786">
        <v>801</v>
      </c>
      <c r="J64" s="787">
        <v>3375</v>
      </c>
      <c r="K64" s="786">
        <v>1985</v>
      </c>
      <c r="L64" s="785">
        <v>2169</v>
      </c>
      <c r="M64" s="785"/>
      <c r="N64" s="786">
        <v>394</v>
      </c>
      <c r="O64" s="786">
        <v>0</v>
      </c>
      <c r="P64" s="786">
        <v>0</v>
      </c>
      <c r="Q64" s="785">
        <v>952</v>
      </c>
      <c r="R64" s="785"/>
      <c r="S64" s="786">
        <v>4685</v>
      </c>
      <c r="T64" s="788">
        <v>235</v>
      </c>
      <c r="U64" s="788">
        <v>4920</v>
      </c>
    </row>
    <row r="65" spans="1:21" x14ac:dyDescent="0.25">
      <c r="A65" s="782">
        <v>90751</v>
      </c>
      <c r="B65" s="783" t="s">
        <v>2683</v>
      </c>
      <c r="C65" s="784">
        <v>6.8700000000000003E-5</v>
      </c>
      <c r="D65" s="784">
        <v>6.5599999999999995E-5</v>
      </c>
      <c r="E65" s="815">
        <v>27591</v>
      </c>
      <c r="F65" s="818">
        <v>139225</v>
      </c>
      <c r="G65" s="785">
        <v>104955</v>
      </c>
      <c r="H65" s="785"/>
      <c r="I65" s="786">
        <v>6046</v>
      </c>
      <c r="J65" s="787">
        <v>25483</v>
      </c>
      <c r="K65" s="786">
        <v>14989</v>
      </c>
      <c r="L65" s="785">
        <v>4940</v>
      </c>
      <c r="M65" s="785"/>
      <c r="N65" s="786">
        <v>2971</v>
      </c>
      <c r="O65" s="786">
        <v>0</v>
      </c>
      <c r="P65" s="786">
        <v>0</v>
      </c>
      <c r="Q65" s="785">
        <v>1080</v>
      </c>
      <c r="R65" s="785"/>
      <c r="S65" s="786">
        <v>35370</v>
      </c>
      <c r="T65" s="788">
        <v>3400</v>
      </c>
      <c r="U65" s="788">
        <v>38770</v>
      </c>
    </row>
    <row r="66" spans="1:21" x14ac:dyDescent="0.25">
      <c r="A66" s="782">
        <v>90801</v>
      </c>
      <c r="B66" s="783" t="s">
        <v>2684</v>
      </c>
      <c r="C66" s="784">
        <v>1.3064000000000001E-3</v>
      </c>
      <c r="D66" s="784">
        <v>1.1404E-3</v>
      </c>
      <c r="E66" s="815">
        <v>521156</v>
      </c>
      <c r="F66" s="818">
        <v>2420311</v>
      </c>
      <c r="G66" s="785">
        <v>1995817</v>
      </c>
      <c r="H66" s="785"/>
      <c r="I66" s="786">
        <v>114978</v>
      </c>
      <c r="J66" s="787">
        <v>484586</v>
      </c>
      <c r="K66" s="786">
        <v>285030</v>
      </c>
      <c r="L66" s="785">
        <v>151641</v>
      </c>
      <c r="M66" s="785"/>
      <c r="N66" s="786">
        <v>56495</v>
      </c>
      <c r="O66" s="786">
        <v>0</v>
      </c>
      <c r="P66" s="786">
        <v>0</v>
      </c>
      <c r="Q66" s="785">
        <v>0</v>
      </c>
      <c r="R66" s="785"/>
      <c r="S66" s="786">
        <v>672592</v>
      </c>
      <c r="T66" s="788">
        <v>65370</v>
      </c>
      <c r="U66" s="788">
        <v>737962</v>
      </c>
    </row>
    <row r="67" spans="1:21" x14ac:dyDescent="0.25">
      <c r="A67" s="782">
        <v>90804</v>
      </c>
      <c r="B67" s="783" t="s">
        <v>2685</v>
      </c>
      <c r="C67" s="784">
        <v>6.1999999999999999E-6</v>
      </c>
      <c r="D67" s="784">
        <v>6.0000000000000002E-6</v>
      </c>
      <c r="E67" s="815">
        <v>2751</v>
      </c>
      <c r="F67" s="818">
        <v>12734</v>
      </c>
      <c r="G67" s="785">
        <v>9472</v>
      </c>
      <c r="H67" s="785"/>
      <c r="I67" s="786">
        <v>546</v>
      </c>
      <c r="J67" s="787">
        <v>2300</v>
      </c>
      <c r="K67" s="786">
        <v>1353</v>
      </c>
      <c r="L67" s="785">
        <v>1462</v>
      </c>
      <c r="M67" s="785"/>
      <c r="N67" s="786">
        <v>268</v>
      </c>
      <c r="O67" s="786">
        <v>0</v>
      </c>
      <c r="P67" s="786">
        <v>0</v>
      </c>
      <c r="Q67" s="785">
        <v>0</v>
      </c>
      <c r="R67" s="785"/>
      <c r="S67" s="786">
        <v>3192</v>
      </c>
      <c r="T67" s="788">
        <v>893</v>
      </c>
      <c r="U67" s="788">
        <v>4085</v>
      </c>
    </row>
    <row r="68" spans="1:21" x14ac:dyDescent="0.25">
      <c r="A68" s="782">
        <v>90805</v>
      </c>
      <c r="B68" s="783" t="s">
        <v>2686</v>
      </c>
      <c r="C68" s="784">
        <v>5.1900000000000001E-5</v>
      </c>
      <c r="D68" s="784">
        <v>5.5099999999999998E-5</v>
      </c>
      <c r="E68" s="815">
        <v>35600</v>
      </c>
      <c r="F68" s="818">
        <v>116941</v>
      </c>
      <c r="G68" s="785">
        <v>79289</v>
      </c>
      <c r="H68" s="785"/>
      <c r="I68" s="786">
        <v>4568</v>
      </c>
      <c r="J68" s="787">
        <v>19252</v>
      </c>
      <c r="K68" s="786">
        <v>11324</v>
      </c>
      <c r="L68" s="785">
        <v>22022</v>
      </c>
      <c r="M68" s="785"/>
      <c r="N68" s="786">
        <v>2244</v>
      </c>
      <c r="O68" s="786">
        <v>0</v>
      </c>
      <c r="P68" s="786">
        <v>0</v>
      </c>
      <c r="Q68" s="785">
        <v>0</v>
      </c>
      <c r="R68" s="785"/>
      <c r="S68" s="786">
        <v>26720</v>
      </c>
      <c r="T68" s="788">
        <v>9443</v>
      </c>
      <c r="U68" s="788">
        <v>36163</v>
      </c>
    </row>
    <row r="69" spans="1:21" x14ac:dyDescent="0.25">
      <c r="A69" s="782">
        <v>90808</v>
      </c>
      <c r="B69" s="783" t="s">
        <v>2687</v>
      </c>
      <c r="C69" s="784">
        <v>1.131E-4</v>
      </c>
      <c r="D69" s="784">
        <v>1.109E-4</v>
      </c>
      <c r="E69" s="815">
        <v>56029</v>
      </c>
      <c r="F69" s="818">
        <v>235367</v>
      </c>
      <c r="G69" s="785">
        <v>172785</v>
      </c>
      <c r="H69" s="785"/>
      <c r="I69" s="786">
        <v>9954</v>
      </c>
      <c r="J69" s="787">
        <v>41952</v>
      </c>
      <c r="K69" s="786">
        <v>24676</v>
      </c>
      <c r="L69" s="785">
        <v>5678</v>
      </c>
      <c r="M69" s="785"/>
      <c r="N69" s="786">
        <v>4891</v>
      </c>
      <c r="O69" s="786">
        <v>0</v>
      </c>
      <c r="P69" s="786">
        <v>0</v>
      </c>
      <c r="Q69" s="785">
        <v>2008</v>
      </c>
      <c r="R69" s="785"/>
      <c r="S69" s="786">
        <v>58229</v>
      </c>
      <c r="T69" s="788">
        <v>731</v>
      </c>
      <c r="U69" s="788">
        <f>58959+1</f>
        <v>58960</v>
      </c>
    </row>
    <row r="70" spans="1:21" x14ac:dyDescent="0.25">
      <c r="A70" s="782">
        <v>90811</v>
      </c>
      <c r="B70" s="783" t="s">
        <v>2688</v>
      </c>
      <c r="C70" s="784">
        <v>3.3599999999999997E-5</v>
      </c>
      <c r="D70" s="784">
        <v>4.0000000000000003E-5</v>
      </c>
      <c r="E70" s="815">
        <v>11655</v>
      </c>
      <c r="F70" s="818">
        <v>84893</v>
      </c>
      <c r="G70" s="785">
        <v>51331</v>
      </c>
      <c r="H70" s="785"/>
      <c r="I70" s="786">
        <v>2957</v>
      </c>
      <c r="J70" s="787">
        <v>12463</v>
      </c>
      <c r="K70" s="786">
        <v>7331</v>
      </c>
      <c r="L70" s="785">
        <v>471</v>
      </c>
      <c r="M70" s="785"/>
      <c r="N70" s="786">
        <v>1453</v>
      </c>
      <c r="O70" s="786">
        <v>0</v>
      </c>
      <c r="P70" s="786">
        <v>0</v>
      </c>
      <c r="Q70" s="785">
        <v>8846</v>
      </c>
      <c r="R70" s="785"/>
      <c r="S70" s="786">
        <v>17299</v>
      </c>
      <c r="T70" s="788">
        <v>-1986</v>
      </c>
      <c r="U70" s="788">
        <v>15313</v>
      </c>
    </row>
    <row r="71" spans="1:21" x14ac:dyDescent="0.25">
      <c r="A71" s="782">
        <v>90812</v>
      </c>
      <c r="B71" s="783" t="s">
        <v>2689</v>
      </c>
      <c r="C71" s="784">
        <v>2.2900000000000001E-4</v>
      </c>
      <c r="D71" s="784">
        <v>2.13E-4</v>
      </c>
      <c r="E71" s="815">
        <v>105040</v>
      </c>
      <c r="F71" s="818">
        <v>452057</v>
      </c>
      <c r="G71" s="785">
        <v>349849</v>
      </c>
      <c r="H71" s="785"/>
      <c r="I71" s="786">
        <v>20155</v>
      </c>
      <c r="J71" s="787">
        <v>84944</v>
      </c>
      <c r="K71" s="786">
        <v>49963</v>
      </c>
      <c r="L71" s="785">
        <v>15087</v>
      </c>
      <c r="M71" s="785"/>
      <c r="N71" s="786">
        <v>9903</v>
      </c>
      <c r="O71" s="786">
        <v>0</v>
      </c>
      <c r="P71" s="786">
        <v>0</v>
      </c>
      <c r="Q71" s="785">
        <v>10549</v>
      </c>
      <c r="R71" s="785"/>
      <c r="S71" s="786">
        <v>117899</v>
      </c>
      <c r="T71" s="788">
        <v>3117</v>
      </c>
      <c r="U71" s="788">
        <v>121016</v>
      </c>
    </row>
    <row r="72" spans="1:21" x14ac:dyDescent="0.25">
      <c r="A72" s="782">
        <v>90813</v>
      </c>
      <c r="B72" s="783" t="s">
        <v>2690</v>
      </c>
      <c r="C72" s="784">
        <v>5.3000000000000001E-6</v>
      </c>
      <c r="D72" s="784">
        <v>5.4999999999999999E-6</v>
      </c>
      <c r="E72" s="815">
        <v>2061</v>
      </c>
      <c r="F72" s="818">
        <v>11673</v>
      </c>
      <c r="G72" s="785">
        <v>8097</v>
      </c>
      <c r="H72" s="785"/>
      <c r="I72" s="786">
        <v>466</v>
      </c>
      <c r="J72" s="787">
        <v>1966</v>
      </c>
      <c r="K72" s="786">
        <v>1156</v>
      </c>
      <c r="L72" s="785">
        <v>0</v>
      </c>
      <c r="M72" s="785"/>
      <c r="N72" s="786">
        <v>229</v>
      </c>
      <c r="O72" s="786">
        <v>0</v>
      </c>
      <c r="P72" s="786">
        <v>0</v>
      </c>
      <c r="Q72" s="785">
        <v>1124</v>
      </c>
      <c r="R72" s="785"/>
      <c r="S72" s="786">
        <v>2729</v>
      </c>
      <c r="T72" s="788">
        <v>-505</v>
      </c>
      <c r="U72" s="788">
        <f>2223+1</f>
        <v>2224</v>
      </c>
    </row>
    <row r="73" spans="1:21" x14ac:dyDescent="0.25">
      <c r="A73" s="782">
        <v>90861</v>
      </c>
      <c r="B73" s="783" t="s">
        <v>2691</v>
      </c>
      <c r="C73" s="784">
        <v>4.1999999999999996E-6</v>
      </c>
      <c r="D73" s="784">
        <v>4.7999999999999998E-6</v>
      </c>
      <c r="E73" s="815">
        <v>3703</v>
      </c>
      <c r="F73" s="818">
        <v>10187</v>
      </c>
      <c r="G73" s="785">
        <v>6416</v>
      </c>
      <c r="H73" s="785"/>
      <c r="I73" s="786">
        <v>370</v>
      </c>
      <c r="J73" s="787">
        <v>1558</v>
      </c>
      <c r="K73" s="786">
        <v>916</v>
      </c>
      <c r="L73" s="785">
        <v>3211</v>
      </c>
      <c r="M73" s="785"/>
      <c r="N73" s="786">
        <v>182</v>
      </c>
      <c r="O73" s="786">
        <v>0</v>
      </c>
      <c r="P73" s="786">
        <v>0</v>
      </c>
      <c r="Q73" s="785">
        <v>1117</v>
      </c>
      <c r="R73" s="785"/>
      <c r="S73" s="786">
        <v>2162</v>
      </c>
      <c r="T73" s="788">
        <v>191</v>
      </c>
      <c r="U73" s="788">
        <v>2353</v>
      </c>
    </row>
    <row r="74" spans="1:21" x14ac:dyDescent="0.25">
      <c r="A74" s="782">
        <v>90901</v>
      </c>
      <c r="B74" s="783" t="s">
        <v>2692</v>
      </c>
      <c r="C74" s="784">
        <v>2.1814999999999998E-3</v>
      </c>
      <c r="D74" s="784">
        <v>2.1302999999999999E-3</v>
      </c>
      <c r="E74" s="815">
        <v>980897</v>
      </c>
      <c r="F74" s="818">
        <v>4521210</v>
      </c>
      <c r="G74" s="785">
        <v>3332728</v>
      </c>
      <c r="H74" s="785"/>
      <c r="I74" s="786">
        <v>191996</v>
      </c>
      <c r="J74" s="787">
        <v>809191</v>
      </c>
      <c r="K74" s="786">
        <v>475960</v>
      </c>
      <c r="L74" s="785">
        <v>22389</v>
      </c>
      <c r="M74" s="785"/>
      <c r="N74" s="786">
        <v>94339</v>
      </c>
      <c r="O74" s="786">
        <v>0</v>
      </c>
      <c r="P74" s="786">
        <v>0</v>
      </c>
      <c r="Q74" s="785">
        <v>38005</v>
      </c>
      <c r="R74" s="785"/>
      <c r="S74" s="786">
        <v>1123132</v>
      </c>
      <c r="T74" s="788">
        <v>-5969</v>
      </c>
      <c r="U74" s="788">
        <v>1117163</v>
      </c>
    </row>
    <row r="75" spans="1:21" x14ac:dyDescent="0.25">
      <c r="A75" s="782">
        <v>90911</v>
      </c>
      <c r="B75" s="783" t="s">
        <v>2693</v>
      </c>
      <c r="C75" s="784">
        <v>3.9780000000000002E-4</v>
      </c>
      <c r="D75" s="784">
        <v>3.6010000000000003E-4</v>
      </c>
      <c r="E75" s="815">
        <v>159535</v>
      </c>
      <c r="F75" s="818">
        <v>764253</v>
      </c>
      <c r="G75" s="785">
        <v>607728</v>
      </c>
      <c r="H75" s="785"/>
      <c r="I75" s="786">
        <v>35011</v>
      </c>
      <c r="J75" s="787">
        <v>147557</v>
      </c>
      <c r="K75" s="786">
        <v>86792</v>
      </c>
      <c r="L75" s="785">
        <v>6806</v>
      </c>
      <c r="M75" s="785"/>
      <c r="N75" s="786">
        <v>17203</v>
      </c>
      <c r="O75" s="786">
        <v>0</v>
      </c>
      <c r="P75" s="786">
        <v>0</v>
      </c>
      <c r="Q75" s="785">
        <v>31482</v>
      </c>
      <c r="R75" s="785"/>
      <c r="S75" s="786">
        <v>204805</v>
      </c>
      <c r="T75" s="788">
        <v>-18326</v>
      </c>
      <c r="U75" s="788">
        <v>186479</v>
      </c>
    </row>
    <row r="76" spans="1:21" x14ac:dyDescent="0.25">
      <c r="A76" s="782">
        <v>90917</v>
      </c>
      <c r="B76" s="783" t="s">
        <v>2694</v>
      </c>
      <c r="C76" s="784">
        <v>1.4399999999999999E-5</v>
      </c>
      <c r="D76" s="784">
        <v>1.42E-5</v>
      </c>
      <c r="E76" s="815">
        <v>5784</v>
      </c>
      <c r="F76" s="818">
        <v>30137</v>
      </c>
      <c r="G76" s="785">
        <v>21999</v>
      </c>
      <c r="H76" s="785"/>
      <c r="I76" s="786">
        <v>1267</v>
      </c>
      <c r="J76" s="787">
        <v>5342</v>
      </c>
      <c r="K76" s="786">
        <v>3142</v>
      </c>
      <c r="L76" s="785">
        <v>1461</v>
      </c>
      <c r="M76" s="785"/>
      <c r="N76" s="786">
        <v>623</v>
      </c>
      <c r="O76" s="786">
        <v>0</v>
      </c>
      <c r="P76" s="786">
        <v>0</v>
      </c>
      <c r="Q76" s="785">
        <v>966</v>
      </c>
      <c r="R76" s="785"/>
      <c r="S76" s="786">
        <v>7414</v>
      </c>
      <c r="T76" s="788">
        <v>-22</v>
      </c>
      <c r="U76" s="788">
        <v>7392</v>
      </c>
    </row>
    <row r="77" spans="1:21" x14ac:dyDescent="0.25">
      <c r="A77" s="782">
        <v>90918</v>
      </c>
      <c r="B77" s="783" t="s">
        <v>2695</v>
      </c>
      <c r="C77" s="784">
        <v>1.19E-5</v>
      </c>
      <c r="D77" s="784">
        <v>1.24E-5</v>
      </c>
      <c r="E77" s="815">
        <v>4773</v>
      </c>
      <c r="F77" s="818">
        <v>26317</v>
      </c>
      <c r="G77" s="785">
        <v>18180</v>
      </c>
      <c r="H77" s="785"/>
      <c r="I77" s="786">
        <v>1047</v>
      </c>
      <c r="J77" s="787">
        <v>4414</v>
      </c>
      <c r="K77" s="786">
        <v>2596</v>
      </c>
      <c r="L77" s="785">
        <v>0</v>
      </c>
      <c r="M77" s="785"/>
      <c r="N77" s="786">
        <v>515</v>
      </c>
      <c r="O77" s="786">
        <v>0</v>
      </c>
      <c r="P77" s="786">
        <v>0</v>
      </c>
      <c r="Q77" s="785">
        <v>2553</v>
      </c>
      <c r="R77" s="785"/>
      <c r="S77" s="786">
        <v>6127</v>
      </c>
      <c r="T77" s="788">
        <v>-1087</v>
      </c>
      <c r="U77" s="788">
        <f>5039+1</f>
        <v>5040</v>
      </c>
    </row>
    <row r="78" spans="1:21" x14ac:dyDescent="0.25">
      <c r="A78" s="782">
        <v>90921</v>
      </c>
      <c r="B78" s="783" t="s">
        <v>2696</v>
      </c>
      <c r="C78" s="784">
        <v>1.2970000000000001E-4</v>
      </c>
      <c r="D78" s="784">
        <v>8.7399999999999997E-5</v>
      </c>
      <c r="E78" s="815">
        <v>59486</v>
      </c>
      <c r="F78" s="818">
        <v>185492</v>
      </c>
      <c r="G78" s="785">
        <v>198146</v>
      </c>
      <c r="H78" s="785"/>
      <c r="I78" s="786">
        <v>11415</v>
      </c>
      <c r="J78" s="787">
        <v>48110</v>
      </c>
      <c r="K78" s="786">
        <v>28298</v>
      </c>
      <c r="L78" s="785">
        <v>31212</v>
      </c>
      <c r="M78" s="785"/>
      <c r="N78" s="786">
        <v>5609</v>
      </c>
      <c r="O78" s="786">
        <v>0</v>
      </c>
      <c r="P78" s="786">
        <v>0</v>
      </c>
      <c r="Q78" s="785">
        <v>7007</v>
      </c>
      <c r="R78" s="785"/>
      <c r="S78" s="786">
        <v>66775</v>
      </c>
      <c r="T78" s="788">
        <v>5102</v>
      </c>
      <c r="U78" s="788">
        <v>71877</v>
      </c>
    </row>
    <row r="79" spans="1:21" x14ac:dyDescent="0.25">
      <c r="A79" s="782">
        <v>90931</v>
      </c>
      <c r="B79" s="783" t="s">
        <v>2697</v>
      </c>
      <c r="C79" s="784">
        <v>4.07E-5</v>
      </c>
      <c r="D79" s="784">
        <v>5.1900000000000001E-5</v>
      </c>
      <c r="E79" s="815">
        <v>16168</v>
      </c>
      <c r="F79" s="818">
        <v>110149</v>
      </c>
      <c r="G79" s="785">
        <v>62178</v>
      </c>
      <c r="H79" s="785"/>
      <c r="I79" s="786">
        <v>3582</v>
      </c>
      <c r="J79" s="787">
        <v>15097</v>
      </c>
      <c r="K79" s="786">
        <v>8880</v>
      </c>
      <c r="L79" s="785">
        <v>3743</v>
      </c>
      <c r="M79" s="785"/>
      <c r="N79" s="786">
        <v>1760</v>
      </c>
      <c r="O79" s="786">
        <v>0</v>
      </c>
      <c r="P79" s="786">
        <v>0</v>
      </c>
      <c r="Q79" s="785">
        <v>14137</v>
      </c>
      <c r="R79" s="785"/>
      <c r="S79" s="786">
        <v>20954</v>
      </c>
      <c r="T79" s="788">
        <v>-1298</v>
      </c>
      <c r="U79" s="788">
        <v>19656</v>
      </c>
    </row>
    <row r="80" spans="1:21" x14ac:dyDescent="0.25">
      <c r="A80" s="782">
        <v>90941</v>
      </c>
      <c r="B80" s="783" t="s">
        <v>2698</v>
      </c>
      <c r="C80" s="784">
        <v>7.0300000000000001E-5</v>
      </c>
      <c r="D80" s="784">
        <v>9.0799999999999998E-5</v>
      </c>
      <c r="E80" s="815">
        <v>35455</v>
      </c>
      <c r="F80" s="818">
        <v>192708</v>
      </c>
      <c r="G80" s="785">
        <v>107399</v>
      </c>
      <c r="H80" s="785"/>
      <c r="I80" s="786">
        <v>6187</v>
      </c>
      <c r="J80" s="787">
        <v>26076</v>
      </c>
      <c r="K80" s="786">
        <v>15338</v>
      </c>
      <c r="L80" s="785">
        <v>1686</v>
      </c>
      <c r="M80" s="785"/>
      <c r="N80" s="786">
        <v>3040</v>
      </c>
      <c r="O80" s="786">
        <v>0</v>
      </c>
      <c r="P80" s="786">
        <v>0</v>
      </c>
      <c r="Q80" s="785">
        <v>16031</v>
      </c>
      <c r="R80" s="785"/>
      <c r="S80" s="786">
        <v>36194</v>
      </c>
      <c r="T80" s="788">
        <v>-4988</v>
      </c>
      <c r="U80" s="788">
        <f>31205+1</f>
        <v>31206</v>
      </c>
    </row>
    <row r="81" spans="1:21" x14ac:dyDescent="0.25">
      <c r="A81" s="782">
        <v>91001</v>
      </c>
      <c r="B81" s="783" t="s">
        <v>2699</v>
      </c>
      <c r="C81" s="784">
        <v>6.6703999999999999E-3</v>
      </c>
      <c r="D81" s="784">
        <v>6.6189999999999999E-3</v>
      </c>
      <c r="E81" s="815">
        <v>2867178</v>
      </c>
      <c r="F81" s="818">
        <v>14047735</v>
      </c>
      <c r="G81" s="785">
        <v>10190523</v>
      </c>
      <c r="H81" s="785"/>
      <c r="I81" s="786">
        <v>587069</v>
      </c>
      <c r="J81" s="787">
        <v>2474271</v>
      </c>
      <c r="K81" s="786">
        <v>1455348</v>
      </c>
      <c r="L81" s="785">
        <v>35831</v>
      </c>
      <c r="M81" s="785"/>
      <c r="N81" s="786">
        <v>288461</v>
      </c>
      <c r="O81" s="786">
        <v>0</v>
      </c>
      <c r="P81" s="786">
        <v>0</v>
      </c>
      <c r="Q81" s="785">
        <v>269013</v>
      </c>
      <c r="R81" s="785"/>
      <c r="S81" s="786">
        <v>3434215</v>
      </c>
      <c r="T81" s="788">
        <v>-50061</v>
      </c>
      <c r="U81" s="788">
        <v>3384154</v>
      </c>
    </row>
    <row r="82" spans="1:21" x14ac:dyDescent="0.25">
      <c r="A82" s="782">
        <v>91002</v>
      </c>
      <c r="B82" s="783" t="s">
        <v>2700</v>
      </c>
      <c r="C82" s="784">
        <v>6.8860000000000004E-4</v>
      </c>
      <c r="D82" s="784">
        <v>5.6360000000000004E-4</v>
      </c>
      <c r="E82" s="815">
        <v>257315</v>
      </c>
      <c r="F82" s="818">
        <v>1196148</v>
      </c>
      <c r="G82" s="785">
        <v>1051990</v>
      </c>
      <c r="H82" s="785"/>
      <c r="I82" s="786">
        <v>60604</v>
      </c>
      <c r="J82" s="787">
        <v>255424</v>
      </c>
      <c r="K82" s="786">
        <v>150239</v>
      </c>
      <c r="L82" s="785">
        <v>39390</v>
      </c>
      <c r="M82" s="785"/>
      <c r="N82" s="786">
        <v>29779</v>
      </c>
      <c r="O82" s="786">
        <v>0</v>
      </c>
      <c r="P82" s="786">
        <v>0</v>
      </c>
      <c r="Q82" s="785">
        <v>48600</v>
      </c>
      <c r="R82" s="785"/>
      <c r="S82" s="786">
        <v>354522</v>
      </c>
      <c r="T82" s="788">
        <v>-8849</v>
      </c>
      <c r="U82" s="788">
        <v>345673</v>
      </c>
    </row>
    <row r="83" spans="1:21" x14ac:dyDescent="0.25">
      <c r="A83" s="782">
        <v>91003</v>
      </c>
      <c r="B83" s="783" t="s">
        <v>2701</v>
      </c>
      <c r="C83" s="784">
        <v>5.7260000000000004E-4</v>
      </c>
      <c r="D83" s="784">
        <v>5.6550000000000003E-4</v>
      </c>
      <c r="E83" s="815">
        <v>268789</v>
      </c>
      <c r="F83" s="818">
        <v>1200180</v>
      </c>
      <c r="G83" s="785">
        <v>874774</v>
      </c>
      <c r="H83" s="785"/>
      <c r="I83" s="786">
        <v>50395</v>
      </c>
      <c r="J83" s="787">
        <v>212396</v>
      </c>
      <c r="K83" s="786">
        <v>124930</v>
      </c>
      <c r="L83" s="785">
        <v>27734</v>
      </c>
      <c r="M83" s="785"/>
      <c r="N83" s="786">
        <v>24762</v>
      </c>
      <c r="O83" s="786">
        <v>0</v>
      </c>
      <c r="P83" s="786">
        <v>0</v>
      </c>
      <c r="Q83" s="785">
        <v>28524</v>
      </c>
      <c r="R83" s="785"/>
      <c r="S83" s="786">
        <v>294800</v>
      </c>
      <c r="T83" s="788">
        <v>7266</v>
      </c>
      <c r="U83" s="788">
        <v>302066</v>
      </c>
    </row>
    <row r="84" spans="1:21" x14ac:dyDescent="0.25">
      <c r="A84" s="782">
        <v>91004</v>
      </c>
      <c r="B84" s="783" t="s">
        <v>2702</v>
      </c>
      <c r="C84" s="784">
        <v>2.58E-5</v>
      </c>
      <c r="D84" s="784">
        <v>1.7499999999999998E-5</v>
      </c>
      <c r="E84" s="815">
        <v>13568</v>
      </c>
      <c r="F84" s="818">
        <v>37141</v>
      </c>
      <c r="G84" s="785">
        <v>39415</v>
      </c>
      <c r="H84" s="785"/>
      <c r="I84" s="786">
        <v>2271</v>
      </c>
      <c r="J84" s="787">
        <v>9571</v>
      </c>
      <c r="K84" s="786">
        <v>5629</v>
      </c>
      <c r="L84" s="785">
        <v>12153</v>
      </c>
      <c r="M84" s="785"/>
      <c r="N84" s="786">
        <v>1116</v>
      </c>
      <c r="O84" s="786">
        <v>0</v>
      </c>
      <c r="P84" s="786">
        <v>0</v>
      </c>
      <c r="Q84" s="785">
        <v>108</v>
      </c>
      <c r="R84" s="785"/>
      <c r="S84" s="786">
        <v>13283</v>
      </c>
      <c r="T84" s="788">
        <v>4277</v>
      </c>
      <c r="U84" s="788">
        <v>17560</v>
      </c>
    </row>
    <row r="85" spans="1:21" x14ac:dyDescent="0.25">
      <c r="A85" s="782">
        <v>91006</v>
      </c>
      <c r="B85" s="783" t="s">
        <v>2703</v>
      </c>
      <c r="C85" s="784">
        <v>1.0317E-3</v>
      </c>
      <c r="D85" s="784">
        <v>1.0096E-3</v>
      </c>
      <c r="E85" s="815">
        <v>446629</v>
      </c>
      <c r="F85" s="818">
        <v>2142709</v>
      </c>
      <c r="G85" s="785">
        <v>1576152</v>
      </c>
      <c r="H85" s="785"/>
      <c r="I85" s="786">
        <v>90801</v>
      </c>
      <c r="J85" s="787">
        <v>382692</v>
      </c>
      <c r="K85" s="786">
        <v>225096</v>
      </c>
      <c r="L85" s="785">
        <v>18199</v>
      </c>
      <c r="M85" s="785"/>
      <c r="N85" s="786">
        <v>44616</v>
      </c>
      <c r="O85" s="786">
        <v>0</v>
      </c>
      <c r="P85" s="786">
        <v>0</v>
      </c>
      <c r="Q85" s="785">
        <v>22958</v>
      </c>
      <c r="R85" s="785"/>
      <c r="S85" s="786">
        <v>531165</v>
      </c>
      <c r="T85" s="788">
        <v>3230</v>
      </c>
      <c r="U85" s="788">
        <v>534395</v>
      </c>
    </row>
    <row r="86" spans="1:21" x14ac:dyDescent="0.25">
      <c r="A86" s="782">
        <v>91007</v>
      </c>
      <c r="B86" s="783" t="s">
        <v>2704</v>
      </c>
      <c r="C86" s="784">
        <v>9.5000000000000005E-6</v>
      </c>
      <c r="D86" s="784">
        <v>1.2500000000000001E-5</v>
      </c>
      <c r="E86" s="815">
        <v>9502</v>
      </c>
      <c r="F86" s="818">
        <v>26529</v>
      </c>
      <c r="G86" s="785">
        <v>14513</v>
      </c>
      <c r="H86" s="785"/>
      <c r="I86" s="786">
        <v>836</v>
      </c>
      <c r="J86" s="787">
        <v>3524</v>
      </c>
      <c r="K86" s="786">
        <v>2073</v>
      </c>
      <c r="L86" s="785">
        <v>7476</v>
      </c>
      <c r="M86" s="785"/>
      <c r="N86" s="786">
        <v>411</v>
      </c>
      <c r="O86" s="786">
        <v>0</v>
      </c>
      <c r="P86" s="786">
        <v>0</v>
      </c>
      <c r="Q86" s="785">
        <v>507</v>
      </c>
      <c r="R86" s="785"/>
      <c r="S86" s="786">
        <v>4891</v>
      </c>
      <c r="T86" s="788">
        <v>2150</v>
      </c>
      <c r="U86" s="788">
        <v>7041</v>
      </c>
    </row>
    <row r="87" spans="1:21" x14ac:dyDescent="0.25">
      <c r="A87" s="782">
        <v>91008</v>
      </c>
      <c r="B87" s="783" t="s">
        <v>2705</v>
      </c>
      <c r="C87" s="784">
        <v>1.236E-4</v>
      </c>
      <c r="D87" s="784">
        <v>1.273E-4</v>
      </c>
      <c r="E87" s="815">
        <v>68974</v>
      </c>
      <c r="F87" s="818">
        <v>270173</v>
      </c>
      <c r="G87" s="785">
        <v>188827</v>
      </c>
      <c r="H87" s="785"/>
      <c r="I87" s="786">
        <v>10878</v>
      </c>
      <c r="J87" s="787">
        <v>45847</v>
      </c>
      <c r="K87" s="786">
        <v>26967</v>
      </c>
      <c r="L87" s="785">
        <v>37042</v>
      </c>
      <c r="M87" s="785"/>
      <c r="N87" s="786">
        <v>5345</v>
      </c>
      <c r="O87" s="786">
        <v>0</v>
      </c>
      <c r="P87" s="786">
        <v>0</v>
      </c>
      <c r="Q87" s="785">
        <v>0</v>
      </c>
      <c r="R87" s="785"/>
      <c r="S87" s="786">
        <v>63635</v>
      </c>
      <c r="T87" s="788">
        <v>17548</v>
      </c>
      <c r="U87" s="788">
        <v>81183</v>
      </c>
    </row>
    <row r="88" spans="1:21" x14ac:dyDescent="0.25">
      <c r="A88" s="782">
        <v>91009</v>
      </c>
      <c r="B88" s="783" t="s">
        <v>2706</v>
      </c>
      <c r="C88" s="784">
        <v>1.7499999999999998E-5</v>
      </c>
      <c r="D88" s="784">
        <v>1.8700000000000001E-5</v>
      </c>
      <c r="E88" s="815">
        <v>11392</v>
      </c>
      <c r="F88" s="818">
        <v>39688</v>
      </c>
      <c r="G88" s="785">
        <v>26735</v>
      </c>
      <c r="H88" s="785"/>
      <c r="I88" s="786">
        <v>1540</v>
      </c>
      <c r="J88" s="787">
        <v>6491</v>
      </c>
      <c r="K88" s="786">
        <v>3818</v>
      </c>
      <c r="L88" s="785">
        <v>4951</v>
      </c>
      <c r="M88" s="785"/>
      <c r="N88" s="786">
        <v>757</v>
      </c>
      <c r="O88" s="786">
        <v>0</v>
      </c>
      <c r="P88" s="786">
        <v>0</v>
      </c>
      <c r="Q88" s="785">
        <v>2458</v>
      </c>
      <c r="R88" s="785"/>
      <c r="S88" s="786">
        <v>9010</v>
      </c>
      <c r="T88" s="788">
        <v>187</v>
      </c>
      <c r="U88" s="788">
        <v>9197</v>
      </c>
    </row>
    <row r="89" spans="1:21" x14ac:dyDescent="0.25">
      <c r="A89" s="782">
        <v>91010</v>
      </c>
      <c r="B89" s="783" t="s">
        <v>2707</v>
      </c>
      <c r="C89" s="784">
        <v>7.0099999999999996E-5</v>
      </c>
      <c r="D89" s="784">
        <v>6.8399999999999996E-5</v>
      </c>
      <c r="E89" s="815">
        <v>32517</v>
      </c>
      <c r="F89" s="818">
        <v>145168</v>
      </c>
      <c r="G89" s="785">
        <v>107093</v>
      </c>
      <c r="H89" s="785"/>
      <c r="I89" s="786">
        <v>6170</v>
      </c>
      <c r="J89" s="787">
        <v>26003</v>
      </c>
      <c r="K89" s="786">
        <v>15294</v>
      </c>
      <c r="L89" s="785">
        <v>7603</v>
      </c>
      <c r="M89" s="785"/>
      <c r="N89" s="786">
        <v>3031</v>
      </c>
      <c r="O89" s="786">
        <v>0</v>
      </c>
      <c r="P89" s="786">
        <v>0</v>
      </c>
      <c r="Q89" s="785">
        <v>296</v>
      </c>
      <c r="R89" s="785"/>
      <c r="S89" s="786">
        <v>36091</v>
      </c>
      <c r="T89" s="788">
        <v>4736</v>
      </c>
      <c r="U89" s="788">
        <v>40827</v>
      </c>
    </row>
    <row r="90" spans="1:21" x14ac:dyDescent="0.25">
      <c r="A90" s="782">
        <v>91011</v>
      </c>
      <c r="B90" s="783" t="s">
        <v>2708</v>
      </c>
      <c r="C90" s="784">
        <v>3.5760000000000002E-4</v>
      </c>
      <c r="D90" s="784">
        <v>3.1789999999999998E-4</v>
      </c>
      <c r="E90" s="815">
        <v>159847</v>
      </c>
      <c r="F90" s="818">
        <v>674690</v>
      </c>
      <c r="G90" s="785">
        <v>546314</v>
      </c>
      <c r="H90" s="785"/>
      <c r="I90" s="786">
        <v>31473</v>
      </c>
      <c r="J90" s="787">
        <v>132645</v>
      </c>
      <c r="K90" s="786">
        <v>78021</v>
      </c>
      <c r="L90" s="785">
        <v>43643</v>
      </c>
      <c r="M90" s="785"/>
      <c r="N90" s="786">
        <v>15464</v>
      </c>
      <c r="O90" s="786">
        <v>0</v>
      </c>
      <c r="P90" s="786">
        <v>0</v>
      </c>
      <c r="Q90" s="785">
        <v>0</v>
      </c>
      <c r="R90" s="785"/>
      <c r="S90" s="786">
        <v>184108</v>
      </c>
      <c r="T90" s="788">
        <v>16126</v>
      </c>
      <c r="U90" s="788">
        <v>200234</v>
      </c>
    </row>
    <row r="91" spans="1:21" x14ac:dyDescent="0.25">
      <c r="A91" s="782">
        <v>91012</v>
      </c>
      <c r="B91" s="783" t="s">
        <v>2709</v>
      </c>
      <c r="C91" s="784">
        <v>1.9300000000000002E-5</v>
      </c>
      <c r="D91" s="784">
        <v>1.49E-5</v>
      </c>
      <c r="E91" s="815">
        <v>8623</v>
      </c>
      <c r="F91" s="818">
        <v>31623</v>
      </c>
      <c r="G91" s="785">
        <v>29485</v>
      </c>
      <c r="H91" s="785"/>
      <c r="I91" s="786">
        <v>1699</v>
      </c>
      <c r="J91" s="787">
        <v>7159</v>
      </c>
      <c r="K91" s="786">
        <v>4211</v>
      </c>
      <c r="L91" s="785">
        <v>5400</v>
      </c>
      <c r="M91" s="785"/>
      <c r="N91" s="786">
        <v>835</v>
      </c>
      <c r="O91" s="786">
        <v>0</v>
      </c>
      <c r="P91" s="786">
        <v>0</v>
      </c>
      <c r="Q91" s="785">
        <v>2458</v>
      </c>
      <c r="R91" s="785"/>
      <c r="S91" s="786">
        <v>9936</v>
      </c>
      <c r="T91" s="788">
        <v>-662</v>
      </c>
      <c r="U91" s="788">
        <f>9275-1</f>
        <v>9274</v>
      </c>
    </row>
    <row r="92" spans="1:21" x14ac:dyDescent="0.25">
      <c r="A92" s="782">
        <v>91013</v>
      </c>
      <c r="B92" s="783" t="s">
        <v>2710</v>
      </c>
      <c r="C92" s="784">
        <v>2.34E-5</v>
      </c>
      <c r="D92" s="784">
        <v>2.1800000000000001E-5</v>
      </c>
      <c r="E92" s="815">
        <v>29322</v>
      </c>
      <c r="F92" s="818">
        <v>46267</v>
      </c>
      <c r="G92" s="785">
        <v>35749</v>
      </c>
      <c r="H92" s="785"/>
      <c r="I92" s="786">
        <v>2059</v>
      </c>
      <c r="J92" s="787">
        <v>8680</v>
      </c>
      <c r="K92" s="786">
        <v>5105</v>
      </c>
      <c r="L92" s="785">
        <v>31764</v>
      </c>
      <c r="M92" s="785"/>
      <c r="N92" s="786">
        <v>1012</v>
      </c>
      <c r="O92" s="786">
        <v>0</v>
      </c>
      <c r="P92" s="786">
        <v>0</v>
      </c>
      <c r="Q92" s="785">
        <v>0</v>
      </c>
      <c r="R92" s="785"/>
      <c r="S92" s="786">
        <v>12047</v>
      </c>
      <c r="T92" s="788">
        <v>9518</v>
      </c>
      <c r="U92" s="788">
        <v>21565</v>
      </c>
    </row>
    <row r="93" spans="1:21" x14ac:dyDescent="0.25">
      <c r="A93" s="782">
        <v>91014</v>
      </c>
      <c r="B93" s="783" t="s">
        <v>2711</v>
      </c>
      <c r="C93" s="784">
        <v>2.22E-4</v>
      </c>
      <c r="D93" s="784">
        <v>2.1499999999999999E-4</v>
      </c>
      <c r="E93" s="815">
        <v>97692</v>
      </c>
      <c r="F93" s="818">
        <v>456302</v>
      </c>
      <c r="G93" s="785">
        <v>339155</v>
      </c>
      <c r="H93" s="785"/>
      <c r="I93" s="786">
        <v>19538</v>
      </c>
      <c r="J93" s="787">
        <v>82347</v>
      </c>
      <c r="K93" s="786">
        <v>48436</v>
      </c>
      <c r="L93" s="785">
        <v>1313</v>
      </c>
      <c r="M93" s="785"/>
      <c r="N93" s="786">
        <v>9600</v>
      </c>
      <c r="O93" s="786">
        <v>0</v>
      </c>
      <c r="P93" s="786">
        <v>0</v>
      </c>
      <c r="Q93" s="785">
        <v>11287</v>
      </c>
      <c r="R93" s="785"/>
      <c r="S93" s="786">
        <v>114295</v>
      </c>
      <c r="T93" s="788">
        <v>-6129</v>
      </c>
      <c r="U93" s="788">
        <f>108167-1</f>
        <v>108166</v>
      </c>
    </row>
    <row r="94" spans="1:21" x14ac:dyDescent="0.25">
      <c r="A94" s="782">
        <v>91017</v>
      </c>
      <c r="B94" s="783" t="s">
        <v>2712</v>
      </c>
      <c r="C94" s="784">
        <v>2.4300000000000001E-5</v>
      </c>
      <c r="D94" s="784">
        <v>2.3E-5</v>
      </c>
      <c r="E94" s="815">
        <v>12462</v>
      </c>
      <c r="F94" s="818">
        <v>48814</v>
      </c>
      <c r="G94" s="785">
        <v>37124</v>
      </c>
      <c r="H94" s="785"/>
      <c r="I94" s="786">
        <v>2139</v>
      </c>
      <c r="J94" s="787">
        <v>9014</v>
      </c>
      <c r="K94" s="786">
        <v>5302</v>
      </c>
      <c r="L94" s="785">
        <v>10242</v>
      </c>
      <c r="M94" s="785"/>
      <c r="N94" s="786">
        <v>1051</v>
      </c>
      <c r="O94" s="786">
        <v>0</v>
      </c>
      <c r="P94" s="786">
        <v>0</v>
      </c>
      <c r="Q94" s="785">
        <v>0</v>
      </c>
      <c r="R94" s="785"/>
      <c r="S94" s="786">
        <v>12511</v>
      </c>
      <c r="T94" s="788">
        <v>4025</v>
      </c>
      <c r="U94" s="788">
        <v>16536</v>
      </c>
    </row>
    <row r="95" spans="1:21" x14ac:dyDescent="0.25">
      <c r="A95" s="782">
        <v>91020</v>
      </c>
      <c r="B95" s="783" t="s">
        <v>2713</v>
      </c>
      <c r="C95" s="784">
        <v>2.27E-5</v>
      </c>
      <c r="D95" s="784">
        <v>1.9899999999999999E-5</v>
      </c>
      <c r="E95" s="815">
        <v>10949</v>
      </c>
      <c r="F95" s="818">
        <v>42234</v>
      </c>
      <c r="G95" s="785">
        <v>34679</v>
      </c>
      <c r="H95" s="785"/>
      <c r="I95" s="786">
        <v>1998</v>
      </c>
      <c r="J95" s="787">
        <v>8420</v>
      </c>
      <c r="K95" s="786">
        <v>4953</v>
      </c>
      <c r="L95" s="785">
        <v>4064</v>
      </c>
      <c r="M95" s="785"/>
      <c r="N95" s="786">
        <v>982</v>
      </c>
      <c r="O95" s="786">
        <v>0</v>
      </c>
      <c r="P95" s="786">
        <v>0</v>
      </c>
      <c r="Q95" s="785">
        <v>376</v>
      </c>
      <c r="R95" s="785"/>
      <c r="S95" s="786">
        <v>11687</v>
      </c>
      <c r="T95" s="788">
        <v>1259</v>
      </c>
      <c r="U95" s="788">
        <v>12946</v>
      </c>
    </row>
    <row r="96" spans="1:21" x14ac:dyDescent="0.25">
      <c r="A96" s="782">
        <v>91021</v>
      </c>
      <c r="B96" s="783" t="s">
        <v>2714</v>
      </c>
      <c r="C96" s="784">
        <v>8.6450000000000003E-4</v>
      </c>
      <c r="D96" s="784">
        <v>8.6989999999999995E-4</v>
      </c>
      <c r="E96" s="815">
        <v>387782</v>
      </c>
      <c r="F96" s="818">
        <v>1846219</v>
      </c>
      <c r="G96" s="785">
        <v>1320717</v>
      </c>
      <c r="H96" s="785"/>
      <c r="I96" s="786">
        <v>76086</v>
      </c>
      <c r="J96" s="787">
        <v>320672</v>
      </c>
      <c r="K96" s="786">
        <v>188617</v>
      </c>
      <c r="L96" s="785">
        <v>0</v>
      </c>
      <c r="M96" s="785"/>
      <c r="N96" s="786">
        <v>37385</v>
      </c>
      <c r="O96" s="786">
        <v>0</v>
      </c>
      <c r="P96" s="786">
        <v>0</v>
      </c>
      <c r="Q96" s="785">
        <v>82677</v>
      </c>
      <c r="R96" s="785"/>
      <c r="S96" s="786">
        <v>445083</v>
      </c>
      <c r="T96" s="788">
        <v>-48679</v>
      </c>
      <c r="U96" s="788">
        <v>396404</v>
      </c>
    </row>
    <row r="97" spans="1:21" x14ac:dyDescent="0.25">
      <c r="A97" s="782">
        <v>91024</v>
      </c>
      <c r="B97" s="783" t="s">
        <v>2715</v>
      </c>
      <c r="C97" s="784">
        <v>7.2999999999999999E-5</v>
      </c>
      <c r="D97" s="784">
        <v>6.6299999999999999E-5</v>
      </c>
      <c r="E97" s="815">
        <v>34458</v>
      </c>
      <c r="F97" s="818">
        <v>140711</v>
      </c>
      <c r="G97" s="785">
        <v>111524</v>
      </c>
      <c r="H97" s="785"/>
      <c r="I97" s="786">
        <v>6425</v>
      </c>
      <c r="J97" s="787">
        <v>27078</v>
      </c>
      <c r="K97" s="786">
        <v>15927</v>
      </c>
      <c r="L97" s="785">
        <v>24081</v>
      </c>
      <c r="M97" s="785"/>
      <c r="N97" s="786">
        <v>3157</v>
      </c>
      <c r="O97" s="786">
        <v>0</v>
      </c>
      <c r="P97" s="786">
        <v>0</v>
      </c>
      <c r="Q97" s="785">
        <v>0</v>
      </c>
      <c r="R97" s="785"/>
      <c r="S97" s="786">
        <v>37584</v>
      </c>
      <c r="T97" s="788">
        <v>10843</v>
      </c>
      <c r="U97" s="788">
        <f>48426+1</f>
        <v>48427</v>
      </c>
    </row>
    <row r="98" spans="1:21" x14ac:dyDescent="0.25">
      <c r="A98" s="782">
        <v>91026</v>
      </c>
      <c r="B98" s="783" t="s">
        <v>1242</v>
      </c>
      <c r="C98" s="784">
        <v>4.18E-5</v>
      </c>
      <c r="D98" s="784">
        <v>6.0900000000000003E-5</v>
      </c>
      <c r="E98" s="815">
        <v>40781</v>
      </c>
      <c r="F98" s="818">
        <v>129250</v>
      </c>
      <c r="G98" s="785">
        <v>63859</v>
      </c>
      <c r="H98" s="785"/>
      <c r="I98" s="786">
        <v>3679</v>
      </c>
      <c r="J98" s="787">
        <v>15505</v>
      </c>
      <c r="K98" s="786">
        <v>9120</v>
      </c>
      <c r="L98" s="785">
        <v>34468</v>
      </c>
      <c r="M98" s="785"/>
      <c r="N98" s="786">
        <v>1808</v>
      </c>
      <c r="O98" s="786">
        <v>0</v>
      </c>
      <c r="P98" s="786">
        <v>0</v>
      </c>
      <c r="Q98" s="785">
        <v>3103</v>
      </c>
      <c r="R98" s="785"/>
      <c r="S98" s="786">
        <v>21520</v>
      </c>
      <c r="T98" s="788">
        <v>11546</v>
      </c>
      <c r="U98" s="788">
        <v>33066</v>
      </c>
    </row>
    <row r="99" spans="1:21" x14ac:dyDescent="0.25">
      <c r="A99" s="782">
        <v>91027</v>
      </c>
      <c r="B99" s="783" t="s">
        <v>2716</v>
      </c>
      <c r="C99" s="784">
        <v>1.4E-5</v>
      </c>
      <c r="D99" s="784">
        <v>1.6099999999999998E-5</v>
      </c>
      <c r="E99" s="815">
        <v>15968</v>
      </c>
      <c r="F99" s="818">
        <v>34170</v>
      </c>
      <c r="G99" s="785">
        <v>21388</v>
      </c>
      <c r="H99" s="785"/>
      <c r="I99" s="786">
        <v>1232</v>
      </c>
      <c r="J99" s="787">
        <v>5193</v>
      </c>
      <c r="K99" s="786">
        <v>3055</v>
      </c>
      <c r="L99" s="785">
        <v>16343</v>
      </c>
      <c r="M99" s="785"/>
      <c r="N99" s="786">
        <v>605</v>
      </c>
      <c r="O99" s="786">
        <v>0</v>
      </c>
      <c r="P99" s="786">
        <v>0</v>
      </c>
      <c r="Q99" s="785">
        <v>0</v>
      </c>
      <c r="R99" s="785"/>
      <c r="S99" s="786">
        <v>7208</v>
      </c>
      <c r="T99" s="788">
        <v>6601</v>
      </c>
      <c r="U99" s="788">
        <f>13808+1</f>
        <v>13809</v>
      </c>
    </row>
    <row r="100" spans="1:21" x14ac:dyDescent="0.25">
      <c r="A100" s="782">
        <v>91032</v>
      </c>
      <c r="B100" s="783" t="s">
        <v>2717</v>
      </c>
      <c r="C100" s="784">
        <v>1.8E-5</v>
      </c>
      <c r="D100" s="784">
        <v>1.8600000000000001E-5</v>
      </c>
      <c r="E100" s="815">
        <v>16168</v>
      </c>
      <c r="F100" s="818">
        <v>39475</v>
      </c>
      <c r="G100" s="785">
        <v>27499</v>
      </c>
      <c r="H100" s="785"/>
      <c r="I100" s="786">
        <v>1584</v>
      </c>
      <c r="J100" s="787">
        <v>6677</v>
      </c>
      <c r="K100" s="786">
        <v>3927</v>
      </c>
      <c r="L100" s="785">
        <v>14996</v>
      </c>
      <c r="M100" s="785"/>
      <c r="N100" s="786">
        <v>778</v>
      </c>
      <c r="O100" s="786">
        <v>0</v>
      </c>
      <c r="P100" s="786">
        <v>0</v>
      </c>
      <c r="Q100" s="785">
        <v>0</v>
      </c>
      <c r="R100" s="785"/>
      <c r="S100" s="786">
        <v>9267</v>
      </c>
      <c r="T100" s="788">
        <v>6458</v>
      </c>
      <c r="U100" s="788">
        <v>15725</v>
      </c>
    </row>
    <row r="101" spans="1:21" x14ac:dyDescent="0.25">
      <c r="A101" s="782">
        <v>91041</v>
      </c>
      <c r="B101" s="783" t="s">
        <v>2718</v>
      </c>
      <c r="C101" s="784">
        <v>4.0400000000000001E-4</v>
      </c>
      <c r="D101" s="784">
        <v>4.3609999999999998E-4</v>
      </c>
      <c r="E101" s="815">
        <v>157511</v>
      </c>
      <c r="F101" s="818">
        <v>925550</v>
      </c>
      <c r="G101" s="785">
        <v>617200</v>
      </c>
      <c r="H101" s="785"/>
      <c r="I101" s="786">
        <v>35556</v>
      </c>
      <c r="J101" s="787">
        <v>149857</v>
      </c>
      <c r="K101" s="786">
        <v>88145</v>
      </c>
      <c r="L101" s="785">
        <v>0</v>
      </c>
      <c r="M101" s="785"/>
      <c r="N101" s="786">
        <v>17471</v>
      </c>
      <c r="O101" s="786">
        <v>0</v>
      </c>
      <c r="P101" s="786">
        <v>0</v>
      </c>
      <c r="Q101" s="785">
        <v>109443</v>
      </c>
      <c r="R101" s="785"/>
      <c r="S101" s="786">
        <v>207997</v>
      </c>
      <c r="T101" s="788">
        <v>-39088</v>
      </c>
      <c r="U101" s="788">
        <v>168909</v>
      </c>
    </row>
    <row r="102" spans="1:21" x14ac:dyDescent="0.25">
      <c r="A102" s="782">
        <v>91042</v>
      </c>
      <c r="B102" s="783" t="s">
        <v>2719</v>
      </c>
      <c r="C102" s="784">
        <v>2.3360000000000001E-4</v>
      </c>
      <c r="D102" s="784">
        <v>2.062E-4</v>
      </c>
      <c r="E102" s="815">
        <v>99551</v>
      </c>
      <c r="F102" s="818">
        <v>437625</v>
      </c>
      <c r="G102" s="785">
        <v>356876</v>
      </c>
      <c r="H102" s="785"/>
      <c r="I102" s="786">
        <v>20559</v>
      </c>
      <c r="J102" s="787">
        <v>86650</v>
      </c>
      <c r="K102" s="786">
        <v>50967</v>
      </c>
      <c r="L102" s="785">
        <v>12354</v>
      </c>
      <c r="M102" s="785"/>
      <c r="N102" s="786">
        <v>10102</v>
      </c>
      <c r="O102" s="786">
        <v>0</v>
      </c>
      <c r="P102" s="786">
        <v>0</v>
      </c>
      <c r="Q102" s="785">
        <v>6985</v>
      </c>
      <c r="R102" s="785"/>
      <c r="S102" s="786">
        <v>120268</v>
      </c>
      <c r="T102" s="788">
        <v>717</v>
      </c>
      <c r="U102" s="788">
        <f>120984+1</f>
        <v>120985</v>
      </c>
    </row>
    <row r="103" spans="1:21" x14ac:dyDescent="0.25">
      <c r="A103" s="782">
        <v>91047</v>
      </c>
      <c r="B103" s="783" t="s">
        <v>2720</v>
      </c>
      <c r="C103" s="784">
        <v>1.31E-5</v>
      </c>
      <c r="D103" s="784">
        <v>1.3200000000000001E-5</v>
      </c>
      <c r="E103" s="815">
        <v>16396</v>
      </c>
      <c r="F103" s="818">
        <v>28015</v>
      </c>
      <c r="G103" s="785">
        <v>20013</v>
      </c>
      <c r="H103" s="785"/>
      <c r="I103" s="786">
        <v>1153</v>
      </c>
      <c r="J103" s="787">
        <v>4859</v>
      </c>
      <c r="K103" s="786">
        <v>2858</v>
      </c>
      <c r="L103" s="785">
        <v>20507</v>
      </c>
      <c r="M103" s="785"/>
      <c r="N103" s="786">
        <v>567</v>
      </c>
      <c r="O103" s="786">
        <v>0</v>
      </c>
      <c r="P103" s="786">
        <v>0</v>
      </c>
      <c r="Q103" s="785">
        <v>0</v>
      </c>
      <c r="R103" s="785"/>
      <c r="S103" s="786">
        <v>6744</v>
      </c>
      <c r="T103" s="788">
        <v>7559</v>
      </c>
      <c r="U103" s="788">
        <v>14303</v>
      </c>
    </row>
    <row r="104" spans="1:21" x14ac:dyDescent="0.25">
      <c r="A104" s="782">
        <v>91051</v>
      </c>
      <c r="B104" s="783" t="s">
        <v>2721</v>
      </c>
      <c r="C104" s="784">
        <v>6.6400000000000001E-5</v>
      </c>
      <c r="D104" s="784">
        <v>7.6600000000000005E-5</v>
      </c>
      <c r="E104" s="815">
        <v>30964</v>
      </c>
      <c r="F104" s="818">
        <v>162571</v>
      </c>
      <c r="G104" s="785">
        <v>101441</v>
      </c>
      <c r="H104" s="785"/>
      <c r="I104" s="786">
        <v>5844</v>
      </c>
      <c r="J104" s="787">
        <v>24630</v>
      </c>
      <c r="K104" s="786">
        <v>14487</v>
      </c>
      <c r="L104" s="785">
        <v>1619</v>
      </c>
      <c r="M104" s="785"/>
      <c r="N104" s="786">
        <v>2871</v>
      </c>
      <c r="O104" s="786">
        <v>0</v>
      </c>
      <c r="P104" s="786">
        <v>0</v>
      </c>
      <c r="Q104" s="785">
        <v>8430</v>
      </c>
      <c r="R104" s="785"/>
      <c r="S104" s="786">
        <v>34186</v>
      </c>
      <c r="T104" s="788">
        <v>-1576</v>
      </c>
      <c r="U104" s="788">
        <f>32609+1</f>
        <v>32610</v>
      </c>
    </row>
    <row r="105" spans="1:21" x14ac:dyDescent="0.25">
      <c r="A105" s="782">
        <v>91057</v>
      </c>
      <c r="B105" s="783" t="s">
        <v>2722</v>
      </c>
      <c r="C105" s="784">
        <v>1.4399999999999999E-5</v>
      </c>
      <c r="D105" s="784">
        <v>1.5E-5</v>
      </c>
      <c r="E105" s="815">
        <v>9616</v>
      </c>
      <c r="F105" s="818">
        <v>31835</v>
      </c>
      <c r="G105" s="785">
        <v>21999</v>
      </c>
      <c r="H105" s="785"/>
      <c r="I105" s="786">
        <v>1267</v>
      </c>
      <c r="J105" s="787">
        <v>5342</v>
      </c>
      <c r="K105" s="786">
        <v>3142</v>
      </c>
      <c r="L105" s="785">
        <v>5805</v>
      </c>
      <c r="M105" s="785"/>
      <c r="N105" s="786">
        <v>623</v>
      </c>
      <c r="O105" s="786">
        <v>0</v>
      </c>
      <c r="P105" s="786">
        <v>0</v>
      </c>
      <c r="Q105" s="785">
        <v>0</v>
      </c>
      <c r="R105" s="785"/>
      <c r="S105" s="786">
        <v>7414</v>
      </c>
      <c r="T105" s="788">
        <v>2191</v>
      </c>
      <c r="U105" s="788">
        <v>9605</v>
      </c>
    </row>
    <row r="106" spans="1:21" x14ac:dyDescent="0.25">
      <c r="A106" s="782">
        <v>91061</v>
      </c>
      <c r="B106" s="783" t="s">
        <v>2723</v>
      </c>
      <c r="C106" s="784">
        <v>4.104E-4</v>
      </c>
      <c r="D106" s="784">
        <v>3.7730000000000001E-4</v>
      </c>
      <c r="E106" s="815">
        <v>172504</v>
      </c>
      <c r="F106" s="818">
        <v>800757</v>
      </c>
      <c r="G106" s="785">
        <v>626978</v>
      </c>
      <c r="H106" s="785"/>
      <c r="I106" s="786">
        <v>36120</v>
      </c>
      <c r="J106" s="787">
        <v>152231</v>
      </c>
      <c r="K106" s="786">
        <v>89541</v>
      </c>
      <c r="L106" s="785">
        <v>19267</v>
      </c>
      <c r="M106" s="785"/>
      <c r="N106" s="786">
        <v>17748</v>
      </c>
      <c r="O106" s="786">
        <v>0</v>
      </c>
      <c r="P106" s="786">
        <v>0</v>
      </c>
      <c r="Q106" s="785">
        <v>27800</v>
      </c>
      <c r="R106" s="785"/>
      <c r="S106" s="786">
        <v>211292</v>
      </c>
      <c r="T106" s="788">
        <v>-13384</v>
      </c>
      <c r="U106" s="788">
        <v>197908</v>
      </c>
    </row>
    <row r="107" spans="1:21" x14ac:dyDescent="0.25">
      <c r="A107" s="782">
        <v>91067</v>
      </c>
      <c r="B107" s="783" t="s">
        <v>2724</v>
      </c>
      <c r="C107" s="784">
        <v>1.5699999999999999E-5</v>
      </c>
      <c r="D107" s="784">
        <v>1.8499999999999999E-5</v>
      </c>
      <c r="E107" s="815">
        <v>9046</v>
      </c>
      <c r="F107" s="818">
        <v>39263</v>
      </c>
      <c r="G107" s="785">
        <v>23985</v>
      </c>
      <c r="H107" s="785"/>
      <c r="I107" s="786">
        <v>1382</v>
      </c>
      <c r="J107" s="787">
        <v>5824</v>
      </c>
      <c r="K107" s="786">
        <v>3425</v>
      </c>
      <c r="L107" s="785">
        <v>2413</v>
      </c>
      <c r="M107" s="785"/>
      <c r="N107" s="786">
        <v>679</v>
      </c>
      <c r="O107" s="786">
        <v>0</v>
      </c>
      <c r="P107" s="786">
        <v>0</v>
      </c>
      <c r="Q107" s="785">
        <v>406</v>
      </c>
      <c r="R107" s="785"/>
      <c r="S107" s="786">
        <v>8083</v>
      </c>
      <c r="T107" s="788">
        <v>1156</v>
      </c>
      <c r="U107" s="788">
        <v>9239</v>
      </c>
    </row>
    <row r="108" spans="1:21" x14ac:dyDescent="0.25">
      <c r="A108" s="782">
        <v>91071</v>
      </c>
      <c r="B108" s="783" t="s">
        <v>2725</v>
      </c>
      <c r="C108" s="784">
        <v>2.2770000000000001E-4</v>
      </c>
      <c r="D108" s="784">
        <v>2.4379999999999999E-4</v>
      </c>
      <c r="E108" s="815">
        <v>93245</v>
      </c>
      <c r="F108" s="818">
        <v>517425</v>
      </c>
      <c r="G108" s="785">
        <v>347863</v>
      </c>
      <c r="H108" s="785"/>
      <c r="I108" s="786">
        <v>20040</v>
      </c>
      <c r="J108" s="787">
        <v>84462</v>
      </c>
      <c r="K108" s="786">
        <v>49680</v>
      </c>
      <c r="L108" s="785">
        <v>8372</v>
      </c>
      <c r="M108" s="785"/>
      <c r="N108" s="786">
        <v>9847</v>
      </c>
      <c r="O108" s="786">
        <v>0</v>
      </c>
      <c r="P108" s="786">
        <v>0</v>
      </c>
      <c r="Q108" s="785">
        <v>22478</v>
      </c>
      <c r="R108" s="785"/>
      <c r="S108" s="786">
        <v>117230</v>
      </c>
      <c r="T108" s="788">
        <v>2353</v>
      </c>
      <c r="U108" s="788">
        <v>119583</v>
      </c>
    </row>
    <row r="109" spans="1:21" x14ac:dyDescent="0.25">
      <c r="A109" s="782">
        <v>91077</v>
      </c>
      <c r="B109" s="783" t="s">
        <v>2726</v>
      </c>
      <c r="C109" s="784">
        <v>3.5999999999999998E-6</v>
      </c>
      <c r="D109" s="784">
        <v>3.9999999999999998E-6</v>
      </c>
      <c r="E109" s="815">
        <v>3277</v>
      </c>
      <c r="F109" s="818">
        <v>8489</v>
      </c>
      <c r="G109" s="785">
        <v>5500</v>
      </c>
      <c r="H109" s="785"/>
      <c r="I109" s="786">
        <v>317</v>
      </c>
      <c r="J109" s="787">
        <v>1336</v>
      </c>
      <c r="K109" s="786">
        <v>785</v>
      </c>
      <c r="L109" s="785">
        <v>1826</v>
      </c>
      <c r="M109" s="785"/>
      <c r="N109" s="786">
        <v>156</v>
      </c>
      <c r="O109" s="786">
        <v>0</v>
      </c>
      <c r="P109" s="786">
        <v>0</v>
      </c>
      <c r="Q109" s="785">
        <v>51</v>
      </c>
      <c r="R109" s="785"/>
      <c r="S109" s="786">
        <v>1853</v>
      </c>
      <c r="T109" s="788">
        <v>551</v>
      </c>
      <c r="U109" s="788">
        <f>2405-1</f>
        <v>2404</v>
      </c>
    </row>
    <row r="110" spans="1:21" x14ac:dyDescent="0.25">
      <c r="A110" s="782">
        <v>91081</v>
      </c>
      <c r="B110" s="783" t="s">
        <v>2727</v>
      </c>
      <c r="C110" s="784">
        <v>3.6240000000000003E-4</v>
      </c>
      <c r="D110" s="784">
        <v>3.6499999999999998E-4</v>
      </c>
      <c r="E110" s="815">
        <v>169112</v>
      </c>
      <c r="F110" s="818">
        <v>774652</v>
      </c>
      <c r="G110" s="785">
        <v>553647</v>
      </c>
      <c r="H110" s="785"/>
      <c r="I110" s="786">
        <v>31895</v>
      </c>
      <c r="J110" s="787">
        <v>134426</v>
      </c>
      <c r="K110" s="786">
        <v>79068</v>
      </c>
      <c r="L110" s="785">
        <v>1618</v>
      </c>
      <c r="M110" s="785"/>
      <c r="N110" s="786">
        <v>15672</v>
      </c>
      <c r="O110" s="786">
        <v>0</v>
      </c>
      <c r="P110" s="786">
        <v>0</v>
      </c>
      <c r="Q110" s="785">
        <v>13549</v>
      </c>
      <c r="R110" s="785"/>
      <c r="S110" s="786">
        <v>186579</v>
      </c>
      <c r="T110" s="788">
        <v>-13101</v>
      </c>
      <c r="U110" s="788">
        <v>173478</v>
      </c>
    </row>
    <row r="111" spans="1:21" x14ac:dyDescent="0.25">
      <c r="A111" s="782">
        <v>91091</v>
      </c>
      <c r="B111" s="783" t="s">
        <v>2728</v>
      </c>
      <c r="C111" s="784">
        <v>5.3790000000000001E-4</v>
      </c>
      <c r="D111" s="784">
        <v>5.6380000000000004E-4</v>
      </c>
      <c r="E111" s="815">
        <v>225749</v>
      </c>
      <c r="F111" s="818">
        <v>1196572</v>
      </c>
      <c r="G111" s="785">
        <v>821762</v>
      </c>
      <c r="H111" s="785"/>
      <c r="I111" s="786">
        <v>47341</v>
      </c>
      <c r="J111" s="787">
        <v>199525</v>
      </c>
      <c r="K111" s="786">
        <v>117359</v>
      </c>
      <c r="L111" s="785">
        <v>0</v>
      </c>
      <c r="M111" s="785"/>
      <c r="N111" s="786">
        <v>23261</v>
      </c>
      <c r="O111" s="786">
        <v>0</v>
      </c>
      <c r="P111" s="786">
        <v>0</v>
      </c>
      <c r="Q111" s="785">
        <v>66212</v>
      </c>
      <c r="R111" s="785"/>
      <c r="S111" s="786">
        <v>276935</v>
      </c>
      <c r="T111" s="788">
        <v>-30835</v>
      </c>
      <c r="U111" s="788">
        <f>246099+1</f>
        <v>246100</v>
      </c>
    </row>
    <row r="112" spans="1:21" x14ac:dyDescent="0.25">
      <c r="A112" s="782">
        <v>91101</v>
      </c>
      <c r="B112" s="783" t="s">
        <v>2729</v>
      </c>
      <c r="C112" s="784">
        <v>1.35581E-2</v>
      </c>
      <c r="D112" s="784">
        <v>1.36685E-2</v>
      </c>
      <c r="E112" s="815">
        <v>5894551</v>
      </c>
      <c r="F112" s="818">
        <v>29009136</v>
      </c>
      <c r="G112" s="785">
        <v>20713021</v>
      </c>
      <c r="H112" s="785"/>
      <c r="I112" s="786">
        <v>1193262</v>
      </c>
      <c r="J112" s="787">
        <v>5029146</v>
      </c>
      <c r="K112" s="786">
        <v>2958106</v>
      </c>
      <c r="L112" s="785">
        <v>471609</v>
      </c>
      <c r="M112" s="785"/>
      <c r="N112" s="786">
        <v>586320</v>
      </c>
      <c r="O112" s="786">
        <v>0</v>
      </c>
      <c r="P112" s="786">
        <v>0</v>
      </c>
      <c r="Q112" s="785">
        <v>587664</v>
      </c>
      <c r="R112" s="785"/>
      <c r="S112" s="786">
        <v>6980306</v>
      </c>
      <c r="T112" s="788">
        <v>147859</v>
      </c>
      <c r="U112" s="788">
        <v>7128165</v>
      </c>
    </row>
    <row r="113" spans="1:21" x14ac:dyDescent="0.25">
      <c r="A113" s="782">
        <v>91102</v>
      </c>
      <c r="B113" s="783" t="s">
        <v>2730</v>
      </c>
      <c r="C113" s="784">
        <v>3.2919999999999998E-4</v>
      </c>
      <c r="D113" s="784">
        <v>3.034E-4</v>
      </c>
      <c r="E113" s="815">
        <v>156560</v>
      </c>
      <c r="F113" s="818">
        <v>643916</v>
      </c>
      <c r="G113" s="785">
        <v>502926</v>
      </c>
      <c r="H113" s="785"/>
      <c r="I113" s="786">
        <v>28973</v>
      </c>
      <c r="J113" s="787">
        <v>122111</v>
      </c>
      <c r="K113" s="786">
        <v>71825</v>
      </c>
      <c r="L113" s="785">
        <v>35240</v>
      </c>
      <c r="M113" s="785"/>
      <c r="N113" s="786">
        <v>14236</v>
      </c>
      <c r="O113" s="786">
        <v>0</v>
      </c>
      <c r="P113" s="786">
        <v>0</v>
      </c>
      <c r="Q113" s="785">
        <v>33978</v>
      </c>
      <c r="R113" s="785"/>
      <c r="S113" s="786">
        <v>169487</v>
      </c>
      <c r="T113" s="788">
        <v>-8323</v>
      </c>
      <c r="U113" s="788">
        <f>161163+1</f>
        <v>161164</v>
      </c>
    </row>
    <row r="114" spans="1:21" x14ac:dyDescent="0.25">
      <c r="A114" s="782">
        <v>91104</v>
      </c>
      <c r="B114" s="783" t="s">
        <v>2731</v>
      </c>
      <c r="C114" s="784">
        <v>7.9000000000000006E-6</v>
      </c>
      <c r="D114" s="784">
        <v>8.1999999999999994E-6</v>
      </c>
      <c r="E114" s="815">
        <v>5628</v>
      </c>
      <c r="F114" s="818">
        <v>17403</v>
      </c>
      <c r="G114" s="785">
        <v>12069</v>
      </c>
      <c r="H114" s="785"/>
      <c r="I114" s="786">
        <v>695</v>
      </c>
      <c r="J114" s="787">
        <v>2930</v>
      </c>
      <c r="K114" s="786">
        <v>1724</v>
      </c>
      <c r="L114" s="785">
        <v>2115</v>
      </c>
      <c r="M114" s="785"/>
      <c r="N114" s="786">
        <v>342</v>
      </c>
      <c r="O114" s="786">
        <v>0</v>
      </c>
      <c r="P114" s="786">
        <v>0</v>
      </c>
      <c r="Q114" s="785">
        <v>39</v>
      </c>
      <c r="R114" s="785"/>
      <c r="S114" s="786">
        <v>4067</v>
      </c>
      <c r="T114" s="788">
        <v>589</v>
      </c>
      <c r="U114" s="788">
        <v>4656</v>
      </c>
    </row>
    <row r="115" spans="1:21" x14ac:dyDescent="0.25">
      <c r="A115" s="782">
        <v>91107</v>
      </c>
      <c r="B115" s="783" t="s">
        <v>3663</v>
      </c>
      <c r="C115" s="784">
        <v>7.08E-5</v>
      </c>
      <c r="D115" s="784">
        <v>6.7899999999999997E-5</v>
      </c>
      <c r="E115" s="815">
        <v>36616</v>
      </c>
      <c r="F115" s="818">
        <v>0</v>
      </c>
      <c r="G115" s="785">
        <v>108163</v>
      </c>
      <c r="H115" s="785"/>
      <c r="I115" s="786">
        <v>6231</v>
      </c>
      <c r="J115" s="787">
        <v>26263</v>
      </c>
      <c r="K115" s="786">
        <v>15447</v>
      </c>
      <c r="L115" s="785">
        <v>13143</v>
      </c>
      <c r="M115" s="785"/>
      <c r="N115" s="786">
        <v>3062</v>
      </c>
      <c r="O115" s="786">
        <v>0</v>
      </c>
      <c r="P115" s="786">
        <v>0</v>
      </c>
      <c r="Q115" s="785">
        <v>0</v>
      </c>
      <c r="R115" s="785"/>
      <c r="S115" s="786">
        <v>36451</v>
      </c>
      <c r="T115" s="788">
        <v>5162</v>
      </c>
      <c r="U115" s="788">
        <v>41613</v>
      </c>
    </row>
    <row r="116" spans="1:21" x14ac:dyDescent="0.25">
      <c r="A116" s="782">
        <v>91108</v>
      </c>
      <c r="B116" s="783" t="s">
        <v>2733</v>
      </c>
      <c r="C116" s="784">
        <v>1.2413999999999999E-3</v>
      </c>
      <c r="D116" s="784">
        <v>1.2622E-3</v>
      </c>
      <c r="E116" s="815">
        <v>613476</v>
      </c>
      <c r="F116" s="818">
        <v>2678811</v>
      </c>
      <c r="G116" s="785">
        <v>1896515</v>
      </c>
      <c r="H116" s="785"/>
      <c r="I116" s="786">
        <v>109257</v>
      </c>
      <c r="J116" s="787">
        <v>460476</v>
      </c>
      <c r="K116" s="786">
        <v>270849</v>
      </c>
      <c r="L116" s="785">
        <v>74887</v>
      </c>
      <c r="M116" s="785"/>
      <c r="N116" s="786">
        <v>53684</v>
      </c>
      <c r="O116" s="786">
        <v>0</v>
      </c>
      <c r="P116" s="786">
        <v>0</v>
      </c>
      <c r="Q116" s="785">
        <v>0</v>
      </c>
      <c r="R116" s="785"/>
      <c r="S116" s="786">
        <v>639127</v>
      </c>
      <c r="T116" s="788">
        <v>34876</v>
      </c>
      <c r="U116" s="788">
        <v>674003</v>
      </c>
    </row>
    <row r="117" spans="1:21" x14ac:dyDescent="0.25">
      <c r="A117" s="782">
        <v>91109</v>
      </c>
      <c r="B117" s="783" t="s">
        <v>2734</v>
      </c>
      <c r="C117" s="784">
        <v>9.9599999999999995E-5</v>
      </c>
      <c r="D117" s="784">
        <v>9.2100000000000003E-5</v>
      </c>
      <c r="E117" s="815">
        <v>45066</v>
      </c>
      <c r="F117" s="818">
        <v>195467</v>
      </c>
      <c r="G117" s="785">
        <v>152161</v>
      </c>
      <c r="H117" s="785"/>
      <c r="I117" s="786">
        <v>8766</v>
      </c>
      <c r="J117" s="787">
        <v>36945</v>
      </c>
      <c r="K117" s="786">
        <v>21731</v>
      </c>
      <c r="L117" s="785">
        <v>5921</v>
      </c>
      <c r="M117" s="785"/>
      <c r="N117" s="786">
        <v>4307</v>
      </c>
      <c r="O117" s="786">
        <v>0</v>
      </c>
      <c r="P117" s="786">
        <v>0</v>
      </c>
      <c r="Q117" s="785">
        <v>920</v>
      </c>
      <c r="R117" s="785"/>
      <c r="S117" s="786">
        <v>51278</v>
      </c>
      <c r="T117" s="788">
        <v>1215</v>
      </c>
      <c r="U117" s="788">
        <v>52493</v>
      </c>
    </row>
    <row r="118" spans="1:21" x14ac:dyDescent="0.25">
      <c r="A118" s="782">
        <v>91111</v>
      </c>
      <c r="B118" s="783" t="s">
        <v>2735</v>
      </c>
      <c r="C118" s="784">
        <v>2.2719999999999999E-4</v>
      </c>
      <c r="D118" s="784">
        <v>2.2359999999999999E-4</v>
      </c>
      <c r="E118" s="815">
        <v>110903</v>
      </c>
      <c r="F118" s="818">
        <v>474554</v>
      </c>
      <c r="G118" s="785">
        <v>347099</v>
      </c>
      <c r="H118" s="785"/>
      <c r="I118" s="786">
        <v>19996</v>
      </c>
      <c r="J118" s="787">
        <v>84276</v>
      </c>
      <c r="K118" s="786">
        <v>49570</v>
      </c>
      <c r="L118" s="785">
        <v>25492</v>
      </c>
      <c r="M118" s="785"/>
      <c r="N118" s="786">
        <v>9825</v>
      </c>
      <c r="O118" s="786">
        <v>0</v>
      </c>
      <c r="P118" s="786">
        <v>0</v>
      </c>
      <c r="Q118" s="785">
        <v>0</v>
      </c>
      <c r="R118" s="785"/>
      <c r="S118" s="786">
        <v>116973</v>
      </c>
      <c r="T118" s="788">
        <v>10793</v>
      </c>
      <c r="U118" s="788">
        <v>127766</v>
      </c>
    </row>
    <row r="119" spans="1:21" x14ac:dyDescent="0.25">
      <c r="A119" s="782">
        <v>91119</v>
      </c>
      <c r="B119" s="783" t="s">
        <v>1262</v>
      </c>
      <c r="C119" s="784">
        <v>0</v>
      </c>
      <c r="D119" s="784">
        <v>0</v>
      </c>
      <c r="E119" s="815">
        <v>0</v>
      </c>
      <c r="F119" s="818">
        <v>0</v>
      </c>
      <c r="G119" s="785">
        <v>0</v>
      </c>
      <c r="H119" s="785"/>
      <c r="I119" s="786">
        <v>0</v>
      </c>
      <c r="J119" s="787">
        <v>0</v>
      </c>
      <c r="K119" s="786">
        <v>0</v>
      </c>
      <c r="L119" s="785">
        <v>0</v>
      </c>
      <c r="M119" s="785"/>
      <c r="N119" s="786">
        <v>0</v>
      </c>
      <c r="O119" s="786">
        <v>0</v>
      </c>
      <c r="P119" s="786">
        <v>0</v>
      </c>
      <c r="Q119" s="785">
        <v>321091</v>
      </c>
      <c r="R119" s="785"/>
      <c r="S119" s="786">
        <v>0</v>
      </c>
      <c r="T119" s="788">
        <v>-324334</v>
      </c>
      <c r="U119" s="788">
        <v>-324334</v>
      </c>
    </row>
    <row r="120" spans="1:21" x14ac:dyDescent="0.25">
      <c r="A120" s="782">
        <v>91120</v>
      </c>
      <c r="B120" s="783" t="s">
        <v>2736</v>
      </c>
      <c r="C120" s="784">
        <v>1.3019999999999999E-4</v>
      </c>
      <c r="D120" s="784">
        <v>1.184E-4</v>
      </c>
      <c r="E120" s="815">
        <v>45449</v>
      </c>
      <c r="F120" s="818">
        <v>251284</v>
      </c>
      <c r="G120" s="785">
        <v>198910</v>
      </c>
      <c r="H120" s="785"/>
      <c r="I120" s="786">
        <v>11459</v>
      </c>
      <c r="J120" s="787">
        <v>48295</v>
      </c>
      <c r="K120" s="786">
        <v>28407</v>
      </c>
      <c r="L120" s="785">
        <v>0</v>
      </c>
      <c r="M120" s="785"/>
      <c r="N120" s="786">
        <v>5630</v>
      </c>
      <c r="O120" s="786">
        <v>0</v>
      </c>
      <c r="P120" s="786">
        <v>0</v>
      </c>
      <c r="Q120" s="785">
        <v>21939</v>
      </c>
      <c r="R120" s="785"/>
      <c r="S120" s="786">
        <v>67033</v>
      </c>
      <c r="T120" s="788">
        <v>-12131</v>
      </c>
      <c r="U120" s="788">
        <v>54902</v>
      </c>
    </row>
    <row r="121" spans="1:21" x14ac:dyDescent="0.25">
      <c r="A121" s="782">
        <v>91121</v>
      </c>
      <c r="B121" s="783" t="s">
        <v>2737</v>
      </c>
      <c r="C121" s="784">
        <v>9.9927999999999996E-3</v>
      </c>
      <c r="D121" s="784">
        <v>9.7842999999999992E-3</v>
      </c>
      <c r="E121" s="815">
        <v>4272051</v>
      </c>
      <c r="F121" s="818">
        <v>20765562</v>
      </c>
      <c r="G121" s="785">
        <v>15266230</v>
      </c>
      <c r="H121" s="785"/>
      <c r="I121" s="786">
        <v>879476</v>
      </c>
      <c r="J121" s="787">
        <v>3706660</v>
      </c>
      <c r="K121" s="786">
        <v>2180229</v>
      </c>
      <c r="L121" s="785">
        <v>0</v>
      </c>
      <c r="M121" s="785"/>
      <c r="N121" s="786">
        <v>432139</v>
      </c>
      <c r="O121" s="786">
        <v>0</v>
      </c>
      <c r="P121" s="786">
        <v>0</v>
      </c>
      <c r="Q121" s="785">
        <v>650994</v>
      </c>
      <c r="R121" s="785"/>
      <c r="S121" s="786">
        <v>5144733</v>
      </c>
      <c r="T121" s="788">
        <v>-324255</v>
      </c>
      <c r="U121" s="788">
        <f>4820479-1</f>
        <v>4820478</v>
      </c>
    </row>
    <row r="122" spans="1:21" x14ac:dyDescent="0.25">
      <c r="A122" s="782">
        <v>91127</v>
      </c>
      <c r="B122" s="783" t="s">
        <v>2738</v>
      </c>
      <c r="C122" s="784">
        <v>2.6879999999999997E-4</v>
      </c>
      <c r="D122" s="784">
        <v>2.8229999999999998E-4</v>
      </c>
      <c r="E122" s="815">
        <v>146935</v>
      </c>
      <c r="F122" s="818">
        <v>599135</v>
      </c>
      <c r="G122" s="785">
        <v>410652</v>
      </c>
      <c r="H122" s="785"/>
      <c r="I122" s="786">
        <v>23657</v>
      </c>
      <c r="J122" s="787">
        <v>99706</v>
      </c>
      <c r="K122" s="786">
        <v>58647</v>
      </c>
      <c r="L122" s="785">
        <v>46863</v>
      </c>
      <c r="M122" s="785"/>
      <c r="N122" s="786">
        <v>11624</v>
      </c>
      <c r="O122" s="786">
        <v>0</v>
      </c>
      <c r="P122" s="786">
        <v>0</v>
      </c>
      <c r="Q122" s="785">
        <v>0</v>
      </c>
      <c r="R122" s="785"/>
      <c r="S122" s="786">
        <v>138390</v>
      </c>
      <c r="T122" s="788">
        <v>25061</v>
      </c>
      <c r="U122" s="788">
        <v>163451</v>
      </c>
    </row>
    <row r="123" spans="1:21" x14ac:dyDescent="0.25">
      <c r="A123" s="782">
        <v>91128</v>
      </c>
      <c r="B123" s="783" t="s">
        <v>2739</v>
      </c>
      <c r="C123" s="784">
        <v>5.2380000000000005E-4</v>
      </c>
      <c r="D123" s="784">
        <v>5.0929999999999997E-4</v>
      </c>
      <c r="E123" s="815">
        <v>238305</v>
      </c>
      <c r="F123" s="818">
        <v>1080905</v>
      </c>
      <c r="G123" s="785">
        <v>800221</v>
      </c>
      <c r="H123" s="785"/>
      <c r="I123" s="786">
        <v>46100</v>
      </c>
      <c r="J123" s="787">
        <v>194295</v>
      </c>
      <c r="K123" s="786">
        <v>114283</v>
      </c>
      <c r="L123" s="785">
        <v>15169</v>
      </c>
      <c r="M123" s="785"/>
      <c r="N123" s="786">
        <v>22652</v>
      </c>
      <c r="O123" s="786">
        <v>0</v>
      </c>
      <c r="P123" s="786">
        <v>0</v>
      </c>
      <c r="Q123" s="785">
        <v>6263</v>
      </c>
      <c r="R123" s="785"/>
      <c r="S123" s="786">
        <v>269675</v>
      </c>
      <c r="T123" s="788">
        <v>-679</v>
      </c>
      <c r="U123" s="788">
        <v>268996</v>
      </c>
    </row>
    <row r="124" spans="1:21" x14ac:dyDescent="0.25">
      <c r="A124" s="782">
        <v>91138</v>
      </c>
      <c r="B124" s="783" t="s">
        <v>2740</v>
      </c>
      <c r="C124" s="784">
        <v>6.2629999999999999E-4</v>
      </c>
      <c r="D124" s="784">
        <v>6.2350000000000003E-4</v>
      </c>
      <c r="E124" s="815">
        <v>220646</v>
      </c>
      <c r="F124" s="818">
        <v>1323276</v>
      </c>
      <c r="G124" s="785">
        <v>956813</v>
      </c>
      <c r="H124" s="785"/>
      <c r="I124" s="786">
        <v>55121</v>
      </c>
      <c r="J124" s="787">
        <v>232316</v>
      </c>
      <c r="K124" s="786">
        <v>136646</v>
      </c>
      <c r="L124" s="785">
        <v>0</v>
      </c>
      <c r="M124" s="785"/>
      <c r="N124" s="786">
        <v>27084</v>
      </c>
      <c r="O124" s="786">
        <v>0</v>
      </c>
      <c r="P124" s="786">
        <v>0</v>
      </c>
      <c r="Q124" s="785">
        <v>127984</v>
      </c>
      <c r="R124" s="785"/>
      <c r="S124" s="786">
        <v>322447</v>
      </c>
      <c r="T124" s="788">
        <v>-48531</v>
      </c>
      <c r="U124" s="788">
        <v>273916</v>
      </c>
    </row>
    <row r="125" spans="1:21" x14ac:dyDescent="0.25">
      <c r="A125" s="782">
        <v>91141</v>
      </c>
      <c r="B125" s="783" t="s">
        <v>2741</v>
      </c>
      <c r="C125" s="784">
        <v>5.7569999999999995E-4</v>
      </c>
      <c r="D125" s="784">
        <v>5.5679999999999998E-4</v>
      </c>
      <c r="E125" s="815">
        <v>236315</v>
      </c>
      <c r="F125" s="818">
        <v>1181716</v>
      </c>
      <c r="G125" s="785">
        <v>879510</v>
      </c>
      <c r="H125" s="785"/>
      <c r="I125" s="786">
        <v>50668</v>
      </c>
      <c r="J125" s="787">
        <v>213546</v>
      </c>
      <c r="K125" s="786">
        <v>125606</v>
      </c>
      <c r="L125" s="785">
        <v>0</v>
      </c>
      <c r="M125" s="785"/>
      <c r="N125" s="786">
        <v>24896</v>
      </c>
      <c r="O125" s="786">
        <v>0</v>
      </c>
      <c r="P125" s="786">
        <v>0</v>
      </c>
      <c r="Q125" s="785">
        <v>80393</v>
      </c>
      <c r="R125" s="785"/>
      <c r="S125" s="786">
        <v>296396</v>
      </c>
      <c r="T125" s="788">
        <v>-38126</v>
      </c>
      <c r="U125" s="788">
        <v>258270</v>
      </c>
    </row>
    <row r="126" spans="1:21" x14ac:dyDescent="0.25">
      <c r="A126" s="782">
        <v>91147</v>
      </c>
      <c r="B126" s="783" t="s">
        <v>2742</v>
      </c>
      <c r="C126" s="784">
        <v>2.6699999999999998E-5</v>
      </c>
      <c r="D126" s="784">
        <v>2.4199999999999999E-5</v>
      </c>
      <c r="E126" s="815">
        <v>12125</v>
      </c>
      <c r="F126" s="818">
        <v>51361</v>
      </c>
      <c r="G126" s="785">
        <v>40790</v>
      </c>
      <c r="H126" s="785"/>
      <c r="I126" s="786">
        <v>2350</v>
      </c>
      <c r="J126" s="787">
        <v>9904</v>
      </c>
      <c r="K126" s="786">
        <v>5825</v>
      </c>
      <c r="L126" s="785">
        <v>8489</v>
      </c>
      <c r="M126" s="785"/>
      <c r="N126" s="786">
        <v>1155</v>
      </c>
      <c r="O126" s="786">
        <v>0</v>
      </c>
      <c r="P126" s="786">
        <v>0</v>
      </c>
      <c r="Q126" s="785">
        <v>0</v>
      </c>
      <c r="R126" s="785"/>
      <c r="S126" s="786">
        <v>13746</v>
      </c>
      <c r="T126" s="788">
        <v>4333</v>
      </c>
      <c r="U126" s="788">
        <f>18080-1</f>
        <v>18079</v>
      </c>
    </row>
    <row r="127" spans="1:21" x14ac:dyDescent="0.25">
      <c r="A127" s="782">
        <v>91151</v>
      </c>
      <c r="B127" s="783" t="s">
        <v>2743</v>
      </c>
      <c r="C127" s="784">
        <v>6.3409999999999996E-4</v>
      </c>
      <c r="D127" s="784">
        <v>6.1180000000000002E-4</v>
      </c>
      <c r="E127" s="815">
        <v>254760</v>
      </c>
      <c r="F127" s="818">
        <v>1298445</v>
      </c>
      <c r="G127" s="785">
        <v>968729</v>
      </c>
      <c r="H127" s="785"/>
      <c r="I127" s="786">
        <v>55808</v>
      </c>
      <c r="J127" s="787">
        <v>235208</v>
      </c>
      <c r="K127" s="786">
        <v>138348</v>
      </c>
      <c r="L127" s="785">
        <v>6907</v>
      </c>
      <c r="M127" s="785"/>
      <c r="N127" s="786">
        <v>27422</v>
      </c>
      <c r="O127" s="786">
        <v>0</v>
      </c>
      <c r="P127" s="786">
        <v>0</v>
      </c>
      <c r="Q127" s="785">
        <v>49311</v>
      </c>
      <c r="R127" s="785"/>
      <c r="S127" s="786">
        <v>326463</v>
      </c>
      <c r="T127" s="788">
        <v>-15290</v>
      </c>
      <c r="U127" s="788">
        <f>311172+1</f>
        <v>311173</v>
      </c>
    </row>
    <row r="128" spans="1:21" x14ac:dyDescent="0.25">
      <c r="A128" s="782">
        <v>91154</v>
      </c>
      <c r="B128" s="783" t="s">
        <v>2744</v>
      </c>
      <c r="C128" s="784">
        <v>2.6299999999999999E-5</v>
      </c>
      <c r="D128" s="784">
        <v>1.9599999999999999E-5</v>
      </c>
      <c r="E128" s="815">
        <v>10902</v>
      </c>
      <c r="F128" s="818">
        <v>41598</v>
      </c>
      <c r="G128" s="785">
        <v>40179</v>
      </c>
      <c r="H128" s="785"/>
      <c r="I128" s="786">
        <v>2315</v>
      </c>
      <c r="J128" s="787">
        <v>9756</v>
      </c>
      <c r="K128" s="786">
        <v>5738</v>
      </c>
      <c r="L128" s="785">
        <v>7326</v>
      </c>
      <c r="M128" s="785"/>
      <c r="N128" s="786">
        <v>1137</v>
      </c>
      <c r="O128" s="786">
        <v>0</v>
      </c>
      <c r="P128" s="786">
        <v>0</v>
      </c>
      <c r="Q128" s="785">
        <v>0</v>
      </c>
      <c r="R128" s="785"/>
      <c r="S128" s="786">
        <v>13540</v>
      </c>
      <c r="T128" s="788">
        <v>2962</v>
      </c>
      <c r="U128" s="788">
        <f>16503-1</f>
        <v>16502</v>
      </c>
    </row>
    <row r="129" spans="1:21" x14ac:dyDescent="0.25">
      <c r="A129" s="782">
        <v>91161</v>
      </c>
      <c r="B129" s="783" t="s">
        <v>2745</v>
      </c>
      <c r="C129" s="784">
        <v>9.2600000000000001E-5</v>
      </c>
      <c r="D129" s="784">
        <v>9.4599999999999996E-5</v>
      </c>
      <c r="E129" s="815">
        <v>44457</v>
      </c>
      <c r="F129" s="818">
        <v>200773</v>
      </c>
      <c r="G129" s="785">
        <v>141467</v>
      </c>
      <c r="H129" s="785"/>
      <c r="I129" s="786">
        <v>8150</v>
      </c>
      <c r="J129" s="787">
        <v>34348</v>
      </c>
      <c r="K129" s="786">
        <v>20203</v>
      </c>
      <c r="L129" s="785">
        <v>5327</v>
      </c>
      <c r="M129" s="785"/>
      <c r="N129" s="786">
        <v>4004</v>
      </c>
      <c r="O129" s="786">
        <v>0</v>
      </c>
      <c r="P129" s="786">
        <v>0</v>
      </c>
      <c r="Q129" s="785">
        <v>3079</v>
      </c>
      <c r="R129" s="785"/>
      <c r="S129" s="786">
        <v>47675</v>
      </c>
      <c r="T129" s="788">
        <v>935</v>
      </c>
      <c r="U129" s="788">
        <v>48610</v>
      </c>
    </row>
    <row r="130" spans="1:21" x14ac:dyDescent="0.25">
      <c r="A130" s="782">
        <v>91171</v>
      </c>
      <c r="B130" s="783" t="s">
        <v>2746</v>
      </c>
      <c r="C130" s="784">
        <v>1.95E-4</v>
      </c>
      <c r="D130" s="784">
        <v>2.5589999999999999E-4</v>
      </c>
      <c r="E130" s="815">
        <v>93651</v>
      </c>
      <c r="F130" s="818">
        <v>543106</v>
      </c>
      <c r="G130" s="785">
        <v>297906</v>
      </c>
      <c r="H130" s="785"/>
      <c r="I130" s="786">
        <v>17162</v>
      </c>
      <c r="J130" s="787">
        <v>72331</v>
      </c>
      <c r="K130" s="786">
        <v>42545</v>
      </c>
      <c r="L130" s="785">
        <v>0</v>
      </c>
      <c r="M130" s="785"/>
      <c r="N130" s="786">
        <v>8433</v>
      </c>
      <c r="O130" s="786">
        <v>0</v>
      </c>
      <c r="P130" s="786">
        <v>0</v>
      </c>
      <c r="Q130" s="785">
        <v>58020</v>
      </c>
      <c r="R130" s="785"/>
      <c r="S130" s="786">
        <v>100395</v>
      </c>
      <c r="T130" s="788">
        <v>-21400</v>
      </c>
      <c r="U130" s="788">
        <f>78994+1</f>
        <v>78995</v>
      </c>
    </row>
    <row r="131" spans="1:21" x14ac:dyDescent="0.25">
      <c r="A131" s="782">
        <v>91201</v>
      </c>
      <c r="B131" s="783" t="s">
        <v>2747</v>
      </c>
      <c r="C131" s="784">
        <v>2.2878E-3</v>
      </c>
      <c r="D131" s="784">
        <v>2.3127999999999998E-3</v>
      </c>
      <c r="E131" s="815">
        <v>970291</v>
      </c>
      <c r="F131" s="818">
        <v>4908536</v>
      </c>
      <c r="G131" s="785">
        <v>3495125</v>
      </c>
      <c r="H131" s="785"/>
      <c r="I131" s="786">
        <v>201352</v>
      </c>
      <c r="J131" s="787">
        <v>848620</v>
      </c>
      <c r="K131" s="786">
        <v>499152</v>
      </c>
      <c r="L131" s="785">
        <v>40348</v>
      </c>
      <c r="M131" s="785"/>
      <c r="N131" s="786">
        <v>98936</v>
      </c>
      <c r="O131" s="786">
        <v>0</v>
      </c>
      <c r="P131" s="786">
        <v>0</v>
      </c>
      <c r="Q131" s="785">
        <v>96428</v>
      </c>
      <c r="R131" s="785"/>
      <c r="S131" s="786">
        <v>1177860</v>
      </c>
      <c r="T131" s="788">
        <v>-568</v>
      </c>
      <c r="U131" s="788">
        <v>1177292</v>
      </c>
    </row>
    <row r="132" spans="1:21" x14ac:dyDescent="0.25">
      <c r="A132" s="782">
        <v>91202</v>
      </c>
      <c r="B132" s="783" t="s">
        <v>2748</v>
      </c>
      <c r="C132" s="784">
        <v>1.9330000000000001E-4</v>
      </c>
      <c r="D132" s="784">
        <v>1.897E-4</v>
      </c>
      <c r="E132" s="815">
        <v>96479</v>
      </c>
      <c r="F132" s="818">
        <v>402607</v>
      </c>
      <c r="G132" s="785">
        <v>295309</v>
      </c>
      <c r="H132" s="785"/>
      <c r="I132" s="786">
        <v>17013</v>
      </c>
      <c r="J132" s="787">
        <v>71701</v>
      </c>
      <c r="K132" s="786">
        <v>42174</v>
      </c>
      <c r="L132" s="785">
        <v>27893</v>
      </c>
      <c r="M132" s="785"/>
      <c r="N132" s="786">
        <v>8359</v>
      </c>
      <c r="O132" s="786">
        <v>0</v>
      </c>
      <c r="P132" s="786">
        <v>0</v>
      </c>
      <c r="Q132" s="785">
        <v>0</v>
      </c>
      <c r="R132" s="785"/>
      <c r="S132" s="786">
        <v>99519</v>
      </c>
      <c r="T132" s="788">
        <v>12367</v>
      </c>
      <c r="U132" s="788">
        <v>111886</v>
      </c>
    </row>
    <row r="133" spans="1:21" x14ac:dyDescent="0.25">
      <c r="A133" s="782">
        <v>91203</v>
      </c>
      <c r="B133" s="783" t="s">
        <v>2749</v>
      </c>
      <c r="C133" s="784">
        <v>2.1939999999999999E-4</v>
      </c>
      <c r="D133" s="784">
        <v>2.4479999999999999E-4</v>
      </c>
      <c r="E133" s="815">
        <v>127249</v>
      </c>
      <c r="F133" s="818">
        <v>519548</v>
      </c>
      <c r="G133" s="785">
        <v>335182</v>
      </c>
      <c r="H133" s="785"/>
      <c r="I133" s="786">
        <v>19310</v>
      </c>
      <c r="J133" s="787">
        <v>81383</v>
      </c>
      <c r="K133" s="786">
        <v>47869</v>
      </c>
      <c r="L133" s="785">
        <v>25236</v>
      </c>
      <c r="M133" s="785"/>
      <c r="N133" s="786">
        <v>9488</v>
      </c>
      <c r="O133" s="786">
        <v>0</v>
      </c>
      <c r="P133" s="786">
        <v>0</v>
      </c>
      <c r="Q133" s="785">
        <v>0</v>
      </c>
      <c r="R133" s="785"/>
      <c r="S133" s="786">
        <v>112957</v>
      </c>
      <c r="T133" s="788">
        <v>12508</v>
      </c>
      <c r="U133" s="788">
        <f>125464+1</f>
        <v>125465</v>
      </c>
    </row>
    <row r="134" spans="1:21" x14ac:dyDescent="0.25">
      <c r="A134" s="782">
        <v>91206</v>
      </c>
      <c r="B134" s="783" t="s">
        <v>2750</v>
      </c>
      <c r="C134" s="784">
        <v>8.6450000000000003E-4</v>
      </c>
      <c r="D134" s="784">
        <v>8.2129999999999996E-4</v>
      </c>
      <c r="E134" s="815">
        <v>388200</v>
      </c>
      <c r="F134" s="818">
        <v>1743074</v>
      </c>
      <c r="G134" s="785">
        <v>1320717</v>
      </c>
      <c r="H134" s="785"/>
      <c r="I134" s="786">
        <v>76086</v>
      </c>
      <c r="J134" s="787">
        <v>320672</v>
      </c>
      <c r="K134" s="786">
        <v>188617</v>
      </c>
      <c r="L134" s="785">
        <v>32943</v>
      </c>
      <c r="M134" s="785"/>
      <c r="N134" s="786">
        <v>37385</v>
      </c>
      <c r="O134" s="786">
        <v>0</v>
      </c>
      <c r="P134" s="786">
        <v>0</v>
      </c>
      <c r="Q134" s="785">
        <v>1131</v>
      </c>
      <c r="R134" s="785"/>
      <c r="S134" s="786">
        <v>445083</v>
      </c>
      <c r="T134" s="788">
        <v>15708</v>
      </c>
      <c r="U134" s="788">
        <v>460791</v>
      </c>
    </row>
    <row r="135" spans="1:21" x14ac:dyDescent="0.25">
      <c r="A135" s="782">
        <v>91208</v>
      </c>
      <c r="B135" s="783" t="s">
        <v>2751</v>
      </c>
      <c r="C135" s="784">
        <v>1.42E-5</v>
      </c>
      <c r="D135" s="784">
        <v>1.3699999999999999E-5</v>
      </c>
      <c r="E135" s="815">
        <v>6398</v>
      </c>
      <c r="F135" s="818">
        <v>29076</v>
      </c>
      <c r="G135" s="785">
        <v>21694</v>
      </c>
      <c r="H135" s="785"/>
      <c r="I135" s="786">
        <v>1250</v>
      </c>
      <c r="J135" s="787">
        <v>5267</v>
      </c>
      <c r="K135" s="786">
        <v>3098</v>
      </c>
      <c r="L135" s="785">
        <v>3961</v>
      </c>
      <c r="M135" s="785"/>
      <c r="N135" s="786">
        <v>614</v>
      </c>
      <c r="O135" s="786">
        <v>0</v>
      </c>
      <c r="P135" s="786">
        <v>0</v>
      </c>
      <c r="Q135" s="785">
        <v>0</v>
      </c>
      <c r="R135" s="785"/>
      <c r="S135" s="786">
        <v>7311</v>
      </c>
      <c r="T135" s="788">
        <v>3460</v>
      </c>
      <c r="U135" s="788">
        <v>10771</v>
      </c>
    </row>
    <row r="136" spans="1:21" x14ac:dyDescent="0.25">
      <c r="A136" s="782">
        <v>91211</v>
      </c>
      <c r="B136" s="783" t="s">
        <v>2752</v>
      </c>
      <c r="C136" s="784">
        <v>4.5530000000000001E-4</v>
      </c>
      <c r="D136" s="784">
        <v>4.6789999999999999E-4</v>
      </c>
      <c r="E136" s="815">
        <v>223513</v>
      </c>
      <c r="F136" s="818">
        <v>993041</v>
      </c>
      <c r="G136" s="785">
        <v>695572</v>
      </c>
      <c r="H136" s="785"/>
      <c r="I136" s="786">
        <v>40071</v>
      </c>
      <c r="J136" s="787">
        <v>168886</v>
      </c>
      <c r="K136" s="786">
        <v>99337</v>
      </c>
      <c r="L136" s="785">
        <v>6745</v>
      </c>
      <c r="M136" s="785"/>
      <c r="N136" s="786">
        <v>19689</v>
      </c>
      <c r="O136" s="786">
        <v>0</v>
      </c>
      <c r="P136" s="786">
        <v>0</v>
      </c>
      <c r="Q136" s="785">
        <v>3315</v>
      </c>
      <c r="R136" s="785"/>
      <c r="S136" s="786">
        <v>234408</v>
      </c>
      <c r="T136" s="788">
        <v>1355</v>
      </c>
      <c r="U136" s="788">
        <v>235763</v>
      </c>
    </row>
    <row r="137" spans="1:21" x14ac:dyDescent="0.25">
      <c r="A137" s="782">
        <v>91213</v>
      </c>
      <c r="B137" s="783" t="s">
        <v>2753</v>
      </c>
      <c r="C137" s="784">
        <v>3.2499999999999997E-5</v>
      </c>
      <c r="D137" s="784">
        <v>3.57E-5</v>
      </c>
      <c r="E137" s="815">
        <v>12090</v>
      </c>
      <c r="F137" s="818">
        <v>75767</v>
      </c>
      <c r="G137" s="785">
        <v>49651</v>
      </c>
      <c r="H137" s="785"/>
      <c r="I137" s="786">
        <v>2860</v>
      </c>
      <c r="J137" s="787">
        <v>12056</v>
      </c>
      <c r="K137" s="786">
        <v>7091</v>
      </c>
      <c r="L137" s="785">
        <v>0</v>
      </c>
      <c r="M137" s="785"/>
      <c r="N137" s="786">
        <v>1405</v>
      </c>
      <c r="O137" s="786">
        <v>0</v>
      </c>
      <c r="P137" s="786">
        <v>0</v>
      </c>
      <c r="Q137" s="785">
        <v>7680</v>
      </c>
      <c r="R137" s="785"/>
      <c r="S137" s="786">
        <v>16732</v>
      </c>
      <c r="T137" s="788">
        <v>-2660</v>
      </c>
      <c r="U137" s="788">
        <v>14072</v>
      </c>
    </row>
    <row r="138" spans="1:21" x14ac:dyDescent="0.25">
      <c r="A138" s="782">
        <v>91214</v>
      </c>
      <c r="B138" s="783" t="s">
        <v>2754</v>
      </c>
      <c r="C138" s="784">
        <v>2.9300000000000001E-5</v>
      </c>
      <c r="D138" s="784">
        <v>2.8200000000000001E-5</v>
      </c>
      <c r="E138" s="815">
        <v>9669</v>
      </c>
      <c r="F138" s="818">
        <v>59850</v>
      </c>
      <c r="G138" s="785">
        <v>44762</v>
      </c>
      <c r="H138" s="785"/>
      <c r="I138" s="786">
        <v>2579</v>
      </c>
      <c r="J138" s="787">
        <v>10868</v>
      </c>
      <c r="K138" s="786">
        <v>6393</v>
      </c>
      <c r="L138" s="785">
        <v>1300</v>
      </c>
      <c r="M138" s="785"/>
      <c r="N138" s="786">
        <v>1267</v>
      </c>
      <c r="O138" s="786">
        <v>0</v>
      </c>
      <c r="P138" s="786">
        <v>0</v>
      </c>
      <c r="Q138" s="785">
        <v>3669</v>
      </c>
      <c r="R138" s="785"/>
      <c r="S138" s="786">
        <v>15085</v>
      </c>
      <c r="T138" s="788">
        <v>-283</v>
      </c>
      <c r="U138" s="788">
        <v>14802</v>
      </c>
    </row>
    <row r="139" spans="1:21" x14ac:dyDescent="0.25">
      <c r="A139" s="782">
        <v>91217</v>
      </c>
      <c r="B139" s="783" t="s">
        <v>2755</v>
      </c>
      <c r="C139" s="784">
        <v>2.8799999999999999E-5</v>
      </c>
      <c r="D139" s="784">
        <v>2.6699999999999998E-5</v>
      </c>
      <c r="E139" s="815">
        <v>14934</v>
      </c>
      <c r="F139" s="818">
        <v>56666</v>
      </c>
      <c r="G139" s="785">
        <v>43998</v>
      </c>
      <c r="H139" s="785"/>
      <c r="I139" s="786">
        <v>2535</v>
      </c>
      <c r="J139" s="787">
        <v>10683</v>
      </c>
      <c r="K139" s="786">
        <v>6284</v>
      </c>
      <c r="L139" s="785">
        <v>10784</v>
      </c>
      <c r="M139" s="785"/>
      <c r="N139" s="786">
        <v>1245</v>
      </c>
      <c r="O139" s="786">
        <v>0</v>
      </c>
      <c r="P139" s="786">
        <v>0</v>
      </c>
      <c r="Q139" s="785">
        <v>0</v>
      </c>
      <c r="R139" s="785"/>
      <c r="S139" s="786">
        <v>14828</v>
      </c>
      <c r="T139" s="788">
        <v>4311</v>
      </c>
      <c r="U139" s="788">
        <v>19139</v>
      </c>
    </row>
    <row r="140" spans="1:21" x14ac:dyDescent="0.25">
      <c r="A140" s="782">
        <v>91221</v>
      </c>
      <c r="B140" s="783" t="s">
        <v>2756</v>
      </c>
      <c r="C140" s="784">
        <v>1.3359999999999999E-4</v>
      </c>
      <c r="D140" s="784">
        <v>1.294E-4</v>
      </c>
      <c r="E140" s="815">
        <v>59449</v>
      </c>
      <c r="F140" s="818">
        <v>274630</v>
      </c>
      <c r="G140" s="785">
        <v>204104</v>
      </c>
      <c r="H140" s="785"/>
      <c r="I140" s="786">
        <v>11758</v>
      </c>
      <c r="J140" s="787">
        <v>49557</v>
      </c>
      <c r="K140" s="786">
        <v>29149</v>
      </c>
      <c r="L140" s="785">
        <v>5038</v>
      </c>
      <c r="M140" s="785"/>
      <c r="N140" s="786">
        <v>5778</v>
      </c>
      <c r="O140" s="786">
        <v>0</v>
      </c>
      <c r="P140" s="786">
        <v>0</v>
      </c>
      <c r="Q140" s="785">
        <v>7113</v>
      </c>
      <c r="R140" s="785"/>
      <c r="S140" s="786">
        <v>68783</v>
      </c>
      <c r="T140" s="788">
        <v>1397</v>
      </c>
      <c r="U140" s="788">
        <v>70180</v>
      </c>
    </row>
    <row r="141" spans="1:21" x14ac:dyDescent="0.25">
      <c r="A141" s="782">
        <v>91231</v>
      </c>
      <c r="B141" s="783" t="s">
        <v>2757</v>
      </c>
      <c r="C141" s="784">
        <v>1.8856000000000001E-3</v>
      </c>
      <c r="D141" s="784">
        <v>1.9957E-3</v>
      </c>
      <c r="E141" s="815">
        <v>867955</v>
      </c>
      <c r="F141" s="818">
        <v>4235544</v>
      </c>
      <c r="G141" s="785">
        <v>2880674</v>
      </c>
      <c r="H141" s="785"/>
      <c r="I141" s="786">
        <v>165954</v>
      </c>
      <c r="J141" s="787">
        <v>699431</v>
      </c>
      <c r="K141" s="786">
        <v>411400</v>
      </c>
      <c r="L141" s="785">
        <v>10587</v>
      </c>
      <c r="M141" s="785"/>
      <c r="N141" s="786">
        <v>81543</v>
      </c>
      <c r="O141" s="786">
        <v>0</v>
      </c>
      <c r="P141" s="786">
        <v>0</v>
      </c>
      <c r="Q141" s="785">
        <v>132995</v>
      </c>
      <c r="R141" s="785"/>
      <c r="S141" s="786">
        <v>970790</v>
      </c>
      <c r="T141" s="788">
        <v>-32073</v>
      </c>
      <c r="U141" s="788">
        <v>938717</v>
      </c>
    </row>
    <row r="142" spans="1:21" x14ac:dyDescent="0.25">
      <c r="A142" s="782">
        <v>91233</v>
      </c>
      <c r="B142" s="783" t="s">
        <v>2758</v>
      </c>
      <c r="C142" s="784">
        <v>5.8100000000000003E-5</v>
      </c>
      <c r="D142" s="784">
        <v>4.5599999999999997E-5</v>
      </c>
      <c r="E142" s="815">
        <v>21828</v>
      </c>
      <c r="F142" s="818">
        <v>96778</v>
      </c>
      <c r="G142" s="785">
        <v>88761</v>
      </c>
      <c r="H142" s="785"/>
      <c r="I142" s="786">
        <v>5113</v>
      </c>
      <c r="J142" s="787">
        <v>21551</v>
      </c>
      <c r="K142" s="786">
        <v>12676</v>
      </c>
      <c r="L142" s="785">
        <v>9544</v>
      </c>
      <c r="M142" s="785"/>
      <c r="N142" s="786">
        <v>2513</v>
      </c>
      <c r="O142" s="786">
        <v>0</v>
      </c>
      <c r="P142" s="786">
        <v>0</v>
      </c>
      <c r="Q142" s="785">
        <v>117</v>
      </c>
      <c r="R142" s="785"/>
      <c r="S142" s="786">
        <v>29912</v>
      </c>
      <c r="T142" s="788">
        <v>4289</v>
      </c>
      <c r="U142" s="788">
        <f>34202-1</f>
        <v>34201</v>
      </c>
    </row>
    <row r="143" spans="1:21" x14ac:dyDescent="0.25">
      <c r="A143" s="782">
        <v>91241</v>
      </c>
      <c r="B143" s="783" t="s">
        <v>2759</v>
      </c>
      <c r="C143" s="784">
        <v>3.5500000000000002E-5</v>
      </c>
      <c r="D143" s="784">
        <v>3.68E-5</v>
      </c>
      <c r="E143" s="815">
        <v>17216</v>
      </c>
      <c r="F143" s="818">
        <v>78102</v>
      </c>
      <c r="G143" s="785">
        <v>54234</v>
      </c>
      <c r="H143" s="785"/>
      <c r="I143" s="786">
        <v>3124</v>
      </c>
      <c r="J143" s="787">
        <v>13168</v>
      </c>
      <c r="K143" s="786">
        <v>7745</v>
      </c>
      <c r="L143" s="785">
        <v>0</v>
      </c>
      <c r="M143" s="785"/>
      <c r="N143" s="786">
        <v>1535</v>
      </c>
      <c r="O143" s="786">
        <v>0</v>
      </c>
      <c r="P143" s="786">
        <v>0</v>
      </c>
      <c r="Q143" s="785">
        <v>4391</v>
      </c>
      <c r="R143" s="785"/>
      <c r="S143" s="786">
        <v>18277</v>
      </c>
      <c r="T143" s="788">
        <v>-2564</v>
      </c>
      <c r="U143" s="788">
        <v>15713</v>
      </c>
    </row>
    <row r="144" spans="1:21" x14ac:dyDescent="0.25">
      <c r="A144" s="782">
        <v>91251</v>
      </c>
      <c r="B144" s="783" t="s">
        <v>2760</v>
      </c>
      <c r="C144" s="784">
        <v>1.9899999999999999E-5</v>
      </c>
      <c r="D144" s="784">
        <v>2.65E-5</v>
      </c>
      <c r="E144" s="815">
        <v>11339</v>
      </c>
      <c r="F144" s="818">
        <v>56242</v>
      </c>
      <c r="G144" s="785">
        <v>30402</v>
      </c>
      <c r="H144" s="785"/>
      <c r="I144" s="786">
        <v>1751</v>
      </c>
      <c r="J144" s="787">
        <v>7381</v>
      </c>
      <c r="K144" s="786">
        <v>4342</v>
      </c>
      <c r="L144" s="785">
        <v>2341</v>
      </c>
      <c r="M144" s="785"/>
      <c r="N144" s="786">
        <v>861</v>
      </c>
      <c r="O144" s="786">
        <v>0</v>
      </c>
      <c r="P144" s="786">
        <v>0</v>
      </c>
      <c r="Q144" s="785">
        <v>3540</v>
      </c>
      <c r="R144" s="785"/>
      <c r="S144" s="786">
        <v>10245</v>
      </c>
      <c r="T144" s="788">
        <v>1340</v>
      </c>
      <c r="U144" s="788">
        <f>11586-1</f>
        <v>11585</v>
      </c>
    </row>
    <row r="145" spans="1:21" x14ac:dyDescent="0.25">
      <c r="A145" s="782">
        <v>91261</v>
      </c>
      <c r="B145" s="783" t="s">
        <v>2761</v>
      </c>
      <c r="C145" s="784">
        <v>1.03E-5</v>
      </c>
      <c r="D145" s="784">
        <v>9.5000000000000005E-6</v>
      </c>
      <c r="E145" s="815">
        <v>4666</v>
      </c>
      <c r="F145" s="818">
        <v>20162</v>
      </c>
      <c r="G145" s="785">
        <v>15736</v>
      </c>
      <c r="H145" s="785"/>
      <c r="I145" s="786">
        <v>907</v>
      </c>
      <c r="J145" s="787">
        <v>3821</v>
      </c>
      <c r="K145" s="786">
        <v>2247</v>
      </c>
      <c r="L145" s="785">
        <v>1784</v>
      </c>
      <c r="M145" s="785"/>
      <c r="N145" s="786">
        <v>445</v>
      </c>
      <c r="O145" s="786">
        <v>0</v>
      </c>
      <c r="P145" s="786">
        <v>0</v>
      </c>
      <c r="Q145" s="785">
        <v>0</v>
      </c>
      <c r="R145" s="785"/>
      <c r="S145" s="786">
        <v>5303</v>
      </c>
      <c r="T145" s="788">
        <v>850</v>
      </c>
      <c r="U145" s="788">
        <v>6153</v>
      </c>
    </row>
    <row r="146" spans="1:21" x14ac:dyDescent="0.25">
      <c r="A146" s="782">
        <v>91301</v>
      </c>
      <c r="B146" s="783" t="s">
        <v>2762</v>
      </c>
      <c r="C146" s="784">
        <v>7.6985999999999999E-3</v>
      </c>
      <c r="D146" s="784">
        <v>7.7765000000000004E-3</v>
      </c>
      <c r="E146" s="815">
        <v>3428603</v>
      </c>
      <c r="F146" s="818">
        <v>16504338</v>
      </c>
      <c r="G146" s="785">
        <v>11761328</v>
      </c>
      <c r="H146" s="785"/>
      <c r="I146" s="786">
        <v>677561</v>
      </c>
      <c r="J146" s="787">
        <v>2855665</v>
      </c>
      <c r="K146" s="786">
        <v>1679681</v>
      </c>
      <c r="L146" s="785">
        <v>19915</v>
      </c>
      <c r="M146" s="785"/>
      <c r="N146" s="786">
        <v>332926</v>
      </c>
      <c r="O146" s="786">
        <v>0</v>
      </c>
      <c r="P146" s="786">
        <v>0</v>
      </c>
      <c r="Q146" s="785">
        <v>249856</v>
      </c>
      <c r="R146" s="785"/>
      <c r="S146" s="786">
        <v>3963578</v>
      </c>
      <c r="T146" s="788">
        <v>-98741</v>
      </c>
      <c r="U146" s="788">
        <v>3864837</v>
      </c>
    </row>
    <row r="147" spans="1:21" x14ac:dyDescent="0.25">
      <c r="A147" s="782">
        <v>91302</v>
      </c>
      <c r="B147" s="783" t="s">
        <v>3664</v>
      </c>
      <c r="C147" s="784">
        <v>6.0300000000000002E-4</v>
      </c>
      <c r="D147" s="784">
        <v>5.9190000000000002E-4</v>
      </c>
      <c r="E147" s="815">
        <v>259187</v>
      </c>
      <c r="F147" s="818">
        <v>0</v>
      </c>
      <c r="G147" s="785">
        <v>921217</v>
      </c>
      <c r="H147" s="785"/>
      <c r="I147" s="786">
        <v>53071</v>
      </c>
      <c r="J147" s="787">
        <v>223673</v>
      </c>
      <c r="K147" s="786">
        <v>131563</v>
      </c>
      <c r="L147" s="785">
        <v>32897</v>
      </c>
      <c r="M147" s="785"/>
      <c r="N147" s="786">
        <v>26077</v>
      </c>
      <c r="O147" s="786">
        <v>0</v>
      </c>
      <c r="P147" s="786">
        <v>0</v>
      </c>
      <c r="Q147" s="785">
        <v>6670</v>
      </c>
      <c r="R147" s="785"/>
      <c r="S147" s="786">
        <v>310451</v>
      </c>
      <c r="T147" s="788">
        <v>18435</v>
      </c>
      <c r="U147" s="788">
        <v>328886</v>
      </c>
    </row>
    <row r="148" spans="1:21" x14ac:dyDescent="0.25">
      <c r="A148" s="782">
        <v>91306</v>
      </c>
      <c r="B148" s="783" t="s">
        <v>2764</v>
      </c>
      <c r="C148" s="784">
        <v>1.6412E-3</v>
      </c>
      <c r="D148" s="784">
        <v>1.6676E-3</v>
      </c>
      <c r="E148" s="815">
        <v>766698</v>
      </c>
      <c r="F148" s="818">
        <v>3539206</v>
      </c>
      <c r="G148" s="785">
        <v>2507299</v>
      </c>
      <c r="H148" s="785"/>
      <c r="I148" s="786">
        <v>144444</v>
      </c>
      <c r="J148" s="787">
        <v>608776</v>
      </c>
      <c r="K148" s="786">
        <v>358077</v>
      </c>
      <c r="L148" s="785">
        <v>113707</v>
      </c>
      <c r="M148" s="785"/>
      <c r="N148" s="786">
        <v>70974</v>
      </c>
      <c r="O148" s="786">
        <v>0</v>
      </c>
      <c r="P148" s="786">
        <v>0</v>
      </c>
      <c r="Q148" s="785">
        <v>7101</v>
      </c>
      <c r="R148" s="785"/>
      <c r="S148" s="786">
        <v>844962</v>
      </c>
      <c r="T148" s="788">
        <v>59215</v>
      </c>
      <c r="U148" s="788">
        <v>904177</v>
      </c>
    </row>
    <row r="149" spans="1:21" x14ac:dyDescent="0.25">
      <c r="A149" s="782">
        <v>91308</v>
      </c>
      <c r="B149" s="783" t="s">
        <v>2765</v>
      </c>
      <c r="C149" s="784">
        <v>1.8009999999999999E-4</v>
      </c>
      <c r="D149" s="784">
        <v>2.05E-4</v>
      </c>
      <c r="E149" s="815">
        <v>80232</v>
      </c>
      <c r="F149" s="818">
        <v>435079</v>
      </c>
      <c r="G149" s="785">
        <v>275143</v>
      </c>
      <c r="H149" s="785"/>
      <c r="I149" s="786">
        <v>15851</v>
      </c>
      <c r="J149" s="787">
        <v>66805</v>
      </c>
      <c r="K149" s="786">
        <v>39294</v>
      </c>
      <c r="L149" s="785">
        <v>2442</v>
      </c>
      <c r="M149" s="785"/>
      <c r="N149" s="786">
        <v>7788</v>
      </c>
      <c r="O149" s="786">
        <v>0</v>
      </c>
      <c r="P149" s="786">
        <v>0</v>
      </c>
      <c r="Q149" s="785">
        <v>21144</v>
      </c>
      <c r="R149" s="785"/>
      <c r="S149" s="786">
        <v>92723</v>
      </c>
      <c r="T149" s="788">
        <v>-3684</v>
      </c>
      <c r="U149" s="788">
        <f>89040-1</f>
        <v>89039</v>
      </c>
    </row>
    <row r="150" spans="1:21" x14ac:dyDescent="0.25">
      <c r="A150" s="782">
        <v>91311</v>
      </c>
      <c r="B150" s="783" t="s">
        <v>2766</v>
      </c>
      <c r="C150" s="784">
        <v>7.6685E-3</v>
      </c>
      <c r="D150" s="784">
        <v>7.6649999999999999E-3</v>
      </c>
      <c r="E150" s="815">
        <v>3305761</v>
      </c>
      <c r="F150" s="818">
        <v>16267698</v>
      </c>
      <c r="G150" s="785">
        <v>11715344</v>
      </c>
      <c r="H150" s="785"/>
      <c r="I150" s="786">
        <v>674912</v>
      </c>
      <c r="J150" s="787">
        <v>2844500</v>
      </c>
      <c r="K150" s="786">
        <v>1673113</v>
      </c>
      <c r="L150" s="785">
        <v>78345</v>
      </c>
      <c r="M150" s="785"/>
      <c r="N150" s="786">
        <v>331624</v>
      </c>
      <c r="O150" s="786">
        <v>0</v>
      </c>
      <c r="P150" s="786">
        <v>0</v>
      </c>
      <c r="Q150" s="785">
        <v>516736</v>
      </c>
      <c r="R150" s="785"/>
      <c r="S150" s="786">
        <v>3948081</v>
      </c>
      <c r="T150" s="788">
        <v>-187514</v>
      </c>
      <c r="U150" s="788">
        <v>3760567</v>
      </c>
    </row>
    <row r="151" spans="1:21" x14ac:dyDescent="0.25">
      <c r="A151" s="782">
        <v>91317</v>
      </c>
      <c r="B151" s="783" t="s">
        <v>2767</v>
      </c>
      <c r="C151" s="784">
        <v>1.016E-4</v>
      </c>
      <c r="D151" s="784">
        <v>9.0500000000000004E-5</v>
      </c>
      <c r="E151" s="815">
        <v>50865</v>
      </c>
      <c r="F151" s="818">
        <v>192071</v>
      </c>
      <c r="G151" s="785">
        <v>155217</v>
      </c>
      <c r="H151" s="785"/>
      <c r="I151" s="786">
        <v>8942</v>
      </c>
      <c r="J151" s="787">
        <v>37687</v>
      </c>
      <c r="K151" s="786">
        <v>22167</v>
      </c>
      <c r="L151" s="785">
        <v>13159</v>
      </c>
      <c r="M151" s="785"/>
      <c r="N151" s="786">
        <v>4394</v>
      </c>
      <c r="O151" s="786">
        <v>0</v>
      </c>
      <c r="P151" s="786">
        <v>0</v>
      </c>
      <c r="Q151" s="785">
        <v>1760</v>
      </c>
      <c r="R151" s="785"/>
      <c r="S151" s="786">
        <v>52308</v>
      </c>
      <c r="T151" s="788">
        <v>2823</v>
      </c>
      <c r="U151" s="788">
        <f>55132-1</f>
        <v>55131</v>
      </c>
    </row>
    <row r="152" spans="1:21" x14ac:dyDescent="0.25">
      <c r="A152" s="782">
        <v>91321</v>
      </c>
      <c r="B152" s="783" t="s">
        <v>2768</v>
      </c>
      <c r="C152" s="784">
        <v>4.2799999999999997E-5</v>
      </c>
      <c r="D152" s="784">
        <v>4.1999999999999998E-5</v>
      </c>
      <c r="E152" s="815">
        <v>37213</v>
      </c>
      <c r="F152" s="818">
        <v>89138</v>
      </c>
      <c r="G152" s="785">
        <v>65387</v>
      </c>
      <c r="H152" s="785"/>
      <c r="I152" s="786">
        <v>3767</v>
      </c>
      <c r="J152" s="787">
        <v>15876</v>
      </c>
      <c r="K152" s="786">
        <v>9338</v>
      </c>
      <c r="L152" s="785">
        <v>18992</v>
      </c>
      <c r="M152" s="785"/>
      <c r="N152" s="786">
        <v>1851</v>
      </c>
      <c r="O152" s="786">
        <v>0</v>
      </c>
      <c r="P152" s="786">
        <v>0</v>
      </c>
      <c r="Q152" s="785">
        <v>3760</v>
      </c>
      <c r="R152" s="785"/>
      <c r="S152" s="786">
        <v>22035</v>
      </c>
      <c r="T152" s="788">
        <v>3437</v>
      </c>
      <c r="U152" s="788">
        <v>25472</v>
      </c>
    </row>
    <row r="153" spans="1:21" x14ac:dyDescent="0.25">
      <c r="A153" s="782">
        <v>91327</v>
      </c>
      <c r="B153" s="783" t="s">
        <v>2769</v>
      </c>
      <c r="C153" s="784">
        <v>8.1999999999999994E-6</v>
      </c>
      <c r="D153" s="784">
        <v>1.03E-5</v>
      </c>
      <c r="E153" s="815">
        <v>4495</v>
      </c>
      <c r="F153" s="818">
        <v>21860</v>
      </c>
      <c r="G153" s="785">
        <v>12527</v>
      </c>
      <c r="H153" s="785"/>
      <c r="I153" s="786">
        <v>722</v>
      </c>
      <c r="J153" s="787">
        <v>3042</v>
      </c>
      <c r="K153" s="786">
        <v>1789</v>
      </c>
      <c r="L153" s="785">
        <v>36</v>
      </c>
      <c r="M153" s="785"/>
      <c r="N153" s="786">
        <v>355</v>
      </c>
      <c r="O153" s="786">
        <v>0</v>
      </c>
      <c r="P153" s="786">
        <v>0</v>
      </c>
      <c r="Q153" s="785">
        <v>1563</v>
      </c>
      <c r="R153" s="785"/>
      <c r="S153" s="786">
        <v>4222</v>
      </c>
      <c r="T153" s="788">
        <v>-481</v>
      </c>
      <c r="U153" s="788">
        <v>3741</v>
      </c>
    </row>
    <row r="154" spans="1:21" x14ac:dyDescent="0.25">
      <c r="A154" s="782">
        <v>91331</v>
      </c>
      <c r="B154" s="783" t="s">
        <v>2770</v>
      </c>
      <c r="C154" s="784">
        <v>3.0033E-3</v>
      </c>
      <c r="D154" s="784">
        <v>2.8509999999999998E-3</v>
      </c>
      <c r="E154" s="815">
        <v>1190887</v>
      </c>
      <c r="F154" s="818">
        <v>6050777</v>
      </c>
      <c r="G154" s="785">
        <v>4588210</v>
      </c>
      <c r="H154" s="785"/>
      <c r="I154" s="786">
        <v>264323</v>
      </c>
      <c r="J154" s="787">
        <v>1114023</v>
      </c>
      <c r="K154" s="786">
        <v>655260</v>
      </c>
      <c r="L154" s="785">
        <v>0</v>
      </c>
      <c r="M154" s="785"/>
      <c r="N154" s="786">
        <v>129878</v>
      </c>
      <c r="O154" s="786">
        <v>0</v>
      </c>
      <c r="P154" s="786">
        <v>0</v>
      </c>
      <c r="Q154" s="785">
        <v>342951</v>
      </c>
      <c r="R154" s="785"/>
      <c r="S154" s="786">
        <v>1546231</v>
      </c>
      <c r="T154" s="788">
        <v>-176510</v>
      </c>
      <c r="U154" s="788">
        <v>1369721</v>
      </c>
    </row>
    <row r="155" spans="1:21" x14ac:dyDescent="0.25">
      <c r="A155" s="782">
        <v>91341</v>
      </c>
      <c r="B155" s="783" t="s">
        <v>2771</v>
      </c>
      <c r="C155" s="784">
        <v>2.51E-5</v>
      </c>
      <c r="D155" s="784">
        <v>1.4399999999999999E-5</v>
      </c>
      <c r="E155" s="815">
        <v>9161</v>
      </c>
      <c r="F155" s="818">
        <v>30562</v>
      </c>
      <c r="G155" s="785">
        <v>38346</v>
      </c>
      <c r="H155" s="785"/>
      <c r="I155" s="786">
        <v>2209</v>
      </c>
      <c r="J155" s="787">
        <v>9311</v>
      </c>
      <c r="K155" s="786">
        <v>5476</v>
      </c>
      <c r="L155" s="785">
        <v>5566</v>
      </c>
      <c r="M155" s="785"/>
      <c r="N155" s="786">
        <v>1085</v>
      </c>
      <c r="O155" s="786">
        <v>0</v>
      </c>
      <c r="P155" s="786">
        <v>0</v>
      </c>
      <c r="Q155" s="785">
        <v>1759</v>
      </c>
      <c r="R155" s="785"/>
      <c r="S155" s="786">
        <v>12923</v>
      </c>
      <c r="T155" s="788">
        <v>939</v>
      </c>
      <c r="U155" s="788">
        <f>13861+1</f>
        <v>13862</v>
      </c>
    </row>
    <row r="156" spans="1:21" x14ac:dyDescent="0.25">
      <c r="A156" s="782">
        <v>91401</v>
      </c>
      <c r="B156" s="783" t="s">
        <v>2772</v>
      </c>
      <c r="C156" s="784">
        <v>3.5885000000000001E-3</v>
      </c>
      <c r="D156" s="784">
        <v>3.6841E-3</v>
      </c>
      <c r="E156" s="815">
        <v>1559430</v>
      </c>
      <c r="F156" s="818">
        <v>7818894</v>
      </c>
      <c r="G156" s="785">
        <v>5482234</v>
      </c>
      <c r="H156" s="785"/>
      <c r="I156" s="786">
        <v>315827</v>
      </c>
      <c r="J156" s="787">
        <v>1331093</v>
      </c>
      <c r="K156" s="786">
        <v>782939</v>
      </c>
      <c r="L156" s="785">
        <v>17446</v>
      </c>
      <c r="M156" s="785"/>
      <c r="N156" s="786">
        <v>155185</v>
      </c>
      <c r="O156" s="786">
        <v>0</v>
      </c>
      <c r="P156" s="786">
        <v>0</v>
      </c>
      <c r="Q156" s="785">
        <v>142927</v>
      </c>
      <c r="R156" s="785"/>
      <c r="S156" s="786">
        <v>1847518</v>
      </c>
      <c r="T156" s="788">
        <v>-23160</v>
      </c>
      <c r="U156" s="788">
        <v>1824358</v>
      </c>
    </row>
    <row r="157" spans="1:21" x14ac:dyDescent="0.25">
      <c r="A157" s="782">
        <v>91411</v>
      </c>
      <c r="B157" s="783" t="s">
        <v>2773</v>
      </c>
      <c r="C157" s="784">
        <v>3.7829999999999998E-4</v>
      </c>
      <c r="D157" s="784">
        <v>3.5379999999999998E-4</v>
      </c>
      <c r="E157" s="815">
        <v>168365</v>
      </c>
      <c r="F157" s="818">
        <v>750882</v>
      </c>
      <c r="G157" s="785">
        <v>577938</v>
      </c>
      <c r="H157" s="785"/>
      <c r="I157" s="786">
        <v>33295</v>
      </c>
      <c r="J157" s="787">
        <v>140324</v>
      </c>
      <c r="K157" s="786">
        <v>82537</v>
      </c>
      <c r="L157" s="785">
        <v>28581</v>
      </c>
      <c r="M157" s="785"/>
      <c r="N157" s="786">
        <v>16360</v>
      </c>
      <c r="O157" s="786">
        <v>0</v>
      </c>
      <c r="P157" s="786">
        <v>0</v>
      </c>
      <c r="Q157" s="785">
        <v>1394</v>
      </c>
      <c r="R157" s="785"/>
      <c r="S157" s="786">
        <v>194765</v>
      </c>
      <c r="T157" s="788">
        <v>7766</v>
      </c>
      <c r="U157" s="788">
        <v>202531</v>
      </c>
    </row>
    <row r="158" spans="1:21" x14ac:dyDescent="0.25">
      <c r="A158" s="782">
        <v>91417</v>
      </c>
      <c r="B158" s="783" t="s">
        <v>2774</v>
      </c>
      <c r="C158" s="784">
        <v>9.3000000000000007E-6</v>
      </c>
      <c r="D158" s="784">
        <v>9.9000000000000001E-6</v>
      </c>
      <c r="E158" s="815">
        <v>5289</v>
      </c>
      <c r="F158" s="818">
        <v>21011</v>
      </c>
      <c r="G158" s="785">
        <v>14208</v>
      </c>
      <c r="H158" s="785"/>
      <c r="I158" s="786">
        <v>819</v>
      </c>
      <c r="J158" s="787">
        <v>3450</v>
      </c>
      <c r="K158" s="786">
        <v>2029</v>
      </c>
      <c r="L158" s="785">
        <v>2388</v>
      </c>
      <c r="M158" s="785"/>
      <c r="N158" s="786">
        <v>402</v>
      </c>
      <c r="O158" s="786">
        <v>0</v>
      </c>
      <c r="P158" s="786">
        <v>0</v>
      </c>
      <c r="Q158" s="785">
        <v>0</v>
      </c>
      <c r="R158" s="785"/>
      <c r="S158" s="786">
        <v>4788</v>
      </c>
      <c r="T158" s="788">
        <v>1814</v>
      </c>
      <c r="U158" s="788">
        <v>6602</v>
      </c>
    </row>
    <row r="159" spans="1:21" x14ac:dyDescent="0.25">
      <c r="A159" s="782">
        <v>91421</v>
      </c>
      <c r="B159" s="783" t="s">
        <v>2775</v>
      </c>
      <c r="C159" s="784">
        <v>6.9499999999999995E-5</v>
      </c>
      <c r="D159" s="784">
        <v>7.0400000000000004E-5</v>
      </c>
      <c r="E159" s="815">
        <v>36488</v>
      </c>
      <c r="F159" s="818">
        <v>149412</v>
      </c>
      <c r="G159" s="785">
        <v>106177</v>
      </c>
      <c r="H159" s="785"/>
      <c r="I159" s="786">
        <v>6117</v>
      </c>
      <c r="J159" s="787">
        <v>25779</v>
      </c>
      <c r="K159" s="786">
        <v>15164</v>
      </c>
      <c r="L159" s="785">
        <v>4339</v>
      </c>
      <c r="M159" s="785"/>
      <c r="N159" s="786">
        <v>3006</v>
      </c>
      <c r="O159" s="786">
        <v>0</v>
      </c>
      <c r="P159" s="786">
        <v>0</v>
      </c>
      <c r="Q159" s="785">
        <v>3143</v>
      </c>
      <c r="R159" s="785"/>
      <c r="S159" s="786">
        <v>35782</v>
      </c>
      <c r="T159" s="788">
        <v>365</v>
      </c>
      <c r="U159" s="788">
        <v>36147</v>
      </c>
    </row>
    <row r="160" spans="1:21" x14ac:dyDescent="0.25">
      <c r="A160" s="782">
        <v>91423</v>
      </c>
      <c r="B160" s="783" t="s">
        <v>2776</v>
      </c>
      <c r="C160" s="784">
        <v>5.38E-5</v>
      </c>
      <c r="D160" s="784">
        <v>3.8699999999999999E-5</v>
      </c>
      <c r="E160" s="815">
        <v>20620</v>
      </c>
      <c r="F160" s="818">
        <v>82134</v>
      </c>
      <c r="G160" s="785">
        <v>82191</v>
      </c>
      <c r="H160" s="785"/>
      <c r="I160" s="786">
        <v>4735</v>
      </c>
      <c r="J160" s="787">
        <v>19956</v>
      </c>
      <c r="K160" s="786">
        <v>11738</v>
      </c>
      <c r="L160" s="785">
        <v>13454</v>
      </c>
      <c r="M160" s="785"/>
      <c r="N160" s="786">
        <v>2327</v>
      </c>
      <c r="O160" s="786">
        <v>0</v>
      </c>
      <c r="P160" s="786">
        <v>0</v>
      </c>
      <c r="Q160" s="785">
        <v>2026</v>
      </c>
      <c r="R160" s="785"/>
      <c r="S160" s="786">
        <v>27699</v>
      </c>
      <c r="T160" s="788">
        <v>3208</v>
      </c>
      <c r="U160" s="788">
        <f>30906+1</f>
        <v>30907</v>
      </c>
    </row>
    <row r="161" spans="1:21" x14ac:dyDescent="0.25">
      <c r="A161" s="782">
        <v>91431</v>
      </c>
      <c r="B161" s="783" t="s">
        <v>2777</v>
      </c>
      <c r="C161" s="784">
        <v>1.562E-4</v>
      </c>
      <c r="D161" s="784">
        <v>1.417E-4</v>
      </c>
      <c r="E161" s="815">
        <v>80270</v>
      </c>
      <c r="F161" s="818">
        <v>300735</v>
      </c>
      <c r="G161" s="785">
        <v>238630</v>
      </c>
      <c r="H161" s="785"/>
      <c r="I161" s="786">
        <v>13747</v>
      </c>
      <c r="J161" s="787">
        <v>57939</v>
      </c>
      <c r="K161" s="786">
        <v>34080</v>
      </c>
      <c r="L161" s="785">
        <v>17694</v>
      </c>
      <c r="M161" s="785"/>
      <c r="N161" s="786">
        <v>6755</v>
      </c>
      <c r="O161" s="786">
        <v>0</v>
      </c>
      <c r="P161" s="786">
        <v>0</v>
      </c>
      <c r="Q161" s="785">
        <v>1767</v>
      </c>
      <c r="R161" s="785"/>
      <c r="S161" s="786">
        <v>80419</v>
      </c>
      <c r="T161" s="788">
        <v>4026</v>
      </c>
      <c r="U161" s="788">
        <v>84445</v>
      </c>
    </row>
    <row r="162" spans="1:21" x14ac:dyDescent="0.25">
      <c r="A162" s="782">
        <v>91441</v>
      </c>
      <c r="B162" s="783" t="s">
        <v>2778</v>
      </c>
      <c r="C162" s="784">
        <v>9.5140000000000003E-4</v>
      </c>
      <c r="D162" s="784">
        <v>7.3800000000000005E-4</v>
      </c>
      <c r="E162" s="815">
        <v>316618</v>
      </c>
      <c r="F162" s="818">
        <v>1566283</v>
      </c>
      <c r="G162" s="785">
        <v>1453476</v>
      </c>
      <c r="H162" s="785"/>
      <c r="I162" s="786">
        <v>83734</v>
      </c>
      <c r="J162" s="787">
        <v>352905</v>
      </c>
      <c r="K162" s="786">
        <v>207576</v>
      </c>
      <c r="L162" s="785">
        <v>46954</v>
      </c>
      <c r="M162" s="785"/>
      <c r="N162" s="786">
        <v>41143</v>
      </c>
      <c r="O162" s="786">
        <v>0</v>
      </c>
      <c r="P162" s="786">
        <v>0</v>
      </c>
      <c r="Q162" s="785">
        <v>103301</v>
      </c>
      <c r="R162" s="785"/>
      <c r="S162" s="786">
        <v>489823</v>
      </c>
      <c r="T162" s="788">
        <v>-39929</v>
      </c>
      <c r="U162" s="788">
        <v>449894</v>
      </c>
    </row>
    <row r="163" spans="1:21" x14ac:dyDescent="0.25">
      <c r="A163" s="782">
        <v>91451</v>
      </c>
      <c r="B163" s="783" t="s">
        <v>2779</v>
      </c>
      <c r="C163" s="784">
        <v>1.4760000000000001E-3</v>
      </c>
      <c r="D163" s="784">
        <v>1.5629000000000001E-3</v>
      </c>
      <c r="E163" s="815">
        <v>670223</v>
      </c>
      <c r="F163" s="818">
        <v>3316997</v>
      </c>
      <c r="G163" s="785">
        <v>2254919</v>
      </c>
      <c r="H163" s="785"/>
      <c r="I163" s="786">
        <v>129904</v>
      </c>
      <c r="J163" s="787">
        <v>547497</v>
      </c>
      <c r="K163" s="786">
        <v>322034</v>
      </c>
      <c r="L163" s="785">
        <v>0</v>
      </c>
      <c r="M163" s="785"/>
      <c r="N163" s="786">
        <v>63830</v>
      </c>
      <c r="O163" s="786">
        <v>0</v>
      </c>
      <c r="P163" s="786">
        <v>0</v>
      </c>
      <c r="Q163" s="785">
        <v>199933</v>
      </c>
      <c r="R163" s="785"/>
      <c r="S163" s="786">
        <v>759910</v>
      </c>
      <c r="T163" s="788">
        <v>-85072</v>
      </c>
      <c r="U163" s="788">
        <v>674838</v>
      </c>
    </row>
    <row r="164" spans="1:21" x14ac:dyDescent="0.25">
      <c r="A164" s="782">
        <v>91457</v>
      </c>
      <c r="B164" s="783" t="s">
        <v>2780</v>
      </c>
      <c r="C164" s="784">
        <v>2.23E-5</v>
      </c>
      <c r="D164" s="784">
        <v>2.58E-5</v>
      </c>
      <c r="E164" s="815">
        <v>30670</v>
      </c>
      <c r="F164" s="818">
        <v>54756</v>
      </c>
      <c r="G164" s="785">
        <v>34068</v>
      </c>
      <c r="H164" s="785"/>
      <c r="I164" s="786">
        <v>1963</v>
      </c>
      <c r="J164" s="787">
        <v>8272</v>
      </c>
      <c r="K164" s="786">
        <v>4865</v>
      </c>
      <c r="L164" s="785">
        <v>30858</v>
      </c>
      <c r="M164" s="785"/>
      <c r="N164" s="786">
        <v>964</v>
      </c>
      <c r="O164" s="786">
        <v>0</v>
      </c>
      <c r="P164" s="786">
        <v>0</v>
      </c>
      <c r="Q164" s="785">
        <v>0</v>
      </c>
      <c r="R164" s="785"/>
      <c r="S164" s="786">
        <v>11481</v>
      </c>
      <c r="T164" s="788">
        <v>10929</v>
      </c>
      <c r="U164" s="788">
        <v>22410</v>
      </c>
    </row>
    <row r="165" spans="1:21" x14ac:dyDescent="0.25">
      <c r="A165" s="782">
        <v>91461</v>
      </c>
      <c r="B165" s="783" t="s">
        <v>2781</v>
      </c>
      <c r="C165" s="784">
        <v>9.3999999999999998E-6</v>
      </c>
      <c r="D165" s="784">
        <v>8.6999999999999997E-6</v>
      </c>
      <c r="E165" s="815">
        <v>2932</v>
      </c>
      <c r="F165" s="818">
        <v>18464</v>
      </c>
      <c r="G165" s="785">
        <v>14361</v>
      </c>
      <c r="H165" s="785"/>
      <c r="I165" s="786">
        <v>827</v>
      </c>
      <c r="J165" s="787">
        <v>3487</v>
      </c>
      <c r="K165" s="786">
        <v>2051</v>
      </c>
      <c r="L165" s="785">
        <v>2052</v>
      </c>
      <c r="M165" s="785"/>
      <c r="N165" s="786">
        <v>407</v>
      </c>
      <c r="O165" s="786">
        <v>0</v>
      </c>
      <c r="P165" s="786">
        <v>0</v>
      </c>
      <c r="Q165" s="785">
        <v>637</v>
      </c>
      <c r="R165" s="785"/>
      <c r="S165" s="786">
        <v>4840</v>
      </c>
      <c r="T165" s="788">
        <v>945</v>
      </c>
      <c r="U165" s="788">
        <f>5784+1</f>
        <v>5785</v>
      </c>
    </row>
    <row r="166" spans="1:21" x14ac:dyDescent="0.25">
      <c r="A166" s="782">
        <v>91501</v>
      </c>
      <c r="B166" s="783" t="s">
        <v>2782</v>
      </c>
      <c r="C166" s="784">
        <v>4.9700000000000005E-4</v>
      </c>
      <c r="D166" s="784">
        <v>5.1099999999999995E-4</v>
      </c>
      <c r="E166" s="815">
        <v>231246</v>
      </c>
      <c r="F166" s="818">
        <v>1084513</v>
      </c>
      <c r="G166" s="785">
        <v>759278</v>
      </c>
      <c r="H166" s="785"/>
      <c r="I166" s="786">
        <v>43741</v>
      </c>
      <c r="J166" s="787">
        <v>184353</v>
      </c>
      <c r="K166" s="786">
        <v>108435</v>
      </c>
      <c r="L166" s="785">
        <v>24430</v>
      </c>
      <c r="M166" s="785"/>
      <c r="N166" s="786">
        <v>21493</v>
      </c>
      <c r="O166" s="786">
        <v>0</v>
      </c>
      <c r="P166" s="786">
        <v>0</v>
      </c>
      <c r="Q166" s="785">
        <v>6922</v>
      </c>
      <c r="R166" s="785"/>
      <c r="S166" s="786">
        <v>255877</v>
      </c>
      <c r="T166" s="788">
        <v>15592</v>
      </c>
      <c r="U166" s="788">
        <v>271469</v>
      </c>
    </row>
    <row r="167" spans="1:21" x14ac:dyDescent="0.25">
      <c r="A167" s="782">
        <v>91504</v>
      </c>
      <c r="B167" s="783" t="s">
        <v>2783</v>
      </c>
      <c r="C167" s="784">
        <v>9.7000000000000003E-6</v>
      </c>
      <c r="D167" s="784">
        <v>1.0200000000000001E-5</v>
      </c>
      <c r="E167" s="815">
        <v>6531</v>
      </c>
      <c r="F167" s="818">
        <v>21648</v>
      </c>
      <c r="G167" s="785">
        <v>14819</v>
      </c>
      <c r="H167" s="785"/>
      <c r="I167" s="786">
        <v>854</v>
      </c>
      <c r="J167" s="787">
        <v>3599</v>
      </c>
      <c r="K167" s="786">
        <v>2116</v>
      </c>
      <c r="L167" s="785">
        <v>5620</v>
      </c>
      <c r="M167" s="785"/>
      <c r="N167" s="786">
        <v>419</v>
      </c>
      <c r="O167" s="786">
        <v>0</v>
      </c>
      <c r="P167" s="786">
        <v>0</v>
      </c>
      <c r="Q167" s="785">
        <v>0</v>
      </c>
      <c r="R167" s="785"/>
      <c r="S167" s="786">
        <v>4994</v>
      </c>
      <c r="T167" s="788">
        <v>2602</v>
      </c>
      <c r="U167" s="788">
        <v>7596</v>
      </c>
    </row>
    <row r="168" spans="1:21" x14ac:dyDescent="0.25">
      <c r="A168" s="782">
        <v>91601</v>
      </c>
      <c r="B168" s="783" t="s">
        <v>2784</v>
      </c>
      <c r="C168" s="784">
        <v>2.8040000000000001E-3</v>
      </c>
      <c r="D168" s="784">
        <v>2.9077999999999999E-3</v>
      </c>
      <c r="E168" s="815">
        <v>1323806</v>
      </c>
      <c r="F168" s="818">
        <v>6171326</v>
      </c>
      <c r="G168" s="785">
        <v>4283735</v>
      </c>
      <c r="H168" s="785"/>
      <c r="I168" s="786">
        <v>246783</v>
      </c>
      <c r="J168" s="787">
        <v>1040096</v>
      </c>
      <c r="K168" s="786">
        <v>611777</v>
      </c>
      <c r="L168" s="785">
        <v>168530</v>
      </c>
      <c r="M168" s="785"/>
      <c r="N168" s="786">
        <v>121259</v>
      </c>
      <c r="O168" s="786">
        <v>0</v>
      </c>
      <c r="P168" s="786">
        <v>0</v>
      </c>
      <c r="Q168" s="785">
        <v>40367</v>
      </c>
      <c r="R168" s="785"/>
      <c r="S168" s="786">
        <v>1443623</v>
      </c>
      <c r="T168" s="788">
        <v>76132</v>
      </c>
      <c r="U168" s="788">
        <v>1519755</v>
      </c>
    </row>
    <row r="169" spans="1:21" x14ac:dyDescent="0.25">
      <c r="A169" s="782">
        <v>91604</v>
      </c>
      <c r="B169" s="783" t="s">
        <v>2785</v>
      </c>
      <c r="C169" s="784">
        <v>8.8499999999999996E-5</v>
      </c>
      <c r="D169" s="784">
        <v>8.6799999999999996E-5</v>
      </c>
      <c r="E169" s="815">
        <v>50507</v>
      </c>
      <c r="F169" s="818">
        <v>184219</v>
      </c>
      <c r="G169" s="785">
        <v>135203</v>
      </c>
      <c r="H169" s="785"/>
      <c r="I169" s="786">
        <v>7789</v>
      </c>
      <c r="J169" s="787">
        <v>32827</v>
      </c>
      <c r="K169" s="786">
        <v>19309</v>
      </c>
      <c r="L169" s="785">
        <v>20977</v>
      </c>
      <c r="M169" s="785"/>
      <c r="N169" s="786">
        <v>3827</v>
      </c>
      <c r="O169" s="786">
        <v>0</v>
      </c>
      <c r="P169" s="786">
        <v>0</v>
      </c>
      <c r="Q169" s="785">
        <v>0</v>
      </c>
      <c r="R169" s="785"/>
      <c r="S169" s="786">
        <v>45564</v>
      </c>
      <c r="T169" s="788">
        <v>7680</v>
      </c>
      <c r="U169" s="788">
        <v>53244</v>
      </c>
    </row>
    <row r="170" spans="1:21" x14ac:dyDescent="0.25">
      <c r="A170" s="782">
        <v>91608</v>
      </c>
      <c r="B170" s="783" t="s">
        <v>2786</v>
      </c>
      <c r="C170" s="784">
        <v>1.5349999999999999E-4</v>
      </c>
      <c r="D170" s="784">
        <v>1.208E-4</v>
      </c>
      <c r="E170" s="815">
        <v>45013</v>
      </c>
      <c r="F170" s="818">
        <v>256378</v>
      </c>
      <c r="G170" s="785">
        <v>234505</v>
      </c>
      <c r="H170" s="785"/>
      <c r="I170" s="786">
        <v>13510</v>
      </c>
      <c r="J170" s="787">
        <v>56938</v>
      </c>
      <c r="K170" s="786">
        <v>33491</v>
      </c>
      <c r="L170" s="785">
        <v>2430</v>
      </c>
      <c r="M170" s="785"/>
      <c r="N170" s="786">
        <v>6638</v>
      </c>
      <c r="O170" s="786">
        <v>0</v>
      </c>
      <c r="P170" s="786">
        <v>0</v>
      </c>
      <c r="Q170" s="785">
        <v>28763</v>
      </c>
      <c r="R170" s="785"/>
      <c r="S170" s="786">
        <v>79029</v>
      </c>
      <c r="T170" s="788">
        <v>-12888</v>
      </c>
      <c r="U170" s="788">
        <f>66140+1</f>
        <v>66141</v>
      </c>
    </row>
    <row r="171" spans="1:21" x14ac:dyDescent="0.25">
      <c r="A171" s="782">
        <v>91611</v>
      </c>
      <c r="B171" s="783" t="s">
        <v>2787</v>
      </c>
      <c r="C171" s="784">
        <v>1.4708E-3</v>
      </c>
      <c r="D171" s="784">
        <v>1.4345E-3</v>
      </c>
      <c r="E171" s="815">
        <v>598449</v>
      </c>
      <c r="F171" s="818">
        <v>3044490</v>
      </c>
      <c r="G171" s="785">
        <v>2246975</v>
      </c>
      <c r="H171" s="785"/>
      <c r="I171" s="786">
        <v>129447</v>
      </c>
      <c r="J171" s="787">
        <v>545569</v>
      </c>
      <c r="K171" s="786">
        <v>320899</v>
      </c>
      <c r="L171" s="785">
        <v>19333</v>
      </c>
      <c r="M171" s="785"/>
      <c r="N171" s="786">
        <v>63605</v>
      </c>
      <c r="O171" s="786">
        <v>0</v>
      </c>
      <c r="P171" s="786">
        <v>0</v>
      </c>
      <c r="Q171" s="785">
        <v>53335</v>
      </c>
      <c r="R171" s="785"/>
      <c r="S171" s="786">
        <v>757233</v>
      </c>
      <c r="T171" s="788">
        <v>2483</v>
      </c>
      <c r="U171" s="788">
        <f>759715+1</f>
        <v>759716</v>
      </c>
    </row>
    <row r="172" spans="1:21" x14ac:dyDescent="0.25">
      <c r="A172" s="782">
        <v>91621</v>
      </c>
      <c r="B172" s="783" t="s">
        <v>2788</v>
      </c>
      <c r="C172" s="784">
        <v>2.7050000000000002E-4</v>
      </c>
      <c r="D172" s="784">
        <v>2.5240000000000001E-4</v>
      </c>
      <c r="E172" s="815">
        <v>108514</v>
      </c>
      <c r="F172" s="818">
        <v>535677</v>
      </c>
      <c r="G172" s="785">
        <v>413249</v>
      </c>
      <c r="H172" s="785"/>
      <c r="I172" s="786">
        <v>23807</v>
      </c>
      <c r="J172" s="787">
        <v>100337</v>
      </c>
      <c r="K172" s="786">
        <v>59018</v>
      </c>
      <c r="L172" s="785">
        <v>13260</v>
      </c>
      <c r="M172" s="785"/>
      <c r="N172" s="786">
        <v>11698</v>
      </c>
      <c r="O172" s="786">
        <v>0</v>
      </c>
      <c r="P172" s="786">
        <v>0</v>
      </c>
      <c r="Q172" s="785">
        <v>14620</v>
      </c>
      <c r="R172" s="785"/>
      <c r="S172" s="786">
        <v>139265</v>
      </c>
      <c r="T172" s="788">
        <v>-4185</v>
      </c>
      <c r="U172" s="788">
        <v>135080</v>
      </c>
    </row>
    <row r="173" spans="1:21" x14ac:dyDescent="0.25">
      <c r="A173" s="782">
        <v>91631</v>
      </c>
      <c r="B173" s="783" t="s">
        <v>2789</v>
      </c>
      <c r="C173" s="784">
        <v>5.2249999999999996E-4</v>
      </c>
      <c r="D173" s="784">
        <v>5.3870000000000003E-4</v>
      </c>
      <c r="E173" s="815">
        <v>219722</v>
      </c>
      <c r="F173" s="818">
        <v>1143302</v>
      </c>
      <c r="G173" s="785">
        <v>798235</v>
      </c>
      <c r="H173" s="785"/>
      <c r="I173" s="786">
        <v>45986</v>
      </c>
      <c r="J173" s="787">
        <v>193812</v>
      </c>
      <c r="K173" s="786">
        <v>113999</v>
      </c>
      <c r="L173" s="785">
        <v>0</v>
      </c>
      <c r="M173" s="785"/>
      <c r="N173" s="786">
        <v>22596</v>
      </c>
      <c r="O173" s="786">
        <v>0</v>
      </c>
      <c r="P173" s="786">
        <v>0</v>
      </c>
      <c r="Q173" s="785">
        <v>52272</v>
      </c>
      <c r="R173" s="785"/>
      <c r="S173" s="786">
        <v>269006</v>
      </c>
      <c r="T173" s="788">
        <v>-16747</v>
      </c>
      <c r="U173" s="788">
        <v>252259</v>
      </c>
    </row>
    <row r="174" spans="1:21" x14ac:dyDescent="0.25">
      <c r="A174" s="782">
        <v>91633</v>
      </c>
      <c r="B174" s="783" t="s">
        <v>2790</v>
      </c>
      <c r="C174" s="784">
        <v>2.51E-5</v>
      </c>
      <c r="D174" s="784">
        <v>2.3799999999999999E-5</v>
      </c>
      <c r="E174" s="815">
        <v>11022</v>
      </c>
      <c r="F174" s="818">
        <v>50512</v>
      </c>
      <c r="G174" s="785">
        <v>38346</v>
      </c>
      <c r="H174" s="785"/>
      <c r="I174" s="786">
        <v>2209</v>
      </c>
      <c r="J174" s="787">
        <v>9311</v>
      </c>
      <c r="K174" s="786">
        <v>5476</v>
      </c>
      <c r="L174" s="785">
        <v>1513</v>
      </c>
      <c r="M174" s="785"/>
      <c r="N174" s="786">
        <v>1085</v>
      </c>
      <c r="O174" s="786">
        <v>0</v>
      </c>
      <c r="P174" s="786">
        <v>0</v>
      </c>
      <c r="Q174" s="785">
        <v>3215</v>
      </c>
      <c r="R174" s="785"/>
      <c r="S174" s="786">
        <v>12923</v>
      </c>
      <c r="T174" s="788">
        <v>-1367</v>
      </c>
      <c r="U174" s="788">
        <f>11555+1</f>
        <v>11556</v>
      </c>
    </row>
    <row r="175" spans="1:21" x14ac:dyDescent="0.25">
      <c r="A175" s="782">
        <v>91641</v>
      </c>
      <c r="B175" s="783" t="s">
        <v>2791</v>
      </c>
      <c r="C175" s="784">
        <v>3.1139999999999998E-4</v>
      </c>
      <c r="D175" s="784">
        <v>2.742E-4</v>
      </c>
      <c r="E175" s="815">
        <v>104379</v>
      </c>
      <c r="F175" s="818">
        <v>581944</v>
      </c>
      <c r="G175" s="785">
        <v>475733</v>
      </c>
      <c r="H175" s="785"/>
      <c r="I175" s="786">
        <v>27407</v>
      </c>
      <c r="J175" s="787">
        <v>115509</v>
      </c>
      <c r="K175" s="786">
        <v>67941</v>
      </c>
      <c r="L175" s="785">
        <v>0</v>
      </c>
      <c r="M175" s="785"/>
      <c r="N175" s="786">
        <v>13466</v>
      </c>
      <c r="O175" s="786">
        <v>0</v>
      </c>
      <c r="P175" s="786">
        <v>0</v>
      </c>
      <c r="Q175" s="785">
        <v>55139</v>
      </c>
      <c r="R175" s="785"/>
      <c r="S175" s="786">
        <v>160322</v>
      </c>
      <c r="T175" s="788">
        <v>-25877</v>
      </c>
      <c r="U175" s="788">
        <v>134445</v>
      </c>
    </row>
    <row r="176" spans="1:21" x14ac:dyDescent="0.25">
      <c r="A176" s="782">
        <v>91651</v>
      </c>
      <c r="B176" s="783" t="s">
        <v>2792</v>
      </c>
      <c r="C176" s="784">
        <v>4.4440000000000001E-4</v>
      </c>
      <c r="D176" s="784">
        <v>4.6099999999999998E-4</v>
      </c>
      <c r="E176" s="815">
        <v>205102</v>
      </c>
      <c r="F176" s="818">
        <v>978396</v>
      </c>
      <c r="G176" s="785">
        <v>678920</v>
      </c>
      <c r="H176" s="785"/>
      <c r="I176" s="786">
        <v>39112</v>
      </c>
      <c r="J176" s="787">
        <v>164843</v>
      </c>
      <c r="K176" s="786">
        <v>96959</v>
      </c>
      <c r="L176" s="785">
        <v>0</v>
      </c>
      <c r="M176" s="785"/>
      <c r="N176" s="786">
        <v>19218</v>
      </c>
      <c r="O176" s="786">
        <v>0</v>
      </c>
      <c r="P176" s="786">
        <v>0</v>
      </c>
      <c r="Q176" s="785">
        <v>30696</v>
      </c>
      <c r="R176" s="785"/>
      <c r="S176" s="786">
        <v>228797</v>
      </c>
      <c r="T176" s="788">
        <v>-12407</v>
      </c>
      <c r="U176" s="788">
        <v>216390</v>
      </c>
    </row>
    <row r="177" spans="1:21" x14ac:dyDescent="0.25">
      <c r="A177" s="782">
        <v>91661</v>
      </c>
      <c r="B177" s="783" t="s">
        <v>2793</v>
      </c>
      <c r="C177" s="784">
        <v>1.673E-4</v>
      </c>
      <c r="D177" s="784">
        <v>1.6750000000000001E-4</v>
      </c>
      <c r="E177" s="815">
        <v>56241</v>
      </c>
      <c r="F177" s="818">
        <v>355491</v>
      </c>
      <c r="G177" s="785">
        <v>255588</v>
      </c>
      <c r="H177" s="785"/>
      <c r="I177" s="786">
        <v>14724</v>
      </c>
      <c r="J177" s="787">
        <v>62057</v>
      </c>
      <c r="K177" s="786">
        <v>36502</v>
      </c>
      <c r="L177" s="785">
        <v>0</v>
      </c>
      <c r="M177" s="785"/>
      <c r="N177" s="786">
        <v>7235</v>
      </c>
      <c r="O177" s="786">
        <v>0</v>
      </c>
      <c r="P177" s="786">
        <v>0</v>
      </c>
      <c r="Q177" s="785">
        <v>45519</v>
      </c>
      <c r="R177" s="785"/>
      <c r="S177" s="786">
        <v>86133</v>
      </c>
      <c r="T177" s="788">
        <v>-16188</v>
      </c>
      <c r="U177" s="788">
        <v>69945</v>
      </c>
    </row>
    <row r="178" spans="1:21" x14ac:dyDescent="0.25">
      <c r="A178" s="782">
        <v>91671</v>
      </c>
      <c r="B178" s="783" t="s">
        <v>2794</v>
      </c>
      <c r="C178" s="784">
        <v>9.6700000000000006E-5</v>
      </c>
      <c r="D178" s="784">
        <v>9.7600000000000001E-5</v>
      </c>
      <c r="E178" s="815">
        <v>43651</v>
      </c>
      <c r="F178" s="818">
        <v>207140</v>
      </c>
      <c r="G178" s="785">
        <v>147731</v>
      </c>
      <c r="H178" s="785"/>
      <c r="I178" s="786">
        <v>8511</v>
      </c>
      <c r="J178" s="787">
        <v>35869</v>
      </c>
      <c r="K178" s="786">
        <v>21098</v>
      </c>
      <c r="L178" s="785">
        <v>11497</v>
      </c>
      <c r="M178" s="785"/>
      <c r="N178" s="786">
        <v>4182</v>
      </c>
      <c r="O178" s="786">
        <v>0</v>
      </c>
      <c r="P178" s="786">
        <v>0</v>
      </c>
      <c r="Q178" s="785">
        <v>1197</v>
      </c>
      <c r="R178" s="785"/>
      <c r="S178" s="786">
        <v>49785</v>
      </c>
      <c r="T178" s="788">
        <v>5725</v>
      </c>
      <c r="U178" s="788">
        <v>55510</v>
      </c>
    </row>
    <row r="179" spans="1:21" x14ac:dyDescent="0.25">
      <c r="A179" s="782">
        <v>91681</v>
      </c>
      <c r="B179" s="783" t="s">
        <v>2795</v>
      </c>
      <c r="C179" s="784">
        <v>4.728E-4</v>
      </c>
      <c r="D179" s="784">
        <v>4.7130000000000002E-4</v>
      </c>
      <c r="E179" s="815">
        <v>387832</v>
      </c>
      <c r="F179" s="818">
        <v>1000256</v>
      </c>
      <c r="G179" s="785">
        <v>722307</v>
      </c>
      <c r="H179" s="785"/>
      <c r="I179" s="786">
        <v>41612</v>
      </c>
      <c r="J179" s="787">
        <v>175378</v>
      </c>
      <c r="K179" s="786">
        <v>103156</v>
      </c>
      <c r="L179" s="785">
        <v>274278</v>
      </c>
      <c r="M179" s="785"/>
      <c r="N179" s="786">
        <v>20446</v>
      </c>
      <c r="O179" s="786">
        <v>0</v>
      </c>
      <c r="P179" s="786">
        <v>0</v>
      </c>
      <c r="Q179" s="785">
        <v>4516</v>
      </c>
      <c r="R179" s="785"/>
      <c r="S179" s="786">
        <v>243418</v>
      </c>
      <c r="T179" s="788">
        <v>89641</v>
      </c>
      <c r="U179" s="788">
        <v>333059</v>
      </c>
    </row>
    <row r="180" spans="1:21" x14ac:dyDescent="0.25">
      <c r="A180" s="782">
        <v>91691</v>
      </c>
      <c r="B180" s="783" t="s">
        <v>2796</v>
      </c>
      <c r="C180" s="784">
        <v>2.3200000000000001E-5</v>
      </c>
      <c r="D180" s="784">
        <v>2.4199999999999999E-5</v>
      </c>
      <c r="E180" s="815">
        <v>10219</v>
      </c>
      <c r="F180" s="818">
        <v>51361</v>
      </c>
      <c r="G180" s="785">
        <v>35443</v>
      </c>
      <c r="H180" s="785"/>
      <c r="I180" s="786">
        <v>2042</v>
      </c>
      <c r="J180" s="787">
        <v>8605</v>
      </c>
      <c r="K180" s="786">
        <v>5062</v>
      </c>
      <c r="L180" s="785">
        <v>1782</v>
      </c>
      <c r="M180" s="785"/>
      <c r="N180" s="786">
        <v>1003</v>
      </c>
      <c r="O180" s="786">
        <v>0</v>
      </c>
      <c r="P180" s="786">
        <v>0</v>
      </c>
      <c r="Q180" s="785">
        <v>1533</v>
      </c>
      <c r="R180" s="785"/>
      <c r="S180" s="786">
        <v>11944</v>
      </c>
      <c r="T180" s="788">
        <v>129</v>
      </c>
      <c r="U180" s="788">
        <f>12074-1</f>
        <v>12073</v>
      </c>
    </row>
    <row r="181" spans="1:21" x14ac:dyDescent="0.25">
      <c r="A181" s="782">
        <v>91701</v>
      </c>
      <c r="B181" s="783" t="s">
        <v>2797</v>
      </c>
      <c r="C181" s="784">
        <v>1.2451999999999999E-3</v>
      </c>
      <c r="D181" s="784">
        <v>1.0897000000000001E-3</v>
      </c>
      <c r="E181" s="815">
        <v>542906</v>
      </c>
      <c r="F181" s="818">
        <v>2312708</v>
      </c>
      <c r="G181" s="785">
        <v>1902321</v>
      </c>
      <c r="H181" s="785"/>
      <c r="I181" s="786">
        <v>109591</v>
      </c>
      <c r="J181" s="787">
        <v>461886</v>
      </c>
      <c r="K181" s="786">
        <v>271678</v>
      </c>
      <c r="L181" s="785">
        <v>95964</v>
      </c>
      <c r="M181" s="785"/>
      <c r="N181" s="786">
        <v>53849</v>
      </c>
      <c r="O181" s="786">
        <v>0</v>
      </c>
      <c r="P181" s="786">
        <v>0</v>
      </c>
      <c r="Q181" s="785">
        <v>6949</v>
      </c>
      <c r="R181" s="785"/>
      <c r="S181" s="786">
        <v>641084</v>
      </c>
      <c r="T181" s="788">
        <v>18725</v>
      </c>
      <c r="U181" s="788">
        <v>659809</v>
      </c>
    </row>
    <row r="182" spans="1:21" x14ac:dyDescent="0.25">
      <c r="A182" s="782">
        <v>91704</v>
      </c>
      <c r="B182" s="783" t="s">
        <v>2798</v>
      </c>
      <c r="C182" s="784">
        <v>1.73E-5</v>
      </c>
      <c r="D182" s="784">
        <v>1.6699999999999999E-5</v>
      </c>
      <c r="E182" s="815">
        <v>7506</v>
      </c>
      <c r="F182" s="818">
        <v>35443</v>
      </c>
      <c r="G182" s="785">
        <v>26430</v>
      </c>
      <c r="H182" s="785"/>
      <c r="I182" s="786">
        <v>1523</v>
      </c>
      <c r="J182" s="787">
        <v>6417</v>
      </c>
      <c r="K182" s="786">
        <v>3775</v>
      </c>
      <c r="L182" s="785">
        <v>1084</v>
      </c>
      <c r="M182" s="785"/>
      <c r="N182" s="786">
        <v>748</v>
      </c>
      <c r="O182" s="786">
        <v>0</v>
      </c>
      <c r="P182" s="786">
        <v>0</v>
      </c>
      <c r="Q182" s="785">
        <v>0</v>
      </c>
      <c r="R182" s="785"/>
      <c r="S182" s="786">
        <v>8907</v>
      </c>
      <c r="T182" s="788">
        <v>641</v>
      </c>
      <c r="U182" s="788">
        <v>9548</v>
      </c>
    </row>
    <row r="183" spans="1:21" x14ac:dyDescent="0.25">
      <c r="A183" s="782">
        <v>91706</v>
      </c>
      <c r="B183" s="783" t="s">
        <v>2799</v>
      </c>
      <c r="C183" s="784">
        <v>2.4340000000000001E-4</v>
      </c>
      <c r="D183" s="784">
        <v>2.4279999999999999E-4</v>
      </c>
      <c r="E183" s="815">
        <v>121963</v>
      </c>
      <c r="F183" s="818">
        <v>515303</v>
      </c>
      <c r="G183" s="785">
        <v>371848</v>
      </c>
      <c r="H183" s="785"/>
      <c r="I183" s="786">
        <v>21422</v>
      </c>
      <c r="J183" s="787">
        <v>90285</v>
      </c>
      <c r="K183" s="786">
        <v>53105</v>
      </c>
      <c r="L183" s="785">
        <v>9101</v>
      </c>
      <c r="M183" s="785"/>
      <c r="N183" s="786">
        <v>10526</v>
      </c>
      <c r="O183" s="786">
        <v>0</v>
      </c>
      <c r="P183" s="786">
        <v>0</v>
      </c>
      <c r="Q183" s="785">
        <v>8271</v>
      </c>
      <c r="R183" s="785"/>
      <c r="S183" s="786">
        <v>125313</v>
      </c>
      <c r="T183" s="788">
        <v>-4120</v>
      </c>
      <c r="U183" s="788">
        <v>121193</v>
      </c>
    </row>
    <row r="184" spans="1:21" x14ac:dyDescent="0.25">
      <c r="A184" s="782">
        <v>91719</v>
      </c>
      <c r="B184" s="783" t="s">
        <v>2800</v>
      </c>
      <c r="C184" s="784">
        <v>4.9700000000000002E-5</v>
      </c>
      <c r="D184" s="784">
        <v>4.9299999999999999E-5</v>
      </c>
      <c r="E184" s="815">
        <v>19656</v>
      </c>
      <c r="F184" s="818">
        <v>104631</v>
      </c>
      <c r="G184" s="785">
        <v>75928</v>
      </c>
      <c r="H184" s="785"/>
      <c r="I184" s="786">
        <v>4374</v>
      </c>
      <c r="J184" s="787">
        <v>18435</v>
      </c>
      <c r="K184" s="786">
        <v>10844</v>
      </c>
      <c r="L184" s="785">
        <v>4395</v>
      </c>
      <c r="M184" s="785"/>
      <c r="N184" s="786">
        <v>2149</v>
      </c>
      <c r="O184" s="786">
        <v>0</v>
      </c>
      <c r="P184" s="786">
        <v>0</v>
      </c>
      <c r="Q184" s="785">
        <v>4419</v>
      </c>
      <c r="R184" s="785"/>
      <c r="S184" s="786">
        <v>25588</v>
      </c>
      <c r="T184" s="788">
        <v>37</v>
      </c>
      <c r="U184" s="788">
        <v>25625</v>
      </c>
    </row>
    <row r="185" spans="1:21" x14ac:dyDescent="0.25">
      <c r="A185" s="782">
        <v>91801</v>
      </c>
      <c r="B185" s="783" t="s">
        <v>2801</v>
      </c>
      <c r="C185" s="784">
        <v>8.0961000000000002E-3</v>
      </c>
      <c r="D185" s="784">
        <v>8.3853999999999995E-3</v>
      </c>
      <c r="E185" s="815">
        <v>3752769</v>
      </c>
      <c r="F185" s="818">
        <v>17796628</v>
      </c>
      <c r="G185" s="785">
        <v>12368598</v>
      </c>
      <c r="H185" s="785"/>
      <c r="I185" s="786">
        <v>712546</v>
      </c>
      <c r="J185" s="787">
        <v>3003111</v>
      </c>
      <c r="K185" s="786">
        <v>1766407</v>
      </c>
      <c r="L185" s="785">
        <v>0</v>
      </c>
      <c r="M185" s="785"/>
      <c r="N185" s="786">
        <v>350116</v>
      </c>
      <c r="O185" s="786">
        <v>0</v>
      </c>
      <c r="P185" s="786">
        <v>0</v>
      </c>
      <c r="Q185" s="785">
        <v>242225</v>
      </c>
      <c r="R185" s="785"/>
      <c r="S185" s="786">
        <v>4168229</v>
      </c>
      <c r="T185" s="788">
        <v>-87031</v>
      </c>
      <c r="U185" s="788">
        <f>4081197+1</f>
        <v>4081198</v>
      </c>
    </row>
    <row r="186" spans="1:21" x14ac:dyDescent="0.25">
      <c r="A186" s="782">
        <v>91804</v>
      </c>
      <c r="B186" s="783" t="s">
        <v>2802</v>
      </c>
      <c r="C186" s="784">
        <v>1.3439999999999999E-4</v>
      </c>
      <c r="D186" s="784">
        <v>1.462E-4</v>
      </c>
      <c r="E186" s="815">
        <v>95886</v>
      </c>
      <c r="F186" s="818">
        <v>310285</v>
      </c>
      <c r="G186" s="785">
        <v>205326</v>
      </c>
      <c r="H186" s="785"/>
      <c r="I186" s="786">
        <v>11829</v>
      </c>
      <c r="J186" s="787">
        <v>49854</v>
      </c>
      <c r="K186" s="786">
        <v>29323</v>
      </c>
      <c r="L186" s="785">
        <v>55699</v>
      </c>
      <c r="M186" s="785"/>
      <c r="N186" s="786">
        <v>5812</v>
      </c>
      <c r="O186" s="786">
        <v>0</v>
      </c>
      <c r="P186" s="786">
        <v>0</v>
      </c>
      <c r="Q186" s="785">
        <v>0</v>
      </c>
      <c r="R186" s="785"/>
      <c r="S186" s="786">
        <v>69195</v>
      </c>
      <c r="T186" s="788">
        <v>23621</v>
      </c>
      <c r="U186" s="788">
        <v>92816</v>
      </c>
    </row>
    <row r="187" spans="1:21" x14ac:dyDescent="0.25">
      <c r="A187" s="782">
        <v>91811</v>
      </c>
      <c r="B187" s="783" t="s">
        <v>2803</v>
      </c>
      <c r="C187" s="784">
        <v>4.5555999999999999E-3</v>
      </c>
      <c r="D187" s="784">
        <v>4.6454000000000001E-3</v>
      </c>
      <c r="E187" s="815">
        <v>1964158</v>
      </c>
      <c r="F187" s="818">
        <v>9859095</v>
      </c>
      <c r="G187" s="785">
        <v>6959695</v>
      </c>
      <c r="H187" s="785"/>
      <c r="I187" s="786">
        <v>400943</v>
      </c>
      <c r="J187" s="787">
        <v>1689822</v>
      </c>
      <c r="K187" s="786">
        <v>993941</v>
      </c>
      <c r="L187" s="785">
        <v>0</v>
      </c>
      <c r="M187" s="785"/>
      <c r="N187" s="786">
        <v>197007</v>
      </c>
      <c r="O187" s="786">
        <v>0</v>
      </c>
      <c r="P187" s="786">
        <v>0</v>
      </c>
      <c r="Q187" s="785">
        <v>519421</v>
      </c>
      <c r="R187" s="785"/>
      <c r="S187" s="786">
        <v>2345423</v>
      </c>
      <c r="T187" s="788">
        <v>-197590</v>
      </c>
      <c r="U187" s="788">
        <v>2147833</v>
      </c>
    </row>
    <row r="188" spans="1:21" x14ac:dyDescent="0.25">
      <c r="A188" s="782">
        <v>91812</v>
      </c>
      <c r="B188" s="783" t="s">
        <v>2804</v>
      </c>
      <c r="C188" s="784">
        <v>5.0800000000000002E-5</v>
      </c>
      <c r="D188" s="784">
        <v>5.8199999999999998E-5</v>
      </c>
      <c r="E188" s="815">
        <v>26136</v>
      </c>
      <c r="F188" s="818">
        <v>123520</v>
      </c>
      <c r="G188" s="785">
        <v>77608</v>
      </c>
      <c r="H188" s="785"/>
      <c r="I188" s="786">
        <v>4471</v>
      </c>
      <c r="J188" s="787">
        <v>18843</v>
      </c>
      <c r="K188" s="786">
        <v>11084</v>
      </c>
      <c r="L188" s="785">
        <v>11326</v>
      </c>
      <c r="M188" s="785"/>
      <c r="N188" s="786">
        <v>2197</v>
      </c>
      <c r="O188" s="786">
        <v>0</v>
      </c>
      <c r="P188" s="786">
        <v>0</v>
      </c>
      <c r="Q188" s="785">
        <v>2710</v>
      </c>
      <c r="R188" s="785"/>
      <c r="S188" s="786">
        <v>26154</v>
      </c>
      <c r="T188" s="788">
        <v>4584</v>
      </c>
      <c r="U188" s="788">
        <v>30738</v>
      </c>
    </row>
    <row r="189" spans="1:21" x14ac:dyDescent="0.25">
      <c r="A189" s="782">
        <v>91813</v>
      </c>
      <c r="B189" s="783" t="s">
        <v>2805</v>
      </c>
      <c r="C189" s="784">
        <v>8.6100000000000006E-5</v>
      </c>
      <c r="D189" s="784">
        <v>1.083E-4</v>
      </c>
      <c r="E189" s="815">
        <v>44452</v>
      </c>
      <c r="F189" s="818">
        <v>229849</v>
      </c>
      <c r="G189" s="785">
        <v>131537</v>
      </c>
      <c r="H189" s="785"/>
      <c r="I189" s="786">
        <v>7578</v>
      </c>
      <c r="J189" s="787">
        <v>31938</v>
      </c>
      <c r="K189" s="786">
        <v>18785</v>
      </c>
      <c r="L189" s="785">
        <v>10986</v>
      </c>
      <c r="M189" s="785"/>
      <c r="N189" s="786">
        <v>3723</v>
      </c>
      <c r="O189" s="786">
        <v>0</v>
      </c>
      <c r="P189" s="786">
        <v>0</v>
      </c>
      <c r="Q189" s="785">
        <v>13565</v>
      </c>
      <c r="R189" s="785"/>
      <c r="S189" s="786">
        <v>44328</v>
      </c>
      <c r="T189" s="788">
        <v>-155</v>
      </c>
      <c r="U189" s="788">
        <v>44173</v>
      </c>
    </row>
    <row r="190" spans="1:21" x14ac:dyDescent="0.25">
      <c r="A190" s="782">
        <v>91818</v>
      </c>
      <c r="B190" s="783" t="s">
        <v>2806</v>
      </c>
      <c r="C190" s="784">
        <v>4.0079999999999998E-4</v>
      </c>
      <c r="D190" s="784">
        <v>3.8559999999999999E-4</v>
      </c>
      <c r="E190" s="815">
        <v>453409</v>
      </c>
      <c r="F190" s="818">
        <v>818372</v>
      </c>
      <c r="G190" s="785">
        <v>612311</v>
      </c>
      <c r="H190" s="785"/>
      <c r="I190" s="786">
        <v>35275</v>
      </c>
      <c r="J190" s="787">
        <v>148670</v>
      </c>
      <c r="K190" s="786">
        <v>87447</v>
      </c>
      <c r="L190" s="785">
        <v>469231</v>
      </c>
      <c r="M190" s="785"/>
      <c r="N190" s="786">
        <v>17333</v>
      </c>
      <c r="O190" s="786">
        <v>0</v>
      </c>
      <c r="P190" s="786">
        <v>0</v>
      </c>
      <c r="Q190" s="785">
        <v>5024</v>
      </c>
      <c r="R190" s="785"/>
      <c r="S190" s="786">
        <v>206349</v>
      </c>
      <c r="T190" s="788">
        <v>155106</v>
      </c>
      <c r="U190" s="788">
        <f>361456-1</f>
        <v>361455</v>
      </c>
    </row>
    <row r="191" spans="1:21" x14ac:dyDescent="0.25">
      <c r="A191" s="782">
        <v>91819</v>
      </c>
      <c r="B191" s="783" t="s">
        <v>2807</v>
      </c>
      <c r="C191" s="784">
        <v>2.8489999999999999E-4</v>
      </c>
      <c r="D191" s="784">
        <v>2.8200000000000002E-4</v>
      </c>
      <c r="E191" s="815">
        <v>138657</v>
      </c>
      <c r="F191" s="818">
        <v>598498</v>
      </c>
      <c r="G191" s="785">
        <v>435248</v>
      </c>
      <c r="H191" s="785"/>
      <c r="I191" s="786">
        <v>25074</v>
      </c>
      <c r="J191" s="787">
        <v>105678</v>
      </c>
      <c r="K191" s="786">
        <v>62159</v>
      </c>
      <c r="L191" s="785">
        <v>15073</v>
      </c>
      <c r="M191" s="785"/>
      <c r="N191" s="786">
        <v>12321</v>
      </c>
      <c r="O191" s="786">
        <v>0</v>
      </c>
      <c r="P191" s="786">
        <v>0</v>
      </c>
      <c r="Q191" s="785">
        <v>8276</v>
      </c>
      <c r="R191" s="785"/>
      <c r="S191" s="786">
        <v>146679</v>
      </c>
      <c r="T191" s="788">
        <v>5278</v>
      </c>
      <c r="U191" s="788">
        <v>151957</v>
      </c>
    </row>
    <row r="192" spans="1:21" x14ac:dyDescent="0.25">
      <c r="A192" s="782">
        <v>91821</v>
      </c>
      <c r="B192" s="783" t="s">
        <v>2808</v>
      </c>
      <c r="C192" s="784">
        <v>1.7330000000000001E-4</v>
      </c>
      <c r="D192" s="784">
        <v>1.63E-4</v>
      </c>
      <c r="E192" s="815">
        <v>71126</v>
      </c>
      <c r="F192" s="818">
        <v>345941</v>
      </c>
      <c r="G192" s="785">
        <v>264754</v>
      </c>
      <c r="H192" s="785"/>
      <c r="I192" s="786">
        <v>15252</v>
      </c>
      <c r="J192" s="787">
        <v>64283</v>
      </c>
      <c r="K192" s="786">
        <v>37811</v>
      </c>
      <c r="L192" s="785">
        <v>2434</v>
      </c>
      <c r="M192" s="785"/>
      <c r="N192" s="786">
        <v>7494</v>
      </c>
      <c r="O192" s="786">
        <v>0</v>
      </c>
      <c r="P192" s="786">
        <v>0</v>
      </c>
      <c r="Q192" s="785">
        <v>1112</v>
      </c>
      <c r="R192" s="785"/>
      <c r="S192" s="786">
        <v>89222</v>
      </c>
      <c r="T192" s="788">
        <v>1572</v>
      </c>
      <c r="U192" s="788">
        <f>90795-1</f>
        <v>90794</v>
      </c>
    </row>
    <row r="193" spans="1:21" x14ac:dyDescent="0.25">
      <c r="A193" s="782">
        <v>91831</v>
      </c>
      <c r="B193" s="783" t="s">
        <v>2809</v>
      </c>
      <c r="C193" s="784">
        <v>3.366E-4</v>
      </c>
      <c r="D193" s="784">
        <v>3.414E-4</v>
      </c>
      <c r="E193" s="815">
        <v>150178</v>
      </c>
      <c r="F193" s="818">
        <v>724565</v>
      </c>
      <c r="G193" s="785">
        <v>514232</v>
      </c>
      <c r="H193" s="785"/>
      <c r="I193" s="786">
        <v>29625</v>
      </c>
      <c r="J193" s="787">
        <v>124856</v>
      </c>
      <c r="K193" s="786">
        <v>73439</v>
      </c>
      <c r="L193" s="785">
        <v>7847</v>
      </c>
      <c r="M193" s="785"/>
      <c r="N193" s="786">
        <v>14556</v>
      </c>
      <c r="O193" s="786">
        <v>0</v>
      </c>
      <c r="P193" s="786">
        <v>0</v>
      </c>
      <c r="Q193" s="785">
        <v>13475</v>
      </c>
      <c r="R193" s="785"/>
      <c r="S193" s="786">
        <v>173296</v>
      </c>
      <c r="T193" s="788">
        <v>520</v>
      </c>
      <c r="U193" s="788">
        <v>173816</v>
      </c>
    </row>
    <row r="194" spans="1:21" x14ac:dyDescent="0.25">
      <c r="A194" s="782">
        <v>91841</v>
      </c>
      <c r="B194" s="783" t="s">
        <v>2810</v>
      </c>
      <c r="C194" s="784">
        <v>2.5339999999999998E-4</v>
      </c>
      <c r="D194" s="784">
        <v>2.63E-4</v>
      </c>
      <c r="E194" s="815">
        <v>126479</v>
      </c>
      <c r="F194" s="818">
        <v>558174</v>
      </c>
      <c r="G194" s="785">
        <v>387125</v>
      </c>
      <c r="H194" s="785"/>
      <c r="I194" s="786">
        <v>22302</v>
      </c>
      <c r="J194" s="787">
        <v>93994</v>
      </c>
      <c r="K194" s="786">
        <v>55287</v>
      </c>
      <c r="L194" s="785">
        <v>1681</v>
      </c>
      <c r="M194" s="785"/>
      <c r="N194" s="786">
        <v>10958</v>
      </c>
      <c r="O194" s="786">
        <v>0</v>
      </c>
      <c r="P194" s="786">
        <v>0</v>
      </c>
      <c r="Q194" s="785">
        <v>14711</v>
      </c>
      <c r="R194" s="785"/>
      <c r="S194" s="786">
        <v>130461</v>
      </c>
      <c r="T194" s="788">
        <v>-9727</v>
      </c>
      <c r="U194" s="788">
        <v>120734</v>
      </c>
    </row>
    <row r="195" spans="1:21" x14ac:dyDescent="0.25">
      <c r="A195" s="782">
        <v>91851</v>
      </c>
      <c r="B195" s="783" t="s">
        <v>2811</v>
      </c>
      <c r="C195" s="784">
        <v>7.4910000000000005E-4</v>
      </c>
      <c r="D195" s="784">
        <v>7.2059999999999995E-4</v>
      </c>
      <c r="E195" s="815">
        <v>326836</v>
      </c>
      <c r="F195" s="818">
        <v>1529355</v>
      </c>
      <c r="G195" s="785">
        <v>1144417</v>
      </c>
      <c r="H195" s="785"/>
      <c r="I195" s="786">
        <v>65929</v>
      </c>
      <c r="J195" s="787">
        <v>277866</v>
      </c>
      <c r="K195" s="786">
        <v>163439</v>
      </c>
      <c r="L195" s="785">
        <v>9030</v>
      </c>
      <c r="M195" s="785"/>
      <c r="N195" s="786">
        <v>32395</v>
      </c>
      <c r="O195" s="786">
        <v>0</v>
      </c>
      <c r="P195" s="786">
        <v>0</v>
      </c>
      <c r="Q195" s="785">
        <v>44287</v>
      </c>
      <c r="R195" s="785"/>
      <c r="S195" s="786">
        <v>385670</v>
      </c>
      <c r="T195" s="788">
        <v>-13424</v>
      </c>
      <c r="U195" s="788">
        <v>372246</v>
      </c>
    </row>
    <row r="196" spans="1:21" x14ac:dyDescent="0.25">
      <c r="A196" s="782">
        <v>91861</v>
      </c>
      <c r="B196" s="783" t="s">
        <v>2812</v>
      </c>
      <c r="C196" s="784">
        <v>1.9700000000000001E-5</v>
      </c>
      <c r="D196" s="784">
        <v>1.9899999999999999E-5</v>
      </c>
      <c r="E196" s="815">
        <v>8023</v>
      </c>
      <c r="F196" s="818">
        <v>42234</v>
      </c>
      <c r="G196" s="785">
        <v>30096</v>
      </c>
      <c r="H196" s="785"/>
      <c r="I196" s="786">
        <v>1734</v>
      </c>
      <c r="J196" s="787">
        <v>7308</v>
      </c>
      <c r="K196" s="786">
        <v>4298</v>
      </c>
      <c r="L196" s="785">
        <v>2050</v>
      </c>
      <c r="M196" s="785"/>
      <c r="N196" s="786">
        <v>852</v>
      </c>
      <c r="O196" s="786">
        <v>0</v>
      </c>
      <c r="P196" s="786">
        <v>0</v>
      </c>
      <c r="Q196" s="785">
        <v>1061</v>
      </c>
      <c r="R196" s="785"/>
      <c r="S196" s="786">
        <v>10142</v>
      </c>
      <c r="T196" s="788">
        <v>692</v>
      </c>
      <c r="U196" s="788">
        <f>10835-1</f>
        <v>10834</v>
      </c>
    </row>
    <row r="197" spans="1:21" x14ac:dyDescent="0.25">
      <c r="A197" s="782">
        <v>91871</v>
      </c>
      <c r="B197" s="783" t="s">
        <v>2813</v>
      </c>
      <c r="C197" s="784">
        <v>1.3319E-3</v>
      </c>
      <c r="D197" s="784">
        <v>1.2712000000000001E-3</v>
      </c>
      <c r="E197" s="815">
        <v>588755</v>
      </c>
      <c r="F197" s="818">
        <v>2697912</v>
      </c>
      <c r="G197" s="785">
        <v>2034774</v>
      </c>
      <c r="H197" s="785"/>
      <c r="I197" s="786">
        <v>117222</v>
      </c>
      <c r="J197" s="787">
        <v>494045</v>
      </c>
      <c r="K197" s="786">
        <v>290594</v>
      </c>
      <c r="L197" s="785">
        <v>22538</v>
      </c>
      <c r="M197" s="785"/>
      <c r="N197" s="786">
        <v>57598</v>
      </c>
      <c r="O197" s="786">
        <v>0</v>
      </c>
      <c r="P197" s="786">
        <v>0</v>
      </c>
      <c r="Q197" s="785">
        <v>73797</v>
      </c>
      <c r="R197" s="785"/>
      <c r="S197" s="786">
        <v>685721</v>
      </c>
      <c r="T197" s="788">
        <v>-28802</v>
      </c>
      <c r="U197" s="788">
        <v>656919</v>
      </c>
    </row>
    <row r="198" spans="1:21" x14ac:dyDescent="0.25">
      <c r="A198" s="782">
        <v>91881</v>
      </c>
      <c r="B198" s="783" t="s">
        <v>2814</v>
      </c>
      <c r="C198" s="784">
        <v>9.3000000000000007E-6</v>
      </c>
      <c r="D198" s="784">
        <v>1.01E-5</v>
      </c>
      <c r="E198" s="815">
        <v>6384</v>
      </c>
      <c r="F198" s="818">
        <v>21436</v>
      </c>
      <c r="G198" s="785">
        <v>14208</v>
      </c>
      <c r="H198" s="785"/>
      <c r="I198" s="786">
        <v>819</v>
      </c>
      <c r="J198" s="787">
        <v>3450</v>
      </c>
      <c r="K198" s="786">
        <v>2029</v>
      </c>
      <c r="L198" s="785">
        <v>1155</v>
      </c>
      <c r="M198" s="785"/>
      <c r="N198" s="786">
        <v>402</v>
      </c>
      <c r="O198" s="786">
        <v>0</v>
      </c>
      <c r="P198" s="786">
        <v>0</v>
      </c>
      <c r="Q198" s="785">
        <v>8809</v>
      </c>
      <c r="R198" s="785"/>
      <c r="S198" s="786">
        <v>4788</v>
      </c>
      <c r="T198" s="788">
        <v>-5615</v>
      </c>
      <c r="U198" s="788">
        <v>-827</v>
      </c>
    </row>
    <row r="199" spans="1:21" x14ac:dyDescent="0.25">
      <c r="A199" s="782">
        <v>91901</v>
      </c>
      <c r="B199" s="783" t="s">
        <v>2815</v>
      </c>
      <c r="C199" s="784">
        <v>3.6706999999999998E-3</v>
      </c>
      <c r="D199" s="784">
        <v>3.6564000000000002E-3</v>
      </c>
      <c r="E199" s="815">
        <v>1652493</v>
      </c>
      <c r="F199" s="818">
        <v>7760106</v>
      </c>
      <c r="G199" s="785">
        <v>5607813</v>
      </c>
      <c r="H199" s="785"/>
      <c r="I199" s="786">
        <v>323062</v>
      </c>
      <c r="J199" s="787">
        <v>1361584</v>
      </c>
      <c r="K199" s="786">
        <v>800873</v>
      </c>
      <c r="L199" s="785">
        <v>89719</v>
      </c>
      <c r="M199" s="785"/>
      <c r="N199" s="786">
        <v>158739</v>
      </c>
      <c r="O199" s="786">
        <v>0</v>
      </c>
      <c r="P199" s="786">
        <v>0</v>
      </c>
      <c r="Q199" s="785">
        <v>16546</v>
      </c>
      <c r="R199" s="785"/>
      <c r="S199" s="786">
        <v>1889838</v>
      </c>
      <c r="T199" s="788">
        <v>53714</v>
      </c>
      <c r="U199" s="788">
        <v>1943552</v>
      </c>
    </row>
    <row r="200" spans="1:21" x14ac:dyDescent="0.25">
      <c r="A200" s="782">
        <v>91903</v>
      </c>
      <c r="B200" s="783" t="s">
        <v>2816</v>
      </c>
      <c r="C200" s="784">
        <v>8.6999999999999997E-6</v>
      </c>
      <c r="D200" s="784">
        <v>8.3999999999999992E-6</v>
      </c>
      <c r="E200" s="815">
        <v>5739</v>
      </c>
      <c r="F200" s="818">
        <v>17828</v>
      </c>
      <c r="G200" s="785">
        <v>13291</v>
      </c>
      <c r="H200" s="785"/>
      <c r="I200" s="786">
        <v>766</v>
      </c>
      <c r="J200" s="787">
        <v>3227</v>
      </c>
      <c r="K200" s="786">
        <v>1898</v>
      </c>
      <c r="L200" s="785">
        <v>2037</v>
      </c>
      <c r="M200" s="785"/>
      <c r="N200" s="786">
        <v>376</v>
      </c>
      <c r="O200" s="786">
        <v>0</v>
      </c>
      <c r="P200" s="786">
        <v>0</v>
      </c>
      <c r="Q200" s="785">
        <v>3011</v>
      </c>
      <c r="R200" s="785"/>
      <c r="S200" s="786">
        <v>4479</v>
      </c>
      <c r="T200" s="788">
        <v>-2426</v>
      </c>
      <c r="U200" s="788">
        <v>2053</v>
      </c>
    </row>
    <row r="201" spans="1:21" x14ac:dyDescent="0.25">
      <c r="A201" s="782">
        <v>91904</v>
      </c>
      <c r="B201" s="783" t="s">
        <v>2817</v>
      </c>
      <c r="C201" s="784">
        <v>3.3399999999999999E-5</v>
      </c>
      <c r="D201" s="784">
        <v>2.3300000000000001E-5</v>
      </c>
      <c r="E201" s="815">
        <v>13231</v>
      </c>
      <c r="F201" s="818">
        <v>49450</v>
      </c>
      <c r="G201" s="785">
        <v>51026</v>
      </c>
      <c r="H201" s="785"/>
      <c r="I201" s="786">
        <v>2940</v>
      </c>
      <c r="J201" s="787">
        <v>12389</v>
      </c>
      <c r="K201" s="786">
        <v>7287</v>
      </c>
      <c r="L201" s="785">
        <v>11190</v>
      </c>
      <c r="M201" s="785"/>
      <c r="N201" s="786">
        <v>1444</v>
      </c>
      <c r="O201" s="786">
        <v>0</v>
      </c>
      <c r="P201" s="786">
        <v>0</v>
      </c>
      <c r="Q201" s="785">
        <v>0</v>
      </c>
      <c r="R201" s="785"/>
      <c r="S201" s="786">
        <v>17196</v>
      </c>
      <c r="T201" s="788">
        <v>4334</v>
      </c>
      <c r="U201" s="788">
        <v>21530</v>
      </c>
    </row>
    <row r="202" spans="1:21" x14ac:dyDescent="0.25">
      <c r="A202" s="782">
        <v>91908</v>
      </c>
      <c r="B202" s="783" t="s">
        <v>2818</v>
      </c>
      <c r="C202" s="784">
        <v>1.6900000000000001E-5</v>
      </c>
      <c r="D202" s="784">
        <v>1.3699999999999999E-5</v>
      </c>
      <c r="E202" s="815">
        <v>5211</v>
      </c>
      <c r="F202" s="818">
        <v>29076</v>
      </c>
      <c r="G202" s="785">
        <v>25819</v>
      </c>
      <c r="H202" s="785"/>
      <c r="I202" s="786">
        <v>1487</v>
      </c>
      <c r="J202" s="787">
        <v>6269</v>
      </c>
      <c r="K202" s="786">
        <v>3687</v>
      </c>
      <c r="L202" s="785">
        <v>935</v>
      </c>
      <c r="M202" s="785"/>
      <c r="N202" s="786">
        <v>731</v>
      </c>
      <c r="O202" s="786">
        <v>0</v>
      </c>
      <c r="P202" s="786">
        <v>0</v>
      </c>
      <c r="Q202" s="785">
        <v>2553</v>
      </c>
      <c r="R202" s="785"/>
      <c r="S202" s="786">
        <v>8701</v>
      </c>
      <c r="T202" s="788">
        <v>-56</v>
      </c>
      <c r="U202" s="788">
        <v>8645</v>
      </c>
    </row>
    <row r="203" spans="1:21" x14ac:dyDescent="0.25">
      <c r="A203" s="782">
        <v>91911</v>
      </c>
      <c r="B203" s="783" t="s">
        <v>2819</v>
      </c>
      <c r="C203" s="784">
        <v>4.5580000000000002E-4</v>
      </c>
      <c r="D203" s="784">
        <v>4.639E-4</v>
      </c>
      <c r="E203" s="815">
        <v>224257</v>
      </c>
      <c r="F203" s="818">
        <v>984551</v>
      </c>
      <c r="G203" s="785">
        <v>696336</v>
      </c>
      <c r="H203" s="785"/>
      <c r="I203" s="786">
        <v>40115</v>
      </c>
      <c r="J203" s="787">
        <v>169071</v>
      </c>
      <c r="K203" s="786">
        <v>99446</v>
      </c>
      <c r="L203" s="785">
        <v>13510</v>
      </c>
      <c r="M203" s="785"/>
      <c r="N203" s="786">
        <v>19711</v>
      </c>
      <c r="O203" s="786">
        <v>0</v>
      </c>
      <c r="P203" s="786">
        <v>0</v>
      </c>
      <c r="Q203" s="785">
        <v>5011</v>
      </c>
      <c r="R203" s="785"/>
      <c r="S203" s="786">
        <v>234666</v>
      </c>
      <c r="T203" s="788">
        <v>598</v>
      </c>
      <c r="U203" s="788">
        <v>235264</v>
      </c>
    </row>
    <row r="204" spans="1:21" x14ac:dyDescent="0.25">
      <c r="A204" s="782">
        <v>91917</v>
      </c>
      <c r="B204" s="783" t="s">
        <v>2820</v>
      </c>
      <c r="C204" s="784">
        <v>1.22E-5</v>
      </c>
      <c r="D204" s="784">
        <v>1.36E-5</v>
      </c>
      <c r="E204" s="815">
        <v>6387</v>
      </c>
      <c r="F204" s="818">
        <v>28864</v>
      </c>
      <c r="G204" s="785">
        <v>18638</v>
      </c>
      <c r="H204" s="785"/>
      <c r="I204" s="786">
        <v>1074</v>
      </c>
      <c r="J204" s="787">
        <v>4526</v>
      </c>
      <c r="K204" s="786">
        <v>2662</v>
      </c>
      <c r="L204" s="785">
        <v>527</v>
      </c>
      <c r="M204" s="785"/>
      <c r="N204" s="786">
        <v>528</v>
      </c>
      <c r="O204" s="786">
        <v>0</v>
      </c>
      <c r="P204" s="786">
        <v>0</v>
      </c>
      <c r="Q204" s="785">
        <v>310</v>
      </c>
      <c r="R204" s="785"/>
      <c r="S204" s="786">
        <v>6281</v>
      </c>
      <c r="T204" s="788">
        <v>126</v>
      </c>
      <c r="U204" s="788">
        <v>6407</v>
      </c>
    </row>
    <row r="205" spans="1:21" x14ac:dyDescent="0.25">
      <c r="A205" s="782">
        <v>91921</v>
      </c>
      <c r="B205" s="783" t="s">
        <v>2821</v>
      </c>
      <c r="C205" s="784">
        <v>3.769E-4</v>
      </c>
      <c r="D205" s="784">
        <v>3.6600000000000001E-4</v>
      </c>
      <c r="E205" s="815">
        <v>160505</v>
      </c>
      <c r="F205" s="818">
        <v>776775</v>
      </c>
      <c r="G205" s="785">
        <v>575799</v>
      </c>
      <c r="H205" s="785"/>
      <c r="I205" s="786">
        <v>33171</v>
      </c>
      <c r="J205" s="787">
        <v>139804</v>
      </c>
      <c r="K205" s="786">
        <v>82232</v>
      </c>
      <c r="L205" s="785">
        <v>0</v>
      </c>
      <c r="M205" s="785"/>
      <c r="N205" s="786">
        <v>16299</v>
      </c>
      <c r="O205" s="786">
        <v>0</v>
      </c>
      <c r="P205" s="786">
        <v>0</v>
      </c>
      <c r="Q205" s="785">
        <v>10651</v>
      </c>
      <c r="R205" s="785"/>
      <c r="S205" s="786">
        <v>194045</v>
      </c>
      <c r="T205" s="788">
        <v>-5316</v>
      </c>
      <c r="U205" s="788">
        <v>188729</v>
      </c>
    </row>
    <row r="206" spans="1:21" x14ac:dyDescent="0.25">
      <c r="A206" s="782">
        <v>92001</v>
      </c>
      <c r="B206" s="783" t="s">
        <v>2822</v>
      </c>
      <c r="C206" s="784">
        <v>1.8143E-3</v>
      </c>
      <c r="D206" s="784">
        <v>1.9604000000000002E-3</v>
      </c>
      <c r="E206" s="815">
        <v>790603</v>
      </c>
      <c r="F206" s="818">
        <v>4160626</v>
      </c>
      <c r="G206" s="785">
        <v>2771748</v>
      </c>
      <c r="H206" s="785"/>
      <c r="I206" s="786">
        <v>159678</v>
      </c>
      <c r="J206" s="787">
        <v>672984</v>
      </c>
      <c r="K206" s="786">
        <v>395844</v>
      </c>
      <c r="L206" s="785">
        <v>48219</v>
      </c>
      <c r="M206" s="785"/>
      <c r="N206" s="786">
        <v>78459</v>
      </c>
      <c r="O206" s="786">
        <v>0</v>
      </c>
      <c r="P206" s="786">
        <v>0</v>
      </c>
      <c r="Q206" s="785">
        <v>157894</v>
      </c>
      <c r="R206" s="785"/>
      <c r="S206" s="786">
        <v>934081</v>
      </c>
      <c r="T206" s="788">
        <v>-42009</v>
      </c>
      <c r="U206" s="788">
        <f>892073-1</f>
        <v>892072</v>
      </c>
    </row>
    <row r="207" spans="1:21" x14ac:dyDescent="0.25">
      <c r="A207" s="782">
        <v>92005</v>
      </c>
      <c r="B207" s="783" t="s">
        <v>2823</v>
      </c>
      <c r="C207" s="784">
        <v>4.1399999999999997E-5</v>
      </c>
      <c r="D207" s="784">
        <v>4.6499999999999999E-5</v>
      </c>
      <c r="E207" s="815">
        <v>20947</v>
      </c>
      <c r="F207" s="818">
        <v>98689</v>
      </c>
      <c r="G207" s="785">
        <v>63248</v>
      </c>
      <c r="H207" s="785"/>
      <c r="I207" s="786">
        <v>3644</v>
      </c>
      <c r="J207" s="787">
        <v>15356</v>
      </c>
      <c r="K207" s="786">
        <v>9033</v>
      </c>
      <c r="L207" s="785">
        <v>1741</v>
      </c>
      <c r="M207" s="785"/>
      <c r="N207" s="786">
        <v>1790</v>
      </c>
      <c r="O207" s="786">
        <v>0</v>
      </c>
      <c r="P207" s="786">
        <v>0</v>
      </c>
      <c r="Q207" s="785">
        <v>2252</v>
      </c>
      <c r="R207" s="785"/>
      <c r="S207" s="786">
        <v>21315</v>
      </c>
      <c r="T207" s="788">
        <v>208</v>
      </c>
      <c r="U207" s="788">
        <f>21522+1</f>
        <v>21523</v>
      </c>
    </row>
    <row r="208" spans="1:21" x14ac:dyDescent="0.25">
      <c r="A208" s="782">
        <v>92011</v>
      </c>
      <c r="B208" s="783" t="s">
        <v>2824</v>
      </c>
      <c r="C208" s="784">
        <v>2.0049999999999999E-4</v>
      </c>
      <c r="D208" s="784">
        <v>1.8660000000000001E-4</v>
      </c>
      <c r="E208" s="815">
        <v>90383</v>
      </c>
      <c r="F208" s="818">
        <v>396028</v>
      </c>
      <c r="G208" s="785">
        <v>306308</v>
      </c>
      <c r="H208" s="785"/>
      <c r="I208" s="786">
        <v>17646</v>
      </c>
      <c r="J208" s="787">
        <v>74372</v>
      </c>
      <c r="K208" s="786">
        <v>43745</v>
      </c>
      <c r="L208" s="785">
        <v>17614</v>
      </c>
      <c r="M208" s="785"/>
      <c r="N208" s="786">
        <v>8671</v>
      </c>
      <c r="O208" s="786">
        <v>0</v>
      </c>
      <c r="P208" s="786">
        <v>0</v>
      </c>
      <c r="Q208" s="785">
        <v>0</v>
      </c>
      <c r="R208" s="785"/>
      <c r="S208" s="786">
        <v>103226</v>
      </c>
      <c r="T208" s="788">
        <v>9780</v>
      </c>
      <c r="U208" s="788">
        <v>113006</v>
      </c>
    </row>
    <row r="209" spans="1:21" x14ac:dyDescent="0.25">
      <c r="A209" s="782">
        <v>92017</v>
      </c>
      <c r="B209" s="783" t="s">
        <v>2825</v>
      </c>
      <c r="C209" s="784">
        <v>3.4199999999999998E-5</v>
      </c>
      <c r="D209" s="784">
        <v>3.5099999999999999E-5</v>
      </c>
      <c r="E209" s="815">
        <v>16941</v>
      </c>
      <c r="F209" s="818">
        <v>74494</v>
      </c>
      <c r="G209" s="785">
        <v>52248</v>
      </c>
      <c r="H209" s="785"/>
      <c r="I209" s="786">
        <v>3010</v>
      </c>
      <c r="J209" s="787">
        <v>12686</v>
      </c>
      <c r="K209" s="786">
        <v>7462</v>
      </c>
      <c r="L209" s="785">
        <v>639</v>
      </c>
      <c r="M209" s="785"/>
      <c r="N209" s="786">
        <v>1479</v>
      </c>
      <c r="O209" s="786">
        <v>0</v>
      </c>
      <c r="P209" s="786">
        <v>0</v>
      </c>
      <c r="Q209" s="785">
        <v>1257</v>
      </c>
      <c r="R209" s="785"/>
      <c r="S209" s="786">
        <v>17608</v>
      </c>
      <c r="T209" s="788">
        <v>-668</v>
      </c>
      <c r="U209" s="788">
        <f>16939+1</f>
        <v>16940</v>
      </c>
    </row>
    <row r="210" spans="1:21" x14ac:dyDescent="0.25">
      <c r="A210" s="782">
        <v>92021</v>
      </c>
      <c r="B210" s="783" t="s">
        <v>2826</v>
      </c>
      <c r="C210" s="784">
        <v>1.5779999999999999E-4</v>
      </c>
      <c r="D210" s="784">
        <v>1.4249999999999999E-4</v>
      </c>
      <c r="E210" s="815">
        <v>72635</v>
      </c>
      <c r="F210" s="818">
        <v>302433</v>
      </c>
      <c r="G210" s="785">
        <v>241075</v>
      </c>
      <c r="H210" s="785"/>
      <c r="I210" s="786">
        <v>13888</v>
      </c>
      <c r="J210" s="787">
        <v>58533</v>
      </c>
      <c r="K210" s="786">
        <v>34429</v>
      </c>
      <c r="L210" s="785">
        <v>30504</v>
      </c>
      <c r="M210" s="785"/>
      <c r="N210" s="786">
        <v>6824</v>
      </c>
      <c r="O210" s="786">
        <v>0</v>
      </c>
      <c r="P210" s="786">
        <v>0</v>
      </c>
      <c r="Q210" s="785">
        <v>11142</v>
      </c>
      <c r="R210" s="785"/>
      <c r="S210" s="786">
        <v>81242</v>
      </c>
      <c r="T210" s="788">
        <v>1771</v>
      </c>
      <c r="U210" s="788">
        <f>83014-1</f>
        <v>83013</v>
      </c>
    </row>
    <row r="211" spans="1:21" x14ac:dyDescent="0.25">
      <c r="A211" s="782">
        <v>92101</v>
      </c>
      <c r="B211" s="783" t="s">
        <v>2827</v>
      </c>
      <c r="C211" s="784">
        <v>8.5209999999999995E-4</v>
      </c>
      <c r="D211" s="784">
        <v>8.6870000000000003E-4</v>
      </c>
      <c r="E211" s="815">
        <v>368519</v>
      </c>
      <c r="F211" s="818">
        <v>1843672</v>
      </c>
      <c r="G211" s="785">
        <v>1301773</v>
      </c>
      <c r="H211" s="785"/>
      <c r="I211" s="786">
        <v>74994</v>
      </c>
      <c r="J211" s="787">
        <v>316072</v>
      </c>
      <c r="K211" s="786">
        <v>185911</v>
      </c>
      <c r="L211" s="785">
        <v>9505</v>
      </c>
      <c r="M211" s="785"/>
      <c r="N211" s="786">
        <v>36849</v>
      </c>
      <c r="O211" s="786">
        <v>0</v>
      </c>
      <c r="P211" s="786">
        <v>0</v>
      </c>
      <c r="Q211" s="785">
        <v>63189</v>
      </c>
      <c r="R211" s="785"/>
      <c r="S211" s="786">
        <v>438699</v>
      </c>
      <c r="T211" s="788">
        <v>-10164</v>
      </c>
      <c r="U211" s="788">
        <v>428535</v>
      </c>
    </row>
    <row r="212" spans="1:21" x14ac:dyDescent="0.25">
      <c r="A212" s="782">
        <v>92104</v>
      </c>
      <c r="B212" s="783" t="s">
        <v>2828</v>
      </c>
      <c r="C212" s="784">
        <v>8.6000000000000007E-6</v>
      </c>
      <c r="D212" s="784">
        <v>8.8000000000000004E-6</v>
      </c>
      <c r="E212" s="815">
        <v>5180</v>
      </c>
      <c r="F212" s="818">
        <v>18677</v>
      </c>
      <c r="G212" s="785">
        <v>13138</v>
      </c>
      <c r="H212" s="785"/>
      <c r="I212" s="786">
        <v>757</v>
      </c>
      <c r="J212" s="787">
        <v>3190</v>
      </c>
      <c r="K212" s="786">
        <v>1876</v>
      </c>
      <c r="L212" s="785">
        <v>3377</v>
      </c>
      <c r="M212" s="785"/>
      <c r="N212" s="786">
        <v>372</v>
      </c>
      <c r="O212" s="786">
        <v>0</v>
      </c>
      <c r="P212" s="786">
        <v>0</v>
      </c>
      <c r="Q212" s="785">
        <v>0</v>
      </c>
      <c r="R212" s="785"/>
      <c r="S212" s="786">
        <v>4428</v>
      </c>
      <c r="T212" s="788">
        <v>1850</v>
      </c>
      <c r="U212" s="788">
        <f>6277+1</f>
        <v>6278</v>
      </c>
    </row>
    <row r="213" spans="1:21" x14ac:dyDescent="0.25">
      <c r="A213" s="782">
        <v>92109</v>
      </c>
      <c r="B213" s="783" t="s">
        <v>2829</v>
      </c>
      <c r="C213" s="784">
        <v>1.8809999999999999E-4</v>
      </c>
      <c r="D213" s="784">
        <v>1.7909999999999999E-4</v>
      </c>
      <c r="E213" s="815">
        <v>79223</v>
      </c>
      <c r="F213" s="818">
        <v>380110</v>
      </c>
      <c r="G213" s="785">
        <v>287365</v>
      </c>
      <c r="H213" s="785"/>
      <c r="I213" s="786">
        <v>16555</v>
      </c>
      <c r="J213" s="787">
        <v>69773</v>
      </c>
      <c r="K213" s="786">
        <v>41040</v>
      </c>
      <c r="L213" s="785">
        <v>2067</v>
      </c>
      <c r="M213" s="785"/>
      <c r="N213" s="786">
        <v>8134</v>
      </c>
      <c r="O213" s="786">
        <v>0</v>
      </c>
      <c r="P213" s="786">
        <v>0</v>
      </c>
      <c r="Q213" s="785">
        <v>12612</v>
      </c>
      <c r="R213" s="785"/>
      <c r="S213" s="786">
        <v>96842</v>
      </c>
      <c r="T213" s="788">
        <v>-5396</v>
      </c>
      <c r="U213" s="788">
        <v>91446</v>
      </c>
    </row>
    <row r="214" spans="1:21" x14ac:dyDescent="0.25">
      <c r="A214" s="782">
        <v>92111</v>
      </c>
      <c r="B214" s="783" t="s">
        <v>2830</v>
      </c>
      <c r="C214" s="784">
        <v>5.0460000000000001E-4</v>
      </c>
      <c r="D214" s="784">
        <v>5.0009999999999996E-4</v>
      </c>
      <c r="E214" s="815">
        <v>231049</v>
      </c>
      <c r="F214" s="818">
        <v>1061380</v>
      </c>
      <c r="G214" s="785">
        <v>770889</v>
      </c>
      <c r="H214" s="785"/>
      <c r="I214" s="786">
        <v>44410</v>
      </c>
      <c r="J214" s="787">
        <v>187173</v>
      </c>
      <c r="K214" s="786">
        <v>110094</v>
      </c>
      <c r="L214" s="785">
        <v>10602</v>
      </c>
      <c r="M214" s="785"/>
      <c r="N214" s="786">
        <v>21821</v>
      </c>
      <c r="O214" s="786">
        <v>0</v>
      </c>
      <c r="P214" s="786">
        <v>0</v>
      </c>
      <c r="Q214" s="785">
        <v>13269</v>
      </c>
      <c r="R214" s="785"/>
      <c r="S214" s="786">
        <v>259790</v>
      </c>
      <c r="T214" s="788">
        <v>2449</v>
      </c>
      <c r="U214" s="788">
        <v>262239</v>
      </c>
    </row>
    <row r="215" spans="1:21" x14ac:dyDescent="0.25">
      <c r="A215" s="782">
        <v>92113</v>
      </c>
      <c r="B215" s="783" t="s">
        <v>2831</v>
      </c>
      <c r="C215" s="784">
        <v>1.4399999999999999E-5</v>
      </c>
      <c r="D215" s="784">
        <v>2.2099999999999998E-5</v>
      </c>
      <c r="E215" s="815">
        <v>10341</v>
      </c>
      <c r="F215" s="818">
        <v>46904</v>
      </c>
      <c r="G215" s="785">
        <v>21999</v>
      </c>
      <c r="H215" s="785"/>
      <c r="I215" s="786">
        <v>1267</v>
      </c>
      <c r="J215" s="787">
        <v>5342</v>
      </c>
      <c r="K215" s="786">
        <v>3142</v>
      </c>
      <c r="L215" s="785">
        <v>17604</v>
      </c>
      <c r="M215" s="785"/>
      <c r="N215" s="786">
        <v>623</v>
      </c>
      <c r="O215" s="786">
        <v>0</v>
      </c>
      <c r="P215" s="786">
        <v>0</v>
      </c>
      <c r="Q215" s="785">
        <v>2179</v>
      </c>
      <c r="R215" s="785"/>
      <c r="S215" s="786">
        <v>7414</v>
      </c>
      <c r="T215" s="788">
        <v>7173</v>
      </c>
      <c r="U215" s="788">
        <v>14587</v>
      </c>
    </row>
    <row r="216" spans="1:21" x14ac:dyDescent="0.25">
      <c r="A216" s="782">
        <v>92201</v>
      </c>
      <c r="B216" s="783" t="s">
        <v>2832</v>
      </c>
      <c r="C216" s="784">
        <v>9.3389999999999999E-4</v>
      </c>
      <c r="D216" s="784">
        <v>1.0267E-3</v>
      </c>
      <c r="E216" s="815">
        <v>452318</v>
      </c>
      <c r="F216" s="818">
        <v>2179001</v>
      </c>
      <c r="G216" s="785">
        <v>1426741</v>
      </c>
      <c r="H216" s="785"/>
      <c r="I216" s="786">
        <v>82193</v>
      </c>
      <c r="J216" s="787">
        <v>346414</v>
      </c>
      <c r="K216" s="786">
        <v>203758</v>
      </c>
      <c r="L216" s="785">
        <v>36804</v>
      </c>
      <c r="M216" s="785"/>
      <c r="N216" s="786">
        <v>40387</v>
      </c>
      <c r="O216" s="786">
        <v>0</v>
      </c>
      <c r="P216" s="786">
        <v>0</v>
      </c>
      <c r="Q216" s="785">
        <v>43356</v>
      </c>
      <c r="R216" s="785"/>
      <c r="S216" s="786">
        <v>480813</v>
      </c>
      <c r="T216" s="788">
        <v>13056</v>
      </c>
      <c r="U216" s="788">
        <v>493869</v>
      </c>
    </row>
    <row r="217" spans="1:21" x14ac:dyDescent="0.25">
      <c r="A217" s="782">
        <v>92301</v>
      </c>
      <c r="B217" s="783" t="s">
        <v>2833</v>
      </c>
      <c r="C217" s="784">
        <v>5.2129999999999998E-3</v>
      </c>
      <c r="D217" s="784">
        <v>5.2411000000000003E-3</v>
      </c>
      <c r="E217" s="815">
        <v>2376668</v>
      </c>
      <c r="F217" s="818">
        <v>11123370</v>
      </c>
      <c r="G217" s="785">
        <v>7964020</v>
      </c>
      <c r="H217" s="785"/>
      <c r="I217" s="786">
        <v>458801</v>
      </c>
      <c r="J217" s="787">
        <v>1933674</v>
      </c>
      <c r="K217" s="786">
        <v>1137372</v>
      </c>
      <c r="L217" s="785">
        <v>53669</v>
      </c>
      <c r="M217" s="785"/>
      <c r="N217" s="786">
        <v>225436</v>
      </c>
      <c r="O217" s="786">
        <v>0</v>
      </c>
      <c r="P217" s="786">
        <v>0</v>
      </c>
      <c r="Q217" s="785">
        <v>40357</v>
      </c>
      <c r="R217" s="785"/>
      <c r="S217" s="786">
        <v>2683882</v>
      </c>
      <c r="T217" s="788">
        <v>7360</v>
      </c>
      <c r="U217" s="788">
        <v>2691242</v>
      </c>
    </row>
    <row r="218" spans="1:21" x14ac:dyDescent="0.25">
      <c r="A218" s="782">
        <v>92302</v>
      </c>
      <c r="B218" s="783" t="s">
        <v>3665</v>
      </c>
      <c r="C218" s="784">
        <v>2.9740000000000002E-4</v>
      </c>
      <c r="D218" s="784">
        <v>3.168E-4</v>
      </c>
      <c r="E218" s="815">
        <v>124071</v>
      </c>
      <c r="F218" s="818">
        <v>0</v>
      </c>
      <c r="G218" s="785">
        <v>454345</v>
      </c>
      <c r="H218" s="785"/>
      <c r="I218" s="786">
        <v>26174</v>
      </c>
      <c r="J218" s="787">
        <v>110316</v>
      </c>
      <c r="K218" s="786">
        <v>64887</v>
      </c>
      <c r="L218" s="785">
        <v>0</v>
      </c>
      <c r="M218" s="785"/>
      <c r="N218" s="786">
        <v>12861</v>
      </c>
      <c r="O218" s="786">
        <v>0</v>
      </c>
      <c r="P218" s="786">
        <v>0</v>
      </c>
      <c r="Q218" s="785">
        <v>28639</v>
      </c>
      <c r="R218" s="785"/>
      <c r="S218" s="786">
        <v>153115</v>
      </c>
      <c r="T218" s="788">
        <v>-9739</v>
      </c>
      <c r="U218" s="788">
        <v>143376</v>
      </c>
    </row>
    <row r="219" spans="1:21" x14ac:dyDescent="0.25">
      <c r="A219" s="782">
        <v>92311</v>
      </c>
      <c r="B219" s="783" t="s">
        <v>2835</v>
      </c>
      <c r="C219" s="784">
        <v>2.2504999999999999E-3</v>
      </c>
      <c r="D219" s="784">
        <v>2.1857000000000001E-3</v>
      </c>
      <c r="E219" s="815">
        <v>989308</v>
      </c>
      <c r="F219" s="818">
        <v>4638788</v>
      </c>
      <c r="G219" s="785">
        <v>3438141</v>
      </c>
      <c r="H219" s="785"/>
      <c r="I219" s="786">
        <v>198069</v>
      </c>
      <c r="J219" s="787">
        <v>834785</v>
      </c>
      <c r="K219" s="786">
        <v>491014</v>
      </c>
      <c r="L219" s="785">
        <v>8358</v>
      </c>
      <c r="M219" s="785"/>
      <c r="N219" s="786">
        <v>97323</v>
      </c>
      <c r="O219" s="786">
        <v>0</v>
      </c>
      <c r="P219" s="786">
        <v>0</v>
      </c>
      <c r="Q219" s="785">
        <v>54246</v>
      </c>
      <c r="R219" s="785"/>
      <c r="S219" s="786">
        <v>1158656</v>
      </c>
      <c r="T219" s="788">
        <v>-36529</v>
      </c>
      <c r="U219" s="788">
        <v>1122127</v>
      </c>
    </row>
    <row r="220" spans="1:21" x14ac:dyDescent="0.25">
      <c r="A220" s="782">
        <v>92317</v>
      </c>
      <c r="B220" s="783" t="s">
        <v>2836</v>
      </c>
      <c r="C220" s="784">
        <v>2.94E-5</v>
      </c>
      <c r="D220" s="784">
        <v>2.9600000000000001E-5</v>
      </c>
      <c r="E220" s="815">
        <v>22749</v>
      </c>
      <c r="F220" s="818">
        <v>62821</v>
      </c>
      <c r="G220" s="785">
        <v>44915</v>
      </c>
      <c r="H220" s="785"/>
      <c r="I220" s="786">
        <v>2588</v>
      </c>
      <c r="J220" s="787">
        <v>10905</v>
      </c>
      <c r="K220" s="786">
        <v>6414</v>
      </c>
      <c r="L220" s="785">
        <v>15615</v>
      </c>
      <c r="M220" s="785"/>
      <c r="N220" s="786">
        <v>1271</v>
      </c>
      <c r="O220" s="786">
        <v>0</v>
      </c>
      <c r="P220" s="786">
        <v>0</v>
      </c>
      <c r="Q220" s="785">
        <v>0</v>
      </c>
      <c r="R220" s="785"/>
      <c r="S220" s="786">
        <v>15136</v>
      </c>
      <c r="T220" s="788">
        <v>6218</v>
      </c>
      <c r="U220" s="788">
        <v>21354</v>
      </c>
    </row>
    <row r="221" spans="1:21" x14ac:dyDescent="0.25">
      <c r="A221" s="782">
        <v>92321</v>
      </c>
      <c r="B221" s="783" t="s">
        <v>2837</v>
      </c>
      <c r="C221" s="784">
        <v>1.1773E-3</v>
      </c>
      <c r="D221" s="784">
        <v>1.2218999999999999E-3</v>
      </c>
      <c r="E221" s="815">
        <v>553266</v>
      </c>
      <c r="F221" s="818">
        <v>2593281</v>
      </c>
      <c r="G221" s="785">
        <v>1798588</v>
      </c>
      <c r="H221" s="785"/>
      <c r="I221" s="786">
        <v>103615</v>
      </c>
      <c r="J221" s="787">
        <v>436700</v>
      </c>
      <c r="K221" s="786">
        <v>256863</v>
      </c>
      <c r="L221" s="785">
        <v>35464</v>
      </c>
      <c r="M221" s="785"/>
      <c r="N221" s="786">
        <v>50912</v>
      </c>
      <c r="O221" s="786">
        <v>0</v>
      </c>
      <c r="P221" s="786">
        <v>0</v>
      </c>
      <c r="Q221" s="785">
        <v>20669</v>
      </c>
      <c r="R221" s="785"/>
      <c r="S221" s="786">
        <v>606126</v>
      </c>
      <c r="T221" s="788">
        <v>20498</v>
      </c>
      <c r="U221" s="788">
        <v>626624</v>
      </c>
    </row>
    <row r="222" spans="1:21" x14ac:dyDescent="0.25">
      <c r="A222" s="782">
        <v>92327</v>
      </c>
      <c r="B222" s="783" t="s">
        <v>2838</v>
      </c>
      <c r="C222" s="784">
        <v>5.6999999999999996E-6</v>
      </c>
      <c r="D222" s="784">
        <v>7.6000000000000001E-6</v>
      </c>
      <c r="E222" s="815">
        <v>5653</v>
      </c>
      <c r="F222" s="818">
        <v>16130</v>
      </c>
      <c r="G222" s="785">
        <v>8708</v>
      </c>
      <c r="H222" s="785"/>
      <c r="I222" s="786">
        <v>502</v>
      </c>
      <c r="J222" s="787">
        <v>2115</v>
      </c>
      <c r="K222" s="786">
        <v>1244</v>
      </c>
      <c r="L222" s="785">
        <v>2932</v>
      </c>
      <c r="M222" s="785"/>
      <c r="N222" s="786">
        <v>246</v>
      </c>
      <c r="O222" s="786">
        <v>0</v>
      </c>
      <c r="P222" s="786">
        <v>0</v>
      </c>
      <c r="Q222" s="785">
        <v>0</v>
      </c>
      <c r="R222" s="785"/>
      <c r="S222" s="786">
        <v>2935</v>
      </c>
      <c r="T222" s="788">
        <v>1142</v>
      </c>
      <c r="U222" s="788">
        <v>4077</v>
      </c>
    </row>
    <row r="223" spans="1:21" x14ac:dyDescent="0.25">
      <c r="A223" s="782">
        <v>92331</v>
      </c>
      <c r="B223" s="783" t="s">
        <v>2839</v>
      </c>
      <c r="C223" s="784">
        <v>1.3970000000000001E-4</v>
      </c>
      <c r="D223" s="784">
        <v>1.393E-4</v>
      </c>
      <c r="E223" s="815">
        <v>60878</v>
      </c>
      <c r="F223" s="818">
        <v>295641</v>
      </c>
      <c r="G223" s="785">
        <v>213423</v>
      </c>
      <c r="H223" s="785"/>
      <c r="I223" s="786">
        <v>12295</v>
      </c>
      <c r="J223" s="787">
        <v>51819</v>
      </c>
      <c r="K223" s="786">
        <v>30480</v>
      </c>
      <c r="L223" s="785">
        <v>2070</v>
      </c>
      <c r="M223" s="785"/>
      <c r="N223" s="786">
        <v>6041</v>
      </c>
      <c r="O223" s="786">
        <v>0</v>
      </c>
      <c r="P223" s="786">
        <v>0</v>
      </c>
      <c r="Q223" s="785">
        <v>7559</v>
      </c>
      <c r="R223" s="785"/>
      <c r="S223" s="786">
        <v>71924</v>
      </c>
      <c r="T223" s="788">
        <v>-755</v>
      </c>
      <c r="U223" s="788">
        <v>71169</v>
      </c>
    </row>
    <row r="224" spans="1:21" x14ac:dyDescent="0.25">
      <c r="A224" s="782">
        <v>92341</v>
      </c>
      <c r="B224" s="783" t="s">
        <v>2840</v>
      </c>
      <c r="C224" s="784">
        <v>9.7999999999999993E-6</v>
      </c>
      <c r="D224" s="784">
        <v>7.9000000000000006E-6</v>
      </c>
      <c r="E224" s="815">
        <v>3179</v>
      </c>
      <c r="F224" s="818">
        <v>16766</v>
      </c>
      <c r="G224" s="785">
        <v>14972</v>
      </c>
      <c r="H224" s="785"/>
      <c r="I224" s="786">
        <v>863</v>
      </c>
      <c r="J224" s="787">
        <v>3635</v>
      </c>
      <c r="K224" s="786">
        <v>2138</v>
      </c>
      <c r="L224" s="785">
        <v>523</v>
      </c>
      <c r="M224" s="785"/>
      <c r="N224" s="786">
        <v>424</v>
      </c>
      <c r="O224" s="786">
        <v>0</v>
      </c>
      <c r="P224" s="786">
        <v>0</v>
      </c>
      <c r="Q224" s="785">
        <v>1977</v>
      </c>
      <c r="R224" s="785"/>
      <c r="S224" s="786">
        <v>5045</v>
      </c>
      <c r="T224" s="788">
        <v>-859</v>
      </c>
      <c r="U224" s="788">
        <f>4187-1</f>
        <v>4186</v>
      </c>
    </row>
    <row r="225" spans="1:21" x14ac:dyDescent="0.25">
      <c r="A225" s="782">
        <v>92351</v>
      </c>
      <c r="B225" s="783" t="s">
        <v>2841</v>
      </c>
      <c r="C225" s="784">
        <v>1.8600000000000001E-5</v>
      </c>
      <c r="D225" s="784">
        <v>1.95E-5</v>
      </c>
      <c r="E225" s="815">
        <v>9507</v>
      </c>
      <c r="F225" s="818">
        <v>41386</v>
      </c>
      <c r="G225" s="785">
        <v>28416</v>
      </c>
      <c r="H225" s="785"/>
      <c r="I225" s="786">
        <v>1637</v>
      </c>
      <c r="J225" s="787">
        <v>6899</v>
      </c>
      <c r="K225" s="786">
        <v>4058</v>
      </c>
      <c r="L225" s="785">
        <v>746</v>
      </c>
      <c r="M225" s="785"/>
      <c r="N225" s="786">
        <v>804</v>
      </c>
      <c r="O225" s="786">
        <v>0</v>
      </c>
      <c r="P225" s="786">
        <v>0</v>
      </c>
      <c r="Q225" s="785">
        <v>4166</v>
      </c>
      <c r="R225" s="785"/>
      <c r="S225" s="786">
        <v>9576</v>
      </c>
      <c r="T225" s="788">
        <v>-1010</v>
      </c>
      <c r="U225" s="788">
        <f>8567-1</f>
        <v>8566</v>
      </c>
    </row>
    <row r="226" spans="1:21" x14ac:dyDescent="0.25">
      <c r="A226" s="782">
        <v>92401</v>
      </c>
      <c r="B226" s="783" t="s">
        <v>2842</v>
      </c>
      <c r="C226" s="784">
        <v>2.6890999999999998E-3</v>
      </c>
      <c r="D226" s="784">
        <v>2.7449000000000002E-3</v>
      </c>
      <c r="E226" s="815">
        <v>1303903</v>
      </c>
      <c r="F226" s="818">
        <v>5825597</v>
      </c>
      <c r="G226" s="785">
        <v>4108200</v>
      </c>
      <c r="H226" s="785"/>
      <c r="I226" s="786">
        <v>236670</v>
      </c>
      <c r="J226" s="787">
        <v>997476</v>
      </c>
      <c r="K226" s="786">
        <v>586708</v>
      </c>
      <c r="L226" s="785">
        <v>34938</v>
      </c>
      <c r="M226" s="785"/>
      <c r="N226" s="786">
        <v>116290</v>
      </c>
      <c r="O226" s="786">
        <v>0</v>
      </c>
      <c r="P226" s="786">
        <v>0</v>
      </c>
      <c r="Q226" s="785">
        <v>3448</v>
      </c>
      <c r="R226" s="785"/>
      <c r="S226" s="786">
        <v>1384467</v>
      </c>
      <c r="T226" s="788">
        <v>19009</v>
      </c>
      <c r="U226" s="788">
        <v>1403476</v>
      </c>
    </row>
    <row r="227" spans="1:21" x14ac:dyDescent="0.25">
      <c r="A227" s="782">
        <v>92403</v>
      </c>
      <c r="B227" s="783" t="s">
        <v>2843</v>
      </c>
      <c r="C227" s="784">
        <v>1.11E-5</v>
      </c>
      <c r="D227" s="784">
        <v>9.7999999999999993E-6</v>
      </c>
      <c r="E227" s="815">
        <v>5892</v>
      </c>
      <c r="F227" s="818">
        <v>20799</v>
      </c>
      <c r="G227" s="785">
        <v>16958</v>
      </c>
      <c r="H227" s="785"/>
      <c r="I227" s="786">
        <v>977</v>
      </c>
      <c r="J227" s="787">
        <v>4117</v>
      </c>
      <c r="K227" s="786">
        <v>2422</v>
      </c>
      <c r="L227" s="785">
        <v>1858</v>
      </c>
      <c r="M227" s="785"/>
      <c r="N227" s="786">
        <v>480</v>
      </c>
      <c r="O227" s="786">
        <v>0</v>
      </c>
      <c r="P227" s="786">
        <v>0</v>
      </c>
      <c r="Q227" s="785">
        <v>1307</v>
      </c>
      <c r="R227" s="785"/>
      <c r="S227" s="786">
        <v>5715</v>
      </c>
      <c r="T227" s="788">
        <v>135</v>
      </c>
      <c r="U227" s="788">
        <f>5849+1</f>
        <v>5850</v>
      </c>
    </row>
    <row r="228" spans="1:21" x14ac:dyDescent="0.25">
      <c r="A228" s="782">
        <v>92411</v>
      </c>
      <c r="B228" s="783" t="s">
        <v>2844</v>
      </c>
      <c r="C228" s="784">
        <v>5.0469999999999996E-4</v>
      </c>
      <c r="D228" s="784">
        <v>4.8030000000000002E-4</v>
      </c>
      <c r="E228" s="815">
        <v>203732</v>
      </c>
      <c r="F228" s="818">
        <v>1019358</v>
      </c>
      <c r="G228" s="785">
        <v>771042</v>
      </c>
      <c r="H228" s="785"/>
      <c r="I228" s="786">
        <v>44419</v>
      </c>
      <c r="J228" s="787">
        <v>187210</v>
      </c>
      <c r="K228" s="786">
        <v>110115</v>
      </c>
      <c r="L228" s="785">
        <v>369</v>
      </c>
      <c r="M228" s="785"/>
      <c r="N228" s="786">
        <v>21826</v>
      </c>
      <c r="O228" s="786">
        <v>0</v>
      </c>
      <c r="P228" s="786">
        <v>0</v>
      </c>
      <c r="Q228" s="785">
        <v>44165</v>
      </c>
      <c r="R228" s="785"/>
      <c r="S228" s="786">
        <v>259842</v>
      </c>
      <c r="T228" s="788">
        <v>-17900</v>
      </c>
      <c r="U228" s="788">
        <v>241942</v>
      </c>
    </row>
    <row r="229" spans="1:21" x14ac:dyDescent="0.25">
      <c r="A229" s="782">
        <v>92414</v>
      </c>
      <c r="B229" s="783" t="s">
        <v>1370</v>
      </c>
      <c r="C229" s="784">
        <v>0</v>
      </c>
      <c r="D229" s="784">
        <v>0</v>
      </c>
      <c r="E229" s="815">
        <v>0</v>
      </c>
      <c r="F229" s="818">
        <v>0</v>
      </c>
      <c r="G229" s="785">
        <v>0</v>
      </c>
      <c r="H229" s="785"/>
      <c r="I229" s="786">
        <v>0</v>
      </c>
      <c r="J229" s="787">
        <v>0</v>
      </c>
      <c r="K229" s="786">
        <v>0</v>
      </c>
      <c r="L229" s="785">
        <v>0</v>
      </c>
      <c r="M229" s="785"/>
      <c r="N229" s="786">
        <v>0</v>
      </c>
      <c r="O229" s="786">
        <v>0</v>
      </c>
      <c r="P229" s="786">
        <v>0</v>
      </c>
      <c r="Q229" s="785">
        <v>5712</v>
      </c>
      <c r="R229" s="785"/>
      <c r="S229" s="786">
        <v>0</v>
      </c>
      <c r="T229" s="788">
        <v>-2445</v>
      </c>
      <c r="U229" s="788">
        <v>-2445</v>
      </c>
    </row>
    <row r="230" spans="1:21" x14ac:dyDescent="0.25">
      <c r="A230" s="782">
        <v>92417</v>
      </c>
      <c r="B230" s="783" t="s">
        <v>2845</v>
      </c>
      <c r="C230" s="784">
        <v>1.8300000000000001E-5</v>
      </c>
      <c r="D230" s="784">
        <v>1.77E-5</v>
      </c>
      <c r="E230" s="815">
        <v>5972</v>
      </c>
      <c r="F230" s="818">
        <v>37565</v>
      </c>
      <c r="G230" s="785">
        <v>27957</v>
      </c>
      <c r="H230" s="785"/>
      <c r="I230" s="786">
        <v>1611</v>
      </c>
      <c r="J230" s="787">
        <v>6788</v>
      </c>
      <c r="K230" s="786">
        <v>3993</v>
      </c>
      <c r="L230" s="785">
        <v>0</v>
      </c>
      <c r="M230" s="785"/>
      <c r="N230" s="786">
        <v>791</v>
      </c>
      <c r="O230" s="786">
        <v>0</v>
      </c>
      <c r="P230" s="786">
        <v>0</v>
      </c>
      <c r="Q230" s="785">
        <v>2726</v>
      </c>
      <c r="R230" s="785"/>
      <c r="S230" s="786">
        <v>9422</v>
      </c>
      <c r="T230" s="788">
        <v>-895</v>
      </c>
      <c r="U230" s="788">
        <v>8527</v>
      </c>
    </row>
    <row r="231" spans="1:21" x14ac:dyDescent="0.25">
      <c r="A231" s="782">
        <v>92421</v>
      </c>
      <c r="B231" s="783" t="s">
        <v>2846</v>
      </c>
      <c r="C231" s="784">
        <v>8.8000000000000004E-6</v>
      </c>
      <c r="D231" s="784">
        <v>9.0000000000000002E-6</v>
      </c>
      <c r="E231" s="815">
        <v>7580</v>
      </c>
      <c r="F231" s="818">
        <v>19101</v>
      </c>
      <c r="G231" s="785">
        <v>13444</v>
      </c>
      <c r="H231" s="785"/>
      <c r="I231" s="786">
        <v>774</v>
      </c>
      <c r="J231" s="787">
        <v>3264</v>
      </c>
      <c r="K231" s="786">
        <v>1920</v>
      </c>
      <c r="L231" s="785">
        <v>3546</v>
      </c>
      <c r="M231" s="785"/>
      <c r="N231" s="786">
        <v>381</v>
      </c>
      <c r="O231" s="786">
        <v>0</v>
      </c>
      <c r="P231" s="786">
        <v>0</v>
      </c>
      <c r="Q231" s="785">
        <v>1149</v>
      </c>
      <c r="R231" s="785"/>
      <c r="S231" s="786">
        <v>4531</v>
      </c>
      <c r="T231" s="788">
        <v>935</v>
      </c>
      <c r="U231" s="788">
        <v>5466</v>
      </c>
    </row>
    <row r="232" spans="1:21" x14ac:dyDescent="0.25">
      <c r="A232" s="782">
        <v>92427</v>
      </c>
      <c r="B232" s="783" t="s">
        <v>2847</v>
      </c>
      <c r="C232" s="784">
        <v>3.9999999999999998E-7</v>
      </c>
      <c r="D232" s="784">
        <v>6.9999999999999997E-7</v>
      </c>
      <c r="E232" s="815">
        <v>1463</v>
      </c>
      <c r="F232" s="818">
        <v>1486</v>
      </c>
      <c r="G232" s="785">
        <v>611</v>
      </c>
      <c r="H232" s="785"/>
      <c r="I232" s="786">
        <v>35</v>
      </c>
      <c r="J232" s="787">
        <v>148</v>
      </c>
      <c r="K232" s="786">
        <v>87</v>
      </c>
      <c r="L232" s="785">
        <v>1998</v>
      </c>
      <c r="M232" s="785"/>
      <c r="N232" s="786">
        <v>17</v>
      </c>
      <c r="O232" s="786">
        <v>0</v>
      </c>
      <c r="P232" s="786">
        <v>0</v>
      </c>
      <c r="Q232" s="785">
        <v>0</v>
      </c>
      <c r="R232" s="785"/>
      <c r="S232" s="786">
        <v>206</v>
      </c>
      <c r="T232" s="788">
        <v>841</v>
      </c>
      <c r="U232" s="788">
        <v>1047</v>
      </c>
    </row>
    <row r="233" spans="1:21" x14ac:dyDescent="0.25">
      <c r="A233" s="782">
        <v>92431</v>
      </c>
      <c r="B233" s="783" t="s">
        <v>2848</v>
      </c>
      <c r="C233" s="784">
        <v>3.0800000000000003E-5</v>
      </c>
      <c r="D233" s="784">
        <v>1.8499999999999999E-5</v>
      </c>
      <c r="E233" s="815">
        <v>22456</v>
      </c>
      <c r="F233" s="818">
        <v>39263</v>
      </c>
      <c r="G233" s="785">
        <v>47054</v>
      </c>
      <c r="H233" s="785"/>
      <c r="I233" s="786">
        <v>2711</v>
      </c>
      <c r="J233" s="787">
        <v>11425</v>
      </c>
      <c r="K233" s="786">
        <v>6720</v>
      </c>
      <c r="L233" s="785">
        <v>18832</v>
      </c>
      <c r="M233" s="785"/>
      <c r="N233" s="786">
        <v>1332</v>
      </c>
      <c r="O233" s="786">
        <v>0</v>
      </c>
      <c r="P233" s="786">
        <v>0</v>
      </c>
      <c r="Q233" s="785">
        <v>3766</v>
      </c>
      <c r="R233" s="785"/>
      <c r="S233" s="786">
        <v>15857</v>
      </c>
      <c r="T233" s="788">
        <v>4147</v>
      </c>
      <c r="U233" s="788">
        <v>20004</v>
      </c>
    </row>
    <row r="234" spans="1:21" x14ac:dyDescent="0.25">
      <c r="A234" s="782">
        <v>92441</v>
      </c>
      <c r="B234" s="783" t="s">
        <v>2849</v>
      </c>
      <c r="C234" s="784">
        <v>7.7999999999999999E-5</v>
      </c>
      <c r="D234" s="784">
        <v>9.2299999999999994E-5</v>
      </c>
      <c r="E234" s="815">
        <v>38185</v>
      </c>
      <c r="F234" s="818">
        <v>195892</v>
      </c>
      <c r="G234" s="785">
        <v>119162</v>
      </c>
      <c r="H234" s="785"/>
      <c r="I234" s="786">
        <v>6865</v>
      </c>
      <c r="J234" s="787">
        <v>28933</v>
      </c>
      <c r="K234" s="786">
        <v>17018</v>
      </c>
      <c r="L234" s="785">
        <v>0</v>
      </c>
      <c r="M234" s="785"/>
      <c r="N234" s="786">
        <v>3373</v>
      </c>
      <c r="O234" s="786">
        <v>0</v>
      </c>
      <c r="P234" s="786">
        <v>0</v>
      </c>
      <c r="Q234" s="785">
        <v>15306</v>
      </c>
      <c r="R234" s="785"/>
      <c r="S234" s="786">
        <v>40158</v>
      </c>
      <c r="T234" s="788">
        <v>-6990</v>
      </c>
      <c r="U234" s="788">
        <f>33167+1</f>
        <v>33168</v>
      </c>
    </row>
    <row r="235" spans="1:21" x14ac:dyDescent="0.25">
      <c r="A235" s="782">
        <v>92444</v>
      </c>
      <c r="B235" s="783" t="s">
        <v>2850</v>
      </c>
      <c r="C235" s="784">
        <v>1.7999999999999999E-6</v>
      </c>
      <c r="D235" s="784">
        <v>1.9999999999999999E-6</v>
      </c>
      <c r="E235" s="815">
        <v>2108</v>
      </c>
      <c r="F235" s="818">
        <v>4245</v>
      </c>
      <c r="G235" s="785">
        <v>2750</v>
      </c>
      <c r="H235" s="785"/>
      <c r="I235" s="786">
        <v>158</v>
      </c>
      <c r="J235" s="787">
        <v>667</v>
      </c>
      <c r="K235" s="786">
        <v>393</v>
      </c>
      <c r="L235" s="785">
        <v>2573</v>
      </c>
      <c r="M235" s="785"/>
      <c r="N235" s="786">
        <v>78</v>
      </c>
      <c r="O235" s="786">
        <v>0</v>
      </c>
      <c r="P235" s="786">
        <v>0</v>
      </c>
      <c r="Q235" s="785">
        <v>0</v>
      </c>
      <c r="R235" s="785"/>
      <c r="S235" s="786">
        <v>927</v>
      </c>
      <c r="T235" s="788">
        <v>1194</v>
      </c>
      <c r="U235" s="788">
        <v>2121</v>
      </c>
    </row>
    <row r="236" spans="1:21" x14ac:dyDescent="0.25">
      <c r="A236" s="782">
        <v>92451</v>
      </c>
      <c r="B236" s="783" t="s">
        <v>2851</v>
      </c>
      <c r="C236" s="784">
        <v>1.3070000000000001E-4</v>
      </c>
      <c r="D236" s="784">
        <v>1.4559999999999999E-4</v>
      </c>
      <c r="E236" s="815">
        <v>77938</v>
      </c>
      <c r="F236" s="818">
        <v>309012</v>
      </c>
      <c r="G236" s="785">
        <v>199673</v>
      </c>
      <c r="H236" s="785"/>
      <c r="I236" s="786">
        <v>11503</v>
      </c>
      <c r="J236" s="787">
        <v>48481</v>
      </c>
      <c r="K236" s="786">
        <v>28516</v>
      </c>
      <c r="L236" s="785">
        <v>29255</v>
      </c>
      <c r="M236" s="785"/>
      <c r="N236" s="786">
        <v>5652</v>
      </c>
      <c r="O236" s="786">
        <v>0</v>
      </c>
      <c r="P236" s="786">
        <v>0</v>
      </c>
      <c r="Q236" s="785">
        <v>0</v>
      </c>
      <c r="R236" s="785"/>
      <c r="S236" s="786">
        <v>67290</v>
      </c>
      <c r="T236" s="788">
        <v>12363</v>
      </c>
      <c r="U236" s="788">
        <v>79653</v>
      </c>
    </row>
    <row r="237" spans="1:21" x14ac:dyDescent="0.25">
      <c r="A237" s="782">
        <v>92461</v>
      </c>
      <c r="B237" s="783" t="s">
        <v>2852</v>
      </c>
      <c r="C237" s="784">
        <v>7.1099999999999994E-5</v>
      </c>
      <c r="D237" s="784">
        <v>7.2999999999999999E-5</v>
      </c>
      <c r="E237" s="815">
        <v>40872</v>
      </c>
      <c r="F237" s="818">
        <v>154930</v>
      </c>
      <c r="G237" s="785">
        <v>108621</v>
      </c>
      <c r="H237" s="785"/>
      <c r="I237" s="786">
        <v>6258</v>
      </c>
      <c r="J237" s="787">
        <v>26373</v>
      </c>
      <c r="K237" s="786">
        <v>15513</v>
      </c>
      <c r="L237" s="785">
        <v>12982</v>
      </c>
      <c r="M237" s="785"/>
      <c r="N237" s="786">
        <v>3075</v>
      </c>
      <c r="O237" s="786">
        <v>0</v>
      </c>
      <c r="P237" s="786">
        <v>0</v>
      </c>
      <c r="Q237" s="785">
        <v>4965</v>
      </c>
      <c r="R237" s="785"/>
      <c r="S237" s="786">
        <v>36605</v>
      </c>
      <c r="T237" s="788">
        <v>1157</v>
      </c>
      <c r="U237" s="788">
        <f>37763-1</f>
        <v>37762</v>
      </c>
    </row>
    <row r="238" spans="1:21" x14ac:dyDescent="0.25">
      <c r="A238" s="782">
        <v>92501</v>
      </c>
      <c r="B238" s="783" t="s">
        <v>2853</v>
      </c>
      <c r="C238" s="784">
        <v>3.8252E-3</v>
      </c>
      <c r="D238" s="784">
        <v>3.8141E-3</v>
      </c>
      <c r="E238" s="815">
        <v>1869584</v>
      </c>
      <c r="F238" s="818">
        <v>8094798</v>
      </c>
      <c r="G238" s="785">
        <v>5843846</v>
      </c>
      <c r="H238" s="785"/>
      <c r="I238" s="786">
        <v>336660</v>
      </c>
      <c r="J238" s="787">
        <v>1418892</v>
      </c>
      <c r="K238" s="786">
        <v>834582</v>
      </c>
      <c r="L238" s="785">
        <v>137822</v>
      </c>
      <c r="M238" s="785"/>
      <c r="N238" s="786">
        <v>165421</v>
      </c>
      <c r="O238" s="786">
        <v>0</v>
      </c>
      <c r="P238" s="786">
        <v>0</v>
      </c>
      <c r="Q238" s="785">
        <v>9032</v>
      </c>
      <c r="R238" s="785"/>
      <c r="S238" s="786">
        <v>1969381</v>
      </c>
      <c r="T238" s="788">
        <v>45362</v>
      </c>
      <c r="U238" s="788">
        <v>2014743</v>
      </c>
    </row>
    <row r="239" spans="1:21" x14ac:dyDescent="0.25">
      <c r="A239" s="782">
        <v>92502</v>
      </c>
      <c r="B239" s="783" t="s">
        <v>2854</v>
      </c>
      <c r="C239" s="784">
        <v>2.7500000000000001E-5</v>
      </c>
      <c r="D239" s="784">
        <v>2.8799999999999999E-5</v>
      </c>
      <c r="E239" s="815">
        <v>14164</v>
      </c>
      <c r="F239" s="818">
        <v>61123</v>
      </c>
      <c r="G239" s="785">
        <v>42012</v>
      </c>
      <c r="H239" s="785"/>
      <c r="I239" s="786">
        <v>2420</v>
      </c>
      <c r="J239" s="787">
        <v>10201</v>
      </c>
      <c r="K239" s="786">
        <v>6000</v>
      </c>
      <c r="L239" s="785">
        <v>3940</v>
      </c>
      <c r="M239" s="785"/>
      <c r="N239" s="786">
        <v>1189</v>
      </c>
      <c r="O239" s="786">
        <v>0</v>
      </c>
      <c r="P239" s="786">
        <v>0</v>
      </c>
      <c r="Q239" s="785">
        <v>2154</v>
      </c>
      <c r="R239" s="785"/>
      <c r="S239" s="786">
        <v>14158</v>
      </c>
      <c r="T239" s="788">
        <v>-13</v>
      </c>
      <c r="U239" s="788">
        <v>14145</v>
      </c>
    </row>
    <row r="240" spans="1:21" x14ac:dyDescent="0.25">
      <c r="A240" s="782">
        <v>92504</v>
      </c>
      <c r="B240" s="783" t="s">
        <v>2855</v>
      </c>
      <c r="C240" s="784">
        <v>8.4300000000000003E-5</v>
      </c>
      <c r="D240" s="784">
        <v>7.2799999999999994E-5</v>
      </c>
      <c r="E240" s="815">
        <v>49664</v>
      </c>
      <c r="F240" s="818">
        <v>154506</v>
      </c>
      <c r="G240" s="785">
        <v>128787</v>
      </c>
      <c r="H240" s="785"/>
      <c r="I240" s="786">
        <v>7419</v>
      </c>
      <c r="J240" s="787">
        <v>31269</v>
      </c>
      <c r="K240" s="786">
        <v>18393</v>
      </c>
      <c r="L240" s="785">
        <v>29049</v>
      </c>
      <c r="M240" s="785"/>
      <c r="N240" s="786">
        <v>3646</v>
      </c>
      <c r="O240" s="786">
        <v>0</v>
      </c>
      <c r="P240" s="786">
        <v>0</v>
      </c>
      <c r="Q240" s="785">
        <v>27</v>
      </c>
      <c r="R240" s="785"/>
      <c r="S240" s="786">
        <v>43401</v>
      </c>
      <c r="T240" s="788">
        <v>10026</v>
      </c>
      <c r="U240" s="788">
        <v>53427</v>
      </c>
    </row>
    <row r="241" spans="1:21" x14ac:dyDescent="0.25">
      <c r="A241" s="782">
        <v>92505</v>
      </c>
      <c r="B241" s="783" t="s">
        <v>2856</v>
      </c>
      <c r="C241" s="784">
        <v>1.9239999999999999E-4</v>
      </c>
      <c r="D241" s="784">
        <v>1.8709999999999999E-4</v>
      </c>
      <c r="E241" s="815">
        <v>119136</v>
      </c>
      <c r="F241" s="818">
        <v>397089</v>
      </c>
      <c r="G241" s="785">
        <v>293934</v>
      </c>
      <c r="H241" s="785"/>
      <c r="I241" s="786">
        <v>16933</v>
      </c>
      <c r="J241" s="787">
        <v>71367</v>
      </c>
      <c r="K241" s="786">
        <v>41978</v>
      </c>
      <c r="L241" s="785">
        <v>59108</v>
      </c>
      <c r="M241" s="785"/>
      <c r="N241" s="786">
        <v>8320</v>
      </c>
      <c r="O241" s="786">
        <v>0</v>
      </c>
      <c r="P241" s="786">
        <v>0</v>
      </c>
      <c r="Q241" s="785">
        <v>0</v>
      </c>
      <c r="R241" s="785"/>
      <c r="S241" s="786">
        <v>99056</v>
      </c>
      <c r="T241" s="788">
        <v>23320</v>
      </c>
      <c r="U241" s="788">
        <v>122376</v>
      </c>
    </row>
    <row r="242" spans="1:21" x14ac:dyDescent="0.25">
      <c r="A242" s="782">
        <v>92506</v>
      </c>
      <c r="B242" s="783" t="s">
        <v>2857</v>
      </c>
      <c r="C242" s="784">
        <v>4.7500000000000003E-5</v>
      </c>
      <c r="D242" s="784">
        <v>4.3699999999999998E-5</v>
      </c>
      <c r="E242" s="815">
        <v>26570</v>
      </c>
      <c r="F242" s="818">
        <v>92746</v>
      </c>
      <c r="G242" s="785">
        <v>72567</v>
      </c>
      <c r="H242" s="785"/>
      <c r="I242" s="786">
        <v>4181</v>
      </c>
      <c r="J242" s="787">
        <v>17619</v>
      </c>
      <c r="K242" s="786">
        <v>10364</v>
      </c>
      <c r="L242" s="785">
        <v>17893</v>
      </c>
      <c r="M242" s="785"/>
      <c r="N242" s="786">
        <v>2054</v>
      </c>
      <c r="O242" s="786">
        <v>0</v>
      </c>
      <c r="P242" s="786">
        <v>0</v>
      </c>
      <c r="Q242" s="785">
        <v>0</v>
      </c>
      <c r="R242" s="785"/>
      <c r="S242" s="786">
        <v>24455</v>
      </c>
      <c r="T242" s="788">
        <v>7399</v>
      </c>
      <c r="U242" s="788">
        <v>31854</v>
      </c>
    </row>
    <row r="243" spans="1:21" x14ac:dyDescent="0.25">
      <c r="A243" s="782">
        <v>92507</v>
      </c>
      <c r="B243" s="783" t="s">
        <v>2858</v>
      </c>
      <c r="C243" s="784">
        <v>9.5699999999999995E-5</v>
      </c>
      <c r="D243" s="784">
        <v>7.6799999999999997E-5</v>
      </c>
      <c r="E243" s="815">
        <v>40750</v>
      </c>
      <c r="F243" s="818">
        <v>162995</v>
      </c>
      <c r="G243" s="785">
        <v>146203</v>
      </c>
      <c r="H243" s="785"/>
      <c r="I243" s="786">
        <v>8423</v>
      </c>
      <c r="J243" s="787">
        <v>35498</v>
      </c>
      <c r="K243" s="786">
        <v>20880</v>
      </c>
      <c r="L243" s="785">
        <v>10349</v>
      </c>
      <c r="M243" s="785"/>
      <c r="N243" s="786">
        <v>4139</v>
      </c>
      <c r="O243" s="786">
        <v>0</v>
      </c>
      <c r="P243" s="786">
        <v>0</v>
      </c>
      <c r="Q243" s="785">
        <v>14283</v>
      </c>
      <c r="R243" s="785"/>
      <c r="S243" s="786">
        <v>49271</v>
      </c>
      <c r="T243" s="788">
        <v>-5512</v>
      </c>
      <c r="U243" s="788">
        <f>43758+1</f>
        <v>43759</v>
      </c>
    </row>
    <row r="244" spans="1:21" x14ac:dyDescent="0.25">
      <c r="A244" s="782">
        <v>92508</v>
      </c>
      <c r="B244" s="783" t="s">
        <v>2859</v>
      </c>
      <c r="C244" s="784">
        <v>3.1E-4</v>
      </c>
      <c r="D244" s="784">
        <v>3.1930000000000001E-4</v>
      </c>
      <c r="E244" s="815">
        <v>152021</v>
      </c>
      <c r="F244" s="818">
        <v>677662</v>
      </c>
      <c r="G244" s="785">
        <v>473594</v>
      </c>
      <c r="H244" s="785"/>
      <c r="I244" s="786">
        <v>27283</v>
      </c>
      <c r="J244" s="787">
        <v>114989</v>
      </c>
      <c r="K244" s="786">
        <v>67636</v>
      </c>
      <c r="L244" s="785">
        <v>5884</v>
      </c>
      <c r="M244" s="785"/>
      <c r="N244" s="786">
        <v>13406</v>
      </c>
      <c r="O244" s="786">
        <v>0</v>
      </c>
      <c r="P244" s="786">
        <v>0</v>
      </c>
      <c r="Q244" s="785">
        <v>1407</v>
      </c>
      <c r="R244" s="785"/>
      <c r="S244" s="786">
        <v>159602</v>
      </c>
      <c r="T244" s="788">
        <v>3411</v>
      </c>
      <c r="U244" s="788">
        <v>163013</v>
      </c>
    </row>
    <row r="245" spans="1:21" x14ac:dyDescent="0.25">
      <c r="A245" s="782">
        <v>92511</v>
      </c>
      <c r="B245" s="783" t="s">
        <v>2861</v>
      </c>
      <c r="C245" s="784">
        <v>3.3240000000000001E-3</v>
      </c>
      <c r="D245" s="784">
        <v>3.4164E-3</v>
      </c>
      <c r="E245" s="815">
        <v>1524503</v>
      </c>
      <c r="F245" s="818">
        <v>7250745</v>
      </c>
      <c r="G245" s="785">
        <v>5078151</v>
      </c>
      <c r="H245" s="785"/>
      <c r="I245" s="786">
        <v>292549</v>
      </c>
      <c r="J245" s="787">
        <v>1232981</v>
      </c>
      <c r="K245" s="786">
        <v>725230</v>
      </c>
      <c r="L245" s="785">
        <v>12146</v>
      </c>
      <c r="M245" s="785"/>
      <c r="N245" s="786">
        <v>143746</v>
      </c>
      <c r="O245" s="786">
        <v>0</v>
      </c>
      <c r="P245" s="786">
        <v>0</v>
      </c>
      <c r="Q245" s="785">
        <v>237633</v>
      </c>
      <c r="R245" s="785"/>
      <c r="S245" s="786">
        <v>1711341</v>
      </c>
      <c r="T245" s="788">
        <v>-72839</v>
      </c>
      <c r="U245" s="788">
        <f>1638503-1</f>
        <v>1638502</v>
      </c>
    </row>
    <row r="246" spans="1:21" x14ac:dyDescent="0.25">
      <c r="A246" s="782">
        <v>92513</v>
      </c>
      <c r="B246" s="783" t="s">
        <v>2862</v>
      </c>
      <c r="C246" s="784">
        <v>4.0328999999999999E-3</v>
      </c>
      <c r="D246" s="784">
        <v>3.9753000000000002E-3</v>
      </c>
      <c r="E246" s="815">
        <v>1669954</v>
      </c>
      <c r="F246" s="818">
        <v>8436918</v>
      </c>
      <c r="G246" s="785">
        <v>6161154</v>
      </c>
      <c r="H246" s="785"/>
      <c r="I246" s="786">
        <v>354940</v>
      </c>
      <c r="J246" s="787">
        <v>1495936</v>
      </c>
      <c r="K246" s="786">
        <v>879898</v>
      </c>
      <c r="L246" s="785">
        <f>1481541+87063+162533</f>
        <v>1731137</v>
      </c>
      <c r="M246" s="785"/>
      <c r="N246" s="786">
        <v>174403</v>
      </c>
      <c r="O246" s="786">
        <v>0</v>
      </c>
      <c r="P246" s="786">
        <v>0</v>
      </c>
      <c r="Q246" s="785">
        <f>106570+867533+690246</f>
        <v>1664349</v>
      </c>
      <c r="R246" s="785"/>
      <c r="S246" s="786">
        <v>2076314</v>
      </c>
      <c r="T246" s="788">
        <f>491379-223763-102954</f>
        <v>164662</v>
      </c>
      <c r="U246" s="788">
        <f>2567693-223763-102954</f>
        <v>2240976</v>
      </c>
    </row>
    <row r="247" spans="1:21" x14ac:dyDescent="0.25">
      <c r="A247" s="782">
        <v>92521</v>
      </c>
      <c r="B247" s="783" t="s">
        <v>2863</v>
      </c>
      <c r="C247" s="784">
        <v>8.6899999999999998E-5</v>
      </c>
      <c r="D247" s="784">
        <v>8.9800000000000001E-5</v>
      </c>
      <c r="E247" s="815">
        <v>37384</v>
      </c>
      <c r="F247" s="818">
        <v>190586</v>
      </c>
      <c r="G247" s="785">
        <v>132759</v>
      </c>
      <c r="H247" s="785"/>
      <c r="I247" s="786">
        <v>7648</v>
      </c>
      <c r="J247" s="787">
        <v>32235</v>
      </c>
      <c r="K247" s="786">
        <v>18960</v>
      </c>
      <c r="L247" s="785">
        <v>3168</v>
      </c>
      <c r="M247" s="785"/>
      <c r="N247" s="786">
        <v>3758</v>
      </c>
      <c r="O247" s="786">
        <v>0</v>
      </c>
      <c r="P247" s="786">
        <v>0</v>
      </c>
      <c r="Q247" s="785">
        <v>10611</v>
      </c>
      <c r="R247" s="785"/>
      <c r="S247" s="786">
        <v>44740</v>
      </c>
      <c r="T247" s="788">
        <v>-2554</v>
      </c>
      <c r="U247" s="788">
        <v>42186</v>
      </c>
    </row>
    <row r="248" spans="1:21" x14ac:dyDescent="0.25">
      <c r="A248" s="782">
        <v>92531</v>
      </c>
      <c r="B248" s="783" t="s">
        <v>2864</v>
      </c>
      <c r="C248" s="784">
        <v>8.6490000000000004E-4</v>
      </c>
      <c r="D248" s="784">
        <v>8.3779999999999998E-4</v>
      </c>
      <c r="E248" s="815">
        <v>358464</v>
      </c>
      <c r="F248" s="818">
        <v>1778092</v>
      </c>
      <c r="G248" s="785">
        <v>1321328</v>
      </c>
      <c r="H248" s="785"/>
      <c r="I248" s="786">
        <v>76121</v>
      </c>
      <c r="J248" s="787">
        <v>320820</v>
      </c>
      <c r="K248" s="786">
        <v>188704</v>
      </c>
      <c r="L248" s="785">
        <v>0</v>
      </c>
      <c r="M248" s="785"/>
      <c r="N248" s="786">
        <v>37403</v>
      </c>
      <c r="O248" s="786">
        <v>0</v>
      </c>
      <c r="P248" s="786">
        <v>0</v>
      </c>
      <c r="Q248" s="785">
        <v>124043</v>
      </c>
      <c r="R248" s="785"/>
      <c r="S248" s="786">
        <v>445289</v>
      </c>
      <c r="T248" s="788">
        <v>-61397</v>
      </c>
      <c r="U248" s="788">
        <v>383892</v>
      </c>
    </row>
    <row r="249" spans="1:21" x14ac:dyDescent="0.25">
      <c r="A249" s="782">
        <v>92541</v>
      </c>
      <c r="B249" s="783" t="s">
        <v>2865</v>
      </c>
      <c r="C249" s="784">
        <v>1.4469999999999999E-4</v>
      </c>
      <c r="D249" s="784">
        <v>1.4300000000000001E-4</v>
      </c>
      <c r="E249" s="815">
        <v>58964</v>
      </c>
      <c r="F249" s="818">
        <v>303494</v>
      </c>
      <c r="G249" s="785">
        <v>221062</v>
      </c>
      <c r="H249" s="785"/>
      <c r="I249" s="786">
        <v>12735</v>
      </c>
      <c r="J249" s="787">
        <v>53674</v>
      </c>
      <c r="K249" s="786">
        <v>31571</v>
      </c>
      <c r="L249" s="785">
        <v>7292</v>
      </c>
      <c r="M249" s="785"/>
      <c r="N249" s="786">
        <v>6258</v>
      </c>
      <c r="O249" s="786">
        <v>0</v>
      </c>
      <c r="P249" s="786">
        <v>0</v>
      </c>
      <c r="Q249" s="785">
        <v>7300</v>
      </c>
      <c r="R249" s="785"/>
      <c r="S249" s="786">
        <v>74498</v>
      </c>
      <c r="T249" s="788">
        <v>2019</v>
      </c>
      <c r="U249" s="788">
        <v>76517</v>
      </c>
    </row>
    <row r="250" spans="1:21" x14ac:dyDescent="0.25">
      <c r="A250" s="782">
        <v>92551</v>
      </c>
      <c r="B250" s="783" t="s">
        <v>2866</v>
      </c>
      <c r="C250" s="784">
        <v>5.3300000000000001E-5</v>
      </c>
      <c r="D250" s="784">
        <v>4.18E-5</v>
      </c>
      <c r="E250" s="815">
        <v>19992</v>
      </c>
      <c r="F250" s="818">
        <v>88714</v>
      </c>
      <c r="G250" s="785">
        <v>81428</v>
      </c>
      <c r="H250" s="785"/>
      <c r="I250" s="786">
        <v>4691</v>
      </c>
      <c r="J250" s="787">
        <v>19771</v>
      </c>
      <c r="K250" s="786">
        <v>11629</v>
      </c>
      <c r="L250" s="785">
        <v>7529</v>
      </c>
      <c r="M250" s="785"/>
      <c r="N250" s="786">
        <v>2305</v>
      </c>
      <c r="O250" s="786">
        <v>0</v>
      </c>
      <c r="P250" s="786">
        <v>0</v>
      </c>
      <c r="Q250" s="785">
        <v>8359</v>
      </c>
      <c r="R250" s="785"/>
      <c r="S250" s="786">
        <v>27441</v>
      </c>
      <c r="T250" s="788">
        <v>961</v>
      </c>
      <c r="U250" s="788">
        <v>28402</v>
      </c>
    </row>
    <row r="251" spans="1:21" x14ac:dyDescent="0.25">
      <c r="A251" s="782">
        <v>92561</v>
      </c>
      <c r="B251" s="783" t="s">
        <v>2867</v>
      </c>
      <c r="C251" s="784">
        <v>2.2200000000000001E-5</v>
      </c>
      <c r="D251" s="784">
        <v>2.2900000000000001E-5</v>
      </c>
      <c r="E251" s="815">
        <v>11716</v>
      </c>
      <c r="F251" s="818">
        <v>48601</v>
      </c>
      <c r="G251" s="785">
        <v>33915</v>
      </c>
      <c r="H251" s="785"/>
      <c r="I251" s="786">
        <v>1954</v>
      </c>
      <c r="J251" s="787">
        <v>8235</v>
      </c>
      <c r="K251" s="786">
        <v>4844</v>
      </c>
      <c r="L251" s="785">
        <v>5369</v>
      </c>
      <c r="M251" s="785"/>
      <c r="N251" s="786">
        <v>960</v>
      </c>
      <c r="O251" s="786">
        <v>0</v>
      </c>
      <c r="P251" s="786">
        <v>0</v>
      </c>
      <c r="Q251" s="785">
        <v>0</v>
      </c>
      <c r="R251" s="785"/>
      <c r="S251" s="786">
        <v>11430</v>
      </c>
      <c r="T251" s="788">
        <v>2639</v>
      </c>
      <c r="U251" s="788">
        <f>14068+1</f>
        <v>14069</v>
      </c>
    </row>
    <row r="252" spans="1:21" x14ac:dyDescent="0.25">
      <c r="A252" s="782">
        <v>92571</v>
      </c>
      <c r="B252" s="783" t="s">
        <v>2868</v>
      </c>
      <c r="C252" s="784">
        <v>1.01E-5</v>
      </c>
      <c r="D252" s="784">
        <v>3.1E-6</v>
      </c>
      <c r="E252" s="815">
        <v>6486</v>
      </c>
      <c r="F252" s="818">
        <v>6579</v>
      </c>
      <c r="G252" s="785">
        <v>15430</v>
      </c>
      <c r="H252" s="785"/>
      <c r="I252" s="786">
        <v>889</v>
      </c>
      <c r="J252" s="787">
        <v>3746</v>
      </c>
      <c r="K252" s="786">
        <v>2204</v>
      </c>
      <c r="L252" s="785">
        <v>9367</v>
      </c>
      <c r="M252" s="785"/>
      <c r="N252" s="786">
        <v>437</v>
      </c>
      <c r="O252" s="786">
        <v>0</v>
      </c>
      <c r="P252" s="786">
        <v>0</v>
      </c>
      <c r="Q252" s="785">
        <v>100</v>
      </c>
      <c r="R252" s="785"/>
      <c r="S252" s="786">
        <v>5200</v>
      </c>
      <c r="T252" s="788">
        <v>2687</v>
      </c>
      <c r="U252" s="788">
        <v>7887</v>
      </c>
    </row>
    <row r="253" spans="1:21" x14ac:dyDescent="0.25">
      <c r="A253" s="782">
        <v>92601</v>
      </c>
      <c r="B253" s="783" t="s">
        <v>2869</v>
      </c>
      <c r="C253" s="784">
        <v>1.51874E-2</v>
      </c>
      <c r="D253" s="784">
        <v>1.54185E-2</v>
      </c>
      <c r="E253" s="815">
        <v>7108398</v>
      </c>
      <c r="F253" s="818">
        <v>32723222</v>
      </c>
      <c r="G253" s="785">
        <v>23202140</v>
      </c>
      <c r="H253" s="785"/>
      <c r="I253" s="786">
        <v>1336658</v>
      </c>
      <c r="J253" s="787">
        <v>5633508</v>
      </c>
      <c r="K253" s="786">
        <v>3313587</v>
      </c>
      <c r="L253" s="785">
        <v>134811</v>
      </c>
      <c r="M253" s="785"/>
      <c r="N253" s="786">
        <v>656779</v>
      </c>
      <c r="O253" s="786">
        <v>0</v>
      </c>
      <c r="P253" s="786">
        <v>0</v>
      </c>
      <c r="Q253" s="785">
        <v>46060</v>
      </c>
      <c r="R253" s="785"/>
      <c r="S253" s="786">
        <v>7819142</v>
      </c>
      <c r="T253" s="788">
        <v>112074</v>
      </c>
      <c r="U253" s="788">
        <f>7931215+1</f>
        <v>7931216</v>
      </c>
    </row>
    <row r="254" spans="1:21" x14ac:dyDescent="0.25">
      <c r="A254" s="782">
        <v>92602</v>
      </c>
      <c r="B254" s="783" t="s">
        <v>2870</v>
      </c>
      <c r="C254" s="784">
        <v>8.3000000000000002E-6</v>
      </c>
      <c r="D254" s="784">
        <v>8.1999999999999994E-6</v>
      </c>
      <c r="E254" s="815">
        <v>3605</v>
      </c>
      <c r="F254" s="818">
        <v>17403</v>
      </c>
      <c r="G254" s="785">
        <v>12680</v>
      </c>
      <c r="H254" s="785"/>
      <c r="I254" s="786">
        <v>730</v>
      </c>
      <c r="J254" s="787">
        <v>3079</v>
      </c>
      <c r="K254" s="786">
        <v>1811</v>
      </c>
      <c r="L254" s="785">
        <v>352</v>
      </c>
      <c r="M254" s="785"/>
      <c r="N254" s="786">
        <v>359</v>
      </c>
      <c r="O254" s="786">
        <v>0</v>
      </c>
      <c r="P254" s="786">
        <v>0</v>
      </c>
      <c r="Q254" s="785">
        <v>927</v>
      </c>
      <c r="R254" s="785"/>
      <c r="S254" s="786">
        <v>4273</v>
      </c>
      <c r="T254" s="788">
        <v>-99</v>
      </c>
      <c r="U254" s="788">
        <v>4174</v>
      </c>
    </row>
    <row r="255" spans="1:21" x14ac:dyDescent="0.25">
      <c r="A255" s="782">
        <v>92604</v>
      </c>
      <c r="B255" s="783" t="s">
        <v>2871</v>
      </c>
      <c r="C255" s="784">
        <v>3.4099999999999999E-4</v>
      </c>
      <c r="D255" s="784">
        <v>3.4380000000000001E-4</v>
      </c>
      <c r="E255" s="815">
        <v>178691</v>
      </c>
      <c r="F255" s="818">
        <v>729659</v>
      </c>
      <c r="G255" s="785">
        <v>520954</v>
      </c>
      <c r="H255" s="785"/>
      <c r="I255" s="786">
        <v>30012</v>
      </c>
      <c r="J255" s="787">
        <v>126488</v>
      </c>
      <c r="K255" s="786">
        <v>74399</v>
      </c>
      <c r="L255" s="785">
        <v>52760</v>
      </c>
      <c r="M255" s="785"/>
      <c r="N255" s="786">
        <v>14747</v>
      </c>
      <c r="O255" s="786">
        <v>0</v>
      </c>
      <c r="P255" s="786">
        <v>0</v>
      </c>
      <c r="Q255" s="785">
        <v>0</v>
      </c>
      <c r="R255" s="785"/>
      <c r="S255" s="786">
        <v>175562</v>
      </c>
      <c r="T255" s="788">
        <v>23975</v>
      </c>
      <c r="U255" s="788">
        <v>199537</v>
      </c>
    </row>
    <row r="256" spans="1:21" x14ac:dyDescent="0.25">
      <c r="A256" s="782">
        <v>92607</v>
      </c>
      <c r="B256" s="783" t="s">
        <v>2872</v>
      </c>
      <c r="C256" s="784">
        <v>6.6400000000000001E-5</v>
      </c>
      <c r="D256" s="784">
        <v>7.0400000000000004E-5</v>
      </c>
      <c r="E256" s="815">
        <v>38427</v>
      </c>
      <c r="F256" s="818">
        <v>149412</v>
      </c>
      <c r="G256" s="785">
        <v>101441</v>
      </c>
      <c r="H256" s="785"/>
      <c r="I256" s="786">
        <v>5844</v>
      </c>
      <c r="J256" s="787">
        <v>24630</v>
      </c>
      <c r="K256" s="786">
        <v>14487</v>
      </c>
      <c r="L256" s="785">
        <v>9416</v>
      </c>
      <c r="M256" s="785"/>
      <c r="N256" s="786">
        <v>2871</v>
      </c>
      <c r="O256" s="786">
        <v>0</v>
      </c>
      <c r="P256" s="786">
        <v>0</v>
      </c>
      <c r="Q256" s="785">
        <v>0</v>
      </c>
      <c r="R256" s="785"/>
      <c r="S256" s="786">
        <v>34186</v>
      </c>
      <c r="T256" s="788">
        <v>4781</v>
      </c>
      <c r="U256" s="788">
        <f>38966+1</f>
        <v>38967</v>
      </c>
    </row>
    <row r="257" spans="1:21" x14ac:dyDescent="0.25">
      <c r="A257" s="782">
        <v>92608</v>
      </c>
      <c r="B257" s="783" t="s">
        <v>2873</v>
      </c>
      <c r="C257" s="784">
        <v>0</v>
      </c>
      <c r="D257" s="784">
        <v>0</v>
      </c>
      <c r="E257" s="815">
        <v>0</v>
      </c>
      <c r="F257" s="818">
        <v>0</v>
      </c>
      <c r="G257" s="785">
        <v>0</v>
      </c>
      <c r="H257" s="785"/>
      <c r="I257" s="786">
        <v>0</v>
      </c>
      <c r="J257" s="787">
        <v>0</v>
      </c>
      <c r="K257" s="786">
        <v>0</v>
      </c>
      <c r="L257" s="785">
        <v>0</v>
      </c>
      <c r="M257" s="785"/>
      <c r="N257" s="786">
        <v>0</v>
      </c>
      <c r="O257" s="786">
        <v>0</v>
      </c>
      <c r="P257" s="786">
        <v>0</v>
      </c>
      <c r="Q257" s="785">
        <v>69935</v>
      </c>
      <c r="R257" s="785"/>
      <c r="S257" s="786">
        <v>0</v>
      </c>
      <c r="T257" s="788">
        <v>-69872</v>
      </c>
      <c r="U257" s="788">
        <v>-69872</v>
      </c>
    </row>
    <row r="258" spans="1:21" x14ac:dyDescent="0.25">
      <c r="A258" s="782">
        <v>92611</v>
      </c>
      <c r="B258" s="783" t="s">
        <v>2874</v>
      </c>
      <c r="C258" s="784">
        <v>1.3080899999999999E-2</v>
      </c>
      <c r="D258" s="784">
        <v>1.3650799999999999E-2</v>
      </c>
      <c r="E258" s="815">
        <v>5890415</v>
      </c>
      <c r="F258" s="818">
        <v>28971571</v>
      </c>
      <c r="G258" s="785">
        <v>19983992</v>
      </c>
      <c r="H258" s="785"/>
      <c r="I258" s="786">
        <v>1151263</v>
      </c>
      <c r="J258" s="787">
        <v>4852137</v>
      </c>
      <c r="K258" s="786">
        <v>2853991</v>
      </c>
      <c r="L258" s="785">
        <v>10109</v>
      </c>
      <c r="M258" s="785"/>
      <c r="N258" s="786">
        <v>565684</v>
      </c>
      <c r="O258" s="786">
        <v>0</v>
      </c>
      <c r="P258" s="786">
        <v>0</v>
      </c>
      <c r="Q258" s="785">
        <v>976593</v>
      </c>
      <c r="R258" s="785"/>
      <c r="S258" s="786">
        <v>6734623</v>
      </c>
      <c r="T258" s="788">
        <v>-313138</v>
      </c>
      <c r="U258" s="788">
        <v>6421485</v>
      </c>
    </row>
    <row r="259" spans="1:21" x14ac:dyDescent="0.25">
      <c r="A259" s="782">
        <v>92613</v>
      </c>
      <c r="B259" s="783" t="s">
        <v>2875</v>
      </c>
      <c r="C259" s="784">
        <v>2.6439999999999998E-4</v>
      </c>
      <c r="D259" s="784">
        <v>2.81E-4</v>
      </c>
      <c r="E259" s="815">
        <v>143121</v>
      </c>
      <c r="F259" s="818">
        <v>596376</v>
      </c>
      <c r="G259" s="785">
        <v>403930</v>
      </c>
      <c r="H259" s="785"/>
      <c r="I259" s="786">
        <v>23270</v>
      </c>
      <c r="J259" s="787">
        <v>98075</v>
      </c>
      <c r="K259" s="786">
        <v>57687</v>
      </c>
      <c r="L259" s="785">
        <v>84489</v>
      </c>
      <c r="M259" s="785"/>
      <c r="N259" s="786">
        <v>11434</v>
      </c>
      <c r="O259" s="786">
        <v>0</v>
      </c>
      <c r="P259" s="786">
        <v>0</v>
      </c>
      <c r="Q259" s="785">
        <v>941</v>
      </c>
      <c r="R259" s="785"/>
      <c r="S259" s="786">
        <v>136125</v>
      </c>
      <c r="T259" s="788">
        <v>41506</v>
      </c>
      <c r="U259" s="788">
        <v>177631</v>
      </c>
    </row>
    <row r="260" spans="1:21" x14ac:dyDescent="0.25">
      <c r="A260" s="782">
        <v>92614</v>
      </c>
      <c r="B260" s="783" t="s">
        <v>2876</v>
      </c>
      <c r="C260" s="784">
        <v>5.7273000000000003E-3</v>
      </c>
      <c r="D260" s="784">
        <v>5.6468000000000004E-3</v>
      </c>
      <c r="E260" s="815">
        <v>4788008</v>
      </c>
      <c r="F260" s="818">
        <v>11984401</v>
      </c>
      <c r="G260" s="785">
        <v>8749728</v>
      </c>
      <c r="H260" s="785"/>
      <c r="I260" s="786">
        <v>504065</v>
      </c>
      <c r="J260" s="787">
        <v>2124444</v>
      </c>
      <c r="K260" s="786">
        <v>1249582</v>
      </c>
      <c r="L260" s="785">
        <v>3908054</v>
      </c>
      <c r="M260" s="785"/>
      <c r="N260" s="786">
        <v>247677</v>
      </c>
      <c r="O260" s="786">
        <v>0</v>
      </c>
      <c r="P260" s="786">
        <v>0</v>
      </c>
      <c r="Q260" s="785">
        <v>0</v>
      </c>
      <c r="R260" s="785"/>
      <c r="S260" s="786">
        <v>2948666</v>
      </c>
      <c r="T260" s="788">
        <v>1416067</v>
      </c>
      <c r="U260" s="788">
        <v>4364733</v>
      </c>
    </row>
    <row r="261" spans="1:21" x14ac:dyDescent="0.25">
      <c r="A261" s="782">
        <v>92621</v>
      </c>
      <c r="B261" s="783" t="s">
        <v>2877</v>
      </c>
      <c r="C261" s="784">
        <v>2.72E-5</v>
      </c>
      <c r="D261" s="784">
        <v>3.2799999999999998E-5</v>
      </c>
      <c r="E261" s="815">
        <v>11243</v>
      </c>
      <c r="F261" s="818">
        <v>69613</v>
      </c>
      <c r="G261" s="785">
        <v>41554</v>
      </c>
      <c r="H261" s="785"/>
      <c r="I261" s="786">
        <v>2394</v>
      </c>
      <c r="J261" s="787">
        <v>10089</v>
      </c>
      <c r="K261" s="786">
        <v>5934</v>
      </c>
      <c r="L261" s="785">
        <v>872</v>
      </c>
      <c r="M261" s="785"/>
      <c r="N261" s="786">
        <v>1176</v>
      </c>
      <c r="O261" s="786">
        <v>0</v>
      </c>
      <c r="P261" s="786">
        <v>0</v>
      </c>
      <c r="Q261" s="785">
        <v>6521</v>
      </c>
      <c r="R261" s="785"/>
      <c r="S261" s="786">
        <v>14004</v>
      </c>
      <c r="T261" s="788">
        <v>-1988</v>
      </c>
      <c r="U261" s="788">
        <v>12016</v>
      </c>
    </row>
    <row r="262" spans="1:21" x14ac:dyDescent="0.25">
      <c r="A262" s="782">
        <v>92631</v>
      </c>
      <c r="B262" s="783" t="s">
        <v>2878</v>
      </c>
      <c r="C262" s="784">
        <v>9.2710000000000004E-4</v>
      </c>
      <c r="D262" s="784">
        <v>1.0068E-3</v>
      </c>
      <c r="E262" s="815">
        <v>397128</v>
      </c>
      <c r="F262" s="818">
        <v>2136767</v>
      </c>
      <c r="G262" s="785">
        <v>1416352</v>
      </c>
      <c r="H262" s="785"/>
      <c r="I262" s="786">
        <v>81595</v>
      </c>
      <c r="J262" s="787">
        <v>343892</v>
      </c>
      <c r="K262" s="786">
        <v>202275</v>
      </c>
      <c r="L262" s="785">
        <v>0</v>
      </c>
      <c r="M262" s="785"/>
      <c r="N262" s="786">
        <v>40092</v>
      </c>
      <c r="O262" s="786">
        <v>0</v>
      </c>
      <c r="P262" s="786">
        <v>0</v>
      </c>
      <c r="Q262" s="785">
        <v>146834</v>
      </c>
      <c r="R262" s="785"/>
      <c r="S262" s="786">
        <v>477312</v>
      </c>
      <c r="T262" s="788">
        <v>-49734</v>
      </c>
      <c r="U262" s="788">
        <v>427578</v>
      </c>
    </row>
    <row r="263" spans="1:21" x14ac:dyDescent="0.25">
      <c r="A263" s="782">
        <v>92641</v>
      </c>
      <c r="B263" s="783" t="s">
        <v>2879</v>
      </c>
      <c r="C263" s="784">
        <v>1.0200000000000001E-5</v>
      </c>
      <c r="D263" s="784">
        <v>1.03E-5</v>
      </c>
      <c r="E263" s="815">
        <v>5720</v>
      </c>
      <c r="F263" s="818">
        <v>21860</v>
      </c>
      <c r="G263" s="785">
        <v>15583</v>
      </c>
      <c r="H263" s="785"/>
      <c r="I263" s="786">
        <v>898</v>
      </c>
      <c r="J263" s="787">
        <v>3784</v>
      </c>
      <c r="K263" s="786">
        <v>2225</v>
      </c>
      <c r="L263" s="785">
        <v>2556</v>
      </c>
      <c r="M263" s="785"/>
      <c r="N263" s="786">
        <v>441</v>
      </c>
      <c r="O263" s="786">
        <v>0</v>
      </c>
      <c r="P263" s="786">
        <v>0</v>
      </c>
      <c r="Q263" s="785">
        <v>945</v>
      </c>
      <c r="R263" s="785"/>
      <c r="S263" s="786">
        <v>5251</v>
      </c>
      <c r="T263" s="788">
        <v>173</v>
      </c>
      <c r="U263" s="788">
        <v>5424</v>
      </c>
    </row>
    <row r="264" spans="1:21" x14ac:dyDescent="0.25">
      <c r="A264" s="782">
        <v>92651</v>
      </c>
      <c r="B264" s="783" t="s">
        <v>2880</v>
      </c>
      <c r="C264" s="784">
        <v>2.6000000000000001E-6</v>
      </c>
      <c r="D264" s="784">
        <v>2.6000000000000001E-6</v>
      </c>
      <c r="E264" s="815">
        <v>3151</v>
      </c>
      <c r="F264" s="818">
        <v>5518</v>
      </c>
      <c r="G264" s="785">
        <v>3972</v>
      </c>
      <c r="H264" s="785"/>
      <c r="I264" s="786">
        <v>229</v>
      </c>
      <c r="J264" s="787">
        <v>964</v>
      </c>
      <c r="K264" s="786">
        <v>567</v>
      </c>
      <c r="L264" s="785">
        <v>3432</v>
      </c>
      <c r="M264" s="785"/>
      <c r="N264" s="786">
        <v>112</v>
      </c>
      <c r="O264" s="786">
        <v>0</v>
      </c>
      <c r="P264" s="786">
        <v>0</v>
      </c>
      <c r="Q264" s="785">
        <v>0</v>
      </c>
      <c r="R264" s="785"/>
      <c r="S264" s="786">
        <v>1339</v>
      </c>
      <c r="T264" s="788">
        <v>1345</v>
      </c>
      <c r="U264" s="788">
        <f>2683+1</f>
        <v>2684</v>
      </c>
    </row>
    <row r="265" spans="1:21" x14ac:dyDescent="0.25">
      <c r="A265" s="782">
        <v>92661</v>
      </c>
      <c r="B265" s="783" t="s">
        <v>2881</v>
      </c>
      <c r="C265" s="784">
        <v>6.9999999999999999E-4</v>
      </c>
      <c r="D265" s="784">
        <v>6.6299999999999996E-4</v>
      </c>
      <c r="E265" s="815">
        <v>591164</v>
      </c>
      <c r="F265" s="818">
        <v>1407108</v>
      </c>
      <c r="G265" s="785">
        <v>1069406</v>
      </c>
      <c r="H265" s="785"/>
      <c r="I265" s="786">
        <v>61608</v>
      </c>
      <c r="J265" s="787">
        <v>259653</v>
      </c>
      <c r="K265" s="786">
        <v>152726</v>
      </c>
      <c r="L265" s="785">
        <v>446841</v>
      </c>
      <c r="M265" s="785"/>
      <c r="N265" s="786">
        <v>30272</v>
      </c>
      <c r="O265" s="786">
        <v>0</v>
      </c>
      <c r="P265" s="786">
        <v>0</v>
      </c>
      <c r="Q265" s="785">
        <v>16877</v>
      </c>
      <c r="R265" s="785"/>
      <c r="S265" s="786">
        <v>360391</v>
      </c>
      <c r="T265" s="788">
        <v>130287</v>
      </c>
      <c r="U265" s="788">
        <v>490678</v>
      </c>
    </row>
    <row r="266" spans="1:21" x14ac:dyDescent="0.25">
      <c r="A266" s="782">
        <v>92671</v>
      </c>
      <c r="B266" s="783" t="s">
        <v>2882</v>
      </c>
      <c r="C266" s="784">
        <v>2.6000000000000001E-6</v>
      </c>
      <c r="D266" s="784">
        <v>2.9000000000000002E-6</v>
      </c>
      <c r="E266" s="815">
        <v>5279</v>
      </c>
      <c r="F266" s="818">
        <v>6155</v>
      </c>
      <c r="G266" s="785">
        <v>3972</v>
      </c>
      <c r="H266" s="785"/>
      <c r="I266" s="786">
        <v>229</v>
      </c>
      <c r="J266" s="787">
        <v>964</v>
      </c>
      <c r="K266" s="786">
        <v>567</v>
      </c>
      <c r="L266" s="785">
        <v>6237</v>
      </c>
      <c r="M266" s="785"/>
      <c r="N266" s="786">
        <v>112</v>
      </c>
      <c r="O266" s="786">
        <v>0</v>
      </c>
      <c r="P266" s="786">
        <v>0</v>
      </c>
      <c r="Q266" s="785">
        <v>0</v>
      </c>
      <c r="R266" s="785"/>
      <c r="S266" s="786">
        <v>1339</v>
      </c>
      <c r="T266" s="788">
        <v>2205</v>
      </c>
      <c r="U266" s="788">
        <f>3543+1</f>
        <v>3544</v>
      </c>
    </row>
    <row r="267" spans="1:21" x14ac:dyDescent="0.25">
      <c r="A267" s="782">
        <v>92681</v>
      </c>
      <c r="B267" s="783" t="s">
        <v>2883</v>
      </c>
      <c r="C267" s="784">
        <v>1.17E-5</v>
      </c>
      <c r="D267" s="784">
        <v>1.01E-5</v>
      </c>
      <c r="E267" s="815">
        <v>11572</v>
      </c>
      <c r="F267" s="818">
        <v>21436</v>
      </c>
      <c r="G267" s="785">
        <v>17874</v>
      </c>
      <c r="H267" s="785"/>
      <c r="I267" s="786">
        <v>1030</v>
      </c>
      <c r="J267" s="787">
        <v>4340</v>
      </c>
      <c r="K267" s="786">
        <v>2553</v>
      </c>
      <c r="L267" s="785">
        <v>13621</v>
      </c>
      <c r="M267" s="785"/>
      <c r="N267" s="786">
        <v>506</v>
      </c>
      <c r="O267" s="786">
        <v>0</v>
      </c>
      <c r="P267" s="786">
        <v>0</v>
      </c>
      <c r="Q267" s="785">
        <v>0</v>
      </c>
      <c r="R267" s="785"/>
      <c r="S267" s="786">
        <v>6024</v>
      </c>
      <c r="T267" s="788">
        <v>4960</v>
      </c>
      <c r="U267" s="788">
        <v>10984</v>
      </c>
    </row>
    <row r="268" spans="1:21" x14ac:dyDescent="0.25">
      <c r="A268" s="782">
        <v>92701</v>
      </c>
      <c r="B268" s="783" t="s">
        <v>2884</v>
      </c>
      <c r="C268" s="784">
        <v>3.0777000000000001E-3</v>
      </c>
      <c r="D268" s="784">
        <v>2.9588000000000001E-3</v>
      </c>
      <c r="E268" s="815">
        <v>1358591</v>
      </c>
      <c r="F268" s="818">
        <v>6279565</v>
      </c>
      <c r="G268" s="785">
        <v>4701873</v>
      </c>
      <c r="H268" s="785"/>
      <c r="I268" s="786">
        <v>270871</v>
      </c>
      <c r="J268" s="787">
        <v>1141620</v>
      </c>
      <c r="K268" s="786">
        <v>671493</v>
      </c>
      <c r="L268" s="785">
        <v>48990</v>
      </c>
      <c r="M268" s="785"/>
      <c r="N268" s="786">
        <v>133095</v>
      </c>
      <c r="O268" s="786">
        <v>0</v>
      </c>
      <c r="P268" s="786">
        <v>0</v>
      </c>
      <c r="Q268" s="785">
        <v>42924</v>
      </c>
      <c r="R268" s="785"/>
      <c r="S268" s="786">
        <v>1584535</v>
      </c>
      <c r="T268" s="788">
        <v>-25139</v>
      </c>
      <c r="U268" s="788">
        <f>1559397-1</f>
        <v>1559396</v>
      </c>
    </row>
    <row r="269" spans="1:21" x14ac:dyDescent="0.25">
      <c r="A269" s="782">
        <v>92704</v>
      </c>
      <c r="B269" s="783" t="s">
        <v>2885</v>
      </c>
      <c r="C269" s="784">
        <v>4.1600000000000002E-5</v>
      </c>
      <c r="D269" s="784">
        <v>4.7700000000000001E-5</v>
      </c>
      <c r="E269" s="815">
        <v>18894</v>
      </c>
      <c r="F269" s="818">
        <v>101235</v>
      </c>
      <c r="G269" s="785">
        <v>63553</v>
      </c>
      <c r="H269" s="785"/>
      <c r="I269" s="786">
        <v>3661</v>
      </c>
      <c r="J269" s="787">
        <v>15431</v>
      </c>
      <c r="K269" s="786">
        <v>9076</v>
      </c>
      <c r="L269" s="785">
        <v>1560</v>
      </c>
      <c r="M269" s="785"/>
      <c r="N269" s="786">
        <v>1799</v>
      </c>
      <c r="O269" s="786">
        <v>0</v>
      </c>
      <c r="P269" s="786">
        <v>0</v>
      </c>
      <c r="Q269" s="785">
        <v>5674</v>
      </c>
      <c r="R269" s="785"/>
      <c r="S269" s="786">
        <v>21418</v>
      </c>
      <c r="T269" s="788">
        <v>-706</v>
      </c>
      <c r="U269" s="788">
        <f>20711+1</f>
        <v>20712</v>
      </c>
    </row>
    <row r="270" spans="1:21" x14ac:dyDescent="0.25">
      <c r="A270" s="782">
        <v>92801</v>
      </c>
      <c r="B270" s="783" t="s">
        <v>2886</v>
      </c>
      <c r="C270" s="784">
        <v>5.0951E-3</v>
      </c>
      <c r="D270" s="784">
        <v>5.1701000000000004E-3</v>
      </c>
      <c r="E270" s="815">
        <v>2417020</v>
      </c>
      <c r="F270" s="818">
        <v>10972684</v>
      </c>
      <c r="G270" s="785">
        <v>7783901</v>
      </c>
      <c r="H270" s="785"/>
      <c r="I270" s="786">
        <v>448425</v>
      </c>
      <c r="J270" s="787">
        <v>1889940</v>
      </c>
      <c r="K270" s="786">
        <v>1111649</v>
      </c>
      <c r="L270" s="785">
        <v>152907</v>
      </c>
      <c r="M270" s="785"/>
      <c r="N270" s="786">
        <v>220338</v>
      </c>
      <c r="O270" s="786">
        <v>0</v>
      </c>
      <c r="P270" s="786">
        <v>0</v>
      </c>
      <c r="Q270" s="785">
        <v>0</v>
      </c>
      <c r="R270" s="785"/>
      <c r="S270" s="786">
        <v>2623182</v>
      </c>
      <c r="T270" s="788">
        <v>81450</v>
      </c>
      <c r="U270" s="788">
        <f>2704631+1</f>
        <v>2704632</v>
      </c>
    </row>
    <row r="271" spans="1:21" x14ac:dyDescent="0.25">
      <c r="A271" s="782">
        <v>92802</v>
      </c>
      <c r="B271" s="783" t="s">
        <v>2887</v>
      </c>
      <c r="C271" s="784">
        <v>1.2970000000000001E-4</v>
      </c>
      <c r="D271" s="784">
        <v>1.3410000000000001E-4</v>
      </c>
      <c r="E271" s="815">
        <v>55828</v>
      </c>
      <c r="F271" s="818">
        <v>284605</v>
      </c>
      <c r="G271" s="785">
        <v>198146</v>
      </c>
      <c r="H271" s="785"/>
      <c r="I271" s="786">
        <v>11415</v>
      </c>
      <c r="J271" s="787">
        <v>48110</v>
      </c>
      <c r="K271" s="786">
        <v>28298</v>
      </c>
      <c r="L271" s="785">
        <v>0</v>
      </c>
      <c r="M271" s="785"/>
      <c r="N271" s="786">
        <v>5609</v>
      </c>
      <c r="O271" s="786">
        <v>0</v>
      </c>
      <c r="P271" s="786">
        <v>0</v>
      </c>
      <c r="Q271" s="785">
        <v>17517</v>
      </c>
      <c r="R271" s="785"/>
      <c r="S271" s="786">
        <v>66775</v>
      </c>
      <c r="T271" s="788">
        <v>-6938</v>
      </c>
      <c r="U271" s="788">
        <v>59837</v>
      </c>
    </row>
    <row r="272" spans="1:21" x14ac:dyDescent="0.25">
      <c r="A272" s="782">
        <v>92804</v>
      </c>
      <c r="B272" s="783" t="s">
        <v>2888</v>
      </c>
      <c r="C272" s="784">
        <v>1.36E-4</v>
      </c>
      <c r="D272" s="784">
        <v>1.47E-4</v>
      </c>
      <c r="E272" s="815">
        <v>57777</v>
      </c>
      <c r="F272" s="818">
        <v>311983</v>
      </c>
      <c r="G272" s="785">
        <v>207770</v>
      </c>
      <c r="H272" s="785"/>
      <c r="I272" s="786">
        <v>11969</v>
      </c>
      <c r="J272" s="787">
        <v>50447</v>
      </c>
      <c r="K272" s="786">
        <v>29672</v>
      </c>
      <c r="L272" s="785">
        <v>8730</v>
      </c>
      <c r="M272" s="785"/>
      <c r="N272" s="786">
        <v>5881</v>
      </c>
      <c r="O272" s="786">
        <v>0</v>
      </c>
      <c r="P272" s="786">
        <v>0</v>
      </c>
      <c r="Q272" s="785">
        <v>12427</v>
      </c>
      <c r="R272" s="785"/>
      <c r="S272" s="786">
        <v>70019</v>
      </c>
      <c r="T272" s="788">
        <v>-172</v>
      </c>
      <c r="U272" s="788">
        <v>69847</v>
      </c>
    </row>
    <row r="273" spans="1:21" x14ac:dyDescent="0.25">
      <c r="A273" s="782">
        <v>92811</v>
      </c>
      <c r="B273" s="783" t="s">
        <v>2889</v>
      </c>
      <c r="C273" s="784">
        <v>1.0036000000000001E-3</v>
      </c>
      <c r="D273" s="784">
        <v>9.8569999999999994E-4</v>
      </c>
      <c r="E273" s="815">
        <v>442635</v>
      </c>
      <c r="F273" s="818">
        <v>2091986</v>
      </c>
      <c r="G273" s="785">
        <v>1533223</v>
      </c>
      <c r="H273" s="785"/>
      <c r="I273" s="786">
        <v>88328</v>
      </c>
      <c r="J273" s="787">
        <v>372269</v>
      </c>
      <c r="K273" s="786">
        <v>218965</v>
      </c>
      <c r="L273" s="785">
        <v>0</v>
      </c>
      <c r="M273" s="785"/>
      <c r="N273" s="786">
        <v>43401</v>
      </c>
      <c r="O273" s="786">
        <v>0</v>
      </c>
      <c r="P273" s="786">
        <v>0</v>
      </c>
      <c r="Q273" s="785">
        <v>85272</v>
      </c>
      <c r="R273" s="785"/>
      <c r="S273" s="786">
        <v>516697</v>
      </c>
      <c r="T273" s="788">
        <v>-36667</v>
      </c>
      <c r="U273" s="788">
        <v>480030</v>
      </c>
    </row>
    <row r="274" spans="1:21" x14ac:dyDescent="0.25">
      <c r="A274" s="782">
        <v>92821</v>
      </c>
      <c r="B274" s="783" t="s">
        <v>2890</v>
      </c>
      <c r="C274" s="784">
        <v>9.9400000000000009E-4</v>
      </c>
      <c r="D274" s="784">
        <v>1.0139999999999999E-3</v>
      </c>
      <c r="E274" s="815">
        <v>481049</v>
      </c>
      <c r="F274" s="818">
        <v>2152048</v>
      </c>
      <c r="G274" s="785">
        <v>1518557</v>
      </c>
      <c r="H274" s="785"/>
      <c r="I274" s="786">
        <v>87483</v>
      </c>
      <c r="J274" s="787">
        <v>368707</v>
      </c>
      <c r="K274" s="786">
        <v>216871</v>
      </c>
      <c r="L274" s="785">
        <v>24870</v>
      </c>
      <c r="M274" s="785"/>
      <c r="N274" s="786">
        <v>42986</v>
      </c>
      <c r="O274" s="786">
        <v>0</v>
      </c>
      <c r="P274" s="786">
        <v>0</v>
      </c>
      <c r="Q274" s="785">
        <v>0</v>
      </c>
      <c r="R274" s="785"/>
      <c r="S274" s="786">
        <v>511755</v>
      </c>
      <c r="T274" s="788">
        <v>10495</v>
      </c>
      <c r="U274" s="788">
        <v>522250</v>
      </c>
    </row>
    <row r="275" spans="1:21" x14ac:dyDescent="0.25">
      <c r="A275" s="782">
        <v>92831</v>
      </c>
      <c r="B275" s="783" t="s">
        <v>2891</v>
      </c>
      <c r="C275" s="784">
        <v>2.1829999999999999E-4</v>
      </c>
      <c r="D275" s="784">
        <v>2.476E-4</v>
      </c>
      <c r="E275" s="815">
        <v>122076</v>
      </c>
      <c r="F275" s="818">
        <v>525490</v>
      </c>
      <c r="G275" s="785">
        <v>333502</v>
      </c>
      <c r="H275" s="785"/>
      <c r="I275" s="786">
        <v>19213</v>
      </c>
      <c r="J275" s="787">
        <v>80975</v>
      </c>
      <c r="K275" s="786">
        <v>47629</v>
      </c>
      <c r="L275" s="785">
        <v>19156</v>
      </c>
      <c r="M275" s="785"/>
      <c r="N275" s="786">
        <v>9440</v>
      </c>
      <c r="O275" s="786">
        <v>0</v>
      </c>
      <c r="P275" s="786">
        <v>0</v>
      </c>
      <c r="Q275" s="785">
        <v>2159</v>
      </c>
      <c r="R275" s="785"/>
      <c r="S275" s="786">
        <v>112390</v>
      </c>
      <c r="T275" s="788">
        <v>9503</v>
      </c>
      <c r="U275" s="788">
        <f>121894-1</f>
        <v>121893</v>
      </c>
    </row>
    <row r="276" spans="1:21" x14ac:dyDescent="0.25">
      <c r="A276" s="782">
        <v>92841</v>
      </c>
      <c r="B276" s="783" t="s">
        <v>2892</v>
      </c>
      <c r="C276" s="784">
        <v>2.7809999999999998E-4</v>
      </c>
      <c r="D276" s="784">
        <v>2.8160000000000001E-4</v>
      </c>
      <c r="E276" s="815">
        <v>116983</v>
      </c>
      <c r="F276" s="818">
        <v>597650</v>
      </c>
      <c r="G276" s="785">
        <v>424860</v>
      </c>
      <c r="H276" s="785"/>
      <c r="I276" s="786">
        <v>24476</v>
      </c>
      <c r="J276" s="787">
        <v>103157</v>
      </c>
      <c r="K276" s="786">
        <v>60676</v>
      </c>
      <c r="L276" s="785">
        <v>5821</v>
      </c>
      <c r="M276" s="785"/>
      <c r="N276" s="786">
        <v>12026</v>
      </c>
      <c r="O276" s="786">
        <v>0</v>
      </c>
      <c r="P276" s="786">
        <v>0</v>
      </c>
      <c r="Q276" s="785">
        <v>13149</v>
      </c>
      <c r="R276" s="785"/>
      <c r="S276" s="786">
        <v>143178</v>
      </c>
      <c r="T276" s="788">
        <v>2288</v>
      </c>
      <c r="U276" s="788">
        <v>145466</v>
      </c>
    </row>
    <row r="277" spans="1:21" x14ac:dyDescent="0.25">
      <c r="A277" s="782">
        <v>92851</v>
      </c>
      <c r="B277" s="783" t="s">
        <v>2893</v>
      </c>
      <c r="C277" s="784">
        <v>4.6079999999999998E-4</v>
      </c>
      <c r="D277" s="784">
        <v>4.3909999999999999E-4</v>
      </c>
      <c r="E277" s="815">
        <v>187164</v>
      </c>
      <c r="F277" s="818">
        <v>931917</v>
      </c>
      <c r="G277" s="785">
        <v>703975</v>
      </c>
      <c r="H277" s="785"/>
      <c r="I277" s="786">
        <v>40555</v>
      </c>
      <c r="J277" s="787">
        <v>170926</v>
      </c>
      <c r="K277" s="786">
        <v>100537</v>
      </c>
      <c r="L277" s="785">
        <v>0</v>
      </c>
      <c r="M277" s="785"/>
      <c r="N277" s="786">
        <v>19927</v>
      </c>
      <c r="O277" s="786">
        <v>0</v>
      </c>
      <c r="P277" s="786">
        <v>0</v>
      </c>
      <c r="Q277" s="785">
        <v>62664</v>
      </c>
      <c r="R277" s="785"/>
      <c r="S277" s="786">
        <v>237240</v>
      </c>
      <c r="T277" s="788">
        <v>-35531</v>
      </c>
      <c r="U277" s="788">
        <v>201709</v>
      </c>
    </row>
    <row r="278" spans="1:21" x14ac:dyDescent="0.25">
      <c r="A278" s="782">
        <v>92861</v>
      </c>
      <c r="B278" s="783" t="s">
        <v>2894</v>
      </c>
      <c r="C278" s="784">
        <v>3.6010000000000003E-4</v>
      </c>
      <c r="D278" s="784">
        <v>3.3629999999999999E-4</v>
      </c>
      <c r="E278" s="815">
        <v>121951</v>
      </c>
      <c r="F278" s="818">
        <v>713741</v>
      </c>
      <c r="G278" s="785">
        <v>550133</v>
      </c>
      <c r="H278" s="785"/>
      <c r="I278" s="786">
        <v>31693</v>
      </c>
      <c r="J278" s="787">
        <v>133573</v>
      </c>
      <c r="K278" s="786">
        <v>78567</v>
      </c>
      <c r="L278" s="785">
        <v>0</v>
      </c>
      <c r="M278" s="785"/>
      <c r="N278" s="786">
        <v>15573</v>
      </c>
      <c r="O278" s="786">
        <v>0</v>
      </c>
      <c r="P278" s="786">
        <v>0</v>
      </c>
      <c r="Q278" s="785">
        <v>83092</v>
      </c>
      <c r="R278" s="785"/>
      <c r="S278" s="786">
        <v>185395</v>
      </c>
      <c r="T278" s="788">
        <v>-36908</v>
      </c>
      <c r="U278" s="788">
        <f>148488-1</f>
        <v>148487</v>
      </c>
    </row>
    <row r="279" spans="1:21" x14ac:dyDescent="0.25">
      <c r="A279" s="782">
        <v>92901</v>
      </c>
      <c r="B279" s="783" t="s">
        <v>2895</v>
      </c>
      <c r="C279" s="784">
        <v>5.5082999999999998E-3</v>
      </c>
      <c r="D279" s="784">
        <v>5.7581000000000004E-3</v>
      </c>
      <c r="E279" s="815">
        <v>2645958</v>
      </c>
      <c r="F279" s="818">
        <v>12220617</v>
      </c>
      <c r="G279" s="785">
        <v>8415157</v>
      </c>
      <c r="H279" s="785"/>
      <c r="I279" s="786">
        <v>484791</v>
      </c>
      <c r="J279" s="787">
        <v>2043211</v>
      </c>
      <c r="K279" s="786">
        <v>1201801</v>
      </c>
      <c r="L279" s="785">
        <v>65697</v>
      </c>
      <c r="M279" s="785"/>
      <c r="N279" s="786">
        <v>238206</v>
      </c>
      <c r="O279" s="786">
        <v>0</v>
      </c>
      <c r="P279" s="786">
        <v>0</v>
      </c>
      <c r="Q279" s="785">
        <v>124949</v>
      </c>
      <c r="R279" s="785"/>
      <c r="S279" s="786">
        <v>2835915</v>
      </c>
      <c r="T279" s="788">
        <v>6522</v>
      </c>
      <c r="U279" s="788">
        <f>2842438-1</f>
        <v>2842437</v>
      </c>
    </row>
    <row r="280" spans="1:21" x14ac:dyDescent="0.25">
      <c r="A280" s="782">
        <v>92911</v>
      </c>
      <c r="B280" s="783" t="s">
        <v>2896</v>
      </c>
      <c r="C280" s="784">
        <v>1.9548999999999999E-3</v>
      </c>
      <c r="D280" s="784">
        <v>1.9442999999999999E-3</v>
      </c>
      <c r="E280" s="815">
        <v>924132</v>
      </c>
      <c r="F280" s="818">
        <v>4126456</v>
      </c>
      <c r="G280" s="785">
        <v>2986546</v>
      </c>
      <c r="H280" s="785"/>
      <c r="I280" s="786">
        <v>172053</v>
      </c>
      <c r="J280" s="787">
        <v>725137</v>
      </c>
      <c r="K280" s="786">
        <v>426520</v>
      </c>
      <c r="L280" s="785">
        <v>28442</v>
      </c>
      <c r="M280" s="785"/>
      <c r="N280" s="786">
        <v>84540</v>
      </c>
      <c r="O280" s="786">
        <v>0</v>
      </c>
      <c r="P280" s="786">
        <v>0</v>
      </c>
      <c r="Q280" s="785">
        <v>113525</v>
      </c>
      <c r="R280" s="785"/>
      <c r="S280" s="786">
        <v>1006469</v>
      </c>
      <c r="T280" s="788">
        <v>-55041</v>
      </c>
      <c r="U280" s="788">
        <v>951428</v>
      </c>
    </row>
    <row r="281" spans="1:21" x14ac:dyDescent="0.25">
      <c r="A281" s="782">
        <v>92913</v>
      </c>
      <c r="B281" s="783" t="s">
        <v>2897</v>
      </c>
      <c r="C281" s="784">
        <v>2.1999999999999999E-5</v>
      </c>
      <c r="D281" s="784">
        <v>2.37E-5</v>
      </c>
      <c r="E281" s="815">
        <v>57760</v>
      </c>
      <c r="F281" s="818">
        <v>50299</v>
      </c>
      <c r="G281" s="785">
        <v>33610</v>
      </c>
      <c r="H281" s="785"/>
      <c r="I281" s="786">
        <v>1936</v>
      </c>
      <c r="J281" s="787">
        <v>8160</v>
      </c>
      <c r="K281" s="786">
        <v>4800</v>
      </c>
      <c r="L281" s="785">
        <v>79442</v>
      </c>
      <c r="M281" s="785"/>
      <c r="N281" s="786">
        <v>951</v>
      </c>
      <c r="O281" s="786">
        <v>0</v>
      </c>
      <c r="P281" s="786">
        <v>0</v>
      </c>
      <c r="Q281" s="785">
        <v>2047</v>
      </c>
      <c r="R281" s="785"/>
      <c r="S281" s="786">
        <v>11327</v>
      </c>
      <c r="T281" s="788">
        <v>25513</v>
      </c>
      <c r="U281" s="788">
        <v>36840</v>
      </c>
    </row>
    <row r="282" spans="1:21" x14ac:dyDescent="0.25">
      <c r="A282" s="782">
        <v>92914</v>
      </c>
      <c r="B282" s="783" t="s">
        <v>3666</v>
      </c>
      <c r="C282" s="784">
        <v>2.8900000000000001E-5</v>
      </c>
      <c r="D282" s="784">
        <v>0</v>
      </c>
      <c r="E282" s="815">
        <v>10513</v>
      </c>
      <c r="F282" s="818">
        <v>0</v>
      </c>
      <c r="G282" s="785">
        <v>44151</v>
      </c>
      <c r="H282" s="785"/>
      <c r="I282" s="786">
        <v>2544</v>
      </c>
      <c r="J282" s="787">
        <v>10720</v>
      </c>
      <c r="K282" s="786">
        <v>6305</v>
      </c>
      <c r="L282" s="785">
        <v>17173</v>
      </c>
      <c r="M282" s="785"/>
      <c r="N282" s="786">
        <v>1250</v>
      </c>
      <c r="O282" s="786">
        <v>0</v>
      </c>
      <c r="P282" s="786">
        <v>0</v>
      </c>
      <c r="Q282" s="785">
        <v>0</v>
      </c>
      <c r="R282" s="785"/>
      <c r="S282" s="786">
        <v>14879</v>
      </c>
      <c r="T282" s="788">
        <v>4293</v>
      </c>
      <c r="U282" s="788">
        <v>19172</v>
      </c>
    </row>
    <row r="283" spans="1:21" x14ac:dyDescent="0.25">
      <c r="A283" s="782">
        <v>92917</v>
      </c>
      <c r="B283" s="783" t="s">
        <v>2898</v>
      </c>
      <c r="C283" s="784">
        <v>1.4800000000000001E-5</v>
      </c>
      <c r="D283" s="784">
        <v>2.0000000000000002E-5</v>
      </c>
      <c r="E283" s="815">
        <v>16082</v>
      </c>
      <c r="F283" s="818">
        <v>42447</v>
      </c>
      <c r="G283" s="785">
        <v>22610</v>
      </c>
      <c r="H283" s="785"/>
      <c r="I283" s="786">
        <v>1303</v>
      </c>
      <c r="J283" s="787">
        <v>5490</v>
      </c>
      <c r="K283" s="786">
        <v>3229</v>
      </c>
      <c r="L283" s="785">
        <v>13223</v>
      </c>
      <c r="M283" s="785"/>
      <c r="N283" s="786">
        <v>640</v>
      </c>
      <c r="O283" s="786">
        <v>0</v>
      </c>
      <c r="P283" s="786">
        <v>0</v>
      </c>
      <c r="Q283" s="785">
        <v>0</v>
      </c>
      <c r="R283" s="785"/>
      <c r="S283" s="786">
        <v>7620</v>
      </c>
      <c r="T283" s="788">
        <v>6352</v>
      </c>
      <c r="U283" s="788">
        <f>13971+1</f>
        <v>13972</v>
      </c>
    </row>
    <row r="284" spans="1:21" x14ac:dyDescent="0.25">
      <c r="A284" s="782">
        <v>92921</v>
      </c>
      <c r="B284" s="783" t="s">
        <v>2899</v>
      </c>
      <c r="C284" s="784">
        <v>7.4400000000000006E-5</v>
      </c>
      <c r="D284" s="784">
        <v>6.2899999999999997E-5</v>
      </c>
      <c r="E284" s="815">
        <v>41073</v>
      </c>
      <c r="F284" s="818">
        <v>133495</v>
      </c>
      <c r="G284" s="785">
        <v>113663</v>
      </c>
      <c r="H284" s="785"/>
      <c r="I284" s="786">
        <v>6548</v>
      </c>
      <c r="J284" s="787">
        <v>27597</v>
      </c>
      <c r="K284" s="786">
        <v>16233</v>
      </c>
      <c r="L284" s="785">
        <v>13244</v>
      </c>
      <c r="M284" s="785"/>
      <c r="N284" s="786">
        <v>3217</v>
      </c>
      <c r="O284" s="786">
        <v>0</v>
      </c>
      <c r="P284" s="786">
        <v>0</v>
      </c>
      <c r="Q284" s="785">
        <v>7831</v>
      </c>
      <c r="R284" s="785"/>
      <c r="S284" s="786">
        <v>38304</v>
      </c>
      <c r="T284" s="788">
        <v>-2914</v>
      </c>
      <c r="U284" s="788">
        <v>35390</v>
      </c>
    </row>
    <row r="285" spans="1:21" x14ac:dyDescent="0.25">
      <c r="A285" s="782">
        <v>92931</v>
      </c>
      <c r="B285" s="783" t="s">
        <v>2900</v>
      </c>
      <c r="C285" s="784">
        <v>2.3996E-3</v>
      </c>
      <c r="D285" s="784">
        <v>2.5048000000000002E-3</v>
      </c>
      <c r="E285" s="815">
        <v>1109331</v>
      </c>
      <c r="F285" s="818">
        <v>5316025</v>
      </c>
      <c r="G285" s="785">
        <v>3665924</v>
      </c>
      <c r="H285" s="785"/>
      <c r="I285" s="786">
        <v>211191</v>
      </c>
      <c r="J285" s="787">
        <v>890091</v>
      </c>
      <c r="K285" s="786">
        <v>523545</v>
      </c>
      <c r="L285" s="785">
        <v>7721</v>
      </c>
      <c r="M285" s="785"/>
      <c r="N285" s="786">
        <v>103771</v>
      </c>
      <c r="O285" s="786">
        <v>0</v>
      </c>
      <c r="P285" s="786">
        <v>0</v>
      </c>
      <c r="Q285" s="785">
        <v>147858</v>
      </c>
      <c r="R285" s="785"/>
      <c r="S285" s="786">
        <v>1235420</v>
      </c>
      <c r="T285" s="788">
        <v>-41276</v>
      </c>
      <c r="U285" s="788">
        <v>1194144</v>
      </c>
    </row>
    <row r="286" spans="1:21" x14ac:dyDescent="0.25">
      <c r="A286" s="782">
        <v>92941</v>
      </c>
      <c r="B286" s="783" t="s">
        <v>1423</v>
      </c>
      <c r="C286" s="784">
        <v>1.2300000000000001E-5</v>
      </c>
      <c r="D286" s="784">
        <v>1.84E-5</v>
      </c>
      <c r="E286" s="815">
        <v>8547</v>
      </c>
      <c r="F286" s="818">
        <v>39051</v>
      </c>
      <c r="G286" s="785">
        <v>18791</v>
      </c>
      <c r="H286" s="785"/>
      <c r="I286" s="786">
        <v>1083</v>
      </c>
      <c r="J286" s="787">
        <v>4563</v>
      </c>
      <c r="K286" s="786">
        <v>2684</v>
      </c>
      <c r="L286" s="785">
        <v>6612</v>
      </c>
      <c r="M286" s="785"/>
      <c r="N286" s="786">
        <v>532</v>
      </c>
      <c r="O286" s="786">
        <v>0</v>
      </c>
      <c r="P286" s="786">
        <v>0</v>
      </c>
      <c r="Q286" s="785">
        <v>1770</v>
      </c>
      <c r="R286" s="785"/>
      <c r="S286" s="786">
        <v>6333</v>
      </c>
      <c r="T286" s="788">
        <v>3162</v>
      </c>
      <c r="U286" s="788">
        <v>9495</v>
      </c>
    </row>
    <row r="287" spans="1:21" x14ac:dyDescent="0.25">
      <c r="A287" s="782">
        <v>93001</v>
      </c>
      <c r="B287" s="783" t="s">
        <v>2901</v>
      </c>
      <c r="C287" s="784">
        <v>2.2227000000000002E-3</v>
      </c>
      <c r="D287" s="784">
        <v>2.2739000000000001E-3</v>
      </c>
      <c r="E287" s="815">
        <v>981066</v>
      </c>
      <c r="F287" s="818">
        <v>4825978</v>
      </c>
      <c r="G287" s="785">
        <v>3395670</v>
      </c>
      <c r="H287" s="785"/>
      <c r="I287" s="786">
        <v>195622</v>
      </c>
      <c r="J287" s="787">
        <v>824473</v>
      </c>
      <c r="K287" s="786">
        <v>484949</v>
      </c>
      <c r="L287" s="785">
        <v>8733</v>
      </c>
      <c r="M287" s="785"/>
      <c r="N287" s="786">
        <v>96121</v>
      </c>
      <c r="O287" s="786">
        <v>0</v>
      </c>
      <c r="P287" s="786">
        <v>0</v>
      </c>
      <c r="Q287" s="785">
        <v>123729</v>
      </c>
      <c r="R287" s="785"/>
      <c r="S287" s="786">
        <v>1144344</v>
      </c>
      <c r="T287" s="788">
        <v>-57358</v>
      </c>
      <c r="U287" s="788">
        <v>1086986</v>
      </c>
    </row>
    <row r="288" spans="1:21" x14ac:dyDescent="0.25">
      <c r="A288" s="782">
        <v>93009</v>
      </c>
      <c r="B288" s="783" t="s">
        <v>2902</v>
      </c>
      <c r="C288" s="784">
        <v>1.47E-5</v>
      </c>
      <c r="D288" s="784">
        <v>1.5400000000000002E-5</v>
      </c>
      <c r="E288" s="815">
        <v>5348</v>
      </c>
      <c r="F288" s="818">
        <v>32684</v>
      </c>
      <c r="G288" s="785">
        <v>22458</v>
      </c>
      <c r="H288" s="785"/>
      <c r="I288" s="786">
        <v>1294</v>
      </c>
      <c r="J288" s="787">
        <v>5453</v>
      </c>
      <c r="K288" s="786">
        <v>3207</v>
      </c>
      <c r="L288" s="785">
        <v>0</v>
      </c>
      <c r="M288" s="785"/>
      <c r="N288" s="786">
        <v>636</v>
      </c>
      <c r="O288" s="786">
        <v>0</v>
      </c>
      <c r="P288" s="786">
        <v>0</v>
      </c>
      <c r="Q288" s="785">
        <v>4280</v>
      </c>
      <c r="R288" s="785"/>
      <c r="S288" s="786">
        <v>7568</v>
      </c>
      <c r="T288" s="788">
        <v>-1918</v>
      </c>
      <c r="U288" s="788">
        <v>5650</v>
      </c>
    </row>
    <row r="289" spans="1:21" x14ac:dyDescent="0.25">
      <c r="A289" s="782">
        <v>93011</v>
      </c>
      <c r="B289" s="783" t="s">
        <v>2903</v>
      </c>
      <c r="C289" s="784">
        <v>2.2699999999999999E-4</v>
      </c>
      <c r="D289" s="784">
        <v>2.6160000000000002E-4</v>
      </c>
      <c r="E289" s="815">
        <v>118523</v>
      </c>
      <c r="F289" s="818">
        <v>555203</v>
      </c>
      <c r="G289" s="785">
        <v>346793</v>
      </c>
      <c r="H289" s="785"/>
      <c r="I289" s="786">
        <v>19978</v>
      </c>
      <c r="J289" s="787">
        <v>84202</v>
      </c>
      <c r="K289" s="786">
        <v>49527</v>
      </c>
      <c r="L289" s="785">
        <v>1542</v>
      </c>
      <c r="M289" s="785"/>
      <c r="N289" s="786">
        <v>9817</v>
      </c>
      <c r="O289" s="786">
        <v>0</v>
      </c>
      <c r="P289" s="786">
        <v>0</v>
      </c>
      <c r="Q289" s="785">
        <v>15019</v>
      </c>
      <c r="R289" s="785"/>
      <c r="S289" s="786">
        <v>116870</v>
      </c>
      <c r="T289" s="788">
        <v>-3863</v>
      </c>
      <c r="U289" s="788">
        <v>113007</v>
      </c>
    </row>
    <row r="290" spans="1:21" x14ac:dyDescent="0.25">
      <c r="A290" s="782">
        <v>93021</v>
      </c>
      <c r="B290" s="783" t="s">
        <v>2904</v>
      </c>
      <c r="C290" s="784">
        <v>3.4199999999999998E-5</v>
      </c>
      <c r="D290" s="784">
        <v>2.8900000000000001E-5</v>
      </c>
      <c r="E290" s="815">
        <v>12994</v>
      </c>
      <c r="F290" s="818">
        <v>61335</v>
      </c>
      <c r="G290" s="785">
        <v>52248</v>
      </c>
      <c r="H290" s="785"/>
      <c r="I290" s="786">
        <v>3010</v>
      </c>
      <c r="J290" s="787">
        <v>12686</v>
      </c>
      <c r="K290" s="786">
        <v>7462</v>
      </c>
      <c r="L290" s="785">
        <v>3788</v>
      </c>
      <c r="M290" s="785"/>
      <c r="N290" s="786">
        <v>1479</v>
      </c>
      <c r="O290" s="786">
        <v>0</v>
      </c>
      <c r="P290" s="786">
        <v>0</v>
      </c>
      <c r="Q290" s="785">
        <v>4978</v>
      </c>
      <c r="R290" s="785"/>
      <c r="S290" s="786">
        <v>17608</v>
      </c>
      <c r="T290" s="788">
        <v>260</v>
      </c>
      <c r="U290" s="788">
        <v>17868</v>
      </c>
    </row>
    <row r="291" spans="1:21" x14ac:dyDescent="0.25">
      <c r="A291" s="782">
        <v>93027</v>
      </c>
      <c r="B291" s="783" t="s">
        <v>2905</v>
      </c>
      <c r="C291" s="784">
        <v>1.6699999999999999E-5</v>
      </c>
      <c r="D291" s="784">
        <v>1.6699999999999999E-5</v>
      </c>
      <c r="E291" s="815">
        <v>8270</v>
      </c>
      <c r="F291" s="818">
        <v>35443</v>
      </c>
      <c r="G291" s="785">
        <v>25513</v>
      </c>
      <c r="H291" s="785"/>
      <c r="I291" s="786">
        <v>1470</v>
      </c>
      <c r="J291" s="787">
        <v>6194</v>
      </c>
      <c r="K291" s="786">
        <v>3644</v>
      </c>
      <c r="L291" s="785">
        <v>1152</v>
      </c>
      <c r="M291" s="785"/>
      <c r="N291" s="786">
        <v>722</v>
      </c>
      <c r="O291" s="786">
        <v>0</v>
      </c>
      <c r="P291" s="786">
        <v>0</v>
      </c>
      <c r="Q291" s="785">
        <v>834</v>
      </c>
      <c r="R291" s="785"/>
      <c r="S291" s="786">
        <v>8598</v>
      </c>
      <c r="T291" s="788">
        <v>-308</v>
      </c>
      <c r="U291" s="788">
        <v>8290</v>
      </c>
    </row>
    <row r="292" spans="1:21" x14ac:dyDescent="0.25">
      <c r="A292" s="782">
        <v>93031</v>
      </c>
      <c r="B292" s="783" t="s">
        <v>2906</v>
      </c>
      <c r="C292" s="784">
        <v>2.1699999999999999E-5</v>
      </c>
      <c r="D292" s="784">
        <v>2.2399999999999999E-5</v>
      </c>
      <c r="E292" s="815">
        <v>20397</v>
      </c>
      <c r="F292" s="818">
        <v>47540</v>
      </c>
      <c r="G292" s="785">
        <v>33152</v>
      </c>
      <c r="H292" s="785"/>
      <c r="I292" s="786">
        <v>1910</v>
      </c>
      <c r="J292" s="787">
        <v>8050</v>
      </c>
      <c r="K292" s="786">
        <v>4735</v>
      </c>
      <c r="L292" s="785">
        <v>18910</v>
      </c>
      <c r="M292" s="785"/>
      <c r="N292" s="786">
        <v>938</v>
      </c>
      <c r="O292" s="786">
        <v>0</v>
      </c>
      <c r="P292" s="786">
        <v>0</v>
      </c>
      <c r="Q292" s="785">
        <v>221</v>
      </c>
      <c r="R292" s="785"/>
      <c r="S292" s="786">
        <v>11172</v>
      </c>
      <c r="T292" s="788">
        <v>5880</v>
      </c>
      <c r="U292" s="788">
        <v>17052</v>
      </c>
    </row>
    <row r="293" spans="1:21" x14ac:dyDescent="0.25">
      <c r="A293" s="782">
        <v>93101</v>
      </c>
      <c r="B293" s="783" t="s">
        <v>2907</v>
      </c>
      <c r="C293" s="784">
        <v>3.5159000000000002E-3</v>
      </c>
      <c r="D293" s="784">
        <v>3.5771000000000002E-3</v>
      </c>
      <c r="E293" s="815">
        <v>1521217</v>
      </c>
      <c r="F293" s="818">
        <v>7591805</v>
      </c>
      <c r="G293" s="785">
        <v>5371321</v>
      </c>
      <c r="H293" s="785"/>
      <c r="I293" s="786">
        <v>309438</v>
      </c>
      <c r="J293" s="787">
        <v>1304163</v>
      </c>
      <c r="K293" s="786">
        <v>767099</v>
      </c>
      <c r="L293" s="785">
        <v>104257</v>
      </c>
      <c r="M293" s="785"/>
      <c r="N293" s="786">
        <v>152045</v>
      </c>
      <c r="O293" s="786">
        <v>0</v>
      </c>
      <c r="P293" s="786">
        <v>0</v>
      </c>
      <c r="Q293" s="785">
        <v>115334</v>
      </c>
      <c r="R293" s="785"/>
      <c r="S293" s="786">
        <v>1810140</v>
      </c>
      <c r="T293" s="788">
        <v>39451</v>
      </c>
      <c r="U293" s="788">
        <v>1849591</v>
      </c>
    </row>
    <row r="294" spans="1:21" x14ac:dyDescent="0.25">
      <c r="A294" s="782">
        <v>93103</v>
      </c>
      <c r="B294" s="783" t="s">
        <v>2100</v>
      </c>
      <c r="C294" s="784">
        <v>1.7099999999999999E-5</v>
      </c>
      <c r="D294" s="784">
        <v>1.7200000000000001E-5</v>
      </c>
      <c r="E294" s="815">
        <v>5686</v>
      </c>
      <c r="F294" s="818">
        <v>36504</v>
      </c>
      <c r="G294" s="785">
        <v>26124</v>
      </c>
      <c r="H294" s="785"/>
      <c r="I294" s="786">
        <v>1505</v>
      </c>
      <c r="J294" s="787">
        <v>6343</v>
      </c>
      <c r="K294" s="786">
        <v>3731</v>
      </c>
      <c r="L294" s="785">
        <v>6718</v>
      </c>
      <c r="M294" s="785"/>
      <c r="N294" s="786">
        <v>739</v>
      </c>
      <c r="O294" s="786">
        <v>0</v>
      </c>
      <c r="P294" s="786">
        <v>0</v>
      </c>
      <c r="Q294" s="785">
        <v>1798</v>
      </c>
      <c r="R294" s="785"/>
      <c r="S294" s="786">
        <v>8804</v>
      </c>
      <c r="T294" s="788">
        <v>2085</v>
      </c>
      <c r="U294" s="788">
        <v>10889</v>
      </c>
    </row>
    <row r="295" spans="1:21" x14ac:dyDescent="0.25">
      <c r="A295" s="782">
        <v>93108</v>
      </c>
      <c r="B295" s="783" t="s">
        <v>2908</v>
      </c>
      <c r="C295" s="784">
        <v>2.6624999999999999E-3</v>
      </c>
      <c r="D295" s="784">
        <v>2.5661999999999998E-3</v>
      </c>
      <c r="E295" s="815">
        <v>1189197</v>
      </c>
      <c r="F295" s="818">
        <v>5446336</v>
      </c>
      <c r="G295" s="785">
        <v>4067562</v>
      </c>
      <c r="H295" s="785"/>
      <c r="I295" s="786">
        <v>234329</v>
      </c>
      <c r="J295" s="787">
        <v>987609</v>
      </c>
      <c r="K295" s="786">
        <v>580904</v>
      </c>
      <c r="L295" s="785">
        <v>274861</v>
      </c>
      <c r="M295" s="785"/>
      <c r="N295" s="786">
        <v>115140</v>
      </c>
      <c r="O295" s="786">
        <v>0</v>
      </c>
      <c r="P295" s="786">
        <v>0</v>
      </c>
      <c r="Q295" s="785">
        <v>0</v>
      </c>
      <c r="R295" s="785"/>
      <c r="S295" s="786">
        <v>1370772</v>
      </c>
      <c r="T295" s="788">
        <v>189775</v>
      </c>
      <c r="U295" s="788">
        <v>1560547</v>
      </c>
    </row>
    <row r="296" spans="1:21" x14ac:dyDescent="0.25">
      <c r="A296" s="782">
        <v>93111</v>
      </c>
      <c r="B296" s="783" t="s">
        <v>2909</v>
      </c>
      <c r="C296" s="784">
        <v>5.8499999999999999E-5</v>
      </c>
      <c r="D296" s="784">
        <v>7.08E-5</v>
      </c>
      <c r="E296" s="815">
        <v>27143</v>
      </c>
      <c r="F296" s="818">
        <v>150261</v>
      </c>
      <c r="G296" s="785">
        <v>89372</v>
      </c>
      <c r="H296" s="785"/>
      <c r="I296" s="786">
        <v>5149</v>
      </c>
      <c r="J296" s="787">
        <v>21700</v>
      </c>
      <c r="K296" s="786">
        <v>12764</v>
      </c>
      <c r="L296" s="785">
        <v>0</v>
      </c>
      <c r="M296" s="785"/>
      <c r="N296" s="786">
        <v>2530</v>
      </c>
      <c r="O296" s="786">
        <v>0</v>
      </c>
      <c r="P296" s="786">
        <v>0</v>
      </c>
      <c r="Q296" s="785">
        <v>15463</v>
      </c>
      <c r="R296" s="785"/>
      <c r="S296" s="786">
        <v>30118</v>
      </c>
      <c r="T296" s="788">
        <v>-5541</v>
      </c>
      <c r="U296" s="788">
        <f>24578-1</f>
        <v>24577</v>
      </c>
    </row>
    <row r="297" spans="1:21" x14ac:dyDescent="0.25">
      <c r="A297" s="782">
        <v>93121</v>
      </c>
      <c r="B297" s="783" t="s">
        <v>2910</v>
      </c>
      <c r="C297" s="784">
        <v>6.2299999999999996E-5</v>
      </c>
      <c r="D297" s="784">
        <v>5.8900000000000002E-5</v>
      </c>
      <c r="E297" s="815">
        <v>28306</v>
      </c>
      <c r="F297" s="818">
        <v>125006</v>
      </c>
      <c r="G297" s="785">
        <v>95177</v>
      </c>
      <c r="H297" s="785"/>
      <c r="I297" s="786">
        <v>5483</v>
      </c>
      <c r="J297" s="787">
        <v>23109</v>
      </c>
      <c r="K297" s="786">
        <v>13593</v>
      </c>
      <c r="L297" s="785">
        <v>2043</v>
      </c>
      <c r="M297" s="785"/>
      <c r="N297" s="786">
        <v>2694</v>
      </c>
      <c r="O297" s="786">
        <v>0</v>
      </c>
      <c r="P297" s="786">
        <v>0</v>
      </c>
      <c r="Q297" s="785">
        <v>9059</v>
      </c>
      <c r="R297" s="785"/>
      <c r="S297" s="786">
        <v>32075</v>
      </c>
      <c r="T297" s="788">
        <v>-3552</v>
      </c>
      <c r="U297" s="788">
        <f>28522+1</f>
        <v>28523</v>
      </c>
    </row>
    <row r="298" spans="1:21" x14ac:dyDescent="0.25">
      <c r="A298" s="782">
        <v>93127</v>
      </c>
      <c r="B298" s="783" t="s">
        <v>2911</v>
      </c>
      <c r="C298" s="784">
        <v>6.9E-6</v>
      </c>
      <c r="D298" s="784">
        <v>6.8000000000000001E-6</v>
      </c>
      <c r="E298" s="815">
        <v>3239</v>
      </c>
      <c r="F298" s="818">
        <v>14432</v>
      </c>
      <c r="G298" s="785">
        <v>10541</v>
      </c>
      <c r="H298" s="785"/>
      <c r="I298" s="786">
        <v>607</v>
      </c>
      <c r="J298" s="787">
        <v>2560</v>
      </c>
      <c r="K298" s="786">
        <v>1505</v>
      </c>
      <c r="L298" s="785">
        <v>124</v>
      </c>
      <c r="M298" s="785"/>
      <c r="N298" s="786">
        <v>298</v>
      </c>
      <c r="O298" s="786">
        <v>0</v>
      </c>
      <c r="P298" s="786">
        <v>0</v>
      </c>
      <c r="Q298" s="785">
        <v>731</v>
      </c>
      <c r="R298" s="785"/>
      <c r="S298" s="786">
        <v>3552</v>
      </c>
      <c r="T298" s="788">
        <v>-369</v>
      </c>
      <c r="U298" s="788">
        <v>3183</v>
      </c>
    </row>
    <row r="299" spans="1:21" x14ac:dyDescent="0.25">
      <c r="A299" s="782">
        <v>93131</v>
      </c>
      <c r="B299" s="783" t="s">
        <v>2912</v>
      </c>
      <c r="C299" s="784">
        <v>2.218E-4</v>
      </c>
      <c r="D299" s="784">
        <v>2.3939999999999999E-4</v>
      </c>
      <c r="E299" s="815">
        <v>95091</v>
      </c>
      <c r="F299" s="818">
        <v>508087</v>
      </c>
      <c r="G299" s="785">
        <v>338849</v>
      </c>
      <c r="H299" s="785"/>
      <c r="I299" s="786">
        <v>19521</v>
      </c>
      <c r="J299" s="787">
        <v>82273</v>
      </c>
      <c r="K299" s="786">
        <v>48392</v>
      </c>
      <c r="L299" s="785">
        <v>7888</v>
      </c>
      <c r="M299" s="785"/>
      <c r="N299" s="786">
        <v>9592</v>
      </c>
      <c r="O299" s="786">
        <v>0</v>
      </c>
      <c r="P299" s="786">
        <v>0</v>
      </c>
      <c r="Q299" s="785">
        <v>21906</v>
      </c>
      <c r="R299" s="785"/>
      <c r="S299" s="786">
        <v>114192</v>
      </c>
      <c r="T299" s="788">
        <v>-530</v>
      </c>
      <c r="U299" s="788">
        <v>113662</v>
      </c>
    </row>
    <row r="300" spans="1:21" x14ac:dyDescent="0.25">
      <c r="A300" s="782">
        <v>93137</v>
      </c>
      <c r="B300" s="783" t="s">
        <v>2913</v>
      </c>
      <c r="C300" s="784">
        <v>3.3000000000000002E-6</v>
      </c>
      <c r="D300" s="784">
        <v>1.9E-6</v>
      </c>
      <c r="E300" s="815">
        <v>2530</v>
      </c>
      <c r="F300" s="818">
        <v>4032</v>
      </c>
      <c r="G300" s="785">
        <v>5041</v>
      </c>
      <c r="H300" s="785"/>
      <c r="I300" s="786">
        <v>290</v>
      </c>
      <c r="J300" s="787">
        <v>1224</v>
      </c>
      <c r="K300" s="786">
        <v>720</v>
      </c>
      <c r="L300" s="785">
        <v>2709</v>
      </c>
      <c r="M300" s="785"/>
      <c r="N300" s="786">
        <v>143</v>
      </c>
      <c r="O300" s="786">
        <v>0</v>
      </c>
      <c r="P300" s="786">
        <v>0</v>
      </c>
      <c r="Q300" s="785">
        <v>0</v>
      </c>
      <c r="R300" s="785"/>
      <c r="S300" s="786">
        <v>1699</v>
      </c>
      <c r="T300" s="788">
        <v>839</v>
      </c>
      <c r="U300" s="788">
        <v>2538</v>
      </c>
    </row>
    <row r="301" spans="1:21" x14ac:dyDescent="0.25">
      <c r="A301" s="782">
        <v>93141</v>
      </c>
      <c r="B301" s="783" t="s">
        <v>2914</v>
      </c>
      <c r="C301" s="784">
        <v>4.1100000000000003E-5</v>
      </c>
      <c r="D301" s="784">
        <v>4.5500000000000001E-5</v>
      </c>
      <c r="E301" s="815">
        <v>16199</v>
      </c>
      <c r="F301" s="818">
        <v>96566</v>
      </c>
      <c r="G301" s="785">
        <v>62789</v>
      </c>
      <c r="H301" s="785"/>
      <c r="I301" s="786">
        <v>3617</v>
      </c>
      <c r="J301" s="787">
        <v>15246</v>
      </c>
      <c r="K301" s="786">
        <v>8967</v>
      </c>
      <c r="L301" s="785">
        <v>2083</v>
      </c>
      <c r="M301" s="785"/>
      <c r="N301" s="786">
        <v>1777</v>
      </c>
      <c r="O301" s="786">
        <v>0</v>
      </c>
      <c r="P301" s="786">
        <v>0</v>
      </c>
      <c r="Q301" s="785">
        <v>7408</v>
      </c>
      <c r="R301" s="785"/>
      <c r="S301" s="786">
        <v>21160</v>
      </c>
      <c r="T301" s="788">
        <v>-351</v>
      </c>
      <c r="U301" s="788">
        <v>20809</v>
      </c>
    </row>
    <row r="302" spans="1:21" x14ac:dyDescent="0.25">
      <c r="A302" s="782">
        <v>93151</v>
      </c>
      <c r="B302" s="783" t="s">
        <v>2915</v>
      </c>
      <c r="C302" s="784">
        <v>3.4279999999999998E-4</v>
      </c>
      <c r="D302" s="784">
        <v>3.6539999999999999E-4</v>
      </c>
      <c r="E302" s="815">
        <v>156182</v>
      </c>
      <c r="F302" s="818">
        <v>775501</v>
      </c>
      <c r="G302" s="785">
        <v>523703</v>
      </c>
      <c r="H302" s="785"/>
      <c r="I302" s="786">
        <v>30170</v>
      </c>
      <c r="J302" s="787">
        <v>127156</v>
      </c>
      <c r="K302" s="786">
        <v>74792</v>
      </c>
      <c r="L302" s="785">
        <v>3795</v>
      </c>
      <c r="M302" s="785"/>
      <c r="N302" s="786">
        <v>14824</v>
      </c>
      <c r="O302" s="786">
        <v>0</v>
      </c>
      <c r="P302" s="786">
        <v>0</v>
      </c>
      <c r="Q302" s="785">
        <v>19989</v>
      </c>
      <c r="R302" s="785"/>
      <c r="S302" s="786">
        <v>176489</v>
      </c>
      <c r="T302" s="788">
        <v>-4355</v>
      </c>
      <c r="U302" s="788">
        <f>172133+1</f>
        <v>172134</v>
      </c>
    </row>
    <row r="303" spans="1:21" x14ac:dyDescent="0.25">
      <c r="A303" s="782">
        <v>93157</v>
      </c>
      <c r="B303" s="783" t="s">
        <v>2916</v>
      </c>
      <c r="C303" s="784">
        <v>3.5999999999999998E-6</v>
      </c>
      <c r="D303" s="784">
        <v>3.8E-6</v>
      </c>
      <c r="E303" s="815">
        <v>6045</v>
      </c>
      <c r="F303" s="818">
        <v>8065</v>
      </c>
      <c r="G303" s="785">
        <v>5500</v>
      </c>
      <c r="H303" s="785"/>
      <c r="I303" s="786">
        <v>317</v>
      </c>
      <c r="J303" s="787">
        <v>1336</v>
      </c>
      <c r="K303" s="786">
        <v>785</v>
      </c>
      <c r="L303" s="785">
        <v>6931</v>
      </c>
      <c r="M303" s="785"/>
      <c r="N303" s="786">
        <v>156</v>
      </c>
      <c r="O303" s="786">
        <v>0</v>
      </c>
      <c r="P303" s="786">
        <v>0</v>
      </c>
      <c r="Q303" s="785">
        <v>340</v>
      </c>
      <c r="R303" s="785"/>
      <c r="S303" s="786">
        <v>1853</v>
      </c>
      <c r="T303" s="788">
        <v>2783</v>
      </c>
      <c r="U303" s="788">
        <f>4637-1</f>
        <v>4636</v>
      </c>
    </row>
    <row r="304" spans="1:21" x14ac:dyDescent="0.25">
      <c r="A304" s="782">
        <v>93161</v>
      </c>
      <c r="B304" s="783" t="s">
        <v>2917</v>
      </c>
      <c r="C304" s="784">
        <v>1.038E-4</v>
      </c>
      <c r="D304" s="784">
        <v>6.2500000000000001E-5</v>
      </c>
      <c r="E304" s="815">
        <v>47956</v>
      </c>
      <c r="F304" s="818">
        <v>132646</v>
      </c>
      <c r="G304" s="785">
        <v>158578</v>
      </c>
      <c r="H304" s="785"/>
      <c r="I304" s="786">
        <v>9136</v>
      </c>
      <c r="J304" s="787">
        <v>38503</v>
      </c>
      <c r="K304" s="786">
        <v>22647</v>
      </c>
      <c r="L304" s="785">
        <v>35990</v>
      </c>
      <c r="M304" s="785"/>
      <c r="N304" s="786">
        <v>4489</v>
      </c>
      <c r="O304" s="786">
        <v>0</v>
      </c>
      <c r="P304" s="786">
        <v>0</v>
      </c>
      <c r="Q304" s="785">
        <v>0</v>
      </c>
      <c r="R304" s="785"/>
      <c r="S304" s="786">
        <v>53441</v>
      </c>
      <c r="T304" s="788">
        <v>13001</v>
      </c>
      <c r="U304" s="788">
        <v>66442</v>
      </c>
    </row>
    <row r="305" spans="1:21" x14ac:dyDescent="0.25">
      <c r="A305" s="782">
        <v>93171</v>
      </c>
      <c r="B305" s="783" t="s">
        <v>2918</v>
      </c>
      <c r="C305" s="784">
        <v>5.2000000000000002E-6</v>
      </c>
      <c r="D305" s="784">
        <v>5.8000000000000004E-6</v>
      </c>
      <c r="E305" s="815">
        <v>3889</v>
      </c>
      <c r="F305" s="818">
        <v>12310</v>
      </c>
      <c r="G305" s="785">
        <v>7944</v>
      </c>
      <c r="H305" s="785"/>
      <c r="I305" s="786">
        <v>458</v>
      </c>
      <c r="J305" s="787">
        <v>1929</v>
      </c>
      <c r="K305" s="786">
        <v>1135</v>
      </c>
      <c r="L305" s="785">
        <v>1960</v>
      </c>
      <c r="M305" s="785"/>
      <c r="N305" s="786">
        <v>225</v>
      </c>
      <c r="O305" s="786">
        <v>0</v>
      </c>
      <c r="P305" s="786">
        <v>0</v>
      </c>
      <c r="Q305" s="785">
        <v>0</v>
      </c>
      <c r="R305" s="785"/>
      <c r="S305" s="786">
        <v>2677</v>
      </c>
      <c r="T305" s="788">
        <v>791</v>
      </c>
      <c r="U305" s="788">
        <v>3468</v>
      </c>
    </row>
    <row r="306" spans="1:21" x14ac:dyDescent="0.25">
      <c r="A306" s="782">
        <v>93181</v>
      </c>
      <c r="B306" s="783" t="s">
        <v>2919</v>
      </c>
      <c r="C306" s="784">
        <v>1.13E-5</v>
      </c>
      <c r="D306" s="784">
        <v>1.1E-5</v>
      </c>
      <c r="E306" s="815">
        <v>5393</v>
      </c>
      <c r="F306" s="818">
        <v>23346</v>
      </c>
      <c r="G306" s="785">
        <v>17263</v>
      </c>
      <c r="H306" s="785"/>
      <c r="I306" s="786">
        <v>995</v>
      </c>
      <c r="J306" s="787">
        <v>4191</v>
      </c>
      <c r="K306" s="786">
        <v>2465</v>
      </c>
      <c r="L306" s="785">
        <v>772</v>
      </c>
      <c r="M306" s="785"/>
      <c r="N306" s="786">
        <v>489</v>
      </c>
      <c r="O306" s="786">
        <v>0</v>
      </c>
      <c r="P306" s="786">
        <v>0</v>
      </c>
      <c r="Q306" s="785">
        <v>28</v>
      </c>
      <c r="R306" s="785"/>
      <c r="S306" s="786">
        <v>5818</v>
      </c>
      <c r="T306" s="788">
        <v>412</v>
      </c>
      <c r="U306" s="788">
        <v>6230</v>
      </c>
    </row>
    <row r="307" spans="1:21" x14ac:dyDescent="0.25">
      <c r="A307" s="782">
        <v>93191</v>
      </c>
      <c r="B307" s="783" t="s">
        <v>2920</v>
      </c>
      <c r="C307" s="784">
        <v>2.4600000000000002E-5</v>
      </c>
      <c r="D307" s="784">
        <v>3.3000000000000003E-5</v>
      </c>
      <c r="E307" s="815">
        <v>16089</v>
      </c>
      <c r="F307" s="818">
        <v>70037</v>
      </c>
      <c r="G307" s="785">
        <v>37582</v>
      </c>
      <c r="H307" s="785"/>
      <c r="I307" s="786">
        <v>2165</v>
      </c>
      <c r="J307" s="787">
        <v>9125</v>
      </c>
      <c r="K307" s="786">
        <v>5367</v>
      </c>
      <c r="L307" s="785">
        <v>1713</v>
      </c>
      <c r="M307" s="785"/>
      <c r="N307" s="786">
        <v>1064</v>
      </c>
      <c r="O307" s="786">
        <v>0</v>
      </c>
      <c r="P307" s="786">
        <v>0</v>
      </c>
      <c r="Q307" s="785">
        <v>2443</v>
      </c>
      <c r="R307" s="785"/>
      <c r="S307" s="786">
        <v>12665</v>
      </c>
      <c r="T307" s="788">
        <v>-169</v>
      </c>
      <c r="U307" s="788">
        <v>12496</v>
      </c>
    </row>
    <row r="308" spans="1:21" x14ac:dyDescent="0.25">
      <c r="A308" s="782">
        <v>93201</v>
      </c>
      <c r="B308" s="783" t="s">
        <v>2921</v>
      </c>
      <c r="C308" s="784">
        <v>1.5517E-2</v>
      </c>
      <c r="D308" s="784">
        <v>1.5819699999999999E-2</v>
      </c>
      <c r="E308" s="815">
        <v>7119270</v>
      </c>
      <c r="F308" s="818">
        <v>33574703</v>
      </c>
      <c r="G308" s="785">
        <v>23705678</v>
      </c>
      <c r="H308" s="785"/>
      <c r="I308" s="786">
        <v>1365667</v>
      </c>
      <c r="J308" s="787">
        <v>5755768</v>
      </c>
      <c r="K308" s="786">
        <v>3385499</v>
      </c>
      <c r="L308" s="785">
        <v>809545</v>
      </c>
      <c r="M308" s="785"/>
      <c r="N308" s="786">
        <v>671033</v>
      </c>
      <c r="O308" s="786">
        <v>0</v>
      </c>
      <c r="P308" s="786">
        <v>0</v>
      </c>
      <c r="Q308" s="785">
        <v>206420</v>
      </c>
      <c r="R308" s="785"/>
      <c r="S308" s="786">
        <v>7988834</v>
      </c>
      <c r="T308" s="788">
        <v>397964</v>
      </c>
      <c r="U308" s="788">
        <f>8386799-1</f>
        <v>8386798</v>
      </c>
    </row>
    <row r="309" spans="1:21" x14ac:dyDescent="0.25">
      <c r="A309" s="782">
        <v>93202</v>
      </c>
      <c r="B309" s="783" t="s">
        <v>2922</v>
      </c>
      <c r="C309" s="784">
        <v>0</v>
      </c>
      <c r="D309" s="784">
        <v>0</v>
      </c>
      <c r="E309" s="815">
        <v>0</v>
      </c>
      <c r="F309" s="818">
        <v>0</v>
      </c>
      <c r="G309" s="785">
        <v>0</v>
      </c>
      <c r="H309" s="785"/>
      <c r="I309" s="786">
        <v>0</v>
      </c>
      <c r="J309" s="787">
        <v>0</v>
      </c>
      <c r="K309" s="786">
        <v>0</v>
      </c>
      <c r="L309" s="785">
        <v>0</v>
      </c>
      <c r="M309" s="785"/>
      <c r="N309" s="786">
        <v>0</v>
      </c>
      <c r="O309" s="786">
        <v>0</v>
      </c>
      <c r="P309" s="786">
        <v>0</v>
      </c>
      <c r="Q309" s="785">
        <v>212519</v>
      </c>
      <c r="R309" s="785"/>
      <c r="S309" s="786">
        <v>0</v>
      </c>
      <c r="T309" s="788">
        <v>-109544</v>
      </c>
      <c r="U309" s="788">
        <v>-109544</v>
      </c>
    </row>
    <row r="310" spans="1:21" x14ac:dyDescent="0.25">
      <c r="A310" s="782">
        <v>93204</v>
      </c>
      <c r="B310" s="783" t="s">
        <v>2923</v>
      </c>
      <c r="C310" s="784">
        <v>3.0279999999999999E-4</v>
      </c>
      <c r="D310" s="784">
        <v>2.9480000000000001E-4</v>
      </c>
      <c r="E310" s="815">
        <v>157546</v>
      </c>
      <c r="F310" s="818">
        <v>625664</v>
      </c>
      <c r="G310" s="785">
        <v>462595</v>
      </c>
      <c r="H310" s="785"/>
      <c r="I310" s="786">
        <v>26650</v>
      </c>
      <c r="J310" s="787">
        <v>112319</v>
      </c>
      <c r="K310" s="786">
        <v>66065</v>
      </c>
      <c r="L310" s="785">
        <v>24167</v>
      </c>
      <c r="M310" s="785"/>
      <c r="N310" s="786">
        <v>13095</v>
      </c>
      <c r="O310" s="786">
        <v>0</v>
      </c>
      <c r="P310" s="786">
        <v>0</v>
      </c>
      <c r="Q310" s="785">
        <v>9452</v>
      </c>
      <c r="R310" s="785"/>
      <c r="S310" s="786">
        <v>155895</v>
      </c>
      <c r="T310" s="788">
        <v>782</v>
      </c>
      <c r="U310" s="788">
        <v>156677</v>
      </c>
    </row>
    <row r="311" spans="1:21" x14ac:dyDescent="0.25">
      <c r="A311" s="782">
        <v>93209</v>
      </c>
      <c r="B311" s="783" t="s">
        <v>2924</v>
      </c>
      <c r="C311" s="784">
        <v>4.6693999999999998E-3</v>
      </c>
      <c r="D311" s="784">
        <v>4.5113999999999996E-3</v>
      </c>
      <c r="E311" s="815">
        <v>2094525</v>
      </c>
      <c r="F311" s="818">
        <v>9574702</v>
      </c>
      <c r="G311" s="785">
        <v>7133550</v>
      </c>
      <c r="H311" s="785"/>
      <c r="I311" s="786">
        <v>410959</v>
      </c>
      <c r="J311" s="787">
        <v>1732035</v>
      </c>
      <c r="K311" s="786">
        <v>1018770</v>
      </c>
      <c r="L311" s="785">
        <v>838336</v>
      </c>
      <c r="M311" s="785"/>
      <c r="N311" s="786">
        <v>201928</v>
      </c>
      <c r="O311" s="786">
        <v>0</v>
      </c>
      <c r="P311" s="786">
        <v>0</v>
      </c>
      <c r="Q311" s="785">
        <v>0</v>
      </c>
      <c r="R311" s="785"/>
      <c r="S311" s="786">
        <v>2404013</v>
      </c>
      <c r="T311" s="788">
        <v>551077</v>
      </c>
      <c r="U311" s="788">
        <v>2955090</v>
      </c>
    </row>
    <row r="312" spans="1:21" x14ac:dyDescent="0.25">
      <c r="A312" s="782">
        <v>93211</v>
      </c>
      <c r="B312" s="783" t="s">
        <v>2925</v>
      </c>
      <c r="C312" s="784">
        <v>2.0374099999999999E-2</v>
      </c>
      <c r="D312" s="784">
        <v>2.0456800000000001E-2</v>
      </c>
      <c r="E312" s="815">
        <v>9330077</v>
      </c>
      <c r="F312" s="818">
        <v>43416183</v>
      </c>
      <c r="G312" s="785">
        <v>31125981</v>
      </c>
      <c r="H312" s="785"/>
      <c r="I312" s="786">
        <v>1793145</v>
      </c>
      <c r="J312" s="787">
        <v>7557426</v>
      </c>
      <c r="K312" s="786">
        <v>4445221</v>
      </c>
      <c r="L312" s="785">
        <v>0</v>
      </c>
      <c r="M312" s="785"/>
      <c r="N312" s="786">
        <v>881078</v>
      </c>
      <c r="O312" s="786">
        <v>0</v>
      </c>
      <c r="P312" s="786">
        <v>0</v>
      </c>
      <c r="Q312" s="785">
        <v>991023</v>
      </c>
      <c r="R312" s="785"/>
      <c r="S312" s="786">
        <v>10489483</v>
      </c>
      <c r="T312" s="788">
        <v>-507236</v>
      </c>
      <c r="U312" s="788">
        <v>9982247</v>
      </c>
    </row>
    <row r="313" spans="1:21" x14ac:dyDescent="0.25">
      <c r="A313" s="782">
        <v>93212</v>
      </c>
      <c r="B313" s="783" t="s">
        <v>2926</v>
      </c>
      <c r="C313" s="784">
        <v>2.2130000000000001E-4</v>
      </c>
      <c r="D313" s="784">
        <v>2.052E-4</v>
      </c>
      <c r="E313" s="815">
        <v>193584</v>
      </c>
      <c r="F313" s="818">
        <v>435503</v>
      </c>
      <c r="G313" s="785">
        <v>338085</v>
      </c>
      <c r="H313" s="785"/>
      <c r="I313" s="786">
        <v>19477</v>
      </c>
      <c r="J313" s="787">
        <v>82087</v>
      </c>
      <c r="K313" s="786">
        <v>48283</v>
      </c>
      <c r="L313" s="785">
        <v>158429</v>
      </c>
      <c r="M313" s="785"/>
      <c r="N313" s="786">
        <v>9570</v>
      </c>
      <c r="O313" s="786">
        <v>0</v>
      </c>
      <c r="P313" s="786">
        <v>0</v>
      </c>
      <c r="Q313" s="785">
        <v>0</v>
      </c>
      <c r="R313" s="785"/>
      <c r="S313" s="786">
        <v>113935</v>
      </c>
      <c r="T313" s="788">
        <v>53448</v>
      </c>
      <c r="U313" s="788">
        <v>167383</v>
      </c>
    </row>
    <row r="314" spans="1:21" x14ac:dyDescent="0.25">
      <c r="A314" s="782">
        <v>93219</v>
      </c>
      <c r="B314" s="783" t="s">
        <v>2927</v>
      </c>
      <c r="C314" s="784">
        <v>2.6289999999999999E-4</v>
      </c>
      <c r="D314" s="784">
        <v>2.286E-4</v>
      </c>
      <c r="E314" s="815">
        <v>120179</v>
      </c>
      <c r="F314" s="818">
        <v>485166</v>
      </c>
      <c r="G314" s="785">
        <v>401638</v>
      </c>
      <c r="H314" s="785"/>
      <c r="I314" s="786">
        <v>23138</v>
      </c>
      <c r="J314" s="787">
        <v>97518</v>
      </c>
      <c r="K314" s="786">
        <v>57360</v>
      </c>
      <c r="L314" s="785">
        <v>22706</v>
      </c>
      <c r="M314" s="785"/>
      <c r="N314" s="786">
        <v>11369</v>
      </c>
      <c r="O314" s="786">
        <v>0</v>
      </c>
      <c r="P314" s="786">
        <v>0</v>
      </c>
      <c r="Q314" s="785">
        <v>9094</v>
      </c>
      <c r="R314" s="785"/>
      <c r="S314" s="786">
        <v>135352</v>
      </c>
      <c r="T314" s="788">
        <v>1456</v>
      </c>
      <c r="U314" s="788">
        <f>136809-1</f>
        <v>136808</v>
      </c>
    </row>
    <row r="315" spans="1:21" x14ac:dyDescent="0.25">
      <c r="A315" s="782">
        <v>93301</v>
      </c>
      <c r="B315" s="783" t="s">
        <v>2928</v>
      </c>
      <c r="C315" s="784">
        <v>2.5243000000000002E-3</v>
      </c>
      <c r="D315" s="784">
        <v>2.5330999999999999E-3</v>
      </c>
      <c r="E315" s="815">
        <v>1153746</v>
      </c>
      <c r="F315" s="818">
        <v>5376087</v>
      </c>
      <c r="G315" s="785">
        <v>3856431</v>
      </c>
      <c r="H315" s="785"/>
      <c r="I315" s="786">
        <v>222166</v>
      </c>
      <c r="J315" s="787">
        <v>936346</v>
      </c>
      <c r="K315" s="786">
        <v>550752</v>
      </c>
      <c r="L315" s="785">
        <v>47371</v>
      </c>
      <c r="M315" s="785"/>
      <c r="N315" s="786">
        <v>109163</v>
      </c>
      <c r="O315" s="786">
        <v>0</v>
      </c>
      <c r="P315" s="786">
        <v>0</v>
      </c>
      <c r="Q315" s="785">
        <v>61692</v>
      </c>
      <c r="R315" s="785"/>
      <c r="S315" s="786">
        <v>1299621</v>
      </c>
      <c r="T315" s="788">
        <v>-19789</v>
      </c>
      <c r="U315" s="788">
        <f>1279831+1</f>
        <v>1279832</v>
      </c>
    </row>
    <row r="316" spans="1:21" x14ac:dyDescent="0.25">
      <c r="A316" s="782">
        <v>93304</v>
      </c>
      <c r="B316" s="783" t="s">
        <v>2929</v>
      </c>
      <c r="C316" s="784">
        <v>3.0300000000000001E-5</v>
      </c>
      <c r="D316" s="784">
        <v>3.4400000000000003E-5</v>
      </c>
      <c r="E316" s="815">
        <v>18289</v>
      </c>
      <c r="F316" s="818">
        <v>73008</v>
      </c>
      <c r="G316" s="785">
        <v>46290</v>
      </c>
      <c r="H316" s="785"/>
      <c r="I316" s="786">
        <v>2667</v>
      </c>
      <c r="J316" s="787">
        <v>11239</v>
      </c>
      <c r="K316" s="786">
        <v>6611</v>
      </c>
      <c r="L316" s="785">
        <v>9418</v>
      </c>
      <c r="M316" s="785"/>
      <c r="N316" s="786">
        <v>1310</v>
      </c>
      <c r="O316" s="786">
        <v>0</v>
      </c>
      <c r="P316" s="786">
        <v>0</v>
      </c>
      <c r="Q316" s="785">
        <v>0</v>
      </c>
      <c r="R316" s="785"/>
      <c r="S316" s="786">
        <v>15600</v>
      </c>
      <c r="T316" s="788">
        <v>5129</v>
      </c>
      <c r="U316" s="788">
        <v>20729</v>
      </c>
    </row>
    <row r="317" spans="1:21" x14ac:dyDescent="0.25">
      <c r="A317" s="782">
        <v>93305</v>
      </c>
      <c r="B317" s="783" t="s">
        <v>2930</v>
      </c>
      <c r="C317" s="784">
        <v>4.6999999999999997E-5</v>
      </c>
      <c r="D317" s="784">
        <v>4.9400000000000001E-5</v>
      </c>
      <c r="E317" s="815">
        <v>19565</v>
      </c>
      <c r="F317" s="818">
        <v>104843</v>
      </c>
      <c r="G317" s="785">
        <v>71803</v>
      </c>
      <c r="H317" s="785"/>
      <c r="I317" s="786">
        <v>4137</v>
      </c>
      <c r="J317" s="787">
        <v>17434</v>
      </c>
      <c r="K317" s="786">
        <v>10254</v>
      </c>
      <c r="L317" s="785">
        <v>0</v>
      </c>
      <c r="M317" s="785"/>
      <c r="N317" s="786">
        <v>2033</v>
      </c>
      <c r="O317" s="786">
        <v>0</v>
      </c>
      <c r="P317" s="786">
        <v>0</v>
      </c>
      <c r="Q317" s="785">
        <v>5631</v>
      </c>
      <c r="R317" s="785"/>
      <c r="S317" s="786">
        <v>24198</v>
      </c>
      <c r="T317" s="788">
        <v>-1929</v>
      </c>
      <c r="U317" s="788">
        <v>22269</v>
      </c>
    </row>
    <row r="318" spans="1:21" x14ac:dyDescent="0.25">
      <c r="A318" s="782">
        <v>93309</v>
      </c>
      <c r="B318" s="783" t="s">
        <v>2931</v>
      </c>
      <c r="C318" s="784">
        <v>1.63E-4</v>
      </c>
      <c r="D318" s="784">
        <v>1.716E-4</v>
      </c>
      <c r="E318" s="815">
        <v>89051</v>
      </c>
      <c r="F318" s="818">
        <v>364193</v>
      </c>
      <c r="G318" s="785">
        <v>249019</v>
      </c>
      <c r="H318" s="785"/>
      <c r="I318" s="786">
        <v>14346</v>
      </c>
      <c r="J318" s="787">
        <v>60462</v>
      </c>
      <c r="K318" s="786">
        <v>35563</v>
      </c>
      <c r="L318" s="785">
        <v>22457</v>
      </c>
      <c r="M318" s="785"/>
      <c r="N318" s="786">
        <v>7049</v>
      </c>
      <c r="O318" s="786">
        <v>0</v>
      </c>
      <c r="P318" s="786">
        <v>0</v>
      </c>
      <c r="Q318" s="785">
        <v>981</v>
      </c>
      <c r="R318" s="785"/>
      <c r="S318" s="786">
        <v>83920</v>
      </c>
      <c r="T318" s="788">
        <v>7147</v>
      </c>
      <c r="U318" s="788">
        <v>91067</v>
      </c>
    </row>
    <row r="319" spans="1:21" x14ac:dyDescent="0.25">
      <c r="A319" s="782">
        <v>93311</v>
      </c>
      <c r="B319" s="783" t="s">
        <v>2932</v>
      </c>
      <c r="C319" s="784">
        <v>1.1665E-3</v>
      </c>
      <c r="D319" s="784">
        <v>1.1567000000000001E-3</v>
      </c>
      <c r="E319" s="815">
        <v>529432</v>
      </c>
      <c r="F319" s="818">
        <v>2454905</v>
      </c>
      <c r="G319" s="785">
        <v>1782089</v>
      </c>
      <c r="H319" s="785"/>
      <c r="I319" s="786">
        <v>102665</v>
      </c>
      <c r="J319" s="787">
        <v>432693</v>
      </c>
      <c r="K319" s="786">
        <v>254507</v>
      </c>
      <c r="L319" s="785">
        <v>1699</v>
      </c>
      <c r="M319" s="785"/>
      <c r="N319" s="786">
        <v>50445</v>
      </c>
      <c r="O319" s="786">
        <v>0</v>
      </c>
      <c r="P319" s="786">
        <v>0</v>
      </c>
      <c r="Q319" s="785">
        <v>83745</v>
      </c>
      <c r="R319" s="785"/>
      <c r="S319" s="786">
        <v>600566</v>
      </c>
      <c r="T319" s="788">
        <v>-37677</v>
      </c>
      <c r="U319" s="788">
        <v>562889</v>
      </c>
    </row>
    <row r="320" spans="1:21" x14ac:dyDescent="0.25">
      <c r="A320" s="782">
        <v>93317</v>
      </c>
      <c r="B320" s="783" t="s">
        <v>2933</v>
      </c>
      <c r="C320" s="784">
        <v>5.0099999999999998E-5</v>
      </c>
      <c r="D320" s="784">
        <v>4.8099999999999997E-5</v>
      </c>
      <c r="E320" s="815">
        <v>21779</v>
      </c>
      <c r="F320" s="818">
        <v>102084</v>
      </c>
      <c r="G320" s="785">
        <v>76539</v>
      </c>
      <c r="H320" s="785"/>
      <c r="I320" s="786">
        <v>4409</v>
      </c>
      <c r="J320" s="787">
        <v>18583</v>
      </c>
      <c r="K320" s="786">
        <v>10931</v>
      </c>
      <c r="L320" s="785">
        <v>805</v>
      </c>
      <c r="M320" s="785"/>
      <c r="N320" s="786">
        <v>2167</v>
      </c>
      <c r="O320" s="786">
        <v>0</v>
      </c>
      <c r="P320" s="786">
        <v>0</v>
      </c>
      <c r="Q320" s="785">
        <v>277</v>
      </c>
      <c r="R320" s="785"/>
      <c r="S320" s="786">
        <v>25794</v>
      </c>
      <c r="T320" s="788">
        <v>-23</v>
      </c>
      <c r="U320" s="788">
        <f>25770+1</f>
        <v>25771</v>
      </c>
    </row>
    <row r="321" spans="1:21" x14ac:dyDescent="0.25">
      <c r="A321" s="782">
        <v>93321</v>
      </c>
      <c r="B321" s="783" t="s">
        <v>2934</v>
      </c>
      <c r="C321" s="784">
        <v>7.3600000000000002E-3</v>
      </c>
      <c r="D321" s="784">
        <v>7.4706E-3</v>
      </c>
      <c r="E321" s="815">
        <v>3205902</v>
      </c>
      <c r="F321" s="818">
        <v>15855116</v>
      </c>
      <c r="G321" s="785">
        <v>11244041</v>
      </c>
      <c r="H321" s="785"/>
      <c r="I321" s="786">
        <v>647761</v>
      </c>
      <c r="J321" s="787">
        <v>2730067</v>
      </c>
      <c r="K321" s="786">
        <v>1605805</v>
      </c>
      <c r="L321" s="785">
        <v>0</v>
      </c>
      <c r="M321" s="785"/>
      <c r="N321" s="786">
        <v>318283</v>
      </c>
      <c r="O321" s="786">
        <v>0</v>
      </c>
      <c r="P321" s="786">
        <v>0</v>
      </c>
      <c r="Q321" s="785">
        <v>681688</v>
      </c>
      <c r="R321" s="785"/>
      <c r="S321" s="786">
        <v>3789252</v>
      </c>
      <c r="T321" s="788">
        <v>-330030</v>
      </c>
      <c r="U321" s="788">
        <f>3459221+1</f>
        <v>3459222</v>
      </c>
    </row>
    <row r="322" spans="1:21" x14ac:dyDescent="0.25">
      <c r="A322" s="782">
        <v>93323</v>
      </c>
      <c r="B322" s="783" t="s">
        <v>2935</v>
      </c>
      <c r="C322" s="784">
        <v>2.19E-5</v>
      </c>
      <c r="D322" s="784">
        <v>1.0200000000000001E-5</v>
      </c>
      <c r="E322" s="815">
        <v>8923</v>
      </c>
      <c r="F322" s="818">
        <v>21648</v>
      </c>
      <c r="G322" s="785">
        <v>33457</v>
      </c>
      <c r="H322" s="785"/>
      <c r="I322" s="786">
        <v>1927</v>
      </c>
      <c r="J322" s="787">
        <v>8123</v>
      </c>
      <c r="K322" s="786">
        <v>4778</v>
      </c>
      <c r="L322" s="785">
        <v>8607</v>
      </c>
      <c r="M322" s="785"/>
      <c r="N322" s="786">
        <v>947</v>
      </c>
      <c r="O322" s="786">
        <v>0</v>
      </c>
      <c r="P322" s="786">
        <v>0</v>
      </c>
      <c r="Q322" s="785">
        <v>1100</v>
      </c>
      <c r="R322" s="785"/>
      <c r="S322" s="786">
        <v>11275</v>
      </c>
      <c r="T322" s="788">
        <v>2519</v>
      </c>
      <c r="U322" s="788">
        <v>13794</v>
      </c>
    </row>
    <row r="323" spans="1:21" x14ac:dyDescent="0.25">
      <c r="A323" s="782">
        <v>93331</v>
      </c>
      <c r="B323" s="783" t="s">
        <v>2936</v>
      </c>
      <c r="C323" s="784">
        <v>1.208E-4</v>
      </c>
      <c r="D323" s="784">
        <v>1.3090000000000001E-4</v>
      </c>
      <c r="E323" s="815">
        <v>56936</v>
      </c>
      <c r="F323" s="818">
        <v>277814</v>
      </c>
      <c r="G323" s="785">
        <v>184549</v>
      </c>
      <c r="H323" s="785"/>
      <c r="I323" s="786">
        <v>10632</v>
      </c>
      <c r="J323" s="787">
        <v>44809</v>
      </c>
      <c r="K323" s="786">
        <v>26356</v>
      </c>
      <c r="L323" s="785">
        <v>2512</v>
      </c>
      <c r="M323" s="785"/>
      <c r="N323" s="786">
        <v>5224</v>
      </c>
      <c r="O323" s="786">
        <v>0</v>
      </c>
      <c r="P323" s="786">
        <v>0</v>
      </c>
      <c r="Q323" s="785">
        <v>11531</v>
      </c>
      <c r="R323" s="785"/>
      <c r="S323" s="786">
        <v>62193</v>
      </c>
      <c r="T323" s="788">
        <v>-2506</v>
      </c>
      <c r="U323" s="788">
        <v>59687</v>
      </c>
    </row>
    <row r="324" spans="1:21" x14ac:dyDescent="0.25">
      <c r="A324" s="782">
        <v>93333</v>
      </c>
      <c r="B324" s="783" t="s">
        <v>2937</v>
      </c>
      <c r="C324" s="784">
        <v>1.796E-4</v>
      </c>
      <c r="D324" s="784">
        <v>1.9990000000000001E-4</v>
      </c>
      <c r="E324" s="815">
        <v>190543</v>
      </c>
      <c r="F324" s="818">
        <v>424255</v>
      </c>
      <c r="G324" s="785">
        <v>274379</v>
      </c>
      <c r="H324" s="785"/>
      <c r="I324" s="786">
        <v>15807</v>
      </c>
      <c r="J324" s="787">
        <v>66619</v>
      </c>
      <c r="K324" s="786">
        <v>39185</v>
      </c>
      <c r="L324" s="785">
        <v>194737</v>
      </c>
      <c r="M324" s="785"/>
      <c r="N324" s="786">
        <v>7767</v>
      </c>
      <c r="O324" s="786">
        <v>0</v>
      </c>
      <c r="P324" s="786">
        <v>0</v>
      </c>
      <c r="Q324" s="785">
        <v>0</v>
      </c>
      <c r="R324" s="785"/>
      <c r="S324" s="786">
        <v>92466</v>
      </c>
      <c r="T324" s="788">
        <v>74695</v>
      </c>
      <c r="U324" s="788">
        <v>167161</v>
      </c>
    </row>
    <row r="325" spans="1:21" x14ac:dyDescent="0.25">
      <c r="A325" s="782">
        <v>93341</v>
      </c>
      <c r="B325" s="783" t="s">
        <v>2938</v>
      </c>
      <c r="C325" s="784">
        <v>2.34E-5</v>
      </c>
      <c r="D325" s="784">
        <v>2.73E-5</v>
      </c>
      <c r="E325" s="815">
        <v>12933</v>
      </c>
      <c r="F325" s="818">
        <v>57940</v>
      </c>
      <c r="G325" s="785">
        <v>35749</v>
      </c>
      <c r="H325" s="785"/>
      <c r="I325" s="786">
        <v>2059</v>
      </c>
      <c r="J325" s="787">
        <v>8680</v>
      </c>
      <c r="K325" s="786">
        <v>5105</v>
      </c>
      <c r="L325" s="785">
        <v>1866</v>
      </c>
      <c r="M325" s="785"/>
      <c r="N325" s="786">
        <v>1012</v>
      </c>
      <c r="O325" s="786">
        <v>0</v>
      </c>
      <c r="P325" s="786">
        <v>0</v>
      </c>
      <c r="Q325" s="785">
        <v>863</v>
      </c>
      <c r="R325" s="785"/>
      <c r="S325" s="786">
        <v>12047</v>
      </c>
      <c r="T325" s="788">
        <v>708</v>
      </c>
      <c r="U325" s="788">
        <v>12755</v>
      </c>
    </row>
    <row r="326" spans="1:21" x14ac:dyDescent="0.25">
      <c r="A326" s="782">
        <v>93351</v>
      </c>
      <c r="B326" s="783" t="s">
        <v>2939</v>
      </c>
      <c r="C326" s="784">
        <v>3.4E-5</v>
      </c>
      <c r="D326" s="784">
        <v>1.5999999999999999E-5</v>
      </c>
      <c r="E326" s="815">
        <v>16319</v>
      </c>
      <c r="F326" s="818">
        <v>33957</v>
      </c>
      <c r="G326" s="785">
        <v>51943</v>
      </c>
      <c r="H326" s="785"/>
      <c r="I326" s="786">
        <v>2992</v>
      </c>
      <c r="J326" s="787">
        <v>12611</v>
      </c>
      <c r="K326" s="786">
        <v>7418</v>
      </c>
      <c r="L326" s="785">
        <v>18867</v>
      </c>
      <c r="M326" s="785"/>
      <c r="N326" s="786">
        <v>1470</v>
      </c>
      <c r="O326" s="786">
        <v>0</v>
      </c>
      <c r="P326" s="786">
        <v>0</v>
      </c>
      <c r="Q326" s="785">
        <v>4169</v>
      </c>
      <c r="R326" s="785"/>
      <c r="S326" s="786">
        <v>17505</v>
      </c>
      <c r="T326" s="788">
        <v>2906</v>
      </c>
      <c r="U326" s="788">
        <f>20410+1</f>
        <v>20411</v>
      </c>
    </row>
    <row r="327" spans="1:21" x14ac:dyDescent="0.25">
      <c r="A327" s="782">
        <v>93401</v>
      </c>
      <c r="B327" s="783" t="s">
        <v>2940</v>
      </c>
      <c r="C327" s="784">
        <v>1.3834900000000001E-2</v>
      </c>
      <c r="D327" s="784">
        <v>1.37997E-2</v>
      </c>
      <c r="E327" s="815">
        <v>6356857</v>
      </c>
      <c r="F327" s="818">
        <v>29287586</v>
      </c>
      <c r="G327" s="785">
        <v>21135895</v>
      </c>
      <c r="H327" s="785"/>
      <c r="I327" s="786">
        <v>1217623</v>
      </c>
      <c r="J327" s="787">
        <v>5131821</v>
      </c>
      <c r="K327" s="786">
        <v>3018498</v>
      </c>
      <c r="L327" s="785">
        <v>99926</v>
      </c>
      <c r="M327" s="785"/>
      <c r="N327" s="786">
        <v>598290</v>
      </c>
      <c r="O327" s="786">
        <v>0</v>
      </c>
      <c r="P327" s="786">
        <v>0</v>
      </c>
      <c r="Q327" s="785">
        <v>186001</v>
      </c>
      <c r="R327" s="785"/>
      <c r="S327" s="786">
        <v>7122815</v>
      </c>
      <c r="T327" s="788">
        <v>-76616</v>
      </c>
      <c r="U327" s="788">
        <v>7046199</v>
      </c>
    </row>
    <row r="328" spans="1:21" x14ac:dyDescent="0.25">
      <c r="A328" s="782">
        <v>93402</v>
      </c>
      <c r="B328" s="783" t="s">
        <v>2941</v>
      </c>
      <c r="C328" s="784">
        <v>9.8800000000000003E-5</v>
      </c>
      <c r="D328" s="784">
        <v>9.2999999999999997E-5</v>
      </c>
      <c r="E328" s="815">
        <v>38604</v>
      </c>
      <c r="F328" s="818">
        <v>197377</v>
      </c>
      <c r="G328" s="785">
        <v>150939</v>
      </c>
      <c r="H328" s="785"/>
      <c r="I328" s="786">
        <v>8695</v>
      </c>
      <c r="J328" s="787">
        <v>36648</v>
      </c>
      <c r="K328" s="786">
        <v>21556</v>
      </c>
      <c r="L328" s="785">
        <v>5545</v>
      </c>
      <c r="M328" s="785"/>
      <c r="N328" s="786">
        <v>4273</v>
      </c>
      <c r="O328" s="786">
        <v>0</v>
      </c>
      <c r="P328" s="786">
        <v>0</v>
      </c>
      <c r="Q328" s="785">
        <v>3446</v>
      </c>
      <c r="R328" s="785"/>
      <c r="S328" s="786">
        <v>50867</v>
      </c>
      <c r="T328" s="788">
        <v>3029</v>
      </c>
      <c r="U328" s="788">
        <f>53895+1</f>
        <v>53896</v>
      </c>
    </row>
    <row r="329" spans="1:21" x14ac:dyDescent="0.25">
      <c r="A329" s="782">
        <v>93406</v>
      </c>
      <c r="B329" s="783" t="s">
        <v>2942</v>
      </c>
      <c r="C329" s="784">
        <v>6.5059999999999998E-4</v>
      </c>
      <c r="D329" s="784">
        <v>7.1170000000000001E-4</v>
      </c>
      <c r="E329" s="815">
        <v>289720</v>
      </c>
      <c r="F329" s="818">
        <v>1510466</v>
      </c>
      <c r="G329" s="785">
        <v>993937</v>
      </c>
      <c r="H329" s="785"/>
      <c r="I329" s="786">
        <v>57260</v>
      </c>
      <c r="J329" s="787">
        <v>241329</v>
      </c>
      <c r="K329" s="786">
        <v>141948</v>
      </c>
      <c r="L329" s="785">
        <v>26056</v>
      </c>
      <c r="M329" s="785"/>
      <c r="N329" s="786">
        <v>28135</v>
      </c>
      <c r="O329" s="786">
        <v>0</v>
      </c>
      <c r="P329" s="786">
        <v>0</v>
      </c>
      <c r="Q329" s="785">
        <v>48133</v>
      </c>
      <c r="R329" s="785"/>
      <c r="S329" s="786">
        <v>334958</v>
      </c>
      <c r="T329" s="788">
        <v>7011</v>
      </c>
      <c r="U329" s="788">
        <f>341968+1</f>
        <v>341969</v>
      </c>
    </row>
    <row r="330" spans="1:21" x14ac:dyDescent="0.25">
      <c r="A330" s="782">
        <v>93408</v>
      </c>
      <c r="B330" s="783" t="s">
        <v>2943</v>
      </c>
      <c r="C330" s="784">
        <v>0</v>
      </c>
      <c r="D330" s="784">
        <v>1.8967999999999999E-3</v>
      </c>
      <c r="E330" s="815">
        <v>73962</v>
      </c>
      <c r="F330" s="818">
        <v>4025645</v>
      </c>
      <c r="G330" s="785">
        <v>0</v>
      </c>
      <c r="H330" s="785"/>
      <c r="I330" s="786">
        <v>0</v>
      </c>
      <c r="J330" s="787">
        <v>0</v>
      </c>
      <c r="K330" s="786">
        <v>0</v>
      </c>
      <c r="L330" s="785">
        <v>173575</v>
      </c>
      <c r="M330" s="785"/>
      <c r="N330" s="786">
        <v>0</v>
      </c>
      <c r="O330" s="786">
        <v>0</v>
      </c>
      <c r="P330" s="786">
        <v>0</v>
      </c>
      <c r="Q330" s="785">
        <v>1605024</v>
      </c>
      <c r="R330" s="785"/>
      <c r="S330" s="786">
        <v>0</v>
      </c>
      <c r="T330" s="788">
        <v>-292149</v>
      </c>
      <c r="U330" s="788">
        <v>-292149</v>
      </c>
    </row>
    <row r="331" spans="1:21" x14ac:dyDescent="0.25">
      <c r="A331" s="782">
        <v>93411</v>
      </c>
      <c r="B331" s="783" t="s">
        <v>2944</v>
      </c>
      <c r="C331" s="784">
        <v>1.7454999999999998E-2</v>
      </c>
      <c r="D331" s="784">
        <v>1.73309E-2</v>
      </c>
      <c r="E331" s="815">
        <v>8222694</v>
      </c>
      <c r="F331" s="818">
        <v>36781976</v>
      </c>
      <c r="G331" s="785">
        <v>26666405</v>
      </c>
      <c r="H331" s="785"/>
      <c r="I331" s="786">
        <v>1536232</v>
      </c>
      <c r="J331" s="787">
        <v>6474635</v>
      </c>
      <c r="K331" s="786">
        <v>3808332</v>
      </c>
      <c r="L331" s="785">
        <v>250711</v>
      </c>
      <c r="M331" s="785"/>
      <c r="N331" s="786">
        <v>754841</v>
      </c>
      <c r="O331" s="786">
        <v>0</v>
      </c>
      <c r="P331" s="786">
        <v>0</v>
      </c>
      <c r="Q331" s="785">
        <v>594754</v>
      </c>
      <c r="R331" s="785"/>
      <c r="S331" s="786">
        <v>8986602</v>
      </c>
      <c r="T331" s="788">
        <v>-306468</v>
      </c>
      <c r="U331" s="788">
        <v>8680134</v>
      </c>
    </row>
    <row r="332" spans="1:21" x14ac:dyDescent="0.25">
      <c r="A332" s="782">
        <v>93413</v>
      </c>
      <c r="B332" s="783" t="s">
        <v>2945</v>
      </c>
      <c r="C332" s="784">
        <v>7.7070000000000003E-4</v>
      </c>
      <c r="D332" s="784">
        <v>8.0130000000000002E-4</v>
      </c>
      <c r="E332" s="815">
        <v>378796</v>
      </c>
      <c r="F332" s="818">
        <v>1700627</v>
      </c>
      <c r="G332" s="785">
        <v>1177416</v>
      </c>
      <c r="H332" s="785"/>
      <c r="I332" s="786">
        <v>67830</v>
      </c>
      <c r="J332" s="787">
        <v>285878</v>
      </c>
      <c r="K332" s="786">
        <v>168151</v>
      </c>
      <c r="L332" s="785">
        <v>0</v>
      </c>
      <c r="M332" s="785"/>
      <c r="N332" s="786">
        <v>33329</v>
      </c>
      <c r="O332" s="786">
        <v>0</v>
      </c>
      <c r="P332" s="786">
        <v>0</v>
      </c>
      <c r="Q332" s="785">
        <v>35372</v>
      </c>
      <c r="R332" s="785"/>
      <c r="S332" s="786">
        <v>396790</v>
      </c>
      <c r="T332" s="788">
        <v>-17507</v>
      </c>
      <c r="U332" s="788">
        <v>379283</v>
      </c>
    </row>
    <row r="333" spans="1:21" x14ac:dyDescent="0.25">
      <c r="A333" s="782">
        <v>93417</v>
      </c>
      <c r="B333" s="783" t="s">
        <v>2946</v>
      </c>
      <c r="C333" s="784">
        <v>3.4430000000000002E-4</v>
      </c>
      <c r="D333" s="784">
        <v>4.1130000000000002E-4</v>
      </c>
      <c r="E333" s="815">
        <v>172878</v>
      </c>
      <c r="F333" s="818">
        <v>872916</v>
      </c>
      <c r="G333" s="785">
        <v>525995</v>
      </c>
      <c r="H333" s="785"/>
      <c r="I333" s="786">
        <v>30302</v>
      </c>
      <c r="J333" s="787">
        <v>127712</v>
      </c>
      <c r="K333" s="786">
        <v>75119</v>
      </c>
      <c r="L333" s="785">
        <v>15432</v>
      </c>
      <c r="M333" s="785"/>
      <c r="N333" s="786">
        <v>14889</v>
      </c>
      <c r="O333" s="786">
        <v>0</v>
      </c>
      <c r="P333" s="786">
        <v>0</v>
      </c>
      <c r="Q333" s="785">
        <v>33069</v>
      </c>
      <c r="R333" s="785"/>
      <c r="S333" s="786">
        <v>177261</v>
      </c>
      <c r="T333" s="788">
        <v>5883</v>
      </c>
      <c r="U333" s="788">
        <v>183144</v>
      </c>
    </row>
    <row r="334" spans="1:21" x14ac:dyDescent="0.25">
      <c r="A334" s="782">
        <v>93421</v>
      </c>
      <c r="B334" s="783" t="s">
        <v>2947</v>
      </c>
      <c r="C334" s="784">
        <v>2.1294999999999999E-3</v>
      </c>
      <c r="D334" s="784">
        <v>2.1646E-3</v>
      </c>
      <c r="E334" s="815">
        <v>893357</v>
      </c>
      <c r="F334" s="818">
        <v>4594006</v>
      </c>
      <c r="G334" s="785">
        <v>3253286</v>
      </c>
      <c r="H334" s="785"/>
      <c r="I334" s="786">
        <v>187419</v>
      </c>
      <c r="J334" s="787">
        <v>789902</v>
      </c>
      <c r="K334" s="786">
        <v>464614</v>
      </c>
      <c r="L334" s="785">
        <v>0</v>
      </c>
      <c r="M334" s="785"/>
      <c r="N334" s="786">
        <v>92090</v>
      </c>
      <c r="O334" s="786">
        <v>0</v>
      </c>
      <c r="P334" s="786">
        <v>0</v>
      </c>
      <c r="Q334" s="785">
        <v>273225</v>
      </c>
      <c r="R334" s="785"/>
      <c r="S334" s="786">
        <v>1096360</v>
      </c>
      <c r="T334" s="788">
        <v>-126565</v>
      </c>
      <c r="U334" s="788">
        <v>969795</v>
      </c>
    </row>
    <row r="335" spans="1:21" x14ac:dyDescent="0.25">
      <c r="A335" s="782">
        <v>93431</v>
      </c>
      <c r="B335" s="783" t="s">
        <v>2948</v>
      </c>
      <c r="C335" s="784">
        <v>1.2689999999999999E-4</v>
      </c>
      <c r="D335" s="784">
        <v>1.127E-4</v>
      </c>
      <c r="E335" s="815">
        <v>61080</v>
      </c>
      <c r="F335" s="818">
        <v>239187</v>
      </c>
      <c r="G335" s="785">
        <v>193868</v>
      </c>
      <c r="H335" s="785"/>
      <c r="I335" s="786">
        <v>11169</v>
      </c>
      <c r="J335" s="787">
        <v>47071</v>
      </c>
      <c r="K335" s="786">
        <v>27687</v>
      </c>
      <c r="L335" s="785">
        <v>12612</v>
      </c>
      <c r="M335" s="785"/>
      <c r="N335" s="786">
        <v>5488</v>
      </c>
      <c r="O335" s="786">
        <v>0</v>
      </c>
      <c r="P335" s="786">
        <v>0</v>
      </c>
      <c r="Q335" s="785">
        <v>5397</v>
      </c>
      <c r="R335" s="785"/>
      <c r="S335" s="786">
        <v>65334</v>
      </c>
      <c r="T335" s="788">
        <v>1734</v>
      </c>
      <c r="U335" s="788">
        <v>67068</v>
      </c>
    </row>
    <row r="336" spans="1:21" x14ac:dyDescent="0.25">
      <c r="A336" s="782">
        <v>93441</v>
      </c>
      <c r="B336" s="783" t="s">
        <v>2949</v>
      </c>
      <c r="C336" s="784">
        <v>1.54E-4</v>
      </c>
      <c r="D336" s="784">
        <v>1.4970000000000001E-4</v>
      </c>
      <c r="E336" s="815">
        <v>77933</v>
      </c>
      <c r="F336" s="818">
        <v>317714</v>
      </c>
      <c r="G336" s="785">
        <v>235269</v>
      </c>
      <c r="H336" s="785"/>
      <c r="I336" s="786">
        <v>13554</v>
      </c>
      <c r="J336" s="787">
        <v>57124</v>
      </c>
      <c r="K336" s="786">
        <v>33600</v>
      </c>
      <c r="L336" s="785">
        <v>30786</v>
      </c>
      <c r="M336" s="785"/>
      <c r="N336" s="786">
        <v>6660</v>
      </c>
      <c r="O336" s="786">
        <v>0</v>
      </c>
      <c r="P336" s="786">
        <v>0</v>
      </c>
      <c r="Q336" s="785">
        <v>0</v>
      </c>
      <c r="R336" s="785"/>
      <c r="S336" s="786">
        <v>79286</v>
      </c>
      <c r="T336" s="788">
        <v>14822</v>
      </c>
      <c r="U336" s="788">
        <v>94108</v>
      </c>
    </row>
    <row r="337" spans="1:21" x14ac:dyDescent="0.25">
      <c r="A337" s="782">
        <v>93442</v>
      </c>
      <c r="B337" s="783" t="s">
        <v>2950</v>
      </c>
      <c r="C337" s="784">
        <v>1.505E-4</v>
      </c>
      <c r="D337" s="784">
        <v>1.3540000000000001E-4</v>
      </c>
      <c r="E337" s="815">
        <v>57507</v>
      </c>
      <c r="F337" s="818">
        <v>287364</v>
      </c>
      <c r="G337" s="785">
        <v>229922</v>
      </c>
      <c r="H337" s="785"/>
      <c r="I337" s="786">
        <v>13246</v>
      </c>
      <c r="J337" s="787">
        <v>55826</v>
      </c>
      <c r="K337" s="786">
        <v>32836</v>
      </c>
      <c r="L337" s="785">
        <v>5191</v>
      </c>
      <c r="M337" s="785"/>
      <c r="N337" s="786">
        <v>6508</v>
      </c>
      <c r="O337" s="786">
        <v>0</v>
      </c>
      <c r="P337" s="786">
        <v>0</v>
      </c>
      <c r="Q337" s="785">
        <v>20988</v>
      </c>
      <c r="R337" s="785"/>
      <c r="S337" s="786">
        <v>77484</v>
      </c>
      <c r="T337" s="788">
        <v>-6353</v>
      </c>
      <c r="U337" s="788">
        <v>71131</v>
      </c>
    </row>
    <row r="338" spans="1:21" x14ac:dyDescent="0.25">
      <c r="A338" s="782">
        <v>93451</v>
      </c>
      <c r="B338" s="783" t="s">
        <v>2951</v>
      </c>
      <c r="C338" s="784">
        <v>7.0900000000000002E-5</v>
      </c>
      <c r="D338" s="784">
        <v>7.6899999999999999E-5</v>
      </c>
      <c r="E338" s="815">
        <v>41775</v>
      </c>
      <c r="F338" s="818">
        <v>163208</v>
      </c>
      <c r="G338" s="785">
        <v>108316</v>
      </c>
      <c r="H338" s="785"/>
      <c r="I338" s="786">
        <v>6240</v>
      </c>
      <c r="J338" s="787">
        <v>26299</v>
      </c>
      <c r="K338" s="786">
        <v>15469</v>
      </c>
      <c r="L338" s="785">
        <v>16242</v>
      </c>
      <c r="M338" s="785"/>
      <c r="N338" s="786">
        <v>3066</v>
      </c>
      <c r="O338" s="786">
        <v>0</v>
      </c>
      <c r="P338" s="786">
        <v>0</v>
      </c>
      <c r="Q338" s="785">
        <v>1492</v>
      </c>
      <c r="R338" s="785"/>
      <c r="S338" s="786">
        <v>36502</v>
      </c>
      <c r="T338" s="788">
        <v>5181</v>
      </c>
      <c r="U338" s="788">
        <f>41684-1</f>
        <v>41683</v>
      </c>
    </row>
    <row r="339" spans="1:21" x14ac:dyDescent="0.25">
      <c r="A339" s="782">
        <v>93461</v>
      </c>
      <c r="B339" s="783" t="s">
        <v>2952</v>
      </c>
      <c r="C339" s="784">
        <v>1.66E-5</v>
      </c>
      <c r="D339" s="784">
        <v>1.7200000000000001E-5</v>
      </c>
      <c r="E339" s="815">
        <v>8264</v>
      </c>
      <c r="F339" s="818">
        <v>36504</v>
      </c>
      <c r="G339" s="785">
        <v>25360</v>
      </c>
      <c r="H339" s="785"/>
      <c r="I339" s="786">
        <v>1461</v>
      </c>
      <c r="J339" s="787">
        <v>6157</v>
      </c>
      <c r="K339" s="786">
        <v>3622</v>
      </c>
      <c r="L339" s="785">
        <v>580</v>
      </c>
      <c r="M339" s="785"/>
      <c r="N339" s="786">
        <v>718</v>
      </c>
      <c r="O339" s="786">
        <v>0</v>
      </c>
      <c r="P339" s="786">
        <v>0</v>
      </c>
      <c r="Q339" s="785">
        <v>0</v>
      </c>
      <c r="R339" s="785"/>
      <c r="S339" s="786">
        <v>8546</v>
      </c>
      <c r="T339" s="788">
        <v>254</v>
      </c>
      <c r="U339" s="788">
        <f>8801-1</f>
        <v>8800</v>
      </c>
    </row>
    <row r="340" spans="1:21" x14ac:dyDescent="0.25">
      <c r="A340" s="782">
        <v>93471</v>
      </c>
      <c r="B340" s="783" t="s">
        <v>2953</v>
      </c>
      <c r="C340" s="784">
        <v>1.31E-5</v>
      </c>
      <c r="D340" s="784">
        <v>1.1800000000000001E-5</v>
      </c>
      <c r="E340" s="815">
        <v>8324</v>
      </c>
      <c r="F340" s="818">
        <v>25044</v>
      </c>
      <c r="G340" s="785">
        <v>20013</v>
      </c>
      <c r="H340" s="785"/>
      <c r="I340" s="786">
        <v>1153</v>
      </c>
      <c r="J340" s="787">
        <v>4859</v>
      </c>
      <c r="K340" s="786">
        <v>2858</v>
      </c>
      <c r="L340" s="785">
        <v>4280</v>
      </c>
      <c r="M340" s="785"/>
      <c r="N340" s="786">
        <v>567</v>
      </c>
      <c r="O340" s="786">
        <v>0</v>
      </c>
      <c r="P340" s="786">
        <v>0</v>
      </c>
      <c r="Q340" s="785">
        <v>63</v>
      </c>
      <c r="R340" s="785"/>
      <c r="S340" s="786">
        <v>6744</v>
      </c>
      <c r="T340" s="788">
        <v>1243</v>
      </c>
      <c r="U340" s="788">
        <v>7987</v>
      </c>
    </row>
    <row r="341" spans="1:21" x14ac:dyDescent="0.25">
      <c r="A341" s="782">
        <v>93501</v>
      </c>
      <c r="B341" s="783" t="s">
        <v>2954</v>
      </c>
      <c r="C341" s="784">
        <v>3.6113999999999999E-3</v>
      </c>
      <c r="D341" s="784">
        <v>3.4039000000000001E-3</v>
      </c>
      <c r="E341" s="815">
        <v>1661033</v>
      </c>
      <c r="F341" s="818">
        <v>7224216</v>
      </c>
      <c r="G341" s="785">
        <v>5517219</v>
      </c>
      <c r="H341" s="785"/>
      <c r="I341" s="786">
        <v>317843</v>
      </c>
      <c r="J341" s="787">
        <v>1339587</v>
      </c>
      <c r="K341" s="786">
        <v>787935</v>
      </c>
      <c r="L341" s="785">
        <v>233815</v>
      </c>
      <c r="M341" s="785"/>
      <c r="N341" s="786">
        <v>156175</v>
      </c>
      <c r="O341" s="786">
        <v>0</v>
      </c>
      <c r="P341" s="786">
        <v>0</v>
      </c>
      <c r="Q341" s="785">
        <v>57589</v>
      </c>
      <c r="R341" s="785"/>
      <c r="S341" s="786">
        <v>1859308</v>
      </c>
      <c r="T341" s="788">
        <v>88331</v>
      </c>
      <c r="U341" s="788">
        <v>1947639</v>
      </c>
    </row>
    <row r="342" spans="1:21" x14ac:dyDescent="0.25">
      <c r="A342" s="782">
        <v>93511</v>
      </c>
      <c r="B342" s="783" t="s">
        <v>2955</v>
      </c>
      <c r="C342" s="784">
        <v>8.8300000000000005E-5</v>
      </c>
      <c r="D342" s="784">
        <v>9.8999999999999994E-5</v>
      </c>
      <c r="E342" s="815">
        <v>45050</v>
      </c>
      <c r="F342" s="818">
        <v>210111</v>
      </c>
      <c r="G342" s="785">
        <v>134898</v>
      </c>
      <c r="H342" s="785"/>
      <c r="I342" s="786">
        <v>7771</v>
      </c>
      <c r="J342" s="787">
        <v>32753</v>
      </c>
      <c r="K342" s="786">
        <v>19265</v>
      </c>
      <c r="L342" s="785">
        <v>2589</v>
      </c>
      <c r="M342" s="785"/>
      <c r="N342" s="786">
        <v>3819</v>
      </c>
      <c r="O342" s="786">
        <v>0</v>
      </c>
      <c r="P342" s="786">
        <v>0</v>
      </c>
      <c r="Q342" s="785">
        <v>13801</v>
      </c>
      <c r="R342" s="785"/>
      <c r="S342" s="786">
        <v>45461</v>
      </c>
      <c r="T342" s="788">
        <v>-2683</v>
      </c>
      <c r="U342" s="788">
        <v>42778</v>
      </c>
    </row>
    <row r="343" spans="1:21" x14ac:dyDescent="0.25">
      <c r="A343" s="782">
        <v>93517</v>
      </c>
      <c r="B343" s="783" t="s">
        <v>2956</v>
      </c>
      <c r="C343" s="784">
        <v>6.0000000000000002E-6</v>
      </c>
      <c r="D343" s="784">
        <v>6.4999999999999996E-6</v>
      </c>
      <c r="E343" s="815">
        <v>4387</v>
      </c>
      <c r="F343" s="818">
        <v>13795</v>
      </c>
      <c r="G343" s="785">
        <v>9166</v>
      </c>
      <c r="H343" s="785"/>
      <c r="I343" s="786">
        <v>528</v>
      </c>
      <c r="J343" s="787">
        <v>2226</v>
      </c>
      <c r="K343" s="786">
        <v>1309</v>
      </c>
      <c r="L343" s="785">
        <v>3133</v>
      </c>
      <c r="M343" s="785"/>
      <c r="N343" s="786">
        <v>259</v>
      </c>
      <c r="O343" s="786">
        <v>0</v>
      </c>
      <c r="P343" s="786">
        <v>0</v>
      </c>
      <c r="Q343" s="785">
        <v>503</v>
      </c>
      <c r="R343" s="785"/>
      <c r="S343" s="786">
        <v>3089</v>
      </c>
      <c r="T343" s="788">
        <v>771</v>
      </c>
      <c r="U343" s="788">
        <v>3860</v>
      </c>
    </row>
    <row r="344" spans="1:21" x14ac:dyDescent="0.25">
      <c r="A344" s="782">
        <v>93521</v>
      </c>
      <c r="B344" s="783" t="s">
        <v>2957</v>
      </c>
      <c r="C344" s="784">
        <v>4.5649999999999998E-4</v>
      </c>
      <c r="D344" s="784">
        <v>5.6389999999999999E-4</v>
      </c>
      <c r="E344" s="815">
        <v>213305</v>
      </c>
      <c r="F344" s="818">
        <v>1196785</v>
      </c>
      <c r="G344" s="785">
        <v>697406</v>
      </c>
      <c r="H344" s="785"/>
      <c r="I344" s="786">
        <v>40177</v>
      </c>
      <c r="J344" s="787">
        <v>169331</v>
      </c>
      <c r="K344" s="786">
        <v>99599</v>
      </c>
      <c r="L344" s="785">
        <v>7159</v>
      </c>
      <c r="M344" s="785"/>
      <c r="N344" s="786">
        <v>19741</v>
      </c>
      <c r="O344" s="786">
        <v>0</v>
      </c>
      <c r="P344" s="786">
        <v>0</v>
      </c>
      <c r="Q344" s="785">
        <v>74583</v>
      </c>
      <c r="R344" s="785"/>
      <c r="S344" s="786">
        <v>235026</v>
      </c>
      <c r="T344" s="788">
        <v>-19847</v>
      </c>
      <c r="U344" s="788">
        <f>215180-1</f>
        <v>215179</v>
      </c>
    </row>
    <row r="345" spans="1:21" x14ac:dyDescent="0.25">
      <c r="A345" s="782">
        <v>93527</v>
      </c>
      <c r="B345" s="783" t="s">
        <v>2958</v>
      </c>
      <c r="C345" s="784">
        <v>1.2099999999999999E-5</v>
      </c>
      <c r="D345" s="784">
        <v>5.4E-6</v>
      </c>
      <c r="E345" s="815">
        <v>9591</v>
      </c>
      <c r="F345" s="818">
        <v>11461</v>
      </c>
      <c r="G345" s="785">
        <v>18485</v>
      </c>
      <c r="H345" s="785"/>
      <c r="I345" s="786">
        <v>1065</v>
      </c>
      <c r="J345" s="787">
        <v>4488</v>
      </c>
      <c r="K345" s="786">
        <v>2640</v>
      </c>
      <c r="L345" s="785">
        <v>15016</v>
      </c>
      <c r="M345" s="785"/>
      <c r="N345" s="786">
        <v>523</v>
      </c>
      <c r="O345" s="786">
        <v>0</v>
      </c>
      <c r="P345" s="786">
        <v>0</v>
      </c>
      <c r="Q345" s="785">
        <v>0</v>
      </c>
      <c r="R345" s="785"/>
      <c r="S345" s="786">
        <v>6230</v>
      </c>
      <c r="T345" s="788">
        <v>5872</v>
      </c>
      <c r="U345" s="788">
        <f>12101+1</f>
        <v>12102</v>
      </c>
    </row>
    <row r="346" spans="1:21" x14ac:dyDescent="0.25">
      <c r="A346" s="782">
        <v>93531</v>
      </c>
      <c r="B346" s="783" t="s">
        <v>2959</v>
      </c>
      <c r="C346" s="784">
        <v>1.7E-5</v>
      </c>
      <c r="D346" s="784">
        <v>2.4000000000000001E-5</v>
      </c>
      <c r="E346" s="815">
        <v>11624</v>
      </c>
      <c r="F346" s="818">
        <v>50936</v>
      </c>
      <c r="G346" s="785">
        <v>25971</v>
      </c>
      <c r="H346" s="785"/>
      <c r="I346" s="786">
        <v>1496</v>
      </c>
      <c r="J346" s="787">
        <v>6306</v>
      </c>
      <c r="K346" s="786">
        <v>3709</v>
      </c>
      <c r="L346" s="785">
        <v>791</v>
      </c>
      <c r="M346" s="785"/>
      <c r="N346" s="786">
        <v>735</v>
      </c>
      <c r="O346" s="786">
        <v>0</v>
      </c>
      <c r="P346" s="786">
        <v>0</v>
      </c>
      <c r="Q346" s="785">
        <v>2743</v>
      </c>
      <c r="R346" s="785"/>
      <c r="S346" s="786">
        <v>8752</v>
      </c>
      <c r="T346" s="788">
        <v>-1210</v>
      </c>
      <c r="U346" s="788">
        <v>7542</v>
      </c>
    </row>
    <row r="347" spans="1:21" x14ac:dyDescent="0.25">
      <c r="A347" s="782">
        <v>93537</v>
      </c>
      <c r="B347" s="783" t="s">
        <v>2960</v>
      </c>
      <c r="C347" s="784">
        <v>1.1199999999999999E-5</v>
      </c>
      <c r="D347" s="784">
        <v>1.17E-5</v>
      </c>
      <c r="E347" s="815">
        <v>4064</v>
      </c>
      <c r="F347" s="818">
        <v>24831</v>
      </c>
      <c r="G347" s="785">
        <v>17110</v>
      </c>
      <c r="H347" s="785"/>
      <c r="I347" s="786">
        <v>986</v>
      </c>
      <c r="J347" s="787">
        <v>4154</v>
      </c>
      <c r="K347" s="786">
        <v>2444</v>
      </c>
      <c r="L347" s="785">
        <v>0</v>
      </c>
      <c r="M347" s="785"/>
      <c r="N347" s="786">
        <v>484</v>
      </c>
      <c r="O347" s="786">
        <v>0</v>
      </c>
      <c r="P347" s="786">
        <v>0</v>
      </c>
      <c r="Q347" s="785">
        <v>1898</v>
      </c>
      <c r="R347" s="785"/>
      <c r="S347" s="786">
        <v>5766</v>
      </c>
      <c r="T347" s="788">
        <v>-575</v>
      </c>
      <c r="U347" s="788">
        <v>5191</v>
      </c>
    </row>
    <row r="348" spans="1:21" x14ac:dyDescent="0.25">
      <c r="A348" s="782">
        <v>93541</v>
      </c>
      <c r="B348" s="783" t="s">
        <v>2961</v>
      </c>
      <c r="C348" s="784">
        <v>1.0560000000000001E-4</v>
      </c>
      <c r="D348" s="784">
        <v>1.061E-4</v>
      </c>
      <c r="E348" s="815">
        <v>49276</v>
      </c>
      <c r="F348" s="818">
        <v>225180</v>
      </c>
      <c r="G348" s="785">
        <v>161328</v>
      </c>
      <c r="H348" s="785"/>
      <c r="I348" s="786">
        <v>9294</v>
      </c>
      <c r="J348" s="787">
        <v>39171</v>
      </c>
      <c r="K348" s="786">
        <v>23040</v>
      </c>
      <c r="L348" s="785">
        <v>4560</v>
      </c>
      <c r="M348" s="785"/>
      <c r="N348" s="786">
        <v>4567</v>
      </c>
      <c r="O348" s="786">
        <v>0</v>
      </c>
      <c r="P348" s="786">
        <v>0</v>
      </c>
      <c r="Q348" s="785">
        <v>781</v>
      </c>
      <c r="R348" s="785"/>
      <c r="S348" s="786">
        <v>54368</v>
      </c>
      <c r="T348" s="788">
        <v>4003</v>
      </c>
      <c r="U348" s="788">
        <f>58370+1</f>
        <v>58371</v>
      </c>
    </row>
    <row r="349" spans="1:21" x14ac:dyDescent="0.25">
      <c r="A349" s="782">
        <v>93601</v>
      </c>
      <c r="B349" s="783" t="s">
        <v>2962</v>
      </c>
      <c r="C349" s="784">
        <v>1.0721400000000001E-2</v>
      </c>
      <c r="D349" s="784">
        <v>1.1139899999999999E-2</v>
      </c>
      <c r="E349" s="815">
        <v>5038240</v>
      </c>
      <c r="F349" s="818">
        <v>23642600</v>
      </c>
      <c r="G349" s="785">
        <v>16379329</v>
      </c>
      <c r="H349" s="785"/>
      <c r="I349" s="786">
        <v>943601</v>
      </c>
      <c r="J349" s="787">
        <v>3976921</v>
      </c>
      <c r="K349" s="786">
        <v>2339195</v>
      </c>
      <c r="L349" s="785">
        <v>65732</v>
      </c>
      <c r="M349" s="785"/>
      <c r="N349" s="786">
        <v>463647</v>
      </c>
      <c r="O349" s="786">
        <v>0</v>
      </c>
      <c r="P349" s="786">
        <v>0</v>
      </c>
      <c r="Q349" s="785">
        <v>282932</v>
      </c>
      <c r="R349" s="785"/>
      <c r="S349" s="786">
        <v>5519848</v>
      </c>
      <c r="T349" s="788">
        <v>-87424</v>
      </c>
      <c r="U349" s="788">
        <f>5432425-1</f>
        <v>5432424</v>
      </c>
    </row>
    <row r="350" spans="1:21" x14ac:dyDescent="0.25">
      <c r="A350" s="782">
        <v>93602</v>
      </c>
      <c r="B350" s="783" t="s">
        <v>2963</v>
      </c>
      <c r="C350" s="784">
        <v>1.7540000000000001E-4</v>
      </c>
      <c r="D350" s="784">
        <v>1.7200000000000001E-4</v>
      </c>
      <c r="E350" s="815">
        <v>82188</v>
      </c>
      <c r="F350" s="818">
        <v>365042</v>
      </c>
      <c r="G350" s="785">
        <v>267963</v>
      </c>
      <c r="H350" s="785"/>
      <c r="I350" s="786">
        <v>15437</v>
      </c>
      <c r="J350" s="787">
        <v>65062</v>
      </c>
      <c r="K350" s="786">
        <v>38269</v>
      </c>
      <c r="L350" s="785">
        <v>4381</v>
      </c>
      <c r="M350" s="785"/>
      <c r="N350" s="786">
        <v>7585</v>
      </c>
      <c r="O350" s="786">
        <v>0</v>
      </c>
      <c r="P350" s="786">
        <v>0</v>
      </c>
      <c r="Q350" s="785">
        <v>10262</v>
      </c>
      <c r="R350" s="785"/>
      <c r="S350" s="786">
        <v>90304</v>
      </c>
      <c r="T350" s="788">
        <v>-2871</v>
      </c>
      <c r="U350" s="788">
        <v>87433</v>
      </c>
    </row>
    <row r="351" spans="1:21" x14ac:dyDescent="0.25">
      <c r="A351" s="782">
        <v>93609</v>
      </c>
      <c r="B351" s="783" t="s">
        <v>2964</v>
      </c>
      <c r="C351" s="784">
        <v>3.7629999999999999E-3</v>
      </c>
      <c r="D351" s="784">
        <v>3.0569E-3</v>
      </c>
      <c r="E351" s="815">
        <v>1743934</v>
      </c>
      <c r="F351" s="818">
        <v>6487766</v>
      </c>
      <c r="G351" s="785">
        <v>5748822</v>
      </c>
      <c r="H351" s="785"/>
      <c r="I351" s="786">
        <v>331185</v>
      </c>
      <c r="J351" s="787">
        <v>1395821</v>
      </c>
      <c r="K351" s="786">
        <v>821011</v>
      </c>
      <c r="L351" s="785">
        <v>823315</v>
      </c>
      <c r="M351" s="785"/>
      <c r="N351" s="786">
        <v>162731</v>
      </c>
      <c r="O351" s="786">
        <v>0</v>
      </c>
      <c r="P351" s="786">
        <v>0</v>
      </c>
      <c r="Q351" s="785">
        <v>0</v>
      </c>
      <c r="R351" s="785"/>
      <c r="S351" s="786">
        <v>1937358</v>
      </c>
      <c r="T351" s="788">
        <v>360052</v>
      </c>
      <c r="U351" s="788">
        <v>2297410</v>
      </c>
    </row>
    <row r="352" spans="1:21" x14ac:dyDescent="0.25">
      <c r="A352" s="782">
        <v>93610</v>
      </c>
      <c r="B352" s="783" t="s">
        <v>2965</v>
      </c>
      <c r="C352" s="784">
        <v>1.33E-5</v>
      </c>
      <c r="D352" s="784">
        <v>6.4999999999999996E-6</v>
      </c>
      <c r="E352" s="815">
        <v>5846</v>
      </c>
      <c r="F352" s="818">
        <v>13795</v>
      </c>
      <c r="G352" s="785">
        <v>20319</v>
      </c>
      <c r="H352" s="785"/>
      <c r="I352" s="786">
        <v>1171</v>
      </c>
      <c r="J352" s="787">
        <v>4933</v>
      </c>
      <c r="K352" s="786">
        <v>2902</v>
      </c>
      <c r="L352" s="785">
        <v>6303</v>
      </c>
      <c r="M352" s="785"/>
      <c r="N352" s="786">
        <v>575</v>
      </c>
      <c r="O352" s="786">
        <v>0</v>
      </c>
      <c r="P352" s="786">
        <v>0</v>
      </c>
      <c r="Q352" s="785">
        <v>3373</v>
      </c>
      <c r="R352" s="785"/>
      <c r="S352" s="786">
        <v>6847</v>
      </c>
      <c r="T352" s="788">
        <v>1242</v>
      </c>
      <c r="U352" s="788">
        <f>8090-1</f>
        <v>8089</v>
      </c>
    </row>
    <row r="353" spans="1:21" x14ac:dyDescent="0.25">
      <c r="A353" s="782">
        <v>93611</v>
      </c>
      <c r="B353" s="783" t="s">
        <v>2966</v>
      </c>
      <c r="C353" s="784">
        <v>6.9544000000000003E-3</v>
      </c>
      <c r="D353" s="784">
        <v>6.9325000000000003E-3</v>
      </c>
      <c r="E353" s="815">
        <v>3250733</v>
      </c>
      <c r="F353" s="818">
        <v>14713087</v>
      </c>
      <c r="G353" s="785">
        <v>10624397</v>
      </c>
      <c r="H353" s="785"/>
      <c r="I353" s="786">
        <v>612064</v>
      </c>
      <c r="J353" s="787">
        <v>2579617</v>
      </c>
      <c r="K353" s="786">
        <v>1517311</v>
      </c>
      <c r="L353" s="785">
        <v>61146</v>
      </c>
      <c r="M353" s="785"/>
      <c r="N353" s="786">
        <v>300743</v>
      </c>
      <c r="O353" s="786">
        <v>0</v>
      </c>
      <c r="P353" s="786">
        <v>0</v>
      </c>
      <c r="Q353" s="785">
        <v>153061</v>
      </c>
      <c r="R353" s="785"/>
      <c r="S353" s="786">
        <v>3580431</v>
      </c>
      <c r="T353" s="788">
        <v>-98066</v>
      </c>
      <c r="U353" s="788">
        <v>3482365</v>
      </c>
    </row>
    <row r="354" spans="1:21" x14ac:dyDescent="0.25">
      <c r="A354" s="782">
        <v>93617</v>
      </c>
      <c r="B354" s="783" t="s">
        <v>2967</v>
      </c>
      <c r="C354" s="784">
        <v>8.2799999999999993E-5</v>
      </c>
      <c r="D354" s="784">
        <v>9.5000000000000005E-5</v>
      </c>
      <c r="E354" s="815">
        <v>49100</v>
      </c>
      <c r="F354" s="818">
        <v>201622</v>
      </c>
      <c r="G354" s="785">
        <v>126495</v>
      </c>
      <c r="H354" s="785"/>
      <c r="I354" s="786">
        <v>7287</v>
      </c>
      <c r="J354" s="787">
        <v>30714</v>
      </c>
      <c r="K354" s="786">
        <v>18065</v>
      </c>
      <c r="L354" s="785">
        <v>19622</v>
      </c>
      <c r="M354" s="785"/>
      <c r="N354" s="786">
        <v>3581</v>
      </c>
      <c r="O354" s="786">
        <v>0</v>
      </c>
      <c r="P354" s="786">
        <v>0</v>
      </c>
      <c r="Q354" s="785">
        <v>0</v>
      </c>
      <c r="R354" s="785"/>
      <c r="S354" s="786">
        <v>42629</v>
      </c>
      <c r="T354" s="788">
        <v>10180</v>
      </c>
      <c r="U354" s="788">
        <v>52809</v>
      </c>
    </row>
    <row r="355" spans="1:21" x14ac:dyDescent="0.25">
      <c r="A355" s="782">
        <v>93618</v>
      </c>
      <c r="B355" s="783" t="s">
        <v>2968</v>
      </c>
      <c r="C355" s="784">
        <v>1.11E-5</v>
      </c>
      <c r="D355" s="784">
        <v>1.17E-5</v>
      </c>
      <c r="E355" s="815">
        <v>23982</v>
      </c>
      <c r="F355" s="818">
        <v>24831</v>
      </c>
      <c r="G355" s="785">
        <v>16958</v>
      </c>
      <c r="H355" s="785"/>
      <c r="I355" s="786">
        <v>977</v>
      </c>
      <c r="J355" s="787">
        <v>4117</v>
      </c>
      <c r="K355" s="786">
        <v>2422</v>
      </c>
      <c r="L355" s="785">
        <v>33625</v>
      </c>
      <c r="M355" s="785"/>
      <c r="N355" s="786">
        <v>480</v>
      </c>
      <c r="O355" s="786">
        <v>0</v>
      </c>
      <c r="P355" s="786">
        <v>0</v>
      </c>
      <c r="Q355" s="785">
        <v>0</v>
      </c>
      <c r="R355" s="785"/>
      <c r="S355" s="786">
        <v>5715</v>
      </c>
      <c r="T355" s="788">
        <v>12182</v>
      </c>
      <c r="U355" s="788">
        <v>17897</v>
      </c>
    </row>
    <row r="356" spans="1:21" x14ac:dyDescent="0.25">
      <c r="A356" s="782">
        <v>93621</v>
      </c>
      <c r="B356" s="783" t="s">
        <v>2969</v>
      </c>
      <c r="C356" s="784">
        <v>9.5719999999999996E-4</v>
      </c>
      <c r="D356" s="784">
        <v>8.5320000000000003E-4</v>
      </c>
      <c r="E356" s="815">
        <v>412639</v>
      </c>
      <c r="F356" s="818">
        <v>1810776</v>
      </c>
      <c r="G356" s="785">
        <v>1462336</v>
      </c>
      <c r="H356" s="785"/>
      <c r="I356" s="786">
        <v>84244</v>
      </c>
      <c r="J356" s="787">
        <v>355057</v>
      </c>
      <c r="K356" s="786">
        <v>208842</v>
      </c>
      <c r="L356" s="785">
        <v>48292</v>
      </c>
      <c r="M356" s="785"/>
      <c r="N356" s="786">
        <v>41394</v>
      </c>
      <c r="O356" s="786">
        <v>0</v>
      </c>
      <c r="P356" s="786">
        <v>0</v>
      </c>
      <c r="Q356" s="785">
        <v>79767</v>
      </c>
      <c r="R356" s="785"/>
      <c r="S356" s="786">
        <v>492809</v>
      </c>
      <c r="T356" s="788">
        <v>-26570</v>
      </c>
      <c r="U356" s="788">
        <f>466238+1</f>
        <v>466239</v>
      </c>
    </row>
    <row r="357" spans="1:21" x14ac:dyDescent="0.25">
      <c r="A357" s="782">
        <v>93623</v>
      </c>
      <c r="B357" s="783" t="s">
        <v>2970</v>
      </c>
      <c r="C357" s="784">
        <v>1.2799999999999999E-5</v>
      </c>
      <c r="D357" s="784">
        <v>1.2500000000000001E-5</v>
      </c>
      <c r="E357" s="815">
        <v>8720</v>
      </c>
      <c r="F357" s="818">
        <v>26529</v>
      </c>
      <c r="G357" s="785">
        <v>19555</v>
      </c>
      <c r="H357" s="785"/>
      <c r="I357" s="786">
        <v>1127</v>
      </c>
      <c r="J357" s="787">
        <v>4748</v>
      </c>
      <c r="K357" s="786">
        <v>2793</v>
      </c>
      <c r="L357" s="785">
        <v>5501</v>
      </c>
      <c r="M357" s="785"/>
      <c r="N357" s="786">
        <v>554</v>
      </c>
      <c r="O357" s="786">
        <v>0</v>
      </c>
      <c r="P357" s="786">
        <v>0</v>
      </c>
      <c r="Q357" s="785">
        <v>1</v>
      </c>
      <c r="R357" s="785"/>
      <c r="S357" s="786">
        <v>6590</v>
      </c>
      <c r="T357" s="788">
        <v>1908</v>
      </c>
      <c r="U357" s="788">
        <v>8498</v>
      </c>
    </row>
    <row r="358" spans="1:21" x14ac:dyDescent="0.25">
      <c r="A358" s="782">
        <v>93631</v>
      </c>
      <c r="B358" s="783" t="s">
        <v>2971</v>
      </c>
      <c r="C358" s="784">
        <v>2.252E-4</v>
      </c>
      <c r="D358" s="784">
        <v>2.3440000000000001E-4</v>
      </c>
      <c r="E358" s="815">
        <v>100501</v>
      </c>
      <c r="F358" s="818">
        <v>497475</v>
      </c>
      <c r="G358" s="785">
        <v>344043</v>
      </c>
      <c r="H358" s="785"/>
      <c r="I358" s="786">
        <v>19820</v>
      </c>
      <c r="J358" s="787">
        <v>83534</v>
      </c>
      <c r="K358" s="786">
        <v>49134</v>
      </c>
      <c r="L358" s="785">
        <v>435</v>
      </c>
      <c r="M358" s="785"/>
      <c r="N358" s="786">
        <v>9739</v>
      </c>
      <c r="O358" s="786">
        <v>0</v>
      </c>
      <c r="P358" s="786">
        <v>0</v>
      </c>
      <c r="Q358" s="785">
        <v>20459</v>
      </c>
      <c r="R358" s="785"/>
      <c r="S358" s="786">
        <v>115943</v>
      </c>
      <c r="T358" s="788">
        <v>-7001</v>
      </c>
      <c r="U358" s="788">
        <v>108942</v>
      </c>
    </row>
    <row r="359" spans="1:21" x14ac:dyDescent="0.25">
      <c r="A359" s="782">
        <v>93641</v>
      </c>
      <c r="B359" s="783" t="s">
        <v>2972</v>
      </c>
      <c r="C359" s="784">
        <v>4.0450000000000002E-4</v>
      </c>
      <c r="D359" s="784">
        <v>4.3550000000000001E-4</v>
      </c>
      <c r="E359" s="815">
        <v>197852</v>
      </c>
      <c r="F359" s="818">
        <v>924277</v>
      </c>
      <c r="G359" s="785">
        <v>617964</v>
      </c>
      <c r="H359" s="785"/>
      <c r="I359" s="786">
        <v>35600</v>
      </c>
      <c r="J359" s="787">
        <v>150042</v>
      </c>
      <c r="K359" s="786">
        <v>88254</v>
      </c>
      <c r="L359" s="785">
        <v>14033</v>
      </c>
      <c r="M359" s="785"/>
      <c r="N359" s="786">
        <v>17493</v>
      </c>
      <c r="O359" s="786">
        <v>0</v>
      </c>
      <c r="P359" s="786">
        <v>0</v>
      </c>
      <c r="Q359" s="785">
        <v>11062</v>
      </c>
      <c r="R359" s="785"/>
      <c r="S359" s="786">
        <v>208254</v>
      </c>
      <c r="T359" s="788">
        <v>4772</v>
      </c>
      <c r="U359" s="788">
        <v>213026</v>
      </c>
    </row>
    <row r="360" spans="1:21" x14ac:dyDescent="0.25">
      <c r="A360" s="782">
        <v>93647</v>
      </c>
      <c r="B360" s="783" t="s">
        <v>2973</v>
      </c>
      <c r="C360" s="784">
        <v>6.0000000000000002E-6</v>
      </c>
      <c r="D360" s="784">
        <v>6.1E-6</v>
      </c>
      <c r="E360" s="815">
        <v>9062</v>
      </c>
      <c r="F360" s="818">
        <v>12946</v>
      </c>
      <c r="G360" s="785">
        <v>9166</v>
      </c>
      <c r="H360" s="785"/>
      <c r="I360" s="786">
        <v>528</v>
      </c>
      <c r="J360" s="787">
        <v>2226</v>
      </c>
      <c r="K360" s="786">
        <v>1309</v>
      </c>
      <c r="L360" s="785">
        <v>12039</v>
      </c>
      <c r="M360" s="785"/>
      <c r="N360" s="786">
        <v>259</v>
      </c>
      <c r="O360" s="786">
        <v>0</v>
      </c>
      <c r="P360" s="786">
        <v>0</v>
      </c>
      <c r="Q360" s="785">
        <v>0</v>
      </c>
      <c r="R360" s="785"/>
      <c r="S360" s="786">
        <v>3089</v>
      </c>
      <c r="T360" s="788">
        <v>4642</v>
      </c>
      <c r="U360" s="788">
        <v>7731</v>
      </c>
    </row>
    <row r="361" spans="1:21" x14ac:dyDescent="0.25">
      <c r="A361" s="782">
        <v>93651</v>
      </c>
      <c r="B361" s="783" t="s">
        <v>2974</v>
      </c>
      <c r="C361" s="784">
        <v>4.3800000000000002E-4</v>
      </c>
      <c r="D361" s="784">
        <v>4.282E-4</v>
      </c>
      <c r="E361" s="815">
        <v>185953</v>
      </c>
      <c r="F361" s="818">
        <v>908784</v>
      </c>
      <c r="G361" s="785">
        <v>669143</v>
      </c>
      <c r="H361" s="785"/>
      <c r="I361" s="786">
        <v>38549</v>
      </c>
      <c r="J361" s="787">
        <v>162468</v>
      </c>
      <c r="K361" s="786">
        <v>95563</v>
      </c>
      <c r="L361" s="785">
        <v>5830</v>
      </c>
      <c r="M361" s="785"/>
      <c r="N361" s="786">
        <v>18941</v>
      </c>
      <c r="O361" s="786">
        <v>0</v>
      </c>
      <c r="P361" s="786">
        <v>0</v>
      </c>
      <c r="Q361" s="785">
        <v>13910</v>
      </c>
      <c r="R361" s="785"/>
      <c r="S361" s="786">
        <v>225502</v>
      </c>
      <c r="T361" s="788">
        <v>-1521</v>
      </c>
      <c r="U361" s="788">
        <f>223980+1</f>
        <v>223981</v>
      </c>
    </row>
    <row r="362" spans="1:21" x14ac:dyDescent="0.25">
      <c r="A362" s="782">
        <v>93661</v>
      </c>
      <c r="B362" s="783" t="s">
        <v>2975</v>
      </c>
      <c r="C362" s="784">
        <v>1.3410000000000001E-4</v>
      </c>
      <c r="D362" s="784">
        <v>1.3420000000000001E-4</v>
      </c>
      <c r="E362" s="815">
        <v>66084</v>
      </c>
      <c r="F362" s="818">
        <v>284817</v>
      </c>
      <c r="G362" s="785">
        <v>204868</v>
      </c>
      <c r="H362" s="785"/>
      <c r="I362" s="786">
        <v>11802</v>
      </c>
      <c r="J362" s="787">
        <v>49742</v>
      </c>
      <c r="K362" s="786">
        <v>29258</v>
      </c>
      <c r="L362" s="785">
        <v>11769</v>
      </c>
      <c r="M362" s="785"/>
      <c r="N362" s="786">
        <v>5799</v>
      </c>
      <c r="O362" s="786">
        <v>0</v>
      </c>
      <c r="P362" s="786">
        <v>0</v>
      </c>
      <c r="Q362" s="785">
        <v>0</v>
      </c>
      <c r="R362" s="785"/>
      <c r="S362" s="786">
        <v>69041</v>
      </c>
      <c r="T362" s="788">
        <v>4842</v>
      </c>
      <c r="U362" s="788">
        <v>73883</v>
      </c>
    </row>
    <row r="363" spans="1:21" x14ac:dyDescent="0.25">
      <c r="A363" s="782">
        <v>93671</v>
      </c>
      <c r="B363" s="783" t="s">
        <v>2976</v>
      </c>
      <c r="C363" s="784">
        <v>3.5530000000000002E-4</v>
      </c>
      <c r="D363" s="784">
        <v>3.6900000000000002E-4</v>
      </c>
      <c r="E363" s="815">
        <v>172672</v>
      </c>
      <c r="F363" s="818">
        <v>783142</v>
      </c>
      <c r="G363" s="785">
        <v>542800</v>
      </c>
      <c r="H363" s="785"/>
      <c r="I363" s="786">
        <v>31270</v>
      </c>
      <c r="J363" s="787">
        <v>131793</v>
      </c>
      <c r="K363" s="786">
        <v>77519</v>
      </c>
      <c r="L363" s="785">
        <v>38666</v>
      </c>
      <c r="M363" s="785"/>
      <c r="N363" s="786">
        <v>15365</v>
      </c>
      <c r="O363" s="786">
        <v>0</v>
      </c>
      <c r="P363" s="786">
        <v>0</v>
      </c>
      <c r="Q363" s="785">
        <v>2899</v>
      </c>
      <c r="R363" s="785"/>
      <c r="S363" s="786">
        <v>182924</v>
      </c>
      <c r="T363" s="788">
        <v>28467</v>
      </c>
      <c r="U363" s="788">
        <v>211391</v>
      </c>
    </row>
    <row r="364" spans="1:21" x14ac:dyDescent="0.25">
      <c r="A364" s="782">
        <v>93677</v>
      </c>
      <c r="B364" s="783" t="s">
        <v>1495</v>
      </c>
      <c r="C364" s="784">
        <v>0</v>
      </c>
      <c r="D364" s="784">
        <v>0</v>
      </c>
      <c r="E364" s="815">
        <v>0</v>
      </c>
      <c r="F364" s="818">
        <v>0</v>
      </c>
      <c r="G364" s="785">
        <v>0</v>
      </c>
      <c r="H364" s="785"/>
      <c r="I364" s="786">
        <v>0</v>
      </c>
      <c r="J364" s="787">
        <v>0</v>
      </c>
      <c r="K364" s="786">
        <v>0</v>
      </c>
      <c r="L364" s="785">
        <v>0</v>
      </c>
      <c r="M364" s="785"/>
      <c r="N364" s="786">
        <v>0</v>
      </c>
      <c r="O364" s="786">
        <v>0</v>
      </c>
      <c r="P364" s="786">
        <v>0</v>
      </c>
      <c r="Q364" s="785">
        <v>718</v>
      </c>
      <c r="R364" s="785"/>
      <c r="S364" s="786">
        <v>0</v>
      </c>
      <c r="T364" s="788">
        <v>-725</v>
      </c>
      <c r="U364" s="788">
        <v>-725</v>
      </c>
    </row>
    <row r="365" spans="1:21" x14ac:dyDescent="0.25">
      <c r="A365" s="782">
        <v>93681</v>
      </c>
      <c r="B365" s="783" t="s">
        <v>2977</v>
      </c>
      <c r="C365" s="784">
        <v>1.1179999999999999E-4</v>
      </c>
      <c r="D365" s="784">
        <v>1.1010000000000001E-4</v>
      </c>
      <c r="E365" s="815">
        <v>48115</v>
      </c>
      <c r="F365" s="818">
        <v>233669</v>
      </c>
      <c r="G365" s="785">
        <v>170799</v>
      </c>
      <c r="H365" s="785"/>
      <c r="I365" s="786">
        <v>9840</v>
      </c>
      <c r="J365" s="787">
        <v>41470</v>
      </c>
      <c r="K365" s="786">
        <v>24393</v>
      </c>
      <c r="L365" s="785">
        <v>264</v>
      </c>
      <c r="M365" s="785"/>
      <c r="N365" s="786">
        <v>4835</v>
      </c>
      <c r="O365" s="786">
        <v>0</v>
      </c>
      <c r="P365" s="786">
        <v>0</v>
      </c>
      <c r="Q365" s="785">
        <v>12629</v>
      </c>
      <c r="R365" s="785"/>
      <c r="S365" s="786">
        <v>57560</v>
      </c>
      <c r="T365" s="788">
        <v>-6498</v>
      </c>
      <c r="U365" s="788">
        <f>51061+1</f>
        <v>51062</v>
      </c>
    </row>
    <row r="366" spans="1:21" x14ac:dyDescent="0.25">
      <c r="A366" s="782">
        <v>93691</v>
      </c>
      <c r="B366" s="783" t="s">
        <v>2978</v>
      </c>
      <c r="C366" s="784">
        <v>1.0858E-3</v>
      </c>
      <c r="D366" s="784">
        <v>1.1251E-3</v>
      </c>
      <c r="E366" s="815">
        <v>464182</v>
      </c>
      <c r="F366" s="818">
        <v>2387839</v>
      </c>
      <c r="G366" s="785">
        <v>1658802</v>
      </c>
      <c r="H366" s="785"/>
      <c r="I366" s="786">
        <v>95562</v>
      </c>
      <c r="J366" s="787">
        <v>402759</v>
      </c>
      <c r="K366" s="786">
        <v>236900</v>
      </c>
      <c r="L366" s="785">
        <v>0</v>
      </c>
      <c r="M366" s="785"/>
      <c r="N366" s="786">
        <v>46955</v>
      </c>
      <c r="O366" s="786">
        <v>0</v>
      </c>
      <c r="P366" s="786">
        <v>0</v>
      </c>
      <c r="Q366" s="785">
        <v>115438</v>
      </c>
      <c r="R366" s="785"/>
      <c r="S366" s="786">
        <v>559018</v>
      </c>
      <c r="T366" s="788">
        <v>-42411</v>
      </c>
      <c r="U366" s="788">
        <v>516607</v>
      </c>
    </row>
    <row r="367" spans="1:21" x14ac:dyDescent="0.25">
      <c r="A367" s="782">
        <v>93701</v>
      </c>
      <c r="B367" s="783" t="s">
        <v>3667</v>
      </c>
      <c r="C367" s="784">
        <v>4.5800000000000002E-4</v>
      </c>
      <c r="D367" s="784">
        <v>4.6200000000000001E-4</v>
      </c>
      <c r="E367" s="815">
        <v>201820</v>
      </c>
      <c r="F367" s="818">
        <v>0</v>
      </c>
      <c r="G367" s="785">
        <v>699697</v>
      </c>
      <c r="H367" s="785"/>
      <c r="I367" s="786">
        <v>40309</v>
      </c>
      <c r="J367" s="787">
        <v>169888</v>
      </c>
      <c r="K367" s="786">
        <v>99926</v>
      </c>
      <c r="L367" s="785">
        <v>7923</v>
      </c>
      <c r="M367" s="785"/>
      <c r="N367" s="786">
        <v>19806</v>
      </c>
      <c r="O367" s="786">
        <v>0</v>
      </c>
      <c r="P367" s="786">
        <v>0</v>
      </c>
      <c r="Q367" s="785">
        <v>17631</v>
      </c>
      <c r="R367" s="785"/>
      <c r="S367" s="786">
        <v>235799</v>
      </c>
      <c r="T367" s="788">
        <v>566</v>
      </c>
      <c r="U367" s="788">
        <v>236365</v>
      </c>
    </row>
    <row r="368" spans="1:21" x14ac:dyDescent="0.25">
      <c r="A368" s="782">
        <v>93704</v>
      </c>
      <c r="B368" s="783" t="s">
        <v>2980</v>
      </c>
      <c r="C368" s="784">
        <v>3.0000000000000001E-6</v>
      </c>
      <c r="D368" s="784">
        <v>3.3000000000000002E-6</v>
      </c>
      <c r="E368" s="815">
        <v>1962</v>
      </c>
      <c r="F368" s="818">
        <v>7004</v>
      </c>
      <c r="G368" s="785">
        <v>4583</v>
      </c>
      <c r="H368" s="785"/>
      <c r="I368" s="786">
        <v>264</v>
      </c>
      <c r="J368" s="787">
        <v>1113</v>
      </c>
      <c r="K368" s="786">
        <v>655</v>
      </c>
      <c r="L368" s="785">
        <v>578</v>
      </c>
      <c r="M368" s="785"/>
      <c r="N368" s="786">
        <v>130</v>
      </c>
      <c r="O368" s="786">
        <v>0</v>
      </c>
      <c r="P368" s="786">
        <v>0</v>
      </c>
      <c r="Q368" s="785">
        <v>49</v>
      </c>
      <c r="R368" s="785"/>
      <c r="S368" s="786">
        <v>1545</v>
      </c>
      <c r="T368" s="788">
        <v>136</v>
      </c>
      <c r="U368" s="788">
        <v>1681</v>
      </c>
    </row>
    <row r="369" spans="1:21" x14ac:dyDescent="0.25">
      <c r="A369" s="782">
        <v>93801</v>
      </c>
      <c r="B369" s="783" t="s">
        <v>2981</v>
      </c>
      <c r="C369" s="784">
        <v>4.7889999999999999E-4</v>
      </c>
      <c r="D369" s="784">
        <v>5.4180000000000005E-4</v>
      </c>
      <c r="E369" s="815">
        <v>205984</v>
      </c>
      <c r="F369" s="818">
        <v>1149881</v>
      </c>
      <c r="G369" s="785">
        <v>731627</v>
      </c>
      <c r="H369" s="785"/>
      <c r="I369" s="786">
        <v>42148</v>
      </c>
      <c r="J369" s="787">
        <v>177639</v>
      </c>
      <c r="K369" s="786">
        <v>104486</v>
      </c>
      <c r="L369" s="785">
        <v>113630</v>
      </c>
      <c r="M369" s="785"/>
      <c r="N369" s="786">
        <v>20710</v>
      </c>
      <c r="O369" s="786">
        <v>0</v>
      </c>
      <c r="P369" s="786">
        <v>0</v>
      </c>
      <c r="Q369" s="785">
        <v>54734</v>
      </c>
      <c r="R369" s="785"/>
      <c r="S369" s="786">
        <v>246559</v>
      </c>
      <c r="T369" s="788">
        <v>28052</v>
      </c>
      <c r="U369" s="788">
        <v>274611</v>
      </c>
    </row>
    <row r="370" spans="1:21" x14ac:dyDescent="0.25">
      <c r="A370" s="782">
        <v>93803</v>
      </c>
      <c r="B370" s="783" t="s">
        <v>2982</v>
      </c>
      <c r="C370" s="784">
        <v>1.1900000000000001E-4</v>
      </c>
      <c r="D370" s="784">
        <v>1.4469999999999999E-4</v>
      </c>
      <c r="E370" s="815">
        <v>50573</v>
      </c>
      <c r="F370" s="818">
        <v>307102</v>
      </c>
      <c r="G370" s="785">
        <v>181799</v>
      </c>
      <c r="H370" s="785"/>
      <c r="I370" s="786">
        <v>10473</v>
      </c>
      <c r="J370" s="787">
        <v>44141</v>
      </c>
      <c r="K370" s="786">
        <v>25963</v>
      </c>
      <c r="L370" s="785">
        <v>0</v>
      </c>
      <c r="M370" s="785"/>
      <c r="N370" s="786">
        <v>5146</v>
      </c>
      <c r="O370" s="786">
        <v>0</v>
      </c>
      <c r="P370" s="786">
        <v>0</v>
      </c>
      <c r="Q370" s="785">
        <v>42594</v>
      </c>
      <c r="R370" s="785"/>
      <c r="S370" s="786">
        <v>61266</v>
      </c>
      <c r="T370" s="788">
        <v>-17510</v>
      </c>
      <c r="U370" s="788">
        <v>43756</v>
      </c>
    </row>
    <row r="371" spans="1:21" x14ac:dyDescent="0.25">
      <c r="A371" s="782">
        <v>93806</v>
      </c>
      <c r="B371" s="783" t="s">
        <v>2983</v>
      </c>
      <c r="C371" s="784">
        <v>9.3900000000000006E-5</v>
      </c>
      <c r="D371" s="784">
        <v>7.3700000000000002E-5</v>
      </c>
      <c r="E371" s="815">
        <v>41336</v>
      </c>
      <c r="F371" s="818">
        <v>156416</v>
      </c>
      <c r="G371" s="785">
        <v>143453</v>
      </c>
      <c r="H371" s="785"/>
      <c r="I371" s="786">
        <v>8264</v>
      </c>
      <c r="J371" s="787">
        <v>34831</v>
      </c>
      <c r="K371" s="786">
        <v>20487</v>
      </c>
      <c r="L371" s="785">
        <v>13283</v>
      </c>
      <c r="M371" s="785"/>
      <c r="N371" s="786">
        <v>4061</v>
      </c>
      <c r="O371" s="786">
        <v>0</v>
      </c>
      <c r="P371" s="786">
        <v>0</v>
      </c>
      <c r="Q371" s="785">
        <v>10049</v>
      </c>
      <c r="R371" s="785"/>
      <c r="S371" s="786">
        <v>48344</v>
      </c>
      <c r="T371" s="788">
        <v>-6121</v>
      </c>
      <c r="U371" s="788">
        <v>42223</v>
      </c>
    </row>
    <row r="372" spans="1:21" x14ac:dyDescent="0.25">
      <c r="A372" s="782">
        <v>93821</v>
      </c>
      <c r="B372" s="783" t="s">
        <v>2984</v>
      </c>
      <c r="C372" s="784">
        <v>2.9899999999999998E-5</v>
      </c>
      <c r="D372" s="784">
        <v>5.7200000000000001E-5</v>
      </c>
      <c r="E372" s="815">
        <v>36177</v>
      </c>
      <c r="F372" s="818">
        <v>121398</v>
      </c>
      <c r="G372" s="785">
        <v>45679</v>
      </c>
      <c r="H372" s="785"/>
      <c r="I372" s="786">
        <v>2632</v>
      </c>
      <c r="J372" s="787">
        <v>11090</v>
      </c>
      <c r="K372" s="786">
        <v>6524</v>
      </c>
      <c r="L372" s="785">
        <v>18424</v>
      </c>
      <c r="M372" s="785"/>
      <c r="N372" s="786">
        <v>1293</v>
      </c>
      <c r="O372" s="786">
        <v>0</v>
      </c>
      <c r="P372" s="786">
        <v>0</v>
      </c>
      <c r="Q372" s="785">
        <v>343</v>
      </c>
      <c r="R372" s="785"/>
      <c r="S372" s="786">
        <v>15394</v>
      </c>
      <c r="T372" s="788">
        <v>7633</v>
      </c>
      <c r="U372" s="788">
        <f>23026+1</f>
        <v>23027</v>
      </c>
    </row>
    <row r="373" spans="1:21" x14ac:dyDescent="0.25">
      <c r="A373" s="782">
        <v>93901</v>
      </c>
      <c r="B373" s="783" t="s">
        <v>2985</v>
      </c>
      <c r="C373" s="784">
        <v>1.7974E-3</v>
      </c>
      <c r="D373" s="784">
        <v>1.8059E-3</v>
      </c>
      <c r="E373" s="815">
        <v>887170</v>
      </c>
      <c r="F373" s="818">
        <v>3832725</v>
      </c>
      <c r="G373" s="785">
        <v>2745929</v>
      </c>
      <c r="H373" s="785"/>
      <c r="I373" s="786">
        <v>158191</v>
      </c>
      <c r="J373" s="787">
        <v>666715</v>
      </c>
      <c r="K373" s="786">
        <v>392157</v>
      </c>
      <c r="L373" s="785">
        <v>89069</v>
      </c>
      <c r="M373" s="785"/>
      <c r="N373" s="786">
        <v>77729</v>
      </c>
      <c r="O373" s="786">
        <v>0</v>
      </c>
      <c r="P373" s="786">
        <v>0</v>
      </c>
      <c r="Q373" s="785">
        <v>0</v>
      </c>
      <c r="R373" s="785"/>
      <c r="S373" s="786">
        <v>925381</v>
      </c>
      <c r="T373" s="788">
        <v>32657</v>
      </c>
      <c r="U373" s="788">
        <v>958038</v>
      </c>
    </row>
    <row r="374" spans="1:21" x14ac:dyDescent="0.25">
      <c r="A374" s="782">
        <v>93904</v>
      </c>
      <c r="B374" s="783" t="s">
        <v>2986</v>
      </c>
      <c r="C374" s="784">
        <v>3.0000000000000001E-5</v>
      </c>
      <c r="D374" s="784">
        <v>2.4700000000000001E-5</v>
      </c>
      <c r="E374" s="815">
        <v>17302</v>
      </c>
      <c r="F374" s="818">
        <v>52422</v>
      </c>
      <c r="G374" s="785">
        <v>45832</v>
      </c>
      <c r="H374" s="785"/>
      <c r="I374" s="786">
        <v>2640</v>
      </c>
      <c r="J374" s="787">
        <v>11128</v>
      </c>
      <c r="K374" s="786">
        <v>6545</v>
      </c>
      <c r="L374" s="785">
        <v>9710</v>
      </c>
      <c r="M374" s="785"/>
      <c r="N374" s="786">
        <v>1297</v>
      </c>
      <c r="O374" s="786">
        <v>0</v>
      </c>
      <c r="P374" s="786">
        <v>0</v>
      </c>
      <c r="Q374" s="785">
        <v>28</v>
      </c>
      <c r="R374" s="785"/>
      <c r="S374" s="786">
        <v>15445</v>
      </c>
      <c r="T374" s="788">
        <v>3144</v>
      </c>
      <c r="U374" s="788">
        <v>18589</v>
      </c>
    </row>
    <row r="375" spans="1:21" x14ac:dyDescent="0.25">
      <c r="A375" s="782">
        <v>93906</v>
      </c>
      <c r="B375" s="783" t="s">
        <v>2987</v>
      </c>
      <c r="C375" s="784">
        <v>3.3882000000000001E-3</v>
      </c>
      <c r="D375" s="784">
        <v>3.4513E-3</v>
      </c>
      <c r="E375" s="815">
        <v>1486051</v>
      </c>
      <c r="F375" s="818">
        <v>7324815</v>
      </c>
      <c r="G375" s="785">
        <v>5176231</v>
      </c>
      <c r="H375" s="785"/>
      <c r="I375" s="786">
        <v>298199</v>
      </c>
      <c r="J375" s="787">
        <v>1256796</v>
      </c>
      <c r="K375" s="786">
        <v>739237</v>
      </c>
      <c r="L375" s="785">
        <v>14983</v>
      </c>
      <c r="M375" s="785"/>
      <c r="N375" s="786">
        <v>146523</v>
      </c>
      <c r="O375" s="786">
        <v>0</v>
      </c>
      <c r="P375" s="786">
        <v>0</v>
      </c>
      <c r="Q375" s="785">
        <v>222323</v>
      </c>
      <c r="R375" s="785"/>
      <c r="S375" s="786">
        <v>1744394</v>
      </c>
      <c r="T375" s="788">
        <v>-70525</v>
      </c>
      <c r="U375" s="788">
        <v>1673869</v>
      </c>
    </row>
    <row r="376" spans="1:21" x14ac:dyDescent="0.25">
      <c r="A376" s="782">
        <v>93908</v>
      </c>
      <c r="B376" s="783" t="s">
        <v>3668</v>
      </c>
      <c r="C376" s="784">
        <v>5.1219999999999998E-4</v>
      </c>
      <c r="D376" s="784">
        <v>5.0239999999999996E-4</v>
      </c>
      <c r="E376" s="815">
        <v>237114</v>
      </c>
      <c r="F376" s="818">
        <v>0</v>
      </c>
      <c r="G376" s="785">
        <v>782500</v>
      </c>
      <c r="H376" s="785"/>
      <c r="I376" s="786">
        <v>45079</v>
      </c>
      <c r="J376" s="787">
        <v>189992</v>
      </c>
      <c r="K376" s="786">
        <v>111752</v>
      </c>
      <c r="L376" s="785">
        <v>12340</v>
      </c>
      <c r="M376" s="785"/>
      <c r="N376" s="786">
        <v>22150</v>
      </c>
      <c r="O376" s="786">
        <v>0</v>
      </c>
      <c r="P376" s="786">
        <v>0</v>
      </c>
      <c r="Q376" s="785">
        <v>16479</v>
      </c>
      <c r="R376" s="785"/>
      <c r="S376" s="786">
        <v>263703</v>
      </c>
      <c r="T376" s="788">
        <v>-2302</v>
      </c>
      <c r="U376" s="788">
        <v>261401</v>
      </c>
    </row>
    <row r="377" spans="1:21" x14ac:dyDescent="0.25">
      <c r="A377" s="782">
        <v>93910</v>
      </c>
      <c r="B377" s="783" t="s">
        <v>2989</v>
      </c>
      <c r="C377" s="784">
        <v>2.786E-4</v>
      </c>
      <c r="D377" s="784">
        <v>2.9129999999999998E-4</v>
      </c>
      <c r="E377" s="815">
        <v>117578</v>
      </c>
      <c r="F377" s="818">
        <v>618236</v>
      </c>
      <c r="G377" s="785">
        <v>425624</v>
      </c>
      <c r="H377" s="785"/>
      <c r="I377" s="786">
        <v>24520</v>
      </c>
      <c r="J377" s="787">
        <v>103342</v>
      </c>
      <c r="K377" s="786">
        <v>60785</v>
      </c>
      <c r="L377" s="785">
        <v>0</v>
      </c>
      <c r="M377" s="785"/>
      <c r="N377" s="786">
        <v>12048</v>
      </c>
      <c r="O377" s="786">
        <v>0</v>
      </c>
      <c r="P377" s="786">
        <v>0</v>
      </c>
      <c r="Q377" s="785">
        <v>34002</v>
      </c>
      <c r="R377" s="785"/>
      <c r="S377" s="786">
        <v>143436</v>
      </c>
      <c r="T377" s="788">
        <v>-14513</v>
      </c>
      <c r="U377" s="788">
        <v>128923</v>
      </c>
    </row>
    <row r="378" spans="1:21" x14ac:dyDescent="0.25">
      <c r="A378" s="782">
        <v>93911</v>
      </c>
      <c r="B378" s="783" t="s">
        <v>2990</v>
      </c>
      <c r="C378" s="784">
        <v>6.3429999999999997E-4</v>
      </c>
      <c r="D378" s="784">
        <v>6.9890000000000002E-4</v>
      </c>
      <c r="E378" s="815">
        <v>301989</v>
      </c>
      <c r="F378" s="818">
        <v>1483300</v>
      </c>
      <c r="G378" s="785">
        <v>969035</v>
      </c>
      <c r="H378" s="785"/>
      <c r="I378" s="786">
        <v>55825</v>
      </c>
      <c r="J378" s="787">
        <v>235283</v>
      </c>
      <c r="K378" s="786">
        <v>138392</v>
      </c>
      <c r="L378" s="785">
        <v>13175</v>
      </c>
      <c r="M378" s="785"/>
      <c r="N378" s="786">
        <v>27430</v>
      </c>
      <c r="O378" s="786">
        <v>0</v>
      </c>
      <c r="P378" s="786">
        <v>0</v>
      </c>
      <c r="Q378" s="785">
        <v>54353</v>
      </c>
      <c r="R378" s="785"/>
      <c r="S378" s="786">
        <v>326566</v>
      </c>
      <c r="T378" s="788">
        <v>-6922</v>
      </c>
      <c r="U378" s="788">
        <v>319644</v>
      </c>
    </row>
    <row r="379" spans="1:21" x14ac:dyDescent="0.25">
      <c r="A379" s="782">
        <v>93913</v>
      </c>
      <c r="B379" s="783" t="s">
        <v>2991</v>
      </c>
      <c r="C379" s="784">
        <v>5.8799999999999999E-5</v>
      </c>
      <c r="D379" s="784">
        <v>6.2600000000000004E-5</v>
      </c>
      <c r="E379" s="815">
        <v>29910</v>
      </c>
      <c r="F379" s="818">
        <v>132858</v>
      </c>
      <c r="G379" s="785">
        <v>89830</v>
      </c>
      <c r="H379" s="785"/>
      <c r="I379" s="786">
        <v>5175</v>
      </c>
      <c r="J379" s="787">
        <v>21810</v>
      </c>
      <c r="K379" s="786">
        <v>12829</v>
      </c>
      <c r="L379" s="785">
        <v>2902</v>
      </c>
      <c r="M379" s="785"/>
      <c r="N379" s="786">
        <v>2543</v>
      </c>
      <c r="O379" s="786">
        <v>0</v>
      </c>
      <c r="P379" s="786">
        <v>0</v>
      </c>
      <c r="Q379" s="785">
        <v>1064</v>
      </c>
      <c r="R379" s="785"/>
      <c r="S379" s="786">
        <v>30273</v>
      </c>
      <c r="T379" s="788">
        <v>476</v>
      </c>
      <c r="U379" s="788">
        <v>30749</v>
      </c>
    </row>
    <row r="380" spans="1:21" x14ac:dyDescent="0.25">
      <c r="A380" s="782">
        <v>93914</v>
      </c>
      <c r="B380" s="783" t="s">
        <v>2992</v>
      </c>
      <c r="C380" s="784">
        <v>8.1000000000000004E-6</v>
      </c>
      <c r="D380" s="784">
        <v>9.0999999999999993E-6</v>
      </c>
      <c r="E380" s="815">
        <v>6536</v>
      </c>
      <c r="F380" s="818">
        <v>19313</v>
      </c>
      <c r="G380" s="785">
        <v>12375</v>
      </c>
      <c r="H380" s="785"/>
      <c r="I380" s="786">
        <v>713</v>
      </c>
      <c r="J380" s="787">
        <v>3005</v>
      </c>
      <c r="K380" s="786">
        <v>1767</v>
      </c>
      <c r="L380" s="785">
        <v>3568</v>
      </c>
      <c r="M380" s="785"/>
      <c r="N380" s="786">
        <v>350</v>
      </c>
      <c r="O380" s="786">
        <v>0</v>
      </c>
      <c r="P380" s="786">
        <v>0</v>
      </c>
      <c r="Q380" s="785">
        <v>0</v>
      </c>
      <c r="R380" s="785"/>
      <c r="S380" s="786">
        <v>4170</v>
      </c>
      <c r="T380" s="788">
        <v>1520</v>
      </c>
      <c r="U380" s="788">
        <v>5690</v>
      </c>
    </row>
    <row r="381" spans="1:21" x14ac:dyDescent="0.25">
      <c r="A381" s="782">
        <v>93921</v>
      </c>
      <c r="B381" s="783" t="s">
        <v>2993</v>
      </c>
      <c r="C381" s="784">
        <v>2.9020000000000001E-4</v>
      </c>
      <c r="D381" s="784">
        <v>2.7139999999999998E-4</v>
      </c>
      <c r="E381" s="815">
        <v>126884</v>
      </c>
      <c r="F381" s="818">
        <v>576002</v>
      </c>
      <c r="G381" s="785">
        <v>443345</v>
      </c>
      <c r="H381" s="785"/>
      <c r="I381" s="786">
        <v>25541</v>
      </c>
      <c r="J381" s="787">
        <v>107645</v>
      </c>
      <c r="K381" s="786">
        <v>63316</v>
      </c>
      <c r="L381" s="785">
        <v>16222</v>
      </c>
      <c r="M381" s="785"/>
      <c r="N381" s="786">
        <v>12550</v>
      </c>
      <c r="O381" s="786">
        <v>0</v>
      </c>
      <c r="P381" s="786">
        <v>0</v>
      </c>
      <c r="Q381" s="785">
        <v>5036</v>
      </c>
      <c r="R381" s="785"/>
      <c r="S381" s="786">
        <v>149408</v>
      </c>
      <c r="T381" s="788">
        <v>6326</v>
      </c>
      <c r="U381" s="788">
        <v>155734</v>
      </c>
    </row>
    <row r="382" spans="1:21" x14ac:dyDescent="0.25">
      <c r="A382" s="782">
        <v>93931</v>
      </c>
      <c r="B382" s="783" t="s">
        <v>2994</v>
      </c>
      <c r="C382" s="784">
        <v>5.0029999999999996E-4</v>
      </c>
      <c r="D382" s="784">
        <v>5.2260000000000002E-4</v>
      </c>
      <c r="E382" s="815">
        <v>212623</v>
      </c>
      <c r="F382" s="818">
        <v>1109132</v>
      </c>
      <c r="G382" s="785">
        <v>764320</v>
      </c>
      <c r="H382" s="785"/>
      <c r="I382" s="786">
        <v>44032</v>
      </c>
      <c r="J382" s="787">
        <v>185578</v>
      </c>
      <c r="K382" s="786">
        <v>109155</v>
      </c>
      <c r="L382" s="785">
        <v>107572</v>
      </c>
      <c r="M382" s="785"/>
      <c r="N382" s="786">
        <v>21635</v>
      </c>
      <c r="O382" s="786">
        <v>0</v>
      </c>
      <c r="P382" s="786">
        <v>0</v>
      </c>
      <c r="Q382" s="785">
        <v>39017</v>
      </c>
      <c r="R382" s="785"/>
      <c r="S382" s="786">
        <v>257576</v>
      </c>
      <c r="T382" s="788">
        <v>79129</v>
      </c>
      <c r="U382" s="788">
        <v>336705</v>
      </c>
    </row>
    <row r="383" spans="1:21" x14ac:dyDescent="0.25">
      <c r="A383" s="782">
        <v>94001</v>
      </c>
      <c r="B383" s="783" t="s">
        <v>2995</v>
      </c>
      <c r="C383" s="784">
        <v>9.209E-4</v>
      </c>
      <c r="D383" s="784">
        <v>9.0240000000000003E-4</v>
      </c>
      <c r="E383" s="815">
        <v>430503</v>
      </c>
      <c r="F383" s="818">
        <v>1915195</v>
      </c>
      <c r="G383" s="785">
        <v>1406880</v>
      </c>
      <c r="H383" s="785"/>
      <c r="I383" s="786">
        <v>81049</v>
      </c>
      <c r="J383" s="787">
        <v>341592</v>
      </c>
      <c r="K383" s="786">
        <v>200922</v>
      </c>
      <c r="L383" s="785">
        <v>45532</v>
      </c>
      <c r="M383" s="785"/>
      <c r="N383" s="786">
        <v>39824</v>
      </c>
      <c r="O383" s="786">
        <v>0</v>
      </c>
      <c r="P383" s="786">
        <v>0</v>
      </c>
      <c r="Q383" s="785">
        <v>27168</v>
      </c>
      <c r="R383" s="785"/>
      <c r="S383" s="786">
        <v>474120</v>
      </c>
      <c r="T383" s="788">
        <v>-12411</v>
      </c>
      <c r="U383" s="788">
        <v>461709</v>
      </c>
    </row>
    <row r="384" spans="1:21" x14ac:dyDescent="0.25">
      <c r="A384" s="782">
        <v>94002</v>
      </c>
      <c r="B384" s="783" t="s">
        <v>2996</v>
      </c>
      <c r="C384" s="784">
        <v>7.0999999999999998E-6</v>
      </c>
      <c r="D384" s="784">
        <v>7.6000000000000001E-6</v>
      </c>
      <c r="E384" s="815">
        <v>4693</v>
      </c>
      <c r="F384" s="818">
        <v>16130</v>
      </c>
      <c r="G384" s="785">
        <v>10847</v>
      </c>
      <c r="H384" s="785"/>
      <c r="I384" s="786">
        <v>625</v>
      </c>
      <c r="J384" s="787">
        <v>2633</v>
      </c>
      <c r="K384" s="786">
        <v>1549</v>
      </c>
      <c r="L384" s="785">
        <v>1428</v>
      </c>
      <c r="M384" s="785"/>
      <c r="N384" s="786">
        <v>307</v>
      </c>
      <c r="O384" s="786">
        <v>0</v>
      </c>
      <c r="P384" s="786">
        <v>0</v>
      </c>
      <c r="Q384" s="785">
        <v>214</v>
      </c>
      <c r="R384" s="785"/>
      <c r="S384" s="786">
        <v>3655</v>
      </c>
      <c r="T384" s="788">
        <v>237</v>
      </c>
      <c r="U384" s="788">
        <v>3892</v>
      </c>
    </row>
    <row r="385" spans="1:21" x14ac:dyDescent="0.25">
      <c r="A385" s="782">
        <v>94004</v>
      </c>
      <c r="B385" s="783" t="s">
        <v>2997</v>
      </c>
      <c r="C385" s="784">
        <v>7.3000000000000004E-6</v>
      </c>
      <c r="D385" s="784">
        <v>2.7999999999999999E-6</v>
      </c>
      <c r="E385" s="815">
        <v>4145</v>
      </c>
      <c r="F385" s="818">
        <v>5943</v>
      </c>
      <c r="G385" s="785">
        <v>11152</v>
      </c>
      <c r="H385" s="785"/>
      <c r="I385" s="786">
        <v>642</v>
      </c>
      <c r="J385" s="787">
        <v>2708</v>
      </c>
      <c r="K385" s="786">
        <v>1593</v>
      </c>
      <c r="L385" s="785">
        <v>4768</v>
      </c>
      <c r="M385" s="785"/>
      <c r="N385" s="786">
        <v>316</v>
      </c>
      <c r="O385" s="786">
        <v>0</v>
      </c>
      <c r="P385" s="786">
        <v>0</v>
      </c>
      <c r="Q385" s="785">
        <v>626</v>
      </c>
      <c r="R385" s="785"/>
      <c r="S385" s="786">
        <v>3758</v>
      </c>
      <c r="T385" s="788">
        <v>706</v>
      </c>
      <c r="U385" s="788">
        <v>4464</v>
      </c>
    </row>
    <row r="386" spans="1:21" x14ac:dyDescent="0.25">
      <c r="A386" s="782">
        <v>94005</v>
      </c>
      <c r="B386" s="783" t="s">
        <v>2998</v>
      </c>
      <c r="C386" s="784">
        <v>0</v>
      </c>
      <c r="D386" s="784">
        <v>5.4999999999999999E-6</v>
      </c>
      <c r="E386" s="815">
        <v>560</v>
      </c>
      <c r="F386" s="818">
        <v>11673</v>
      </c>
      <c r="G386" s="785">
        <v>0</v>
      </c>
      <c r="H386" s="785"/>
      <c r="I386" s="786">
        <v>0</v>
      </c>
      <c r="J386" s="787">
        <v>0</v>
      </c>
      <c r="K386" s="786">
        <v>0</v>
      </c>
      <c r="L386" s="785">
        <v>0</v>
      </c>
      <c r="M386" s="785"/>
      <c r="N386" s="786">
        <v>0</v>
      </c>
      <c r="O386" s="786">
        <v>0</v>
      </c>
      <c r="P386" s="786">
        <v>0</v>
      </c>
      <c r="Q386" s="785">
        <v>5864</v>
      </c>
      <c r="R386" s="785"/>
      <c r="S386" s="786">
        <v>0</v>
      </c>
      <c r="T386" s="788">
        <v>-1984</v>
      </c>
      <c r="U386" s="788">
        <v>-1984</v>
      </c>
    </row>
    <row r="387" spans="1:21" x14ac:dyDescent="0.25">
      <c r="A387" s="782">
        <v>94011</v>
      </c>
      <c r="B387" s="783" t="s">
        <v>2999</v>
      </c>
      <c r="C387" s="784">
        <v>2.3600000000000001E-5</v>
      </c>
      <c r="D387" s="784">
        <v>2.5599999999999999E-5</v>
      </c>
      <c r="E387" s="815">
        <v>9233</v>
      </c>
      <c r="F387" s="818">
        <v>54332</v>
      </c>
      <c r="G387" s="785">
        <v>36054</v>
      </c>
      <c r="H387" s="785"/>
      <c r="I387" s="786">
        <v>2077</v>
      </c>
      <c r="J387" s="787">
        <v>8754</v>
      </c>
      <c r="K387" s="786">
        <v>5149</v>
      </c>
      <c r="L387" s="785">
        <v>3216</v>
      </c>
      <c r="M387" s="785"/>
      <c r="N387" s="786">
        <v>1021</v>
      </c>
      <c r="O387" s="786">
        <v>0</v>
      </c>
      <c r="P387" s="786">
        <v>0</v>
      </c>
      <c r="Q387" s="785">
        <v>3156</v>
      </c>
      <c r="R387" s="785"/>
      <c r="S387" s="786">
        <v>12150</v>
      </c>
      <c r="T387" s="788">
        <v>-16</v>
      </c>
      <c r="U387" s="788">
        <v>12134</v>
      </c>
    </row>
    <row r="388" spans="1:21" x14ac:dyDescent="0.25">
      <c r="A388" s="782">
        <v>94021</v>
      </c>
      <c r="B388" s="783" t="s">
        <v>3000</v>
      </c>
      <c r="C388" s="784">
        <v>9.3399999999999993E-5</v>
      </c>
      <c r="D388" s="784">
        <v>8.1699999999999994E-5</v>
      </c>
      <c r="E388" s="815">
        <v>47346</v>
      </c>
      <c r="F388" s="818">
        <v>173395</v>
      </c>
      <c r="G388" s="785">
        <v>142689</v>
      </c>
      <c r="H388" s="785"/>
      <c r="I388" s="786">
        <v>8220</v>
      </c>
      <c r="J388" s="787">
        <v>34645</v>
      </c>
      <c r="K388" s="786">
        <v>20378</v>
      </c>
      <c r="L388" s="785">
        <v>20025</v>
      </c>
      <c r="M388" s="785"/>
      <c r="N388" s="786">
        <v>4039</v>
      </c>
      <c r="O388" s="786">
        <v>0</v>
      </c>
      <c r="P388" s="786">
        <v>0</v>
      </c>
      <c r="Q388" s="785">
        <v>0</v>
      </c>
      <c r="R388" s="785"/>
      <c r="S388" s="786">
        <v>48086</v>
      </c>
      <c r="T388" s="788">
        <v>8567</v>
      </c>
      <c r="U388" s="788">
        <v>56653</v>
      </c>
    </row>
    <row r="389" spans="1:21" x14ac:dyDescent="0.25">
      <c r="A389" s="782">
        <v>94031</v>
      </c>
      <c r="B389" s="783" t="s">
        <v>3001</v>
      </c>
      <c r="C389" s="784">
        <v>5.4E-6</v>
      </c>
      <c r="D389" s="784">
        <v>8.1000000000000004E-6</v>
      </c>
      <c r="E389" s="815">
        <v>6800</v>
      </c>
      <c r="F389" s="818">
        <v>17191</v>
      </c>
      <c r="G389" s="785">
        <v>8250</v>
      </c>
      <c r="H389" s="785"/>
      <c r="I389" s="786">
        <v>475</v>
      </c>
      <c r="J389" s="787">
        <v>2003</v>
      </c>
      <c r="K389" s="786">
        <v>1178</v>
      </c>
      <c r="L389" s="785">
        <v>7232</v>
      </c>
      <c r="M389" s="785"/>
      <c r="N389" s="786">
        <v>234</v>
      </c>
      <c r="O389" s="786">
        <v>0</v>
      </c>
      <c r="P389" s="786">
        <v>0</v>
      </c>
      <c r="Q389" s="785">
        <v>41</v>
      </c>
      <c r="R389" s="785"/>
      <c r="S389" s="786">
        <v>2780</v>
      </c>
      <c r="T389" s="788">
        <v>2829</v>
      </c>
      <c r="U389" s="788">
        <v>5609</v>
      </c>
    </row>
    <row r="390" spans="1:21" x14ac:dyDescent="0.25">
      <c r="A390" s="782">
        <v>94101</v>
      </c>
      <c r="B390" s="783" t="s">
        <v>3002</v>
      </c>
      <c r="C390" s="784">
        <v>1.8321799999999999E-2</v>
      </c>
      <c r="D390" s="784">
        <v>1.85028E-2</v>
      </c>
      <c r="E390" s="815">
        <v>8515875</v>
      </c>
      <c r="F390" s="818">
        <v>39269140</v>
      </c>
      <c r="G390" s="785">
        <v>27990635</v>
      </c>
      <c r="H390" s="785"/>
      <c r="I390" s="786">
        <v>1612520</v>
      </c>
      <c r="J390" s="787">
        <v>6796161</v>
      </c>
      <c r="K390" s="786">
        <v>3997450</v>
      </c>
      <c r="L390" s="785">
        <v>271577</v>
      </c>
      <c r="M390" s="785"/>
      <c r="N390" s="786">
        <v>792326</v>
      </c>
      <c r="O390" s="786">
        <v>0</v>
      </c>
      <c r="P390" s="786">
        <v>0</v>
      </c>
      <c r="Q390" s="785">
        <v>721969</v>
      </c>
      <c r="R390" s="785"/>
      <c r="S390" s="786">
        <v>9432869</v>
      </c>
      <c r="T390" s="788">
        <v>-270678</v>
      </c>
      <c r="U390" s="788">
        <v>9162191</v>
      </c>
    </row>
    <row r="391" spans="1:21" x14ac:dyDescent="0.25">
      <c r="A391" s="782">
        <v>94102</v>
      </c>
      <c r="B391" s="783" t="s">
        <v>3003</v>
      </c>
      <c r="C391" s="784">
        <v>2.965E-4</v>
      </c>
      <c r="D391" s="784">
        <v>2.7569999999999998E-4</v>
      </c>
      <c r="E391" s="815">
        <v>104557</v>
      </c>
      <c r="F391" s="818">
        <v>585128</v>
      </c>
      <c r="G391" s="785">
        <v>452970</v>
      </c>
      <c r="H391" s="785"/>
      <c r="I391" s="786">
        <v>26095</v>
      </c>
      <c r="J391" s="787">
        <v>109981</v>
      </c>
      <c r="K391" s="786">
        <v>64690</v>
      </c>
      <c r="L391" s="785">
        <v>2570</v>
      </c>
      <c r="M391" s="785"/>
      <c r="N391" s="786">
        <v>12822</v>
      </c>
      <c r="O391" s="786">
        <v>0</v>
      </c>
      <c r="P391" s="786">
        <v>0</v>
      </c>
      <c r="Q391" s="785">
        <v>36856</v>
      </c>
      <c r="R391" s="785"/>
      <c r="S391" s="786">
        <v>152651</v>
      </c>
      <c r="T391" s="788">
        <v>-11311</v>
      </c>
      <c r="U391" s="788">
        <v>141340</v>
      </c>
    </row>
    <row r="392" spans="1:21" x14ac:dyDescent="0.25">
      <c r="A392" s="782">
        <v>94108</v>
      </c>
      <c r="B392" s="783" t="s">
        <v>3004</v>
      </c>
      <c r="C392" s="784">
        <v>3.1389999999999999E-4</v>
      </c>
      <c r="D392" s="784">
        <v>3.1809999999999998E-4</v>
      </c>
      <c r="E392" s="815">
        <v>112936</v>
      </c>
      <c r="F392" s="818">
        <v>675115</v>
      </c>
      <c r="G392" s="785">
        <v>479552</v>
      </c>
      <c r="H392" s="785"/>
      <c r="I392" s="786">
        <v>27627</v>
      </c>
      <c r="J392" s="787">
        <v>116436</v>
      </c>
      <c r="K392" s="786">
        <v>68487</v>
      </c>
      <c r="L392" s="785">
        <v>0</v>
      </c>
      <c r="M392" s="785"/>
      <c r="N392" s="786">
        <v>13575</v>
      </c>
      <c r="O392" s="786">
        <v>0</v>
      </c>
      <c r="P392" s="786">
        <v>0</v>
      </c>
      <c r="Q392" s="785">
        <v>108607</v>
      </c>
      <c r="R392" s="785"/>
      <c r="S392" s="786">
        <v>161610</v>
      </c>
      <c r="T392" s="788">
        <v>-47459</v>
      </c>
      <c r="U392" s="788">
        <v>114151</v>
      </c>
    </row>
    <row r="393" spans="1:21" x14ac:dyDescent="0.25">
      <c r="A393" s="782">
        <v>94109</v>
      </c>
      <c r="B393" s="783" t="s">
        <v>3005</v>
      </c>
      <c r="C393" s="784">
        <v>9.09E-5</v>
      </c>
      <c r="D393" s="784">
        <v>1.0399999999999999E-4</v>
      </c>
      <c r="E393" s="815">
        <v>31710</v>
      </c>
      <c r="F393" s="818">
        <v>220723</v>
      </c>
      <c r="G393" s="785">
        <v>138870</v>
      </c>
      <c r="H393" s="785"/>
      <c r="I393" s="786">
        <v>8000</v>
      </c>
      <c r="J393" s="787">
        <v>33718</v>
      </c>
      <c r="K393" s="786">
        <v>19833</v>
      </c>
      <c r="L393" s="785">
        <v>796</v>
      </c>
      <c r="M393" s="785"/>
      <c r="N393" s="786">
        <v>3931</v>
      </c>
      <c r="O393" s="786">
        <v>0</v>
      </c>
      <c r="P393" s="786">
        <v>0</v>
      </c>
      <c r="Q393" s="785">
        <v>41294</v>
      </c>
      <c r="R393" s="785"/>
      <c r="S393" s="786">
        <v>46799</v>
      </c>
      <c r="T393" s="788">
        <v>-12890</v>
      </c>
      <c r="U393" s="788">
        <v>33909</v>
      </c>
    </row>
    <row r="394" spans="1:21" x14ac:dyDescent="0.25">
      <c r="A394" s="782">
        <v>94111</v>
      </c>
      <c r="B394" s="783" t="s">
        <v>3006</v>
      </c>
      <c r="C394" s="784">
        <v>2.5682300000000002E-2</v>
      </c>
      <c r="D394" s="784">
        <v>2.5623300000000002E-2</v>
      </c>
      <c r="E394" s="815">
        <v>11270051</v>
      </c>
      <c r="F394" s="818">
        <v>54381226</v>
      </c>
      <c r="G394" s="785">
        <v>39235440</v>
      </c>
      <c r="H394" s="785"/>
      <c r="I394" s="786">
        <v>2260325</v>
      </c>
      <c r="J394" s="787">
        <v>9526412</v>
      </c>
      <c r="K394" s="786">
        <v>5603364</v>
      </c>
      <c r="L394" s="785">
        <v>7528</v>
      </c>
      <c r="M394" s="785"/>
      <c r="N394" s="786">
        <v>1110631</v>
      </c>
      <c r="O394" s="786">
        <v>0</v>
      </c>
      <c r="P394" s="786">
        <v>0</v>
      </c>
      <c r="Q394" s="785">
        <v>1491627</v>
      </c>
      <c r="R394" s="785"/>
      <c r="S394" s="786">
        <v>13222378</v>
      </c>
      <c r="T394" s="788">
        <v>-524586</v>
      </c>
      <c r="U394" s="788">
        <v>12697792</v>
      </c>
    </row>
    <row r="395" spans="1:21" x14ac:dyDescent="0.25">
      <c r="A395" s="782">
        <v>94112</v>
      </c>
      <c r="B395" s="783" t="s">
        <v>3007</v>
      </c>
      <c r="C395" s="784">
        <v>1.6699999999999999E-4</v>
      </c>
      <c r="D395" s="784">
        <v>1.6530000000000001E-4</v>
      </c>
      <c r="E395" s="815">
        <v>68640</v>
      </c>
      <c r="F395" s="818">
        <v>350822</v>
      </c>
      <c r="G395" s="785">
        <v>255130</v>
      </c>
      <c r="H395" s="785"/>
      <c r="I395" s="786">
        <v>14698</v>
      </c>
      <c r="J395" s="787">
        <v>61946</v>
      </c>
      <c r="K395" s="786">
        <v>36436</v>
      </c>
      <c r="L395" s="785">
        <v>0</v>
      </c>
      <c r="M395" s="785"/>
      <c r="N395" s="786">
        <v>7222</v>
      </c>
      <c r="O395" s="786">
        <v>0</v>
      </c>
      <c r="P395" s="786">
        <v>0</v>
      </c>
      <c r="Q395" s="785">
        <v>18973</v>
      </c>
      <c r="R395" s="785"/>
      <c r="S395" s="786">
        <v>85979</v>
      </c>
      <c r="T395" s="788">
        <v>-8534</v>
      </c>
      <c r="U395" s="788">
        <v>77445</v>
      </c>
    </row>
    <row r="396" spans="1:21" x14ac:dyDescent="0.25">
      <c r="A396" s="782">
        <v>94117</v>
      </c>
      <c r="B396" s="783" t="s">
        <v>3008</v>
      </c>
      <c r="C396" s="784">
        <v>3.9809999999999997E-4</v>
      </c>
      <c r="D396" s="784">
        <v>4.0709999999999997E-4</v>
      </c>
      <c r="E396" s="815">
        <v>179744</v>
      </c>
      <c r="F396" s="818">
        <v>864003</v>
      </c>
      <c r="G396" s="785">
        <v>608187</v>
      </c>
      <c r="H396" s="785"/>
      <c r="I396" s="786">
        <v>35037</v>
      </c>
      <c r="J396" s="787">
        <v>147669</v>
      </c>
      <c r="K396" s="786">
        <v>86857</v>
      </c>
      <c r="L396" s="785">
        <v>8133</v>
      </c>
      <c r="M396" s="785"/>
      <c r="N396" s="786">
        <v>17216</v>
      </c>
      <c r="O396" s="786">
        <v>0</v>
      </c>
      <c r="P396" s="786">
        <v>0</v>
      </c>
      <c r="Q396" s="785">
        <v>15587</v>
      </c>
      <c r="R396" s="785"/>
      <c r="S396" s="786">
        <v>204959</v>
      </c>
      <c r="T396" s="788">
        <v>-79</v>
      </c>
      <c r="U396" s="788">
        <v>204880</v>
      </c>
    </row>
    <row r="397" spans="1:21" x14ac:dyDescent="0.25">
      <c r="A397" s="782">
        <v>94118</v>
      </c>
      <c r="B397" s="783" t="s">
        <v>3009</v>
      </c>
      <c r="C397" s="784">
        <v>1.494E-4</v>
      </c>
      <c r="D397" s="784">
        <v>1.63E-4</v>
      </c>
      <c r="E397" s="815">
        <v>57233</v>
      </c>
      <c r="F397" s="818">
        <v>345941</v>
      </c>
      <c r="G397" s="785">
        <v>228242</v>
      </c>
      <c r="H397" s="785"/>
      <c r="I397" s="786">
        <v>13149</v>
      </c>
      <c r="J397" s="787">
        <v>55417</v>
      </c>
      <c r="K397" s="786">
        <v>32596</v>
      </c>
      <c r="L397" s="785">
        <v>0</v>
      </c>
      <c r="M397" s="785"/>
      <c r="N397" s="786">
        <v>6461</v>
      </c>
      <c r="O397" s="786">
        <v>0</v>
      </c>
      <c r="P397" s="786">
        <v>0</v>
      </c>
      <c r="Q397" s="785">
        <v>56599</v>
      </c>
      <c r="R397" s="785"/>
      <c r="S397" s="786">
        <v>76918</v>
      </c>
      <c r="T397" s="788">
        <v>-24768</v>
      </c>
      <c r="U397" s="788">
        <v>52150</v>
      </c>
    </row>
    <row r="398" spans="1:21" x14ac:dyDescent="0.25">
      <c r="A398" s="782">
        <v>94121</v>
      </c>
      <c r="B398" s="783" t="s">
        <v>3010</v>
      </c>
      <c r="C398" s="784">
        <v>1.1246000000000001E-2</v>
      </c>
      <c r="D398" s="784">
        <v>1.12823E-2</v>
      </c>
      <c r="E398" s="815">
        <v>5240634</v>
      </c>
      <c r="F398" s="818">
        <v>23944820</v>
      </c>
      <c r="G398" s="785">
        <v>17180773</v>
      </c>
      <c r="H398" s="785"/>
      <c r="I398" s="786">
        <v>989772</v>
      </c>
      <c r="J398" s="787">
        <v>4171512</v>
      </c>
      <c r="K398" s="786">
        <v>2453652</v>
      </c>
      <c r="L398" s="785">
        <v>65556</v>
      </c>
      <c r="M398" s="785"/>
      <c r="N398" s="786">
        <v>486333</v>
      </c>
      <c r="O398" s="786">
        <v>0</v>
      </c>
      <c r="P398" s="786">
        <v>0</v>
      </c>
      <c r="Q398" s="785">
        <v>276825</v>
      </c>
      <c r="R398" s="785"/>
      <c r="S398" s="786">
        <v>5789936</v>
      </c>
      <c r="T398" s="788">
        <v>-128084</v>
      </c>
      <c r="U398" s="788">
        <v>5661852</v>
      </c>
    </row>
    <row r="399" spans="1:21" x14ac:dyDescent="0.25">
      <c r="A399" s="782">
        <v>94127</v>
      </c>
      <c r="B399" s="783" t="s">
        <v>3011</v>
      </c>
      <c r="C399" s="784">
        <v>1.7310000000000001E-4</v>
      </c>
      <c r="D399" s="784">
        <v>1.528E-4</v>
      </c>
      <c r="E399" s="815">
        <v>70093</v>
      </c>
      <c r="F399" s="818">
        <v>324293</v>
      </c>
      <c r="G399" s="785">
        <v>264449</v>
      </c>
      <c r="H399" s="785"/>
      <c r="I399" s="786">
        <v>15235</v>
      </c>
      <c r="J399" s="787">
        <v>64208</v>
      </c>
      <c r="K399" s="786">
        <v>37767</v>
      </c>
      <c r="L399" s="785">
        <v>8697</v>
      </c>
      <c r="M399" s="785"/>
      <c r="N399" s="786">
        <v>7486</v>
      </c>
      <c r="O399" s="786">
        <v>0</v>
      </c>
      <c r="P399" s="786">
        <v>0</v>
      </c>
      <c r="Q399" s="785">
        <v>398</v>
      </c>
      <c r="R399" s="785"/>
      <c r="S399" s="786">
        <v>89119</v>
      </c>
      <c r="T399" s="788">
        <v>2605</v>
      </c>
      <c r="U399" s="788">
        <v>91724</v>
      </c>
    </row>
    <row r="400" spans="1:21" x14ac:dyDescent="0.25">
      <c r="A400" s="782">
        <v>94131</v>
      </c>
      <c r="B400" s="783" t="s">
        <v>3012</v>
      </c>
      <c r="C400" s="784">
        <v>1.7479999999999999E-4</v>
      </c>
      <c r="D400" s="784">
        <v>2.0049999999999999E-4</v>
      </c>
      <c r="E400" s="815">
        <v>91156</v>
      </c>
      <c r="F400" s="818">
        <v>425528</v>
      </c>
      <c r="G400" s="785">
        <v>267046</v>
      </c>
      <c r="H400" s="785"/>
      <c r="I400" s="786">
        <v>15384</v>
      </c>
      <c r="J400" s="787">
        <v>64840</v>
      </c>
      <c r="K400" s="786">
        <v>38138</v>
      </c>
      <c r="L400" s="785">
        <v>3004</v>
      </c>
      <c r="M400" s="785"/>
      <c r="N400" s="786">
        <v>7559</v>
      </c>
      <c r="O400" s="786">
        <v>0</v>
      </c>
      <c r="P400" s="786">
        <v>0</v>
      </c>
      <c r="Q400" s="785">
        <v>9062</v>
      </c>
      <c r="R400" s="785"/>
      <c r="S400" s="786">
        <v>89995</v>
      </c>
      <c r="T400" s="788">
        <v>-1148</v>
      </c>
      <c r="U400" s="788">
        <v>88847</v>
      </c>
    </row>
    <row r="401" spans="1:21" x14ac:dyDescent="0.25">
      <c r="A401" s="782">
        <v>94151</v>
      </c>
      <c r="B401" s="783" t="s">
        <v>3013</v>
      </c>
      <c r="C401" s="784">
        <v>4.1590000000000003E-4</v>
      </c>
      <c r="D401" s="784">
        <v>4.2870000000000001E-4</v>
      </c>
      <c r="E401" s="815">
        <v>171244</v>
      </c>
      <c r="F401" s="818">
        <v>909845</v>
      </c>
      <c r="G401" s="785">
        <v>635380</v>
      </c>
      <c r="H401" s="785"/>
      <c r="I401" s="786">
        <v>36604</v>
      </c>
      <c r="J401" s="787">
        <v>154271</v>
      </c>
      <c r="K401" s="786">
        <v>90741</v>
      </c>
      <c r="L401" s="785">
        <v>0</v>
      </c>
      <c r="M401" s="785"/>
      <c r="N401" s="786">
        <v>17986</v>
      </c>
      <c r="O401" s="786">
        <v>0</v>
      </c>
      <c r="P401" s="786">
        <v>0</v>
      </c>
      <c r="Q401" s="785">
        <v>36672</v>
      </c>
      <c r="R401" s="785"/>
      <c r="S401" s="786">
        <v>214124</v>
      </c>
      <c r="T401" s="788">
        <v>-12878</v>
      </c>
      <c r="U401" s="788">
        <v>201246</v>
      </c>
    </row>
    <row r="402" spans="1:21" x14ac:dyDescent="0.25">
      <c r="A402" s="782">
        <v>94157</v>
      </c>
      <c r="B402" s="783" t="s">
        <v>3014</v>
      </c>
      <c r="C402" s="784">
        <v>8.8999999999999995E-6</v>
      </c>
      <c r="D402" s="784">
        <v>9.3999999999999998E-6</v>
      </c>
      <c r="E402" s="815">
        <v>5186</v>
      </c>
      <c r="F402" s="818">
        <v>19950</v>
      </c>
      <c r="G402" s="785">
        <v>13597</v>
      </c>
      <c r="H402" s="785"/>
      <c r="I402" s="786">
        <v>783</v>
      </c>
      <c r="J402" s="787">
        <v>3302</v>
      </c>
      <c r="K402" s="786">
        <v>1942</v>
      </c>
      <c r="L402" s="785">
        <v>3748</v>
      </c>
      <c r="M402" s="785"/>
      <c r="N402" s="786">
        <v>385</v>
      </c>
      <c r="O402" s="786">
        <v>0</v>
      </c>
      <c r="P402" s="786">
        <v>0</v>
      </c>
      <c r="Q402" s="785">
        <v>0</v>
      </c>
      <c r="R402" s="785"/>
      <c r="S402" s="786">
        <v>4582</v>
      </c>
      <c r="T402" s="788">
        <v>2084</v>
      </c>
      <c r="U402" s="788">
        <v>6666</v>
      </c>
    </row>
    <row r="403" spans="1:21" x14ac:dyDescent="0.25">
      <c r="A403" s="782">
        <v>94161</v>
      </c>
      <c r="B403" s="783" t="s">
        <v>3015</v>
      </c>
      <c r="C403" s="784">
        <v>5.1900000000000001E-5</v>
      </c>
      <c r="D403" s="784">
        <v>5.7899999999999998E-5</v>
      </c>
      <c r="E403" s="815">
        <v>24925</v>
      </c>
      <c r="F403" s="818">
        <v>122883</v>
      </c>
      <c r="G403" s="785">
        <v>79289</v>
      </c>
      <c r="H403" s="785"/>
      <c r="I403" s="786">
        <v>4568</v>
      </c>
      <c r="J403" s="787">
        <v>19252</v>
      </c>
      <c r="K403" s="786">
        <v>11324</v>
      </c>
      <c r="L403" s="785">
        <v>5455</v>
      </c>
      <c r="M403" s="785"/>
      <c r="N403" s="786">
        <v>2244</v>
      </c>
      <c r="O403" s="786">
        <v>0</v>
      </c>
      <c r="P403" s="786">
        <v>0</v>
      </c>
      <c r="Q403" s="785">
        <v>3144</v>
      </c>
      <c r="R403" s="785"/>
      <c r="S403" s="786">
        <v>26720</v>
      </c>
      <c r="T403" s="788">
        <v>2302</v>
      </c>
      <c r="U403" s="788">
        <v>29022</v>
      </c>
    </row>
    <row r="404" spans="1:21" x14ac:dyDescent="0.25">
      <c r="A404" s="782">
        <v>94168</v>
      </c>
      <c r="B404" s="783" t="s">
        <v>3016</v>
      </c>
      <c r="C404" s="784">
        <v>2.5899999999999999E-5</v>
      </c>
      <c r="D404" s="784">
        <v>3.4E-5</v>
      </c>
      <c r="E404" s="815">
        <v>14686</v>
      </c>
      <c r="F404" s="818">
        <v>72159</v>
      </c>
      <c r="G404" s="785">
        <v>39568</v>
      </c>
      <c r="H404" s="785"/>
      <c r="I404" s="786">
        <v>2279</v>
      </c>
      <c r="J404" s="787">
        <v>9607</v>
      </c>
      <c r="K404" s="786">
        <v>5651</v>
      </c>
      <c r="L404" s="785">
        <v>0</v>
      </c>
      <c r="M404" s="785"/>
      <c r="N404" s="786">
        <v>1120</v>
      </c>
      <c r="O404" s="786">
        <v>0</v>
      </c>
      <c r="P404" s="786">
        <v>0</v>
      </c>
      <c r="Q404" s="785">
        <v>11664</v>
      </c>
      <c r="R404" s="785"/>
      <c r="S404" s="786">
        <v>13334</v>
      </c>
      <c r="T404" s="788">
        <v>-5442</v>
      </c>
      <c r="U404" s="788">
        <v>7892</v>
      </c>
    </row>
    <row r="405" spans="1:21" x14ac:dyDescent="0.25">
      <c r="A405" s="782">
        <v>94171</v>
      </c>
      <c r="B405" s="783" t="s">
        <v>3017</v>
      </c>
      <c r="C405" s="784">
        <v>6.9800000000000003E-5</v>
      </c>
      <c r="D405" s="784">
        <v>5.5000000000000002E-5</v>
      </c>
      <c r="E405" s="815">
        <v>26828</v>
      </c>
      <c r="F405" s="818">
        <v>116728</v>
      </c>
      <c r="G405" s="785">
        <v>106635</v>
      </c>
      <c r="H405" s="785"/>
      <c r="I405" s="786">
        <v>6143</v>
      </c>
      <c r="J405" s="787">
        <v>25891</v>
      </c>
      <c r="K405" s="786">
        <v>15229</v>
      </c>
      <c r="L405" s="785">
        <v>10026</v>
      </c>
      <c r="M405" s="785"/>
      <c r="N405" s="786">
        <v>3019</v>
      </c>
      <c r="O405" s="786">
        <v>0</v>
      </c>
      <c r="P405" s="786">
        <v>0</v>
      </c>
      <c r="Q405" s="785">
        <v>862</v>
      </c>
      <c r="R405" s="785"/>
      <c r="S405" s="786">
        <v>35936</v>
      </c>
      <c r="T405" s="788">
        <v>2780</v>
      </c>
      <c r="U405" s="788">
        <v>38716</v>
      </c>
    </row>
    <row r="406" spans="1:21" x14ac:dyDescent="0.25">
      <c r="A406" s="782">
        <v>94172</v>
      </c>
      <c r="B406" s="783" t="s">
        <v>3018</v>
      </c>
      <c r="C406" s="784">
        <v>2.6289999999999999E-4</v>
      </c>
      <c r="D406" s="784">
        <v>2.6699999999999998E-4</v>
      </c>
      <c r="E406" s="815">
        <v>91553</v>
      </c>
      <c r="F406" s="818">
        <v>566663</v>
      </c>
      <c r="G406" s="785">
        <v>401638</v>
      </c>
      <c r="H406" s="785"/>
      <c r="I406" s="786">
        <v>23138</v>
      </c>
      <c r="J406" s="787">
        <v>97518</v>
      </c>
      <c r="K406" s="786">
        <v>57360</v>
      </c>
      <c r="L406" s="785">
        <v>0</v>
      </c>
      <c r="M406" s="785"/>
      <c r="N406" s="786">
        <v>11369</v>
      </c>
      <c r="O406" s="786">
        <v>0</v>
      </c>
      <c r="P406" s="786">
        <v>0</v>
      </c>
      <c r="Q406" s="785">
        <v>90059</v>
      </c>
      <c r="R406" s="785"/>
      <c r="S406" s="786">
        <v>135352</v>
      </c>
      <c r="T406" s="788">
        <v>-41178</v>
      </c>
      <c r="U406" s="788">
        <v>94174</v>
      </c>
    </row>
    <row r="407" spans="1:21" x14ac:dyDescent="0.25">
      <c r="A407" s="782">
        <v>94201</v>
      </c>
      <c r="B407" s="783" t="s">
        <v>3019</v>
      </c>
      <c r="C407" s="784">
        <v>3.3658999999999998E-3</v>
      </c>
      <c r="D407" s="784">
        <v>3.4813000000000001E-3</v>
      </c>
      <c r="E407" s="815">
        <v>1556105</v>
      </c>
      <c r="F407" s="818">
        <v>7388485</v>
      </c>
      <c r="G407" s="785">
        <v>5142163</v>
      </c>
      <c r="H407" s="785"/>
      <c r="I407" s="786">
        <v>296236</v>
      </c>
      <c r="J407" s="787">
        <v>1248524</v>
      </c>
      <c r="K407" s="786">
        <v>734372</v>
      </c>
      <c r="L407" s="785">
        <v>37947</v>
      </c>
      <c r="M407" s="785"/>
      <c r="N407" s="786">
        <v>145558</v>
      </c>
      <c r="O407" s="786">
        <v>0</v>
      </c>
      <c r="P407" s="786">
        <v>0</v>
      </c>
      <c r="Q407" s="785">
        <v>70514</v>
      </c>
      <c r="R407" s="785"/>
      <c r="S407" s="786">
        <v>1732913</v>
      </c>
      <c r="T407" s="788">
        <v>-942</v>
      </c>
      <c r="U407" s="788">
        <v>1731971</v>
      </c>
    </row>
    <row r="408" spans="1:21" x14ac:dyDescent="0.25">
      <c r="A408" s="782">
        <v>94204</v>
      </c>
      <c r="B408" s="783" t="s">
        <v>3020</v>
      </c>
      <c r="C408" s="784">
        <v>2.5899999999999999E-5</v>
      </c>
      <c r="D408" s="784">
        <v>2.4899999999999999E-5</v>
      </c>
      <c r="E408" s="815">
        <v>17428</v>
      </c>
      <c r="F408" s="818">
        <v>52846</v>
      </c>
      <c r="G408" s="785">
        <v>39568</v>
      </c>
      <c r="H408" s="785"/>
      <c r="I408" s="786">
        <v>2279</v>
      </c>
      <c r="J408" s="787">
        <v>9607</v>
      </c>
      <c r="K408" s="786">
        <v>5651</v>
      </c>
      <c r="L408" s="785">
        <v>12190</v>
      </c>
      <c r="M408" s="785"/>
      <c r="N408" s="786">
        <v>1120</v>
      </c>
      <c r="O408" s="786">
        <v>0</v>
      </c>
      <c r="P408" s="786">
        <v>0</v>
      </c>
      <c r="Q408" s="785">
        <v>0</v>
      </c>
      <c r="R408" s="785"/>
      <c r="S408" s="786">
        <v>13334</v>
      </c>
      <c r="T408" s="788">
        <v>4996</v>
      </c>
      <c r="U408" s="788">
        <v>18330</v>
      </c>
    </row>
    <row r="409" spans="1:21" x14ac:dyDescent="0.25">
      <c r="A409" s="782">
        <v>94205</v>
      </c>
      <c r="B409" s="783" t="s">
        <v>3021</v>
      </c>
      <c r="C409" s="784">
        <v>2.0699999999999998E-5</v>
      </c>
      <c r="D409" s="784">
        <v>2.6100000000000001E-5</v>
      </c>
      <c r="E409" s="815">
        <v>11902</v>
      </c>
      <c r="F409" s="818">
        <v>55393</v>
      </c>
      <c r="G409" s="785">
        <v>31624</v>
      </c>
      <c r="H409" s="785"/>
      <c r="I409" s="786">
        <v>1822</v>
      </c>
      <c r="J409" s="787">
        <v>7678</v>
      </c>
      <c r="K409" s="786">
        <v>4516</v>
      </c>
      <c r="L409" s="785">
        <v>1652</v>
      </c>
      <c r="M409" s="785"/>
      <c r="N409" s="786">
        <v>895</v>
      </c>
      <c r="O409" s="786">
        <v>0</v>
      </c>
      <c r="P409" s="786">
        <v>0</v>
      </c>
      <c r="Q409" s="785">
        <v>5048</v>
      </c>
      <c r="R409" s="785"/>
      <c r="S409" s="786">
        <v>10657</v>
      </c>
      <c r="T409" s="788">
        <v>-3026</v>
      </c>
      <c r="U409" s="788">
        <v>7631</v>
      </c>
    </row>
    <row r="410" spans="1:21" x14ac:dyDescent="0.25">
      <c r="A410" s="782">
        <v>94209</v>
      </c>
      <c r="B410" s="783" t="s">
        <v>3022</v>
      </c>
      <c r="C410" s="784">
        <v>3.4190000000000002E-4</v>
      </c>
      <c r="D410" s="784">
        <v>3.2909999999999998E-4</v>
      </c>
      <c r="E410" s="815">
        <v>157003</v>
      </c>
      <c r="F410" s="818">
        <v>698460</v>
      </c>
      <c r="G410" s="785">
        <v>522328</v>
      </c>
      <c r="H410" s="785"/>
      <c r="I410" s="786">
        <v>30091</v>
      </c>
      <c r="J410" s="787">
        <v>126822</v>
      </c>
      <c r="K410" s="786">
        <v>74596</v>
      </c>
      <c r="L410" s="785">
        <v>23431</v>
      </c>
      <c r="M410" s="785"/>
      <c r="N410" s="786">
        <v>14785</v>
      </c>
      <c r="O410" s="786">
        <v>0</v>
      </c>
      <c r="P410" s="786">
        <v>0</v>
      </c>
      <c r="Q410" s="785">
        <v>7196</v>
      </c>
      <c r="R410" s="785"/>
      <c r="S410" s="786">
        <v>176025</v>
      </c>
      <c r="T410" s="788">
        <v>9128</v>
      </c>
      <c r="U410" s="788">
        <v>185153</v>
      </c>
    </row>
    <row r="411" spans="1:21" x14ac:dyDescent="0.25">
      <c r="A411" s="782">
        <v>94211</v>
      </c>
      <c r="B411" s="783" t="s">
        <v>3023</v>
      </c>
      <c r="C411" s="784">
        <v>1.3660000000000001E-4</v>
      </c>
      <c r="D411" s="784">
        <v>1.2400000000000001E-4</v>
      </c>
      <c r="E411" s="815">
        <v>61663</v>
      </c>
      <c r="F411" s="818">
        <v>263170</v>
      </c>
      <c r="G411" s="785">
        <v>208687</v>
      </c>
      <c r="H411" s="785"/>
      <c r="I411" s="786">
        <v>12022</v>
      </c>
      <c r="J411" s="787">
        <v>50669</v>
      </c>
      <c r="K411" s="786">
        <v>29803</v>
      </c>
      <c r="L411" s="785">
        <v>7857</v>
      </c>
      <c r="M411" s="785"/>
      <c r="N411" s="786">
        <v>5907</v>
      </c>
      <c r="O411" s="786">
        <v>0</v>
      </c>
      <c r="P411" s="786">
        <v>0</v>
      </c>
      <c r="Q411" s="785">
        <v>17326</v>
      </c>
      <c r="R411" s="785"/>
      <c r="S411" s="786">
        <v>70328</v>
      </c>
      <c r="T411" s="788">
        <v>-11553</v>
      </c>
      <c r="U411" s="788">
        <v>58775</v>
      </c>
    </row>
    <row r="412" spans="1:21" x14ac:dyDescent="0.25">
      <c r="A412" s="782">
        <v>94221</v>
      </c>
      <c r="B412" s="783" t="s">
        <v>3024</v>
      </c>
      <c r="C412" s="784">
        <v>1.0436E-3</v>
      </c>
      <c r="D412" s="784">
        <v>1.0705999999999999E-3</v>
      </c>
      <c r="E412" s="815">
        <v>459328</v>
      </c>
      <c r="F412" s="818">
        <v>2272172</v>
      </c>
      <c r="G412" s="785">
        <v>1594332</v>
      </c>
      <c r="H412" s="785"/>
      <c r="I412" s="786">
        <v>91848</v>
      </c>
      <c r="J412" s="787">
        <v>387106</v>
      </c>
      <c r="K412" s="786">
        <v>227693</v>
      </c>
      <c r="L412" s="785">
        <v>63725</v>
      </c>
      <c r="M412" s="785"/>
      <c r="N412" s="786">
        <v>45130</v>
      </c>
      <c r="O412" s="786">
        <v>0</v>
      </c>
      <c r="P412" s="786">
        <v>0</v>
      </c>
      <c r="Q412" s="785">
        <v>120971</v>
      </c>
      <c r="R412" s="785"/>
      <c r="S412" s="786">
        <v>537291</v>
      </c>
      <c r="T412" s="788">
        <v>-24799</v>
      </c>
      <c r="U412" s="788">
        <v>512492</v>
      </c>
    </row>
    <row r="413" spans="1:21" x14ac:dyDescent="0.25">
      <c r="A413" s="782">
        <v>94231</v>
      </c>
      <c r="B413" s="783" t="s">
        <v>3025</v>
      </c>
      <c r="C413" s="784">
        <v>2.2609999999999999E-4</v>
      </c>
      <c r="D413" s="784">
        <v>2.1269999999999999E-4</v>
      </c>
      <c r="E413" s="815">
        <v>101171</v>
      </c>
      <c r="F413" s="818">
        <v>451421</v>
      </c>
      <c r="G413" s="785">
        <v>345418</v>
      </c>
      <c r="H413" s="785"/>
      <c r="I413" s="786">
        <v>19899</v>
      </c>
      <c r="J413" s="787">
        <v>83868</v>
      </c>
      <c r="K413" s="786">
        <v>49330</v>
      </c>
      <c r="L413" s="785">
        <v>8354</v>
      </c>
      <c r="M413" s="785"/>
      <c r="N413" s="786">
        <v>9778</v>
      </c>
      <c r="O413" s="786">
        <v>0</v>
      </c>
      <c r="P413" s="786">
        <v>0</v>
      </c>
      <c r="Q413" s="785">
        <v>6714</v>
      </c>
      <c r="R413" s="785"/>
      <c r="S413" s="786">
        <v>116406</v>
      </c>
      <c r="T413" s="788">
        <v>-2799</v>
      </c>
      <c r="U413" s="788">
        <v>113607</v>
      </c>
    </row>
    <row r="414" spans="1:21" x14ac:dyDescent="0.25">
      <c r="A414" s="782">
        <v>94241</v>
      </c>
      <c r="B414" s="783" t="s">
        <v>3026</v>
      </c>
      <c r="C414" s="784">
        <v>1.2669999999999999E-4</v>
      </c>
      <c r="D414" s="784">
        <v>8.4099999999999998E-5</v>
      </c>
      <c r="E414" s="815">
        <v>53317</v>
      </c>
      <c r="F414" s="818">
        <v>178488</v>
      </c>
      <c r="G414" s="785">
        <v>193563</v>
      </c>
      <c r="H414" s="785"/>
      <c r="I414" s="786">
        <v>11151</v>
      </c>
      <c r="J414" s="787">
        <v>46997</v>
      </c>
      <c r="K414" s="786">
        <v>27643</v>
      </c>
      <c r="L414" s="785">
        <v>26711</v>
      </c>
      <c r="M414" s="785"/>
      <c r="N414" s="786">
        <v>5479</v>
      </c>
      <c r="O414" s="786">
        <v>0</v>
      </c>
      <c r="P414" s="786">
        <v>0</v>
      </c>
      <c r="Q414" s="785">
        <v>856</v>
      </c>
      <c r="R414" s="785"/>
      <c r="S414" s="786">
        <v>65231</v>
      </c>
      <c r="T414" s="788">
        <v>6835</v>
      </c>
      <c r="U414" s="788">
        <v>72066</v>
      </c>
    </row>
    <row r="415" spans="1:21" x14ac:dyDescent="0.25">
      <c r="A415" s="782">
        <v>94251</v>
      </c>
      <c r="B415" s="783" t="s">
        <v>3027</v>
      </c>
      <c r="C415" s="784">
        <v>1.95E-5</v>
      </c>
      <c r="D415" s="784">
        <v>1.4E-5</v>
      </c>
      <c r="E415" s="815">
        <v>8455</v>
      </c>
      <c r="F415" s="818">
        <v>29713</v>
      </c>
      <c r="G415" s="785">
        <v>29791</v>
      </c>
      <c r="H415" s="785"/>
      <c r="I415" s="786">
        <v>1716</v>
      </c>
      <c r="J415" s="787">
        <v>7233</v>
      </c>
      <c r="K415" s="786">
        <v>4255</v>
      </c>
      <c r="L415" s="785">
        <v>3290</v>
      </c>
      <c r="M415" s="785"/>
      <c r="N415" s="786">
        <v>843</v>
      </c>
      <c r="O415" s="786">
        <v>0</v>
      </c>
      <c r="P415" s="786">
        <v>0</v>
      </c>
      <c r="Q415" s="785">
        <v>6508</v>
      </c>
      <c r="R415" s="785"/>
      <c r="S415" s="786">
        <v>10039</v>
      </c>
      <c r="T415" s="788">
        <v>-2297</v>
      </c>
      <c r="U415" s="788">
        <v>7742</v>
      </c>
    </row>
    <row r="416" spans="1:21" x14ac:dyDescent="0.25">
      <c r="A416" s="782">
        <v>94261</v>
      </c>
      <c r="B416" s="783" t="s">
        <v>3028</v>
      </c>
      <c r="C416" s="784">
        <v>3.9199999999999997E-5</v>
      </c>
      <c r="D416" s="784">
        <v>2.9499999999999999E-5</v>
      </c>
      <c r="E416" s="815">
        <v>18726</v>
      </c>
      <c r="F416" s="818">
        <v>62609</v>
      </c>
      <c r="G416" s="785">
        <v>59887</v>
      </c>
      <c r="H416" s="785"/>
      <c r="I416" s="786">
        <v>3450</v>
      </c>
      <c r="J416" s="787">
        <v>14541</v>
      </c>
      <c r="K416" s="786">
        <v>8553</v>
      </c>
      <c r="L416" s="785">
        <v>15518</v>
      </c>
      <c r="M416" s="785"/>
      <c r="N416" s="786">
        <v>1695</v>
      </c>
      <c r="O416" s="786">
        <v>0</v>
      </c>
      <c r="P416" s="786">
        <v>0</v>
      </c>
      <c r="Q416" s="785">
        <v>0</v>
      </c>
      <c r="R416" s="785"/>
      <c r="S416" s="786">
        <v>20182</v>
      </c>
      <c r="T416" s="788">
        <v>5508</v>
      </c>
      <c r="U416" s="788">
        <v>25690</v>
      </c>
    </row>
    <row r="417" spans="1:21" x14ac:dyDescent="0.25">
      <c r="A417" s="782">
        <v>94301</v>
      </c>
      <c r="B417" s="783" t="s">
        <v>3029</v>
      </c>
      <c r="C417" s="784">
        <v>6.2988999999999996E-3</v>
      </c>
      <c r="D417" s="784">
        <v>6.0746999999999997E-3</v>
      </c>
      <c r="E417" s="815">
        <v>2799560</v>
      </c>
      <c r="F417" s="818">
        <v>12892548</v>
      </c>
      <c r="G417" s="785">
        <v>9622974</v>
      </c>
      <c r="H417" s="785"/>
      <c r="I417" s="786">
        <v>554372</v>
      </c>
      <c r="J417" s="787">
        <v>2336470</v>
      </c>
      <c r="K417" s="786">
        <v>1374294</v>
      </c>
      <c r="L417" s="785">
        <v>85982</v>
      </c>
      <c r="M417" s="785"/>
      <c r="N417" s="786">
        <v>272396</v>
      </c>
      <c r="O417" s="786">
        <v>0</v>
      </c>
      <c r="P417" s="786">
        <v>0</v>
      </c>
      <c r="Q417" s="785">
        <v>117980</v>
      </c>
      <c r="R417" s="785"/>
      <c r="S417" s="786">
        <v>3242951</v>
      </c>
      <c r="T417" s="788">
        <v>-22710</v>
      </c>
      <c r="U417" s="788">
        <v>3220241</v>
      </c>
    </row>
    <row r="418" spans="1:21" x14ac:dyDescent="0.25">
      <c r="A418" s="782">
        <v>94311</v>
      </c>
      <c r="B418" s="783" t="s">
        <v>3030</v>
      </c>
      <c r="C418" s="784">
        <v>7.8540000000000001E-4</v>
      </c>
      <c r="D418" s="784">
        <v>7.4399999999999998E-4</v>
      </c>
      <c r="E418" s="815">
        <v>355079</v>
      </c>
      <c r="F418" s="818">
        <v>1579017</v>
      </c>
      <c r="G418" s="785">
        <v>1199874</v>
      </c>
      <c r="H418" s="785"/>
      <c r="I418" s="786">
        <v>69124</v>
      </c>
      <c r="J418" s="787">
        <v>291331</v>
      </c>
      <c r="K418" s="786">
        <v>171359</v>
      </c>
      <c r="L418" s="785">
        <v>26150</v>
      </c>
      <c r="M418" s="785"/>
      <c r="N418" s="786">
        <v>33965</v>
      </c>
      <c r="O418" s="786">
        <v>0</v>
      </c>
      <c r="P418" s="786">
        <v>0</v>
      </c>
      <c r="Q418" s="785">
        <v>52115</v>
      </c>
      <c r="R418" s="785"/>
      <c r="S418" s="786">
        <v>404358</v>
      </c>
      <c r="T418" s="788">
        <v>-13365</v>
      </c>
      <c r="U418" s="788">
        <v>390993</v>
      </c>
    </row>
    <row r="419" spans="1:21" x14ac:dyDescent="0.25">
      <c r="A419" s="782">
        <v>94313</v>
      </c>
      <c r="B419" s="783" t="s">
        <v>3031</v>
      </c>
      <c r="C419" s="784">
        <v>1.8700000000000001E-5</v>
      </c>
      <c r="D419" s="784">
        <v>2.0299999999999999E-5</v>
      </c>
      <c r="E419" s="815">
        <v>12663</v>
      </c>
      <c r="F419" s="818">
        <v>43083</v>
      </c>
      <c r="G419" s="785">
        <v>28568</v>
      </c>
      <c r="H419" s="785"/>
      <c r="I419" s="786">
        <v>1646</v>
      </c>
      <c r="J419" s="787">
        <v>6936</v>
      </c>
      <c r="K419" s="786">
        <v>4080</v>
      </c>
      <c r="L419" s="785">
        <v>7421</v>
      </c>
      <c r="M419" s="785"/>
      <c r="N419" s="786">
        <v>809</v>
      </c>
      <c r="O419" s="786">
        <v>0</v>
      </c>
      <c r="P419" s="786">
        <v>0</v>
      </c>
      <c r="Q419" s="785">
        <v>0</v>
      </c>
      <c r="R419" s="785"/>
      <c r="S419" s="786">
        <v>9628</v>
      </c>
      <c r="T419" s="788">
        <v>3124</v>
      </c>
      <c r="U419" s="788">
        <v>12752</v>
      </c>
    </row>
    <row r="420" spans="1:21" x14ac:dyDescent="0.25">
      <c r="A420" s="782">
        <v>94317</v>
      </c>
      <c r="B420" s="783" t="s">
        <v>3032</v>
      </c>
      <c r="C420" s="784">
        <v>1.2E-5</v>
      </c>
      <c r="D420" s="784">
        <v>1.2099999999999999E-5</v>
      </c>
      <c r="E420" s="815">
        <v>9618</v>
      </c>
      <c r="F420" s="818">
        <v>25680</v>
      </c>
      <c r="G420" s="785">
        <v>18333</v>
      </c>
      <c r="H420" s="785"/>
      <c r="I420" s="786">
        <v>1056</v>
      </c>
      <c r="J420" s="787">
        <v>4451</v>
      </c>
      <c r="K420" s="786">
        <v>2618</v>
      </c>
      <c r="L420" s="785">
        <v>7663</v>
      </c>
      <c r="M420" s="785"/>
      <c r="N420" s="786">
        <v>519</v>
      </c>
      <c r="O420" s="786">
        <v>0</v>
      </c>
      <c r="P420" s="786">
        <v>0</v>
      </c>
      <c r="Q420" s="785">
        <v>0</v>
      </c>
      <c r="R420" s="785"/>
      <c r="S420" s="786">
        <v>6178</v>
      </c>
      <c r="T420" s="788">
        <v>3130</v>
      </c>
      <c r="U420" s="788">
        <v>9308</v>
      </c>
    </row>
    <row r="421" spans="1:21" x14ac:dyDescent="0.25">
      <c r="A421" s="782">
        <v>94321</v>
      </c>
      <c r="B421" s="783" t="s">
        <v>3033</v>
      </c>
      <c r="C421" s="784">
        <v>2.7760000000000003E-4</v>
      </c>
      <c r="D421" s="784">
        <v>2.7070000000000002E-4</v>
      </c>
      <c r="E421" s="815">
        <v>115395</v>
      </c>
      <c r="F421" s="818">
        <v>574516</v>
      </c>
      <c r="G421" s="785">
        <v>424096</v>
      </c>
      <c r="H421" s="785"/>
      <c r="I421" s="786">
        <v>24432</v>
      </c>
      <c r="J421" s="787">
        <v>102971</v>
      </c>
      <c r="K421" s="786">
        <v>60567</v>
      </c>
      <c r="L421" s="785">
        <v>1692</v>
      </c>
      <c r="M421" s="785"/>
      <c r="N421" s="786">
        <v>12005</v>
      </c>
      <c r="O421" s="786">
        <v>0</v>
      </c>
      <c r="P421" s="786">
        <v>0</v>
      </c>
      <c r="Q421" s="785">
        <v>19924</v>
      </c>
      <c r="R421" s="785"/>
      <c r="S421" s="786">
        <v>142921</v>
      </c>
      <c r="T421" s="788">
        <v>-5646</v>
      </c>
      <c r="U421" s="788">
        <v>137275</v>
      </c>
    </row>
    <row r="422" spans="1:21" x14ac:dyDescent="0.25">
      <c r="A422" s="782">
        <v>94331</v>
      </c>
      <c r="B422" s="783" t="s">
        <v>3034</v>
      </c>
      <c r="C422" s="784">
        <v>1.3569999999999999E-4</v>
      </c>
      <c r="D422" s="784">
        <v>1.517E-4</v>
      </c>
      <c r="E422" s="815">
        <v>68284</v>
      </c>
      <c r="F422" s="818">
        <v>321958</v>
      </c>
      <c r="G422" s="785">
        <v>207312</v>
      </c>
      <c r="H422" s="785"/>
      <c r="I422" s="786">
        <v>11943</v>
      </c>
      <c r="J422" s="787">
        <v>50336</v>
      </c>
      <c r="K422" s="786">
        <v>29607</v>
      </c>
      <c r="L422" s="785">
        <v>7715</v>
      </c>
      <c r="M422" s="785"/>
      <c r="N422" s="786">
        <v>5868</v>
      </c>
      <c r="O422" s="786">
        <v>0</v>
      </c>
      <c r="P422" s="786">
        <v>0</v>
      </c>
      <c r="Q422" s="785">
        <v>10557</v>
      </c>
      <c r="R422" s="785"/>
      <c r="S422" s="786">
        <v>69864</v>
      </c>
      <c r="T422" s="788">
        <v>2981</v>
      </c>
      <c r="U422" s="788">
        <v>72845</v>
      </c>
    </row>
    <row r="423" spans="1:21" x14ac:dyDescent="0.25">
      <c r="A423" s="782">
        <v>94341</v>
      </c>
      <c r="B423" s="783" t="s">
        <v>3035</v>
      </c>
      <c r="C423" s="784">
        <v>9.4699999999999998E-5</v>
      </c>
      <c r="D423" s="784">
        <v>8.1000000000000004E-5</v>
      </c>
      <c r="E423" s="815">
        <v>38534</v>
      </c>
      <c r="F423" s="818">
        <v>171909</v>
      </c>
      <c r="G423" s="785">
        <v>144675</v>
      </c>
      <c r="H423" s="785"/>
      <c r="I423" s="786">
        <v>8335</v>
      </c>
      <c r="J423" s="787">
        <v>35127</v>
      </c>
      <c r="K423" s="786">
        <v>20662</v>
      </c>
      <c r="L423" s="785">
        <v>5564</v>
      </c>
      <c r="M423" s="785"/>
      <c r="N423" s="786">
        <v>4095</v>
      </c>
      <c r="O423" s="786">
        <v>0</v>
      </c>
      <c r="P423" s="786">
        <v>0</v>
      </c>
      <c r="Q423" s="785">
        <v>5713</v>
      </c>
      <c r="R423" s="785"/>
      <c r="S423" s="786">
        <v>48756</v>
      </c>
      <c r="T423" s="788">
        <v>-1783</v>
      </c>
      <c r="U423" s="788">
        <v>46973</v>
      </c>
    </row>
    <row r="424" spans="1:21" x14ac:dyDescent="0.25">
      <c r="A424" s="782">
        <v>94347</v>
      </c>
      <c r="B424" s="783" t="s">
        <v>3036</v>
      </c>
      <c r="C424" s="784">
        <v>1.22E-5</v>
      </c>
      <c r="D424" s="784">
        <v>1.2300000000000001E-5</v>
      </c>
      <c r="E424" s="815">
        <v>8691</v>
      </c>
      <c r="F424" s="818">
        <v>26105</v>
      </c>
      <c r="G424" s="785">
        <v>18638</v>
      </c>
      <c r="H424" s="785"/>
      <c r="I424" s="786">
        <v>1074</v>
      </c>
      <c r="J424" s="787">
        <v>4526</v>
      </c>
      <c r="K424" s="786">
        <v>2662</v>
      </c>
      <c r="L424" s="785">
        <v>4271</v>
      </c>
      <c r="M424" s="785"/>
      <c r="N424" s="786">
        <v>528</v>
      </c>
      <c r="O424" s="786">
        <v>0</v>
      </c>
      <c r="P424" s="786">
        <v>0</v>
      </c>
      <c r="Q424" s="785">
        <v>0</v>
      </c>
      <c r="R424" s="785"/>
      <c r="S424" s="786">
        <v>6281</v>
      </c>
      <c r="T424" s="788">
        <v>1892</v>
      </c>
      <c r="U424" s="788">
        <v>8173</v>
      </c>
    </row>
    <row r="425" spans="1:21" x14ac:dyDescent="0.25">
      <c r="A425" s="782">
        <v>94351</v>
      </c>
      <c r="B425" s="783" t="s">
        <v>3037</v>
      </c>
      <c r="C425" s="784">
        <v>2.433E-4</v>
      </c>
      <c r="D425" s="784">
        <v>2.377E-4</v>
      </c>
      <c r="E425" s="815">
        <v>104639</v>
      </c>
      <c r="F425" s="818">
        <v>504479</v>
      </c>
      <c r="G425" s="785">
        <v>371695</v>
      </c>
      <c r="H425" s="785"/>
      <c r="I425" s="786">
        <v>21413</v>
      </c>
      <c r="J425" s="787">
        <v>90248</v>
      </c>
      <c r="K425" s="786">
        <v>53083</v>
      </c>
      <c r="L425" s="785">
        <v>1592</v>
      </c>
      <c r="M425" s="785"/>
      <c r="N425" s="786">
        <v>10522</v>
      </c>
      <c r="O425" s="786">
        <v>0</v>
      </c>
      <c r="P425" s="786">
        <v>0</v>
      </c>
      <c r="Q425" s="785">
        <v>4723</v>
      </c>
      <c r="R425" s="785"/>
      <c r="S425" s="786">
        <v>125262</v>
      </c>
      <c r="T425" s="788">
        <v>-1683</v>
      </c>
      <c r="U425" s="788">
        <v>123579</v>
      </c>
    </row>
    <row r="426" spans="1:21" x14ac:dyDescent="0.25">
      <c r="A426" s="782">
        <v>94401</v>
      </c>
      <c r="B426" s="783" t="s">
        <v>3669</v>
      </c>
      <c r="C426" s="784">
        <v>3.2718000000000001E-3</v>
      </c>
      <c r="D426" s="784">
        <v>3.4548999999999999E-3</v>
      </c>
      <c r="E426" s="815">
        <v>1551159</v>
      </c>
      <c r="F426" s="818">
        <v>0</v>
      </c>
      <c r="G426" s="785">
        <v>4998404</v>
      </c>
      <c r="H426" s="785"/>
      <c r="I426" s="786">
        <v>287954</v>
      </c>
      <c r="J426" s="787">
        <v>1213619</v>
      </c>
      <c r="K426" s="786">
        <v>713841</v>
      </c>
      <c r="L426" s="785">
        <v>20795</v>
      </c>
      <c r="M426" s="785"/>
      <c r="N426" s="786">
        <v>141489</v>
      </c>
      <c r="O426" s="786">
        <v>0</v>
      </c>
      <c r="P426" s="786">
        <v>0</v>
      </c>
      <c r="Q426" s="785">
        <v>83776</v>
      </c>
      <c r="R426" s="785"/>
      <c r="S426" s="786">
        <v>1684467</v>
      </c>
      <c r="T426" s="788">
        <v>-11283</v>
      </c>
      <c r="U426" s="788">
        <v>1673184</v>
      </c>
    </row>
    <row r="427" spans="1:21" x14ac:dyDescent="0.25">
      <c r="A427" s="782">
        <v>94402</v>
      </c>
      <c r="B427" s="783" t="s">
        <v>3038</v>
      </c>
      <c r="C427" s="784">
        <v>0</v>
      </c>
      <c r="D427" s="784">
        <v>0</v>
      </c>
      <c r="E427" s="815">
        <v>0</v>
      </c>
      <c r="F427" s="818">
        <v>0</v>
      </c>
      <c r="G427" s="785">
        <v>0</v>
      </c>
      <c r="H427" s="785"/>
      <c r="I427" s="786">
        <v>0</v>
      </c>
      <c r="J427" s="787">
        <v>0</v>
      </c>
      <c r="K427" s="786">
        <v>0</v>
      </c>
      <c r="L427" s="785">
        <v>0</v>
      </c>
      <c r="M427" s="785"/>
      <c r="N427" s="786">
        <v>0</v>
      </c>
      <c r="O427" s="786">
        <v>0</v>
      </c>
      <c r="P427" s="786">
        <v>0</v>
      </c>
      <c r="Q427" s="785">
        <v>1774367</v>
      </c>
      <c r="R427" s="785"/>
      <c r="S427" s="786">
        <v>0</v>
      </c>
      <c r="T427" s="788">
        <v>-1007431</v>
      </c>
      <c r="U427" s="788">
        <v>-1007431</v>
      </c>
    </row>
    <row r="428" spans="1:21" x14ac:dyDescent="0.25">
      <c r="A428" s="782">
        <v>94403</v>
      </c>
      <c r="B428" s="783" t="s">
        <v>3670</v>
      </c>
      <c r="C428" s="784">
        <v>2.2099999999999998E-5</v>
      </c>
      <c r="D428" s="784">
        <v>0</v>
      </c>
      <c r="E428" s="815">
        <v>9904</v>
      </c>
      <c r="F428" s="818">
        <v>0</v>
      </c>
      <c r="G428" s="785">
        <v>33763</v>
      </c>
      <c r="H428" s="785"/>
      <c r="I428" s="786">
        <v>1945</v>
      </c>
      <c r="J428" s="787">
        <v>8198</v>
      </c>
      <c r="K428" s="786">
        <v>4822</v>
      </c>
      <c r="L428" s="785">
        <v>14624</v>
      </c>
      <c r="M428" s="785"/>
      <c r="N428" s="786">
        <v>956</v>
      </c>
      <c r="O428" s="786">
        <v>0</v>
      </c>
      <c r="P428" s="786">
        <v>0</v>
      </c>
      <c r="Q428" s="785">
        <v>0</v>
      </c>
      <c r="R428" s="785"/>
      <c r="S428" s="786">
        <v>11378</v>
      </c>
      <c r="T428" s="788">
        <v>3656</v>
      </c>
      <c r="U428" s="788">
        <v>15034</v>
      </c>
    </row>
    <row r="429" spans="1:21" x14ac:dyDescent="0.25">
      <c r="A429" s="782">
        <v>94408</v>
      </c>
      <c r="B429" s="783" t="s">
        <v>3039</v>
      </c>
      <c r="C429" s="784">
        <v>4.2400000000000001E-5</v>
      </c>
      <c r="D429" s="784">
        <v>4.0099999999999999E-5</v>
      </c>
      <c r="E429" s="815">
        <v>14750</v>
      </c>
      <c r="F429" s="818">
        <v>85106</v>
      </c>
      <c r="G429" s="785">
        <v>64775</v>
      </c>
      <c r="H429" s="785"/>
      <c r="I429" s="786">
        <v>3732</v>
      </c>
      <c r="J429" s="787">
        <v>15728</v>
      </c>
      <c r="K429" s="786">
        <v>9251</v>
      </c>
      <c r="L429" s="785">
        <v>7577</v>
      </c>
      <c r="M429" s="785"/>
      <c r="N429" s="786">
        <v>1834</v>
      </c>
      <c r="O429" s="786">
        <v>0</v>
      </c>
      <c r="P429" s="786">
        <v>0</v>
      </c>
      <c r="Q429" s="785">
        <v>4064</v>
      </c>
      <c r="R429" s="785"/>
      <c r="S429" s="786">
        <v>21829</v>
      </c>
      <c r="T429" s="788">
        <v>382</v>
      </c>
      <c r="U429" s="788">
        <v>22211</v>
      </c>
    </row>
    <row r="430" spans="1:21" x14ac:dyDescent="0.25">
      <c r="A430" s="782">
        <v>94411</v>
      </c>
      <c r="B430" s="783" t="s">
        <v>3040</v>
      </c>
      <c r="C430" s="784">
        <v>1.2672E-3</v>
      </c>
      <c r="D430" s="784">
        <v>1.1592E-3</v>
      </c>
      <c r="E430" s="815">
        <v>555106</v>
      </c>
      <c r="F430" s="818">
        <v>2460211</v>
      </c>
      <c r="G430" s="785">
        <v>1935931</v>
      </c>
      <c r="H430" s="785"/>
      <c r="I430" s="786">
        <v>111528</v>
      </c>
      <c r="J430" s="787">
        <v>470046</v>
      </c>
      <c r="K430" s="786">
        <v>276478</v>
      </c>
      <c r="L430" s="785">
        <v>63511</v>
      </c>
      <c r="M430" s="785"/>
      <c r="N430" s="786">
        <v>54800</v>
      </c>
      <c r="O430" s="786">
        <v>0</v>
      </c>
      <c r="P430" s="786">
        <v>0</v>
      </c>
      <c r="Q430" s="785">
        <v>4125</v>
      </c>
      <c r="R430" s="785"/>
      <c r="S430" s="786">
        <v>652410</v>
      </c>
      <c r="T430" s="788">
        <v>18114</v>
      </c>
      <c r="U430" s="788">
        <v>670524</v>
      </c>
    </row>
    <row r="431" spans="1:21" x14ac:dyDescent="0.25">
      <c r="A431" s="782">
        <v>94412</v>
      </c>
      <c r="B431" s="783" t="s">
        <v>3041</v>
      </c>
      <c r="C431" s="784">
        <v>1.5099999999999999E-5</v>
      </c>
      <c r="D431" s="784">
        <v>1.63E-5</v>
      </c>
      <c r="E431" s="815">
        <v>13059</v>
      </c>
      <c r="F431" s="818">
        <v>34594</v>
      </c>
      <c r="G431" s="785">
        <v>23069</v>
      </c>
      <c r="H431" s="785"/>
      <c r="I431" s="786">
        <v>1329</v>
      </c>
      <c r="J431" s="787">
        <v>5602</v>
      </c>
      <c r="K431" s="786">
        <v>3295</v>
      </c>
      <c r="L431" s="785">
        <v>12533</v>
      </c>
      <c r="M431" s="785"/>
      <c r="N431" s="786">
        <v>653</v>
      </c>
      <c r="O431" s="786">
        <v>0</v>
      </c>
      <c r="P431" s="786">
        <v>0</v>
      </c>
      <c r="Q431" s="785">
        <v>0</v>
      </c>
      <c r="R431" s="785"/>
      <c r="S431" s="786">
        <v>7774</v>
      </c>
      <c r="T431" s="788">
        <v>5893</v>
      </c>
      <c r="U431" s="788">
        <v>13667</v>
      </c>
    </row>
    <row r="432" spans="1:21" x14ac:dyDescent="0.25">
      <c r="A432" s="782">
        <v>94421</v>
      </c>
      <c r="B432" s="783" t="s">
        <v>3042</v>
      </c>
      <c r="C432" s="784">
        <v>1.6679999999999999E-4</v>
      </c>
      <c r="D432" s="784">
        <v>1.6899999999999999E-4</v>
      </c>
      <c r="E432" s="815">
        <v>80768</v>
      </c>
      <c r="F432" s="818">
        <v>358675</v>
      </c>
      <c r="G432" s="785">
        <v>254824</v>
      </c>
      <c r="H432" s="785"/>
      <c r="I432" s="786">
        <v>14680</v>
      </c>
      <c r="J432" s="787">
        <v>61871</v>
      </c>
      <c r="K432" s="786">
        <v>36392</v>
      </c>
      <c r="L432" s="785">
        <v>4157</v>
      </c>
      <c r="M432" s="785"/>
      <c r="N432" s="786">
        <v>7213</v>
      </c>
      <c r="O432" s="786">
        <v>0</v>
      </c>
      <c r="P432" s="786">
        <v>0</v>
      </c>
      <c r="Q432" s="785">
        <v>6763</v>
      </c>
      <c r="R432" s="785"/>
      <c r="S432" s="786">
        <v>85876</v>
      </c>
      <c r="T432" s="788">
        <v>-3870</v>
      </c>
      <c r="U432" s="788">
        <v>82006</v>
      </c>
    </row>
    <row r="433" spans="1:21" x14ac:dyDescent="0.25">
      <c r="A433" s="782">
        <v>94427</v>
      </c>
      <c r="B433" s="783" t="s">
        <v>3043</v>
      </c>
      <c r="C433" s="784">
        <v>1.5699999999999999E-5</v>
      </c>
      <c r="D433" s="784">
        <v>1.29E-5</v>
      </c>
      <c r="E433" s="815">
        <v>9340</v>
      </c>
      <c r="F433" s="818">
        <v>27378</v>
      </c>
      <c r="G433" s="785">
        <v>23985</v>
      </c>
      <c r="H433" s="785"/>
      <c r="I433" s="786">
        <v>1382</v>
      </c>
      <c r="J433" s="787">
        <v>5824</v>
      </c>
      <c r="K433" s="786">
        <v>3425</v>
      </c>
      <c r="L433" s="785">
        <v>4090</v>
      </c>
      <c r="M433" s="785"/>
      <c r="N433" s="786">
        <v>679</v>
      </c>
      <c r="O433" s="786">
        <v>0</v>
      </c>
      <c r="P433" s="786">
        <v>0</v>
      </c>
      <c r="Q433" s="785">
        <v>478</v>
      </c>
      <c r="R433" s="785"/>
      <c r="S433" s="786">
        <v>8083</v>
      </c>
      <c r="T433" s="788">
        <v>943</v>
      </c>
      <c r="U433" s="788">
        <v>9026</v>
      </c>
    </row>
    <row r="434" spans="1:21" x14ac:dyDescent="0.25">
      <c r="A434" s="782">
        <v>94428</v>
      </c>
      <c r="B434" s="783" t="s">
        <v>3044</v>
      </c>
      <c r="C434" s="784">
        <v>6.5199999999999999E-5</v>
      </c>
      <c r="D434" s="784">
        <v>7.4400000000000006E-5</v>
      </c>
      <c r="E434" s="815">
        <v>33460</v>
      </c>
      <c r="F434" s="818">
        <v>157902</v>
      </c>
      <c r="G434" s="785">
        <v>99608</v>
      </c>
      <c r="H434" s="785"/>
      <c r="I434" s="786">
        <v>5738</v>
      </c>
      <c r="J434" s="787">
        <v>24185</v>
      </c>
      <c r="K434" s="786">
        <v>14225</v>
      </c>
      <c r="L434" s="785">
        <v>2315</v>
      </c>
      <c r="M434" s="785"/>
      <c r="N434" s="786">
        <v>2820</v>
      </c>
      <c r="O434" s="786">
        <v>0</v>
      </c>
      <c r="P434" s="786">
        <v>0</v>
      </c>
      <c r="Q434" s="785">
        <v>3346</v>
      </c>
      <c r="R434" s="785"/>
      <c r="S434" s="786">
        <v>33568</v>
      </c>
      <c r="T434" s="788">
        <v>366</v>
      </c>
      <c r="U434" s="788">
        <v>33934</v>
      </c>
    </row>
    <row r="435" spans="1:21" x14ac:dyDescent="0.25">
      <c r="A435" s="782">
        <v>94431</v>
      </c>
      <c r="B435" s="783" t="s">
        <v>3045</v>
      </c>
      <c r="C435" s="784">
        <v>4.2440000000000002E-4</v>
      </c>
      <c r="D435" s="784">
        <v>3.7589999999999998E-4</v>
      </c>
      <c r="E435" s="815">
        <v>293286</v>
      </c>
      <c r="F435" s="818">
        <v>797786</v>
      </c>
      <c r="G435" s="785">
        <v>648366</v>
      </c>
      <c r="H435" s="785"/>
      <c r="I435" s="786">
        <v>37352</v>
      </c>
      <c r="J435" s="787">
        <v>157424</v>
      </c>
      <c r="K435" s="786">
        <v>92596</v>
      </c>
      <c r="L435" s="785">
        <v>210809</v>
      </c>
      <c r="M435" s="785"/>
      <c r="N435" s="786">
        <v>18353</v>
      </c>
      <c r="O435" s="786">
        <v>0</v>
      </c>
      <c r="P435" s="786">
        <v>0</v>
      </c>
      <c r="Q435" s="785">
        <v>611</v>
      </c>
      <c r="R435" s="785"/>
      <c r="S435" s="786">
        <v>218500</v>
      </c>
      <c r="T435" s="788">
        <v>68328</v>
      </c>
      <c r="U435" s="788">
        <v>286828</v>
      </c>
    </row>
    <row r="436" spans="1:21" x14ac:dyDescent="0.25">
      <c r="A436" s="782">
        <v>94437</v>
      </c>
      <c r="B436" s="783" t="s">
        <v>3046</v>
      </c>
      <c r="C436" s="784">
        <v>1.5299999999999999E-5</v>
      </c>
      <c r="D436" s="784">
        <v>1.34E-5</v>
      </c>
      <c r="E436" s="815">
        <v>12848</v>
      </c>
      <c r="F436" s="818">
        <v>28439</v>
      </c>
      <c r="G436" s="785">
        <v>23374</v>
      </c>
      <c r="H436" s="785"/>
      <c r="I436" s="786">
        <v>1347</v>
      </c>
      <c r="J436" s="787">
        <v>5675</v>
      </c>
      <c r="K436" s="786">
        <v>3338</v>
      </c>
      <c r="L436" s="785">
        <v>13868</v>
      </c>
      <c r="M436" s="785"/>
      <c r="N436" s="786">
        <v>662</v>
      </c>
      <c r="O436" s="786">
        <v>0</v>
      </c>
      <c r="P436" s="786">
        <v>0</v>
      </c>
      <c r="Q436" s="785">
        <v>0</v>
      </c>
      <c r="R436" s="785"/>
      <c r="S436" s="786">
        <v>7877</v>
      </c>
      <c r="T436" s="788">
        <v>5640</v>
      </c>
      <c r="U436" s="788">
        <v>13517</v>
      </c>
    </row>
    <row r="437" spans="1:21" x14ac:dyDescent="0.25">
      <c r="A437" s="782">
        <v>94501</v>
      </c>
      <c r="B437" s="783" t="s">
        <v>3047</v>
      </c>
      <c r="C437" s="784">
        <v>5.6991000000000003E-3</v>
      </c>
      <c r="D437" s="784">
        <v>5.8474E-3</v>
      </c>
      <c r="E437" s="815">
        <v>2726192</v>
      </c>
      <c r="F437" s="818">
        <v>12410142</v>
      </c>
      <c r="G437" s="785">
        <v>8706646</v>
      </c>
      <c r="H437" s="785"/>
      <c r="I437" s="786">
        <v>501583</v>
      </c>
      <c r="J437" s="787">
        <v>2113984</v>
      </c>
      <c r="K437" s="786">
        <v>1243430</v>
      </c>
      <c r="L437" s="785">
        <v>145440</v>
      </c>
      <c r="M437" s="785"/>
      <c r="N437" s="786">
        <v>246458</v>
      </c>
      <c r="O437" s="786">
        <v>0</v>
      </c>
      <c r="P437" s="786">
        <v>0</v>
      </c>
      <c r="Q437" s="785">
        <v>11569</v>
      </c>
      <c r="R437" s="785"/>
      <c r="S437" s="786">
        <v>2934147</v>
      </c>
      <c r="T437" s="788">
        <v>99795</v>
      </c>
      <c r="U437" s="788">
        <v>3033942</v>
      </c>
    </row>
    <row r="438" spans="1:21" x14ac:dyDescent="0.25">
      <c r="A438" s="782">
        <v>94511</v>
      </c>
      <c r="B438" s="783" t="s">
        <v>3048</v>
      </c>
      <c r="C438" s="784">
        <v>1.8538999999999999E-3</v>
      </c>
      <c r="D438" s="784">
        <v>1.7432000000000001E-3</v>
      </c>
      <c r="E438" s="815">
        <v>773013</v>
      </c>
      <c r="F438" s="818">
        <v>3699654</v>
      </c>
      <c r="G438" s="785">
        <v>2832246</v>
      </c>
      <c r="H438" s="785"/>
      <c r="I438" s="786">
        <v>163164</v>
      </c>
      <c r="J438" s="787">
        <v>687673</v>
      </c>
      <c r="K438" s="786">
        <v>404484</v>
      </c>
      <c r="L438" s="785">
        <v>155537</v>
      </c>
      <c r="M438" s="785"/>
      <c r="N438" s="786">
        <v>80172</v>
      </c>
      <c r="O438" s="786">
        <v>0</v>
      </c>
      <c r="P438" s="786">
        <v>0</v>
      </c>
      <c r="Q438" s="785">
        <v>31633</v>
      </c>
      <c r="R438" s="785"/>
      <c r="S438" s="786">
        <v>954469</v>
      </c>
      <c r="T438" s="788">
        <v>72914</v>
      </c>
      <c r="U438" s="788">
        <v>1027383</v>
      </c>
    </row>
    <row r="439" spans="1:21" x14ac:dyDescent="0.25">
      <c r="A439" s="782">
        <v>94512</v>
      </c>
      <c r="B439" s="783" t="s">
        <v>3049</v>
      </c>
      <c r="C439" s="784">
        <v>0</v>
      </c>
      <c r="D439" s="784">
        <v>0</v>
      </c>
      <c r="E439" s="815">
        <v>0</v>
      </c>
      <c r="F439" s="818">
        <v>0</v>
      </c>
      <c r="G439" s="785">
        <v>0</v>
      </c>
      <c r="H439" s="785"/>
      <c r="I439" s="786">
        <v>0</v>
      </c>
      <c r="J439" s="787">
        <v>0</v>
      </c>
      <c r="K439" s="786">
        <v>0</v>
      </c>
      <c r="L439" s="785">
        <v>0</v>
      </c>
      <c r="M439" s="785"/>
      <c r="N439" s="786">
        <v>0</v>
      </c>
      <c r="O439" s="786">
        <v>0</v>
      </c>
      <c r="P439" s="786">
        <v>0</v>
      </c>
      <c r="Q439" s="785">
        <v>138579</v>
      </c>
      <c r="R439" s="785"/>
      <c r="S439" s="786">
        <v>0</v>
      </c>
      <c r="T439" s="788">
        <v>-78713</v>
      </c>
      <c r="U439" s="788">
        <v>-78713</v>
      </c>
    </row>
    <row r="440" spans="1:21" x14ac:dyDescent="0.25">
      <c r="A440" s="782">
        <v>94517</v>
      </c>
      <c r="B440" s="783" t="s">
        <v>3050</v>
      </c>
      <c r="C440" s="784">
        <v>4.7599999999999998E-5</v>
      </c>
      <c r="D440" s="784">
        <v>4.9599999999999999E-5</v>
      </c>
      <c r="E440" s="815">
        <v>31750</v>
      </c>
      <c r="F440" s="818">
        <v>105268</v>
      </c>
      <c r="G440" s="785">
        <v>72720</v>
      </c>
      <c r="H440" s="785"/>
      <c r="I440" s="786">
        <v>4189</v>
      </c>
      <c r="J440" s="787">
        <v>17656</v>
      </c>
      <c r="K440" s="786">
        <v>10385</v>
      </c>
      <c r="L440" s="785">
        <v>18702</v>
      </c>
      <c r="M440" s="785"/>
      <c r="N440" s="786">
        <v>2058</v>
      </c>
      <c r="O440" s="786">
        <v>0</v>
      </c>
      <c r="P440" s="786">
        <v>0</v>
      </c>
      <c r="Q440" s="785">
        <v>0</v>
      </c>
      <c r="R440" s="785"/>
      <c r="S440" s="786">
        <v>24507</v>
      </c>
      <c r="T440" s="788">
        <v>9021</v>
      </c>
      <c r="U440" s="788">
        <v>33528</v>
      </c>
    </row>
    <row r="441" spans="1:21" x14ac:dyDescent="0.25">
      <c r="A441" s="782">
        <v>94521</v>
      </c>
      <c r="B441" s="783" t="s">
        <v>3051</v>
      </c>
      <c r="C441" s="784">
        <v>1.517E-4</v>
      </c>
      <c r="D441" s="784">
        <v>1.2410000000000001E-4</v>
      </c>
      <c r="E441" s="815">
        <v>61289</v>
      </c>
      <c r="F441" s="818">
        <v>263382</v>
      </c>
      <c r="G441" s="785">
        <v>231756</v>
      </c>
      <c r="H441" s="785"/>
      <c r="I441" s="786">
        <v>13351</v>
      </c>
      <c r="J441" s="787">
        <v>56271</v>
      </c>
      <c r="K441" s="786">
        <v>33098</v>
      </c>
      <c r="L441" s="785">
        <v>15354</v>
      </c>
      <c r="M441" s="785"/>
      <c r="N441" s="786">
        <v>6560</v>
      </c>
      <c r="O441" s="786">
        <v>0</v>
      </c>
      <c r="P441" s="786">
        <v>0</v>
      </c>
      <c r="Q441" s="785">
        <v>13856</v>
      </c>
      <c r="R441" s="785"/>
      <c r="S441" s="786">
        <v>78102</v>
      </c>
      <c r="T441" s="788">
        <v>429</v>
      </c>
      <c r="U441" s="788">
        <v>78531</v>
      </c>
    </row>
    <row r="442" spans="1:21" x14ac:dyDescent="0.25">
      <c r="A442" s="782">
        <v>94527</v>
      </c>
      <c r="B442" s="783" t="s">
        <v>3052</v>
      </c>
      <c r="C442" s="784">
        <v>5.4E-6</v>
      </c>
      <c r="D442" s="784">
        <v>6.3999999999999997E-6</v>
      </c>
      <c r="E442" s="815">
        <v>2382</v>
      </c>
      <c r="F442" s="818">
        <v>13583</v>
      </c>
      <c r="G442" s="785">
        <v>8250</v>
      </c>
      <c r="H442" s="785"/>
      <c r="I442" s="786">
        <v>475</v>
      </c>
      <c r="J442" s="787">
        <v>2003</v>
      </c>
      <c r="K442" s="786">
        <v>1178</v>
      </c>
      <c r="L442" s="785">
        <v>308</v>
      </c>
      <c r="M442" s="785"/>
      <c r="N442" s="786">
        <v>234</v>
      </c>
      <c r="O442" s="786">
        <v>0</v>
      </c>
      <c r="P442" s="786">
        <v>0</v>
      </c>
      <c r="Q442" s="785">
        <v>3369</v>
      </c>
      <c r="R442" s="785"/>
      <c r="S442" s="786">
        <v>2780</v>
      </c>
      <c r="T442" s="788">
        <v>-953</v>
      </c>
      <c r="U442" s="788">
        <v>1827</v>
      </c>
    </row>
    <row r="443" spans="1:21" x14ac:dyDescent="0.25">
      <c r="A443" s="782">
        <v>94531</v>
      </c>
      <c r="B443" s="783" t="s">
        <v>3053</v>
      </c>
      <c r="C443" s="784">
        <v>1.5E-5</v>
      </c>
      <c r="D443" s="784">
        <v>1.5500000000000001E-5</v>
      </c>
      <c r="E443" s="815">
        <v>11396</v>
      </c>
      <c r="F443" s="818">
        <v>32896</v>
      </c>
      <c r="G443" s="785">
        <v>22916</v>
      </c>
      <c r="H443" s="785"/>
      <c r="I443" s="786">
        <v>1320</v>
      </c>
      <c r="J443" s="787">
        <v>5564</v>
      </c>
      <c r="K443" s="786">
        <v>3273</v>
      </c>
      <c r="L443" s="785">
        <v>6665</v>
      </c>
      <c r="M443" s="785"/>
      <c r="N443" s="786">
        <v>649</v>
      </c>
      <c r="O443" s="786">
        <v>0</v>
      </c>
      <c r="P443" s="786">
        <v>0</v>
      </c>
      <c r="Q443" s="785">
        <v>0</v>
      </c>
      <c r="R443" s="785"/>
      <c r="S443" s="786">
        <v>7723</v>
      </c>
      <c r="T443" s="788">
        <v>2681</v>
      </c>
      <c r="U443" s="788">
        <v>10404</v>
      </c>
    </row>
    <row r="444" spans="1:21" x14ac:dyDescent="0.25">
      <c r="A444" s="782">
        <v>94532</v>
      </c>
      <c r="B444" s="783" t="s">
        <v>3054</v>
      </c>
      <c r="C444" s="784">
        <v>8.7800000000000006E-5</v>
      </c>
      <c r="D444" s="784">
        <v>9.4099999999999997E-5</v>
      </c>
      <c r="E444" s="815">
        <v>45014</v>
      </c>
      <c r="F444" s="818">
        <v>199712</v>
      </c>
      <c r="G444" s="785">
        <v>134134</v>
      </c>
      <c r="H444" s="785"/>
      <c r="I444" s="786">
        <v>7727</v>
      </c>
      <c r="J444" s="787">
        <v>32568</v>
      </c>
      <c r="K444" s="786">
        <v>19156</v>
      </c>
      <c r="L444" s="785">
        <v>0</v>
      </c>
      <c r="M444" s="785"/>
      <c r="N444" s="786">
        <v>3797</v>
      </c>
      <c r="O444" s="786">
        <v>0</v>
      </c>
      <c r="P444" s="786">
        <v>0</v>
      </c>
      <c r="Q444" s="785">
        <v>10367</v>
      </c>
      <c r="R444" s="785"/>
      <c r="S444" s="786">
        <v>45203</v>
      </c>
      <c r="T444" s="788">
        <v>-5525</v>
      </c>
      <c r="U444" s="788">
        <v>39678</v>
      </c>
    </row>
    <row r="445" spans="1:21" x14ac:dyDescent="0.25">
      <c r="A445" s="782">
        <v>94541</v>
      </c>
      <c r="B445" s="783" t="s">
        <v>3055</v>
      </c>
      <c r="C445" s="784">
        <v>2.9300000000000002E-4</v>
      </c>
      <c r="D445" s="784">
        <v>2.9839999999999999E-4</v>
      </c>
      <c r="E445" s="815">
        <v>124372</v>
      </c>
      <c r="F445" s="818">
        <v>633305</v>
      </c>
      <c r="G445" s="785">
        <v>447623</v>
      </c>
      <c r="H445" s="785"/>
      <c r="I445" s="786">
        <v>25787</v>
      </c>
      <c r="J445" s="787">
        <v>108683</v>
      </c>
      <c r="K445" s="786">
        <v>63927</v>
      </c>
      <c r="L445" s="785">
        <v>0</v>
      </c>
      <c r="M445" s="785"/>
      <c r="N445" s="786">
        <v>12671</v>
      </c>
      <c r="O445" s="786">
        <v>0</v>
      </c>
      <c r="P445" s="786">
        <v>0</v>
      </c>
      <c r="Q445" s="785">
        <v>27614</v>
      </c>
      <c r="R445" s="785"/>
      <c r="S445" s="786">
        <v>150849</v>
      </c>
      <c r="T445" s="788">
        <v>-10625</v>
      </c>
      <c r="U445" s="788">
        <v>140224</v>
      </c>
    </row>
    <row r="446" spans="1:21" x14ac:dyDescent="0.25">
      <c r="A446" s="782">
        <v>94547</v>
      </c>
      <c r="B446" s="783" t="s">
        <v>3056</v>
      </c>
      <c r="C446" s="784">
        <v>1.08E-5</v>
      </c>
      <c r="D446" s="784">
        <v>1.24E-5</v>
      </c>
      <c r="E446" s="815">
        <v>8019</v>
      </c>
      <c r="F446" s="818">
        <v>26317</v>
      </c>
      <c r="G446" s="785">
        <v>16499</v>
      </c>
      <c r="H446" s="785"/>
      <c r="I446" s="786">
        <v>951</v>
      </c>
      <c r="J446" s="787">
        <v>4006</v>
      </c>
      <c r="K446" s="786">
        <v>2356</v>
      </c>
      <c r="L446" s="785">
        <v>2853</v>
      </c>
      <c r="M446" s="785"/>
      <c r="N446" s="786">
        <v>467</v>
      </c>
      <c r="O446" s="786">
        <v>0</v>
      </c>
      <c r="P446" s="786">
        <v>0</v>
      </c>
      <c r="Q446" s="785">
        <v>0</v>
      </c>
      <c r="R446" s="785"/>
      <c r="S446" s="786">
        <v>5560</v>
      </c>
      <c r="T446" s="788">
        <v>1000</v>
      </c>
      <c r="U446" s="788">
        <v>6560</v>
      </c>
    </row>
    <row r="447" spans="1:21" x14ac:dyDescent="0.25">
      <c r="A447" s="782">
        <v>94551</v>
      </c>
      <c r="B447" s="783" t="s">
        <v>3057</v>
      </c>
      <c r="C447" s="784">
        <v>4.1900000000000002E-5</v>
      </c>
      <c r="D447" s="784">
        <v>4.5899999999999998E-5</v>
      </c>
      <c r="E447" s="815">
        <v>24929</v>
      </c>
      <c r="F447" s="818">
        <v>97415</v>
      </c>
      <c r="G447" s="785">
        <v>64012</v>
      </c>
      <c r="H447" s="785"/>
      <c r="I447" s="786">
        <v>3688</v>
      </c>
      <c r="J447" s="787">
        <v>15543</v>
      </c>
      <c r="K447" s="786">
        <v>9142</v>
      </c>
      <c r="L447" s="785">
        <v>11600</v>
      </c>
      <c r="M447" s="785"/>
      <c r="N447" s="786">
        <v>1812</v>
      </c>
      <c r="O447" s="786">
        <v>0</v>
      </c>
      <c r="P447" s="786">
        <v>0</v>
      </c>
      <c r="Q447" s="785">
        <v>1576</v>
      </c>
      <c r="R447" s="785"/>
      <c r="S447" s="786">
        <v>21572</v>
      </c>
      <c r="T447" s="788">
        <v>4116</v>
      </c>
      <c r="U447" s="788">
        <v>25688</v>
      </c>
    </row>
    <row r="448" spans="1:21" x14ac:dyDescent="0.25">
      <c r="A448" s="782">
        <v>94601</v>
      </c>
      <c r="B448" s="783" t="s">
        <v>3058</v>
      </c>
      <c r="C448" s="784">
        <v>1.0602999999999999E-3</v>
      </c>
      <c r="D448" s="784">
        <v>1.0011E-3</v>
      </c>
      <c r="E448" s="815">
        <v>501425</v>
      </c>
      <c r="F448" s="818">
        <v>2124670</v>
      </c>
      <c r="G448" s="785">
        <v>1619845</v>
      </c>
      <c r="H448" s="785"/>
      <c r="I448" s="786">
        <v>93318</v>
      </c>
      <c r="J448" s="787">
        <v>393300</v>
      </c>
      <c r="K448" s="786">
        <v>231336</v>
      </c>
      <c r="L448" s="785">
        <v>77480</v>
      </c>
      <c r="M448" s="785"/>
      <c r="N448" s="786">
        <v>45853</v>
      </c>
      <c r="O448" s="786">
        <v>0</v>
      </c>
      <c r="P448" s="786">
        <v>0</v>
      </c>
      <c r="Q448" s="785">
        <v>2182</v>
      </c>
      <c r="R448" s="785"/>
      <c r="S448" s="786">
        <v>545889</v>
      </c>
      <c r="T448" s="788">
        <v>21640</v>
      </c>
      <c r="U448" s="788">
        <v>567529</v>
      </c>
    </row>
    <row r="449" spans="1:21" x14ac:dyDescent="0.25">
      <c r="A449" s="782">
        <v>94604</v>
      </c>
      <c r="B449" s="783" t="s">
        <v>3059</v>
      </c>
      <c r="C449" s="784">
        <v>2.62E-5</v>
      </c>
      <c r="D449" s="784">
        <v>2.65E-5</v>
      </c>
      <c r="E449" s="815">
        <v>14408</v>
      </c>
      <c r="F449" s="818">
        <v>56242</v>
      </c>
      <c r="G449" s="785">
        <v>40026</v>
      </c>
      <c r="H449" s="785"/>
      <c r="I449" s="786">
        <v>2306</v>
      </c>
      <c r="J449" s="787">
        <v>9718</v>
      </c>
      <c r="K449" s="786">
        <v>5716</v>
      </c>
      <c r="L449" s="785">
        <v>2471</v>
      </c>
      <c r="M449" s="785"/>
      <c r="N449" s="786">
        <v>1133</v>
      </c>
      <c r="O449" s="786">
        <v>0</v>
      </c>
      <c r="P449" s="786">
        <v>0</v>
      </c>
      <c r="Q449" s="785">
        <v>26</v>
      </c>
      <c r="R449" s="785"/>
      <c r="S449" s="786">
        <v>13489</v>
      </c>
      <c r="T449" s="788">
        <v>697</v>
      </c>
      <c r="U449" s="788">
        <v>14186</v>
      </c>
    </row>
    <row r="450" spans="1:21" x14ac:dyDescent="0.25">
      <c r="A450" s="782">
        <v>94606</v>
      </c>
      <c r="B450" s="783" t="s">
        <v>3060</v>
      </c>
      <c r="C450" s="784">
        <v>2.3550000000000001E-4</v>
      </c>
      <c r="D450" s="784">
        <v>2.6229999999999998E-4</v>
      </c>
      <c r="E450" s="815">
        <v>106916</v>
      </c>
      <c r="F450" s="818">
        <v>556688</v>
      </c>
      <c r="G450" s="785">
        <v>359779</v>
      </c>
      <c r="H450" s="785"/>
      <c r="I450" s="786">
        <v>20727</v>
      </c>
      <c r="J450" s="787">
        <v>87355</v>
      </c>
      <c r="K450" s="786">
        <v>51381</v>
      </c>
      <c r="L450" s="785">
        <v>0</v>
      </c>
      <c r="M450" s="785"/>
      <c r="N450" s="786">
        <v>10184</v>
      </c>
      <c r="O450" s="786">
        <v>0</v>
      </c>
      <c r="P450" s="786">
        <v>0</v>
      </c>
      <c r="Q450" s="785">
        <v>51703</v>
      </c>
      <c r="R450" s="785"/>
      <c r="S450" s="786">
        <v>121246</v>
      </c>
      <c r="T450" s="788">
        <v>-24169</v>
      </c>
      <c r="U450" s="788">
        <v>97077</v>
      </c>
    </row>
    <row r="451" spans="1:21" x14ac:dyDescent="0.25">
      <c r="A451" s="782">
        <v>94611</v>
      </c>
      <c r="B451" s="783" t="s">
        <v>3061</v>
      </c>
      <c r="C451" s="784">
        <v>3.6850000000000001E-4</v>
      </c>
      <c r="D451" s="784">
        <v>4.4450000000000002E-4</v>
      </c>
      <c r="E451" s="815">
        <v>191641</v>
      </c>
      <c r="F451" s="818">
        <v>943378</v>
      </c>
      <c r="G451" s="785">
        <v>562966</v>
      </c>
      <c r="H451" s="785"/>
      <c r="I451" s="786">
        <v>32432</v>
      </c>
      <c r="J451" s="787">
        <v>136689</v>
      </c>
      <c r="K451" s="786">
        <v>80399</v>
      </c>
      <c r="L451" s="785">
        <v>2567</v>
      </c>
      <c r="M451" s="785"/>
      <c r="N451" s="786">
        <v>15936</v>
      </c>
      <c r="O451" s="786">
        <v>0</v>
      </c>
      <c r="P451" s="786">
        <v>0</v>
      </c>
      <c r="Q451" s="785">
        <v>35426</v>
      </c>
      <c r="R451" s="785"/>
      <c r="S451" s="786">
        <v>189720</v>
      </c>
      <c r="T451" s="788">
        <v>-9323</v>
      </c>
      <c r="U451" s="788">
        <v>180397</v>
      </c>
    </row>
    <row r="452" spans="1:21" x14ac:dyDescent="0.25">
      <c r="A452" s="782">
        <v>94621</v>
      </c>
      <c r="B452" s="783" t="s">
        <v>3062</v>
      </c>
      <c r="C452" s="784">
        <v>9.7600000000000001E-5</v>
      </c>
      <c r="D452" s="784">
        <v>1.3119999999999999E-4</v>
      </c>
      <c r="E452" s="815">
        <v>66541</v>
      </c>
      <c r="F452" s="818">
        <v>278450</v>
      </c>
      <c r="G452" s="785">
        <v>149106</v>
      </c>
      <c r="H452" s="785"/>
      <c r="I452" s="786">
        <v>8590</v>
      </c>
      <c r="J452" s="787">
        <v>36203</v>
      </c>
      <c r="K452" s="786">
        <v>21294</v>
      </c>
      <c r="L452" s="785">
        <v>6585</v>
      </c>
      <c r="M452" s="785"/>
      <c r="N452" s="786">
        <v>4221</v>
      </c>
      <c r="O452" s="786">
        <v>0</v>
      </c>
      <c r="P452" s="786">
        <v>0</v>
      </c>
      <c r="Q452" s="785">
        <v>18055</v>
      </c>
      <c r="R452" s="785"/>
      <c r="S452" s="786">
        <v>50249</v>
      </c>
      <c r="T452" s="788">
        <v>-1288</v>
      </c>
      <c r="U452" s="788">
        <v>48961</v>
      </c>
    </row>
    <row r="453" spans="1:21" x14ac:dyDescent="0.25">
      <c r="A453" s="782">
        <v>94631</v>
      </c>
      <c r="B453" s="783" t="s">
        <v>3063</v>
      </c>
      <c r="C453" s="784">
        <v>3.9100000000000002E-5</v>
      </c>
      <c r="D453" s="784">
        <v>3.9799999999999998E-5</v>
      </c>
      <c r="E453" s="815">
        <v>22453</v>
      </c>
      <c r="F453" s="818">
        <v>84469</v>
      </c>
      <c r="G453" s="785">
        <v>59734</v>
      </c>
      <c r="H453" s="785"/>
      <c r="I453" s="786">
        <v>3441</v>
      </c>
      <c r="J453" s="787">
        <v>14504</v>
      </c>
      <c r="K453" s="786">
        <v>8531</v>
      </c>
      <c r="L453" s="785">
        <v>6569</v>
      </c>
      <c r="M453" s="785"/>
      <c r="N453" s="786">
        <v>1691</v>
      </c>
      <c r="O453" s="786">
        <v>0</v>
      </c>
      <c r="P453" s="786">
        <v>0</v>
      </c>
      <c r="Q453" s="785">
        <v>0</v>
      </c>
      <c r="R453" s="785"/>
      <c r="S453" s="786">
        <v>20130</v>
      </c>
      <c r="T453" s="788">
        <v>2517</v>
      </c>
      <c r="U453" s="788">
        <v>22647</v>
      </c>
    </row>
    <row r="454" spans="1:21" x14ac:dyDescent="0.25">
      <c r="A454" s="782">
        <v>94641</v>
      </c>
      <c r="B454" s="783" t="s">
        <v>3064</v>
      </c>
      <c r="C454" s="784">
        <v>3.8999999999999999E-6</v>
      </c>
      <c r="D454" s="784">
        <v>4.6999999999999999E-6</v>
      </c>
      <c r="E454" s="815">
        <v>5004</v>
      </c>
      <c r="F454" s="818">
        <v>9975</v>
      </c>
      <c r="G454" s="785">
        <v>5958</v>
      </c>
      <c r="H454" s="785"/>
      <c r="I454" s="786">
        <v>343</v>
      </c>
      <c r="J454" s="787">
        <v>1446</v>
      </c>
      <c r="K454" s="786">
        <v>851</v>
      </c>
      <c r="L454" s="785">
        <v>5156</v>
      </c>
      <c r="M454" s="785"/>
      <c r="N454" s="786">
        <v>169</v>
      </c>
      <c r="O454" s="786">
        <v>0</v>
      </c>
      <c r="P454" s="786">
        <v>0</v>
      </c>
      <c r="Q454" s="785">
        <v>0</v>
      </c>
      <c r="R454" s="785"/>
      <c r="S454" s="786">
        <v>2008</v>
      </c>
      <c r="T454" s="788">
        <v>2187</v>
      </c>
      <c r="U454" s="788">
        <v>4195</v>
      </c>
    </row>
    <row r="455" spans="1:21" x14ac:dyDescent="0.25">
      <c r="A455" s="782">
        <v>94701</v>
      </c>
      <c r="B455" s="783" t="s">
        <v>3065</v>
      </c>
      <c r="C455" s="784">
        <v>2.5446000000000002E-3</v>
      </c>
      <c r="D455" s="784">
        <v>2.5636000000000001E-3</v>
      </c>
      <c r="E455" s="815">
        <v>1148600</v>
      </c>
      <c r="F455" s="818">
        <v>5440818</v>
      </c>
      <c r="G455" s="785">
        <v>3887444</v>
      </c>
      <c r="H455" s="785"/>
      <c r="I455" s="786">
        <v>223953</v>
      </c>
      <c r="J455" s="787">
        <v>943877</v>
      </c>
      <c r="K455" s="786">
        <v>555181</v>
      </c>
      <c r="L455" s="785">
        <v>45251</v>
      </c>
      <c r="M455" s="785"/>
      <c r="N455" s="786">
        <v>110041</v>
      </c>
      <c r="O455" s="786">
        <v>0</v>
      </c>
      <c r="P455" s="786">
        <v>0</v>
      </c>
      <c r="Q455" s="785">
        <v>103182</v>
      </c>
      <c r="R455" s="785"/>
      <c r="S455" s="786">
        <v>1310072</v>
      </c>
      <c r="T455" s="788">
        <v>-2731</v>
      </c>
      <c r="U455" s="788">
        <v>1307341</v>
      </c>
    </row>
    <row r="456" spans="1:21" x14ac:dyDescent="0.25">
      <c r="A456" s="782">
        <v>94704</v>
      </c>
      <c r="B456" s="783" t="s">
        <v>3066</v>
      </c>
      <c r="C456" s="784">
        <v>9.5000000000000005E-6</v>
      </c>
      <c r="D456" s="784">
        <v>1.04E-5</v>
      </c>
      <c r="E456" s="815">
        <v>5070</v>
      </c>
      <c r="F456" s="818">
        <v>22072</v>
      </c>
      <c r="G456" s="785">
        <v>14513</v>
      </c>
      <c r="H456" s="785"/>
      <c r="I456" s="786">
        <v>836</v>
      </c>
      <c r="J456" s="787">
        <v>3524</v>
      </c>
      <c r="K456" s="786">
        <v>2073</v>
      </c>
      <c r="L456" s="785">
        <v>77</v>
      </c>
      <c r="M456" s="785"/>
      <c r="N456" s="786">
        <v>411</v>
      </c>
      <c r="O456" s="786">
        <v>0</v>
      </c>
      <c r="P456" s="786">
        <v>0</v>
      </c>
      <c r="Q456" s="785">
        <v>100</v>
      </c>
      <c r="R456" s="785"/>
      <c r="S456" s="786">
        <v>4891</v>
      </c>
      <c r="T456" s="788">
        <v>38</v>
      </c>
      <c r="U456" s="788">
        <v>4929</v>
      </c>
    </row>
    <row r="457" spans="1:21" x14ac:dyDescent="0.25">
      <c r="A457" s="782">
        <v>94711</v>
      </c>
      <c r="B457" s="783" t="s">
        <v>3067</v>
      </c>
      <c r="C457" s="784">
        <v>3.3599999999999998E-4</v>
      </c>
      <c r="D457" s="784">
        <v>3.5110000000000002E-4</v>
      </c>
      <c r="E457" s="815">
        <v>165327</v>
      </c>
      <c r="F457" s="818">
        <v>745152</v>
      </c>
      <c r="G457" s="785">
        <v>513315</v>
      </c>
      <c r="H457" s="785"/>
      <c r="I457" s="786">
        <v>29572</v>
      </c>
      <c r="J457" s="787">
        <v>124633</v>
      </c>
      <c r="K457" s="786">
        <v>73308</v>
      </c>
      <c r="L457" s="785">
        <v>9113</v>
      </c>
      <c r="M457" s="785"/>
      <c r="N457" s="786">
        <v>14530</v>
      </c>
      <c r="O457" s="786">
        <v>0</v>
      </c>
      <c r="P457" s="786">
        <v>0</v>
      </c>
      <c r="Q457" s="785">
        <v>6693</v>
      </c>
      <c r="R457" s="785"/>
      <c r="S457" s="786">
        <v>172988</v>
      </c>
      <c r="T457" s="788">
        <v>1163</v>
      </c>
      <c r="U457" s="788">
        <v>174151</v>
      </c>
    </row>
    <row r="458" spans="1:21" x14ac:dyDescent="0.25">
      <c r="A458" s="782">
        <v>94801</v>
      </c>
      <c r="B458" s="783" t="s">
        <v>3068</v>
      </c>
      <c r="C458" s="784">
        <v>7.2440000000000004E-4</v>
      </c>
      <c r="D458" s="784">
        <v>7.6539999999999996E-4</v>
      </c>
      <c r="E458" s="815">
        <v>342416</v>
      </c>
      <c r="F458" s="818">
        <v>1624435</v>
      </c>
      <c r="G458" s="785">
        <v>1106683</v>
      </c>
      <c r="H458" s="785"/>
      <c r="I458" s="786">
        <v>63755</v>
      </c>
      <c r="J458" s="787">
        <v>268704</v>
      </c>
      <c r="K458" s="786">
        <v>158050</v>
      </c>
      <c r="L458" s="785">
        <v>40380</v>
      </c>
      <c r="M458" s="785"/>
      <c r="N458" s="786">
        <v>31327</v>
      </c>
      <c r="O458" s="786">
        <v>0</v>
      </c>
      <c r="P458" s="786">
        <v>0</v>
      </c>
      <c r="Q458" s="785">
        <v>19605</v>
      </c>
      <c r="R458" s="785"/>
      <c r="S458" s="786">
        <v>372953</v>
      </c>
      <c r="T458" s="788">
        <v>17711</v>
      </c>
      <c r="U458" s="788">
        <v>390664</v>
      </c>
    </row>
    <row r="459" spans="1:21" x14ac:dyDescent="0.25">
      <c r="A459" s="782">
        <v>94804</v>
      </c>
      <c r="B459" s="783" t="s">
        <v>3069</v>
      </c>
      <c r="C459" s="784">
        <v>3.8E-6</v>
      </c>
      <c r="D459" s="784">
        <v>3.8E-6</v>
      </c>
      <c r="E459" s="815">
        <v>2740</v>
      </c>
      <c r="F459" s="818">
        <v>8065</v>
      </c>
      <c r="G459" s="785">
        <v>5805</v>
      </c>
      <c r="H459" s="785"/>
      <c r="I459" s="786">
        <v>334</v>
      </c>
      <c r="J459" s="787">
        <v>1409</v>
      </c>
      <c r="K459" s="786">
        <v>829</v>
      </c>
      <c r="L459" s="785">
        <v>2556</v>
      </c>
      <c r="M459" s="785"/>
      <c r="N459" s="786">
        <v>164</v>
      </c>
      <c r="O459" s="786">
        <v>0</v>
      </c>
      <c r="P459" s="786">
        <v>0</v>
      </c>
      <c r="Q459" s="785">
        <v>218</v>
      </c>
      <c r="R459" s="785"/>
      <c r="S459" s="786">
        <v>1956</v>
      </c>
      <c r="T459" s="788">
        <v>1879</v>
      </c>
      <c r="U459" s="788">
        <v>3835</v>
      </c>
    </row>
    <row r="460" spans="1:21" x14ac:dyDescent="0.25">
      <c r="A460" s="782">
        <v>94812</v>
      </c>
      <c r="B460" s="783" t="s">
        <v>3070</v>
      </c>
      <c r="C460" s="784">
        <v>3.3000000000000003E-5</v>
      </c>
      <c r="D460" s="784">
        <v>3.3500000000000001E-5</v>
      </c>
      <c r="E460" s="815">
        <v>19658</v>
      </c>
      <c r="F460" s="818">
        <v>71098</v>
      </c>
      <c r="G460" s="785">
        <v>50415</v>
      </c>
      <c r="H460" s="785"/>
      <c r="I460" s="786">
        <v>2904</v>
      </c>
      <c r="J460" s="787">
        <v>12241</v>
      </c>
      <c r="K460" s="786">
        <v>7200</v>
      </c>
      <c r="L460" s="785">
        <v>10442</v>
      </c>
      <c r="M460" s="785"/>
      <c r="N460" s="786">
        <v>1427</v>
      </c>
      <c r="O460" s="786">
        <v>0</v>
      </c>
      <c r="P460" s="786">
        <v>0</v>
      </c>
      <c r="Q460" s="785">
        <v>0</v>
      </c>
      <c r="R460" s="785"/>
      <c r="S460" s="786">
        <v>16990</v>
      </c>
      <c r="T460" s="788">
        <v>4040</v>
      </c>
      <c r="U460" s="788">
        <v>21030</v>
      </c>
    </row>
    <row r="461" spans="1:21" x14ac:dyDescent="0.25">
      <c r="A461" s="782">
        <v>94901</v>
      </c>
      <c r="B461" s="783" t="s">
        <v>3071</v>
      </c>
      <c r="C461" s="784">
        <v>6.7841999999999998E-3</v>
      </c>
      <c r="D461" s="784">
        <v>7.0014999999999999E-3</v>
      </c>
      <c r="E461" s="815">
        <v>3201093</v>
      </c>
      <c r="F461" s="818">
        <v>14859529</v>
      </c>
      <c r="G461" s="785">
        <v>10364378</v>
      </c>
      <c r="H461" s="785"/>
      <c r="I461" s="786">
        <v>597084</v>
      </c>
      <c r="J461" s="787">
        <v>2516484</v>
      </c>
      <c r="K461" s="786">
        <v>1480177</v>
      </c>
      <c r="L461" s="785">
        <v>16760</v>
      </c>
      <c r="M461" s="785"/>
      <c r="N461" s="786">
        <v>293383</v>
      </c>
      <c r="O461" s="786">
        <v>0</v>
      </c>
      <c r="P461" s="786">
        <v>0</v>
      </c>
      <c r="Q461" s="785">
        <v>129476</v>
      </c>
      <c r="R461" s="785"/>
      <c r="S461" s="786">
        <v>3492805</v>
      </c>
      <c r="T461" s="788">
        <v>-36324</v>
      </c>
      <c r="U461" s="788">
        <v>3456481</v>
      </c>
    </row>
    <row r="462" spans="1:21" x14ac:dyDescent="0.25">
      <c r="A462" s="782">
        <v>94908</v>
      </c>
      <c r="B462" s="783" t="s">
        <v>3072</v>
      </c>
      <c r="C462" s="784">
        <v>7.7000000000000008E-6</v>
      </c>
      <c r="D462" s="784">
        <v>3.9799999999999998E-5</v>
      </c>
      <c r="E462" s="815">
        <v>7868</v>
      </c>
      <c r="F462" s="818">
        <v>84469</v>
      </c>
      <c r="G462" s="785">
        <v>11763</v>
      </c>
      <c r="H462" s="785"/>
      <c r="I462" s="786">
        <v>678</v>
      </c>
      <c r="J462" s="787">
        <v>2857</v>
      </c>
      <c r="K462" s="786">
        <v>1680</v>
      </c>
      <c r="L462" s="785">
        <v>0</v>
      </c>
      <c r="M462" s="785"/>
      <c r="N462" s="786">
        <v>333</v>
      </c>
      <c r="O462" s="786">
        <v>0</v>
      </c>
      <c r="P462" s="786">
        <v>0</v>
      </c>
      <c r="Q462" s="785">
        <v>21664</v>
      </c>
      <c r="R462" s="785"/>
      <c r="S462" s="786">
        <v>3964</v>
      </c>
      <c r="T462" s="788">
        <v>-6783</v>
      </c>
      <c r="U462" s="788">
        <v>-2819</v>
      </c>
    </row>
    <row r="463" spans="1:21" x14ac:dyDescent="0.25">
      <c r="A463" s="782">
        <v>94911</v>
      </c>
      <c r="B463" s="783" t="s">
        <v>3073</v>
      </c>
      <c r="C463" s="784">
        <v>2.8311E-3</v>
      </c>
      <c r="D463" s="784">
        <v>2.7745999999999999E-3</v>
      </c>
      <c r="E463" s="815">
        <v>1295988</v>
      </c>
      <c r="F463" s="818">
        <v>5888631</v>
      </c>
      <c r="G463" s="785">
        <v>4325137</v>
      </c>
      <c r="H463" s="785"/>
      <c r="I463" s="786">
        <v>249168</v>
      </c>
      <c r="J463" s="787">
        <v>1050149</v>
      </c>
      <c r="K463" s="786">
        <v>617689</v>
      </c>
      <c r="L463" s="785">
        <v>39747</v>
      </c>
      <c r="M463" s="785"/>
      <c r="N463" s="786">
        <v>122431</v>
      </c>
      <c r="O463" s="786">
        <v>0</v>
      </c>
      <c r="P463" s="786">
        <v>0</v>
      </c>
      <c r="Q463" s="785">
        <v>40147</v>
      </c>
      <c r="R463" s="785"/>
      <c r="S463" s="786">
        <v>1457575</v>
      </c>
      <c r="T463" s="788">
        <v>-7457</v>
      </c>
      <c r="U463" s="788">
        <v>1450118</v>
      </c>
    </row>
    <row r="464" spans="1:21" x14ac:dyDescent="0.25">
      <c r="A464" s="782">
        <v>94917</v>
      </c>
      <c r="B464" s="783" t="s">
        <v>3074</v>
      </c>
      <c r="C464" s="784">
        <v>3.5099999999999999E-5</v>
      </c>
      <c r="D464" s="784">
        <v>3.7400000000000001E-5</v>
      </c>
      <c r="E464" s="815">
        <v>27131</v>
      </c>
      <c r="F464" s="818">
        <v>79375</v>
      </c>
      <c r="G464" s="785">
        <v>53623</v>
      </c>
      <c r="H464" s="785"/>
      <c r="I464" s="786">
        <v>3089</v>
      </c>
      <c r="J464" s="787">
        <v>13020</v>
      </c>
      <c r="K464" s="786">
        <v>7658</v>
      </c>
      <c r="L464" s="785">
        <v>16574</v>
      </c>
      <c r="M464" s="785"/>
      <c r="N464" s="786">
        <v>1518</v>
      </c>
      <c r="O464" s="786">
        <v>0</v>
      </c>
      <c r="P464" s="786">
        <v>0</v>
      </c>
      <c r="Q464" s="785">
        <v>0</v>
      </c>
      <c r="R464" s="785"/>
      <c r="S464" s="786">
        <v>18071</v>
      </c>
      <c r="T464" s="788">
        <v>7114</v>
      </c>
      <c r="U464" s="788">
        <v>25185</v>
      </c>
    </row>
    <row r="465" spans="1:21" x14ac:dyDescent="0.25">
      <c r="A465" s="782">
        <v>94921</v>
      </c>
      <c r="B465" s="783" t="s">
        <v>3075</v>
      </c>
      <c r="C465" s="784">
        <v>3.9515000000000002E-3</v>
      </c>
      <c r="D465" s="784">
        <v>3.7063E-3</v>
      </c>
      <c r="E465" s="815">
        <v>1632572</v>
      </c>
      <c r="F465" s="818">
        <v>7866010</v>
      </c>
      <c r="G465" s="785">
        <v>6036797</v>
      </c>
      <c r="H465" s="785"/>
      <c r="I465" s="786">
        <v>347775</v>
      </c>
      <c r="J465" s="787">
        <v>1465741</v>
      </c>
      <c r="K465" s="786">
        <v>862138</v>
      </c>
      <c r="L465" s="785">
        <v>19200</v>
      </c>
      <c r="M465" s="785"/>
      <c r="N465" s="786">
        <v>170883</v>
      </c>
      <c r="O465" s="786">
        <v>0</v>
      </c>
      <c r="P465" s="786">
        <v>0</v>
      </c>
      <c r="Q465" s="785">
        <v>350239</v>
      </c>
      <c r="R465" s="785"/>
      <c r="S465" s="786">
        <v>2034406</v>
      </c>
      <c r="T465" s="788">
        <v>-150626</v>
      </c>
      <c r="U465" s="788">
        <v>1883780</v>
      </c>
    </row>
    <row r="466" spans="1:21" x14ac:dyDescent="0.25">
      <c r="A466" s="782">
        <v>94923</v>
      </c>
      <c r="B466" s="783" t="s">
        <v>3076</v>
      </c>
      <c r="C466" s="784">
        <v>3.0700000000000001E-5</v>
      </c>
      <c r="D466" s="784">
        <v>2.4499999999999999E-5</v>
      </c>
      <c r="E466" s="815">
        <v>14810</v>
      </c>
      <c r="F466" s="818">
        <v>51997</v>
      </c>
      <c r="G466" s="785">
        <v>46901</v>
      </c>
      <c r="H466" s="785"/>
      <c r="I466" s="786">
        <v>2702</v>
      </c>
      <c r="J466" s="787">
        <v>11387</v>
      </c>
      <c r="K466" s="786">
        <v>6698</v>
      </c>
      <c r="L466" s="785">
        <v>5727</v>
      </c>
      <c r="M466" s="785"/>
      <c r="N466" s="786">
        <v>1328</v>
      </c>
      <c r="O466" s="786">
        <v>0</v>
      </c>
      <c r="P466" s="786">
        <v>0</v>
      </c>
      <c r="Q466" s="785">
        <v>86</v>
      </c>
      <c r="R466" s="785"/>
      <c r="S466" s="786">
        <v>15806</v>
      </c>
      <c r="T466" s="788">
        <v>1556</v>
      </c>
      <c r="U466" s="788">
        <v>17362</v>
      </c>
    </row>
    <row r="467" spans="1:21" x14ac:dyDescent="0.25">
      <c r="A467" s="782">
        <v>94927</v>
      </c>
      <c r="B467" s="783" t="s">
        <v>3077</v>
      </c>
      <c r="C467" s="784">
        <v>3.0599999999999998E-5</v>
      </c>
      <c r="D467" s="784">
        <v>3.3899999999999997E-5</v>
      </c>
      <c r="E467" s="815">
        <v>17353</v>
      </c>
      <c r="F467" s="818">
        <v>71947</v>
      </c>
      <c r="G467" s="785">
        <v>46748</v>
      </c>
      <c r="H467" s="785"/>
      <c r="I467" s="786">
        <v>2693</v>
      </c>
      <c r="J467" s="787">
        <v>11350</v>
      </c>
      <c r="K467" s="786">
        <v>6676</v>
      </c>
      <c r="L467" s="785">
        <v>2683</v>
      </c>
      <c r="M467" s="785"/>
      <c r="N467" s="786">
        <v>1323</v>
      </c>
      <c r="O467" s="786">
        <v>0</v>
      </c>
      <c r="P467" s="786">
        <v>0</v>
      </c>
      <c r="Q467" s="785">
        <v>26</v>
      </c>
      <c r="R467" s="785"/>
      <c r="S467" s="786">
        <v>15754</v>
      </c>
      <c r="T467" s="788">
        <v>911</v>
      </c>
      <c r="U467" s="788">
        <v>16665</v>
      </c>
    </row>
    <row r="468" spans="1:21" x14ac:dyDescent="0.25">
      <c r="A468" s="782">
        <v>94931</v>
      </c>
      <c r="B468" s="783" t="s">
        <v>3078</v>
      </c>
      <c r="C468" s="784">
        <v>2.163E-4</v>
      </c>
      <c r="D468" s="784">
        <v>2.1130000000000001E-4</v>
      </c>
      <c r="E468" s="815">
        <v>96302</v>
      </c>
      <c r="F468" s="818">
        <v>448449</v>
      </c>
      <c r="G468" s="785">
        <v>330446</v>
      </c>
      <c r="H468" s="785"/>
      <c r="I468" s="786">
        <v>19037</v>
      </c>
      <c r="J468" s="787">
        <v>80233</v>
      </c>
      <c r="K468" s="786">
        <v>47192</v>
      </c>
      <c r="L468" s="785">
        <v>954</v>
      </c>
      <c r="M468" s="785"/>
      <c r="N468" s="786">
        <v>9354</v>
      </c>
      <c r="O468" s="786">
        <v>0</v>
      </c>
      <c r="P468" s="786">
        <v>0</v>
      </c>
      <c r="Q468" s="785">
        <v>15740</v>
      </c>
      <c r="R468" s="785"/>
      <c r="S468" s="786">
        <v>111361</v>
      </c>
      <c r="T468" s="788">
        <v>-7901</v>
      </c>
      <c r="U468" s="788">
        <v>103460</v>
      </c>
    </row>
    <row r="469" spans="1:21" x14ac:dyDescent="0.25">
      <c r="A469" s="782">
        <v>94941</v>
      </c>
      <c r="B469" s="783" t="s">
        <v>3079</v>
      </c>
      <c r="C469" s="784">
        <v>5.7879999999999997E-4</v>
      </c>
      <c r="D469" s="784">
        <v>5.2959999999999997E-4</v>
      </c>
      <c r="E469" s="815">
        <v>242954</v>
      </c>
      <c r="F469" s="818">
        <v>1123989</v>
      </c>
      <c r="G469" s="785">
        <v>884246</v>
      </c>
      <c r="H469" s="785"/>
      <c r="I469" s="786">
        <v>50941</v>
      </c>
      <c r="J469" s="787">
        <v>214696</v>
      </c>
      <c r="K469" s="786">
        <v>126283</v>
      </c>
      <c r="L469" s="785">
        <v>68775</v>
      </c>
      <c r="M469" s="785"/>
      <c r="N469" s="786">
        <v>25030</v>
      </c>
      <c r="O469" s="786">
        <v>0</v>
      </c>
      <c r="P469" s="786">
        <v>0</v>
      </c>
      <c r="Q469" s="785">
        <v>0</v>
      </c>
      <c r="R469" s="785"/>
      <c r="S469" s="786">
        <v>297992</v>
      </c>
      <c r="T469" s="788">
        <v>46151</v>
      </c>
      <c r="U469" s="788">
        <v>344143</v>
      </c>
    </row>
    <row r="470" spans="1:21" x14ac:dyDescent="0.25">
      <c r="A470" s="782">
        <v>95001</v>
      </c>
      <c r="B470" s="783" t="s">
        <v>3080</v>
      </c>
      <c r="C470" s="784">
        <v>2.4867000000000001E-3</v>
      </c>
      <c r="D470" s="784">
        <v>2.3779000000000001E-3</v>
      </c>
      <c r="E470" s="815">
        <v>1196131</v>
      </c>
      <c r="F470" s="818">
        <v>5046700</v>
      </c>
      <c r="G470" s="785">
        <v>3798989</v>
      </c>
      <c r="H470" s="785"/>
      <c r="I470" s="786">
        <v>218857</v>
      </c>
      <c r="J470" s="787">
        <v>922399</v>
      </c>
      <c r="K470" s="786">
        <v>542548</v>
      </c>
      <c r="L470" s="785">
        <v>176888</v>
      </c>
      <c r="M470" s="785"/>
      <c r="N470" s="786">
        <v>107537</v>
      </c>
      <c r="O470" s="786">
        <v>0</v>
      </c>
      <c r="P470" s="786">
        <v>0</v>
      </c>
      <c r="Q470" s="785">
        <v>3991</v>
      </c>
      <c r="R470" s="785"/>
      <c r="S470" s="786">
        <v>1280263</v>
      </c>
      <c r="T470" s="788">
        <v>51652</v>
      </c>
      <c r="U470" s="788">
        <v>1331915</v>
      </c>
    </row>
    <row r="471" spans="1:21" x14ac:dyDescent="0.25">
      <c r="A471" s="782">
        <v>95002</v>
      </c>
      <c r="B471" s="783" t="s">
        <v>3081</v>
      </c>
      <c r="C471" s="784">
        <v>1.907E-4</v>
      </c>
      <c r="D471" s="784">
        <v>2.0120000000000001E-4</v>
      </c>
      <c r="E471" s="815">
        <v>100854</v>
      </c>
      <c r="F471" s="818">
        <v>427014</v>
      </c>
      <c r="G471" s="785">
        <v>291337</v>
      </c>
      <c r="H471" s="785"/>
      <c r="I471" s="786">
        <v>16784</v>
      </c>
      <c r="J471" s="787">
        <v>70737</v>
      </c>
      <c r="K471" s="786">
        <v>41607</v>
      </c>
      <c r="L471" s="785">
        <v>15647</v>
      </c>
      <c r="M471" s="785"/>
      <c r="N471" s="786">
        <v>8247</v>
      </c>
      <c r="O471" s="786">
        <v>0</v>
      </c>
      <c r="P471" s="786">
        <v>0</v>
      </c>
      <c r="Q471" s="785">
        <v>0</v>
      </c>
      <c r="R471" s="785"/>
      <c r="S471" s="786">
        <v>98181</v>
      </c>
      <c r="T471" s="788">
        <v>6293</v>
      </c>
      <c r="U471" s="788">
        <v>104474</v>
      </c>
    </row>
    <row r="472" spans="1:21" x14ac:dyDescent="0.25">
      <c r="A472" s="782">
        <v>95005</v>
      </c>
      <c r="B472" s="783" t="s">
        <v>3082</v>
      </c>
      <c r="C472" s="784">
        <v>2.2949999999999999E-4</v>
      </c>
      <c r="D472" s="784">
        <v>2.3829999999999999E-4</v>
      </c>
      <c r="E472" s="815">
        <v>111067</v>
      </c>
      <c r="F472" s="818">
        <v>505752</v>
      </c>
      <c r="G472" s="785">
        <v>350612</v>
      </c>
      <c r="H472" s="785"/>
      <c r="I472" s="786">
        <v>20199</v>
      </c>
      <c r="J472" s="787">
        <v>85129</v>
      </c>
      <c r="K472" s="786">
        <v>50072</v>
      </c>
      <c r="L472" s="785">
        <v>13727</v>
      </c>
      <c r="M472" s="785"/>
      <c r="N472" s="786">
        <v>9925</v>
      </c>
      <c r="O472" s="786">
        <v>0</v>
      </c>
      <c r="P472" s="786">
        <v>0</v>
      </c>
      <c r="Q472" s="785">
        <v>1630</v>
      </c>
      <c r="R472" s="785"/>
      <c r="S472" s="786">
        <v>118157</v>
      </c>
      <c r="T472" s="788">
        <v>9042</v>
      </c>
      <c r="U472" s="788">
        <v>127199</v>
      </c>
    </row>
    <row r="473" spans="1:21" x14ac:dyDescent="0.25">
      <c r="A473" s="782">
        <v>95008</v>
      </c>
      <c r="B473" s="783" t="s">
        <v>3083</v>
      </c>
      <c r="C473" s="784">
        <v>1.1519999999999999E-4</v>
      </c>
      <c r="D473" s="784">
        <v>1.169E-4</v>
      </c>
      <c r="E473" s="815">
        <v>62834</v>
      </c>
      <c r="F473" s="818">
        <v>248101</v>
      </c>
      <c r="G473" s="785">
        <v>175994</v>
      </c>
      <c r="H473" s="785"/>
      <c r="I473" s="786">
        <v>10139</v>
      </c>
      <c r="J473" s="787">
        <v>42731</v>
      </c>
      <c r="K473" s="786">
        <v>25134</v>
      </c>
      <c r="L473" s="785">
        <v>19189</v>
      </c>
      <c r="M473" s="785"/>
      <c r="N473" s="786">
        <v>4982</v>
      </c>
      <c r="O473" s="786">
        <v>0</v>
      </c>
      <c r="P473" s="786">
        <v>0</v>
      </c>
      <c r="Q473" s="785">
        <v>6239</v>
      </c>
      <c r="R473" s="785"/>
      <c r="S473" s="786">
        <v>59310</v>
      </c>
      <c r="T473" s="788">
        <v>9098</v>
      </c>
      <c r="U473" s="788">
        <v>68408</v>
      </c>
    </row>
    <row r="474" spans="1:21" x14ac:dyDescent="0.25">
      <c r="A474" s="782">
        <v>95009</v>
      </c>
      <c r="B474" s="783" t="s">
        <v>3671</v>
      </c>
      <c r="C474" s="784">
        <v>4.2208999999999997E-3</v>
      </c>
      <c r="D474" s="784">
        <v>3.9902000000000002E-3</v>
      </c>
      <c r="E474" s="815">
        <v>1917856</v>
      </c>
      <c r="F474" s="818">
        <v>0</v>
      </c>
      <c r="G474" s="785">
        <v>6448366</v>
      </c>
      <c r="H474" s="785"/>
      <c r="I474" s="786">
        <v>371486</v>
      </c>
      <c r="J474" s="787">
        <v>1565671</v>
      </c>
      <c r="K474" s="786">
        <v>920916</v>
      </c>
      <c r="L474" s="785">
        <v>897451</v>
      </c>
      <c r="M474" s="785"/>
      <c r="N474" s="786">
        <v>182533</v>
      </c>
      <c r="O474" s="786">
        <v>0</v>
      </c>
      <c r="P474" s="786">
        <v>0</v>
      </c>
      <c r="Q474" s="785">
        <v>0</v>
      </c>
      <c r="R474" s="785"/>
      <c r="S474" s="786">
        <v>2173105</v>
      </c>
      <c r="T474" s="788">
        <v>582135</v>
      </c>
      <c r="U474" s="788">
        <v>2755240</v>
      </c>
    </row>
    <row r="475" spans="1:21" x14ac:dyDescent="0.25">
      <c r="A475" s="782">
        <v>95011</v>
      </c>
      <c r="B475" s="783" t="s">
        <v>3085</v>
      </c>
      <c r="C475" s="784">
        <v>1.8000000000000001E-4</v>
      </c>
      <c r="D475" s="784">
        <v>1.707E-4</v>
      </c>
      <c r="E475" s="815">
        <v>78934</v>
      </c>
      <c r="F475" s="818">
        <v>362283</v>
      </c>
      <c r="G475" s="785">
        <v>274990</v>
      </c>
      <c r="H475" s="785"/>
      <c r="I475" s="786">
        <v>15842</v>
      </c>
      <c r="J475" s="787">
        <v>66768</v>
      </c>
      <c r="K475" s="786">
        <v>39272</v>
      </c>
      <c r="L475" s="785">
        <v>3275</v>
      </c>
      <c r="M475" s="785"/>
      <c r="N475" s="786">
        <v>7784</v>
      </c>
      <c r="O475" s="786">
        <v>0</v>
      </c>
      <c r="P475" s="786">
        <v>0</v>
      </c>
      <c r="Q475" s="785">
        <v>8909</v>
      </c>
      <c r="R475" s="785"/>
      <c r="S475" s="786">
        <v>92672</v>
      </c>
      <c r="T475" s="788">
        <v>-3840</v>
      </c>
      <c r="U475" s="788">
        <v>88832</v>
      </c>
    </row>
    <row r="476" spans="1:21" x14ac:dyDescent="0.25">
      <c r="A476" s="782">
        <v>95017</v>
      </c>
      <c r="B476" s="783" t="s">
        <v>3086</v>
      </c>
      <c r="C476" s="784">
        <v>3.8800000000000001E-5</v>
      </c>
      <c r="D476" s="784">
        <v>3.5800000000000003E-5</v>
      </c>
      <c r="E476" s="815">
        <v>15330</v>
      </c>
      <c r="F476" s="818">
        <v>75980</v>
      </c>
      <c r="G476" s="785">
        <v>59276</v>
      </c>
      <c r="H476" s="785"/>
      <c r="I476" s="786">
        <v>3415</v>
      </c>
      <c r="J476" s="787">
        <v>14392</v>
      </c>
      <c r="K476" s="786">
        <v>8465</v>
      </c>
      <c r="L476" s="785">
        <v>13339</v>
      </c>
      <c r="M476" s="785"/>
      <c r="N476" s="786">
        <v>1678</v>
      </c>
      <c r="O476" s="786">
        <v>0</v>
      </c>
      <c r="P476" s="786">
        <v>0</v>
      </c>
      <c r="Q476" s="785">
        <v>0</v>
      </c>
      <c r="R476" s="785"/>
      <c r="S476" s="786">
        <v>19976</v>
      </c>
      <c r="T476" s="788">
        <v>7635</v>
      </c>
      <c r="U476" s="788">
        <v>27611</v>
      </c>
    </row>
    <row r="477" spans="1:21" x14ac:dyDescent="0.25">
      <c r="A477" s="782">
        <v>95101</v>
      </c>
      <c r="B477" s="783" t="s">
        <v>3087</v>
      </c>
      <c r="C477" s="784">
        <v>8.3750999999999999E-3</v>
      </c>
      <c r="D477" s="784">
        <v>8.0955999999999997E-3</v>
      </c>
      <c r="E477" s="815">
        <v>3555097</v>
      </c>
      <c r="F477" s="818">
        <v>17181575</v>
      </c>
      <c r="G477" s="785">
        <v>12794833</v>
      </c>
      <c r="H477" s="785"/>
      <c r="I477" s="786">
        <v>737101</v>
      </c>
      <c r="J477" s="787">
        <v>3106601</v>
      </c>
      <c r="K477" s="786">
        <v>1827279</v>
      </c>
      <c r="L477" s="785">
        <v>39562</v>
      </c>
      <c r="M477" s="785"/>
      <c r="N477" s="786">
        <v>362181</v>
      </c>
      <c r="O477" s="786">
        <v>0</v>
      </c>
      <c r="P477" s="786">
        <v>0</v>
      </c>
      <c r="Q477" s="785">
        <v>114122</v>
      </c>
      <c r="R477" s="785"/>
      <c r="S477" s="786">
        <v>4311870</v>
      </c>
      <c r="T477" s="788">
        <v>1978</v>
      </c>
      <c r="U477" s="788">
        <v>4313848</v>
      </c>
    </row>
    <row r="478" spans="1:21" x14ac:dyDescent="0.25">
      <c r="A478" s="782">
        <v>95103</v>
      </c>
      <c r="B478" s="783" t="s">
        <v>3088</v>
      </c>
      <c r="C478" s="784">
        <v>4.9100000000000001E-5</v>
      </c>
      <c r="D478" s="784">
        <v>6.02E-5</v>
      </c>
      <c r="E478" s="815">
        <v>33036</v>
      </c>
      <c r="F478" s="818">
        <v>127765</v>
      </c>
      <c r="G478" s="785">
        <v>75011</v>
      </c>
      <c r="H478" s="785"/>
      <c r="I478" s="786">
        <v>4321</v>
      </c>
      <c r="J478" s="787">
        <v>18213</v>
      </c>
      <c r="K478" s="786">
        <v>10713</v>
      </c>
      <c r="L478" s="785">
        <v>24203</v>
      </c>
      <c r="M478" s="785"/>
      <c r="N478" s="786">
        <v>2123</v>
      </c>
      <c r="O478" s="786">
        <v>0</v>
      </c>
      <c r="P478" s="786">
        <v>0</v>
      </c>
      <c r="Q478" s="785">
        <v>0</v>
      </c>
      <c r="R478" s="785"/>
      <c r="S478" s="786">
        <v>25279</v>
      </c>
      <c r="T478" s="788">
        <v>18053</v>
      </c>
      <c r="U478" s="788">
        <v>43332</v>
      </c>
    </row>
    <row r="479" spans="1:21" x14ac:dyDescent="0.25">
      <c r="A479" s="782">
        <v>95104</v>
      </c>
      <c r="B479" s="783" t="s">
        <v>3089</v>
      </c>
      <c r="C479" s="784">
        <v>1.02E-4</v>
      </c>
      <c r="D479" s="784">
        <v>1.011E-4</v>
      </c>
      <c r="E479" s="815">
        <v>55856</v>
      </c>
      <c r="F479" s="818">
        <v>214568</v>
      </c>
      <c r="G479" s="785">
        <v>155828</v>
      </c>
      <c r="H479" s="785"/>
      <c r="I479" s="786">
        <v>8977</v>
      </c>
      <c r="J479" s="787">
        <v>37835</v>
      </c>
      <c r="K479" s="786">
        <v>22254</v>
      </c>
      <c r="L479" s="785">
        <v>19729</v>
      </c>
      <c r="M479" s="785"/>
      <c r="N479" s="786">
        <v>4411</v>
      </c>
      <c r="O479" s="786">
        <v>0</v>
      </c>
      <c r="P479" s="786">
        <v>0</v>
      </c>
      <c r="Q479" s="785">
        <v>0</v>
      </c>
      <c r="R479" s="785"/>
      <c r="S479" s="786">
        <v>52514</v>
      </c>
      <c r="T479" s="788">
        <v>8399</v>
      </c>
      <c r="U479" s="788">
        <v>60913</v>
      </c>
    </row>
    <row r="480" spans="1:21" x14ac:dyDescent="0.25">
      <c r="A480" s="782">
        <v>95105</v>
      </c>
      <c r="B480" s="783" t="s">
        <v>3090</v>
      </c>
      <c r="C480" s="784">
        <v>6.1099999999999994E-5</v>
      </c>
      <c r="D480" s="784">
        <v>6.3700000000000003E-5</v>
      </c>
      <c r="E480" s="815">
        <v>33363</v>
      </c>
      <c r="F480" s="818">
        <v>135193</v>
      </c>
      <c r="G480" s="785">
        <v>93344</v>
      </c>
      <c r="H480" s="785"/>
      <c r="I480" s="786">
        <v>5377</v>
      </c>
      <c r="J480" s="787">
        <v>22664</v>
      </c>
      <c r="K480" s="786">
        <v>13331</v>
      </c>
      <c r="L480" s="785">
        <v>8129</v>
      </c>
      <c r="M480" s="785"/>
      <c r="N480" s="786">
        <v>2642</v>
      </c>
      <c r="O480" s="786">
        <v>0</v>
      </c>
      <c r="P480" s="786">
        <v>0</v>
      </c>
      <c r="Q480" s="785">
        <v>0</v>
      </c>
      <c r="R480" s="785"/>
      <c r="S480" s="786">
        <v>31457</v>
      </c>
      <c r="T480" s="788">
        <v>4018</v>
      </c>
      <c r="U480" s="788">
        <v>35475</v>
      </c>
    </row>
    <row r="481" spans="1:21" x14ac:dyDescent="0.25">
      <c r="A481" s="782">
        <v>95106</v>
      </c>
      <c r="B481" s="783" t="s">
        <v>3091</v>
      </c>
      <c r="C481" s="784">
        <v>1.2099999999999999E-5</v>
      </c>
      <c r="D481" s="784">
        <v>1.3900000000000001E-5</v>
      </c>
      <c r="E481" s="815">
        <v>5272</v>
      </c>
      <c r="F481" s="818">
        <v>29500</v>
      </c>
      <c r="G481" s="785">
        <v>18485</v>
      </c>
      <c r="H481" s="785"/>
      <c r="I481" s="786">
        <v>1065</v>
      </c>
      <c r="J481" s="787">
        <v>4488</v>
      </c>
      <c r="K481" s="786">
        <v>2640</v>
      </c>
      <c r="L481" s="785">
        <v>4918</v>
      </c>
      <c r="M481" s="785"/>
      <c r="N481" s="786">
        <v>523</v>
      </c>
      <c r="O481" s="786">
        <v>0</v>
      </c>
      <c r="P481" s="786">
        <v>0</v>
      </c>
      <c r="Q481" s="785">
        <v>1433</v>
      </c>
      <c r="R481" s="785"/>
      <c r="S481" s="786">
        <v>6230</v>
      </c>
      <c r="T481" s="788">
        <v>2234</v>
      </c>
      <c r="U481" s="788">
        <v>8464</v>
      </c>
    </row>
    <row r="482" spans="1:21" x14ac:dyDescent="0.25">
      <c r="A482" s="782">
        <v>95110</v>
      </c>
      <c r="B482" s="783" t="s">
        <v>3092</v>
      </c>
      <c r="C482" s="784">
        <v>4.2902000000000001E-3</v>
      </c>
      <c r="D482" s="784">
        <v>4.4609000000000003E-3</v>
      </c>
      <c r="E482" s="815">
        <v>1965505</v>
      </c>
      <c r="F482" s="818">
        <v>9467524</v>
      </c>
      <c r="G482" s="785">
        <v>6554237</v>
      </c>
      <c r="H482" s="785"/>
      <c r="I482" s="786">
        <v>377585</v>
      </c>
      <c r="J482" s="787">
        <v>1591377</v>
      </c>
      <c r="K482" s="786">
        <v>936036</v>
      </c>
      <c r="L482" s="785">
        <v>0</v>
      </c>
      <c r="M482" s="785"/>
      <c r="N482" s="786">
        <v>185530</v>
      </c>
      <c r="O482" s="786">
        <v>0</v>
      </c>
      <c r="P482" s="786">
        <v>0</v>
      </c>
      <c r="Q482" s="785">
        <v>1097124</v>
      </c>
      <c r="R482" s="785"/>
      <c r="S482" s="786">
        <v>2208784</v>
      </c>
      <c r="T482" s="788">
        <v>-636198</v>
      </c>
      <c r="U482" s="788">
        <v>1572586</v>
      </c>
    </row>
    <row r="483" spans="1:21" x14ac:dyDescent="0.25">
      <c r="A483" s="782">
        <v>95111</v>
      </c>
      <c r="B483" s="783" t="s">
        <v>3093</v>
      </c>
      <c r="C483" s="784">
        <v>1.0778999999999999E-3</v>
      </c>
      <c r="D483" s="784">
        <v>1.0709000000000001E-3</v>
      </c>
      <c r="E483" s="815">
        <v>470003</v>
      </c>
      <c r="F483" s="818">
        <v>2272809</v>
      </c>
      <c r="G483" s="785">
        <v>1646733</v>
      </c>
      <c r="H483" s="785"/>
      <c r="I483" s="786">
        <v>94867</v>
      </c>
      <c r="J483" s="787">
        <v>399829</v>
      </c>
      <c r="K483" s="786">
        <v>235176</v>
      </c>
      <c r="L483" s="785">
        <v>0</v>
      </c>
      <c r="M483" s="785"/>
      <c r="N483" s="786">
        <v>46614</v>
      </c>
      <c r="O483" s="786">
        <v>0</v>
      </c>
      <c r="P483" s="786">
        <v>0</v>
      </c>
      <c r="Q483" s="785">
        <v>120462</v>
      </c>
      <c r="R483" s="785"/>
      <c r="S483" s="786">
        <v>554950</v>
      </c>
      <c r="T483" s="788">
        <v>-59518</v>
      </c>
      <c r="U483" s="788">
        <v>495432</v>
      </c>
    </row>
    <row r="484" spans="1:21" x14ac:dyDescent="0.25">
      <c r="A484" s="782">
        <v>95113</v>
      </c>
      <c r="B484" s="783" t="s">
        <v>3094</v>
      </c>
      <c r="C484" s="784">
        <v>4.6699999999999997E-5</v>
      </c>
      <c r="D484" s="784">
        <v>4.7500000000000003E-5</v>
      </c>
      <c r="E484" s="815">
        <v>66187</v>
      </c>
      <c r="F484" s="818">
        <v>100811</v>
      </c>
      <c r="G484" s="785">
        <v>71345</v>
      </c>
      <c r="H484" s="785"/>
      <c r="I484" s="786">
        <v>4110</v>
      </c>
      <c r="J484" s="787">
        <v>17322</v>
      </c>
      <c r="K484" s="786">
        <v>10189</v>
      </c>
      <c r="L484" s="785">
        <v>82563</v>
      </c>
      <c r="M484" s="785"/>
      <c r="N484" s="786">
        <v>2020</v>
      </c>
      <c r="O484" s="786">
        <v>0</v>
      </c>
      <c r="P484" s="786">
        <v>0</v>
      </c>
      <c r="Q484" s="785">
        <v>0</v>
      </c>
      <c r="R484" s="785"/>
      <c r="S484" s="786">
        <v>24043</v>
      </c>
      <c r="T484" s="788">
        <v>31359</v>
      </c>
      <c r="U484" s="788">
        <v>55402</v>
      </c>
    </row>
    <row r="485" spans="1:21" x14ac:dyDescent="0.25">
      <c r="A485" s="782">
        <v>95121</v>
      </c>
      <c r="B485" s="783" t="s">
        <v>3095</v>
      </c>
      <c r="C485" s="784">
        <v>4.9770000000000001E-4</v>
      </c>
      <c r="D485" s="784">
        <v>4.9580000000000002E-4</v>
      </c>
      <c r="E485" s="815">
        <v>224754</v>
      </c>
      <c r="F485" s="818">
        <v>1052254</v>
      </c>
      <c r="G485" s="785">
        <v>760348</v>
      </c>
      <c r="H485" s="785"/>
      <c r="I485" s="786">
        <v>43803</v>
      </c>
      <c r="J485" s="787">
        <v>184613</v>
      </c>
      <c r="K485" s="786">
        <v>108588</v>
      </c>
      <c r="L485" s="785">
        <v>12640</v>
      </c>
      <c r="M485" s="785"/>
      <c r="N485" s="786">
        <v>21523</v>
      </c>
      <c r="O485" s="786">
        <v>0</v>
      </c>
      <c r="P485" s="786">
        <v>0</v>
      </c>
      <c r="Q485" s="785">
        <v>14371</v>
      </c>
      <c r="R485" s="785"/>
      <c r="S485" s="786">
        <v>256238</v>
      </c>
      <c r="T485" s="788">
        <v>-7628</v>
      </c>
      <c r="U485" s="788">
        <v>248610</v>
      </c>
    </row>
    <row r="486" spans="1:21" x14ac:dyDescent="0.25">
      <c r="A486" s="782">
        <v>95122</v>
      </c>
      <c r="B486" s="783" t="s">
        <v>3096</v>
      </c>
      <c r="C486" s="784">
        <v>6.4999999999999996E-6</v>
      </c>
      <c r="D486" s="784">
        <v>2.7999999999999999E-6</v>
      </c>
      <c r="E486" s="815">
        <v>3103</v>
      </c>
      <c r="F486" s="818">
        <v>5943</v>
      </c>
      <c r="G486" s="785">
        <v>9930</v>
      </c>
      <c r="H486" s="785"/>
      <c r="I486" s="786">
        <v>572</v>
      </c>
      <c r="J486" s="787">
        <v>2411</v>
      </c>
      <c r="K486" s="786">
        <v>1418</v>
      </c>
      <c r="L486" s="785">
        <v>3675</v>
      </c>
      <c r="M486" s="785"/>
      <c r="N486" s="786">
        <v>281</v>
      </c>
      <c r="O486" s="786">
        <v>0</v>
      </c>
      <c r="P486" s="786">
        <v>0</v>
      </c>
      <c r="Q486" s="785">
        <v>0</v>
      </c>
      <c r="R486" s="785"/>
      <c r="S486" s="786">
        <v>3346</v>
      </c>
      <c r="T486" s="788">
        <v>1103</v>
      </c>
      <c r="U486" s="788">
        <v>4449</v>
      </c>
    </row>
    <row r="487" spans="1:21" x14ac:dyDescent="0.25">
      <c r="A487" s="782">
        <v>95123</v>
      </c>
      <c r="B487" s="783" t="s">
        <v>3097</v>
      </c>
      <c r="C487" s="784">
        <v>5.7399999999999999E-5</v>
      </c>
      <c r="D487" s="784">
        <v>5.6700000000000003E-5</v>
      </c>
      <c r="E487" s="815">
        <v>29191</v>
      </c>
      <c r="F487" s="818">
        <v>120336</v>
      </c>
      <c r="G487" s="785">
        <v>87691</v>
      </c>
      <c r="H487" s="785"/>
      <c r="I487" s="786">
        <v>5052</v>
      </c>
      <c r="J487" s="787">
        <v>21291</v>
      </c>
      <c r="K487" s="786">
        <v>12524</v>
      </c>
      <c r="L487" s="785">
        <v>8811</v>
      </c>
      <c r="M487" s="785"/>
      <c r="N487" s="786">
        <v>2482</v>
      </c>
      <c r="O487" s="786">
        <v>0</v>
      </c>
      <c r="P487" s="786">
        <v>0</v>
      </c>
      <c r="Q487" s="785">
        <v>1459</v>
      </c>
      <c r="R487" s="785"/>
      <c r="S487" s="786">
        <v>29552</v>
      </c>
      <c r="T487" s="788">
        <v>1830</v>
      </c>
      <c r="U487" s="788">
        <v>31382</v>
      </c>
    </row>
    <row r="488" spans="1:21" x14ac:dyDescent="0.25">
      <c r="A488" s="782">
        <v>95131</v>
      </c>
      <c r="B488" s="783" t="s">
        <v>3098</v>
      </c>
      <c r="C488" s="784">
        <v>1.6682999999999999E-3</v>
      </c>
      <c r="D488" s="784">
        <v>1.5451E-3</v>
      </c>
      <c r="E488" s="815">
        <v>749707</v>
      </c>
      <c r="F488" s="818">
        <v>3279220</v>
      </c>
      <c r="G488" s="785">
        <v>2548700</v>
      </c>
      <c r="H488" s="785"/>
      <c r="I488" s="786">
        <v>146829</v>
      </c>
      <c r="J488" s="787">
        <v>618827</v>
      </c>
      <c r="K488" s="786">
        <v>363990</v>
      </c>
      <c r="L488" s="785">
        <v>105945</v>
      </c>
      <c r="M488" s="785"/>
      <c r="N488" s="786">
        <v>72146</v>
      </c>
      <c r="O488" s="786">
        <v>0</v>
      </c>
      <c r="P488" s="786">
        <v>0</v>
      </c>
      <c r="Q488" s="785">
        <v>846</v>
      </c>
      <c r="R488" s="785"/>
      <c r="S488" s="786">
        <v>858914</v>
      </c>
      <c r="T488" s="788">
        <v>33842</v>
      </c>
      <c r="U488" s="788">
        <v>892756</v>
      </c>
    </row>
    <row r="489" spans="1:21" x14ac:dyDescent="0.25">
      <c r="A489" s="782">
        <v>95141</v>
      </c>
      <c r="B489" s="783" t="s">
        <v>3099</v>
      </c>
      <c r="C489" s="784">
        <v>3.2220000000000003E-4</v>
      </c>
      <c r="D489" s="784">
        <v>3.1819999999999998E-4</v>
      </c>
      <c r="E489" s="815">
        <v>131053</v>
      </c>
      <c r="F489" s="818">
        <v>675327</v>
      </c>
      <c r="G489" s="785">
        <v>492232</v>
      </c>
      <c r="H489" s="785"/>
      <c r="I489" s="786">
        <v>28357</v>
      </c>
      <c r="J489" s="787">
        <v>119515</v>
      </c>
      <c r="K489" s="786">
        <v>70298</v>
      </c>
      <c r="L489" s="785">
        <v>1251</v>
      </c>
      <c r="M489" s="785"/>
      <c r="N489" s="786">
        <v>13934</v>
      </c>
      <c r="O489" s="786">
        <v>0</v>
      </c>
      <c r="P489" s="786">
        <v>0</v>
      </c>
      <c r="Q489" s="785">
        <v>29129</v>
      </c>
      <c r="R489" s="785"/>
      <c r="S489" s="786">
        <v>165883</v>
      </c>
      <c r="T489" s="788">
        <v>-11233</v>
      </c>
      <c r="U489" s="788">
        <v>154650</v>
      </c>
    </row>
    <row r="490" spans="1:21" x14ac:dyDescent="0.25">
      <c r="A490" s="782">
        <v>95151</v>
      </c>
      <c r="B490" s="783" t="s">
        <v>3100</v>
      </c>
      <c r="C490" s="784">
        <v>1.092E-4</v>
      </c>
      <c r="D490" s="784">
        <v>1.158E-4</v>
      </c>
      <c r="E490" s="815">
        <v>46663</v>
      </c>
      <c r="F490" s="818">
        <v>245766</v>
      </c>
      <c r="G490" s="785">
        <v>166827</v>
      </c>
      <c r="H490" s="785"/>
      <c r="I490" s="786">
        <v>9611</v>
      </c>
      <c r="J490" s="787">
        <v>40506</v>
      </c>
      <c r="K490" s="786">
        <v>23825</v>
      </c>
      <c r="L490" s="785">
        <v>364</v>
      </c>
      <c r="M490" s="785"/>
      <c r="N490" s="786">
        <v>4722</v>
      </c>
      <c r="O490" s="786">
        <v>0</v>
      </c>
      <c r="P490" s="786">
        <v>0</v>
      </c>
      <c r="Q490" s="785">
        <v>10802</v>
      </c>
      <c r="R490" s="785"/>
      <c r="S490" s="786">
        <v>56221</v>
      </c>
      <c r="T490" s="788">
        <v>-3332</v>
      </c>
      <c r="U490" s="788">
        <v>52889</v>
      </c>
    </row>
    <row r="491" spans="1:21" x14ac:dyDescent="0.25">
      <c r="A491" s="782">
        <v>95161</v>
      </c>
      <c r="B491" s="783" t="s">
        <v>3101</v>
      </c>
      <c r="C491" s="784">
        <v>6.8100000000000002E-5</v>
      </c>
      <c r="D491" s="784">
        <v>7.4800000000000002E-5</v>
      </c>
      <c r="E491" s="815">
        <v>38087</v>
      </c>
      <c r="F491" s="818">
        <v>158751</v>
      </c>
      <c r="G491" s="785">
        <v>104038</v>
      </c>
      <c r="H491" s="785"/>
      <c r="I491" s="786">
        <v>5994</v>
      </c>
      <c r="J491" s="787">
        <v>25261</v>
      </c>
      <c r="K491" s="786">
        <v>14858</v>
      </c>
      <c r="L491" s="785">
        <v>5468</v>
      </c>
      <c r="M491" s="785"/>
      <c r="N491" s="786">
        <v>2945</v>
      </c>
      <c r="O491" s="786">
        <v>0</v>
      </c>
      <c r="P491" s="786">
        <v>0</v>
      </c>
      <c r="Q491" s="785">
        <v>1353</v>
      </c>
      <c r="R491" s="785"/>
      <c r="S491" s="786">
        <v>35061</v>
      </c>
      <c r="T491" s="788">
        <v>1287</v>
      </c>
      <c r="U491" s="788">
        <v>36348</v>
      </c>
    </row>
    <row r="492" spans="1:21" x14ac:dyDescent="0.25">
      <c r="A492" s="782">
        <v>95171</v>
      </c>
      <c r="B492" s="783" t="s">
        <v>3102</v>
      </c>
      <c r="C492" s="784">
        <v>1.0459999999999999E-4</v>
      </c>
      <c r="D492" s="784">
        <v>1.2300000000000001E-4</v>
      </c>
      <c r="E492" s="815">
        <v>53917</v>
      </c>
      <c r="F492" s="818">
        <v>261047</v>
      </c>
      <c r="G492" s="785">
        <v>159800</v>
      </c>
      <c r="H492" s="785"/>
      <c r="I492" s="786">
        <v>9206</v>
      </c>
      <c r="J492" s="787">
        <v>38799</v>
      </c>
      <c r="K492" s="786">
        <v>22822</v>
      </c>
      <c r="L492" s="785">
        <v>6705</v>
      </c>
      <c r="M492" s="785"/>
      <c r="N492" s="786">
        <v>4523</v>
      </c>
      <c r="O492" s="786">
        <v>0</v>
      </c>
      <c r="P492" s="786">
        <v>0</v>
      </c>
      <c r="Q492" s="785">
        <v>14987</v>
      </c>
      <c r="R492" s="785"/>
      <c r="S492" s="786">
        <v>53853</v>
      </c>
      <c r="T492" s="788">
        <v>-3646</v>
      </c>
      <c r="U492" s="788">
        <v>50207</v>
      </c>
    </row>
    <row r="493" spans="1:21" x14ac:dyDescent="0.25">
      <c r="A493" s="782">
        <v>95181</v>
      </c>
      <c r="B493" s="783" t="s">
        <v>3103</v>
      </c>
      <c r="C493" s="784">
        <v>7.7100000000000004E-5</v>
      </c>
      <c r="D493" s="784">
        <v>7.7899999999999996E-5</v>
      </c>
      <c r="E493" s="815">
        <v>30099</v>
      </c>
      <c r="F493" s="818">
        <v>165330</v>
      </c>
      <c r="G493" s="785">
        <v>117787</v>
      </c>
      <c r="H493" s="785"/>
      <c r="I493" s="786">
        <v>6786</v>
      </c>
      <c r="J493" s="787">
        <v>28599</v>
      </c>
      <c r="K493" s="786">
        <v>16822</v>
      </c>
      <c r="L493" s="785">
        <v>1069</v>
      </c>
      <c r="M493" s="785"/>
      <c r="N493" s="786">
        <v>3334</v>
      </c>
      <c r="O493" s="786">
        <v>0</v>
      </c>
      <c r="P493" s="786">
        <v>0</v>
      </c>
      <c r="Q493" s="785">
        <v>9474</v>
      </c>
      <c r="R493" s="785"/>
      <c r="S493" s="786">
        <v>39694</v>
      </c>
      <c r="T493" s="788">
        <v>-2444</v>
      </c>
      <c r="U493" s="788">
        <v>37250</v>
      </c>
    </row>
    <row r="494" spans="1:21" x14ac:dyDescent="0.25">
      <c r="A494" s="782">
        <v>95191</v>
      </c>
      <c r="B494" s="783" t="s">
        <v>3104</v>
      </c>
      <c r="C494" s="784">
        <v>5.3999999999999998E-5</v>
      </c>
      <c r="D494" s="784">
        <v>5.3999999999999998E-5</v>
      </c>
      <c r="E494" s="815">
        <v>31311</v>
      </c>
      <c r="F494" s="818">
        <v>114606</v>
      </c>
      <c r="G494" s="785">
        <v>82497</v>
      </c>
      <c r="H494" s="785"/>
      <c r="I494" s="786">
        <v>4753</v>
      </c>
      <c r="J494" s="787">
        <v>20031</v>
      </c>
      <c r="K494" s="786">
        <v>11782</v>
      </c>
      <c r="L494" s="785">
        <v>12522</v>
      </c>
      <c r="M494" s="785"/>
      <c r="N494" s="786">
        <v>2335</v>
      </c>
      <c r="O494" s="786">
        <v>0</v>
      </c>
      <c r="P494" s="786">
        <v>0</v>
      </c>
      <c r="Q494" s="785">
        <v>5293</v>
      </c>
      <c r="R494" s="785"/>
      <c r="S494" s="786">
        <v>27802</v>
      </c>
      <c r="T494" s="788">
        <v>4438</v>
      </c>
      <c r="U494" s="788">
        <v>32240</v>
      </c>
    </row>
    <row r="495" spans="1:21" x14ac:dyDescent="0.25">
      <c r="A495" s="782">
        <v>95201</v>
      </c>
      <c r="B495" s="783" t="s">
        <v>3105</v>
      </c>
      <c r="C495" s="784">
        <v>7.0969999999999996E-4</v>
      </c>
      <c r="D495" s="784">
        <v>6.8329999999999997E-4</v>
      </c>
      <c r="E495" s="815">
        <v>303949</v>
      </c>
      <c r="F495" s="818">
        <v>1450192</v>
      </c>
      <c r="G495" s="785">
        <v>1084225</v>
      </c>
      <c r="H495" s="785"/>
      <c r="I495" s="786">
        <v>62461</v>
      </c>
      <c r="J495" s="787">
        <v>263252</v>
      </c>
      <c r="K495" s="786">
        <v>154842</v>
      </c>
      <c r="L495" s="785">
        <v>6474</v>
      </c>
      <c r="M495" s="785"/>
      <c r="N495" s="786">
        <v>30691</v>
      </c>
      <c r="O495" s="786">
        <v>0</v>
      </c>
      <c r="P495" s="786">
        <v>0</v>
      </c>
      <c r="Q495" s="785">
        <v>21158</v>
      </c>
      <c r="R495" s="785"/>
      <c r="S495" s="786">
        <v>365385</v>
      </c>
      <c r="T495" s="788">
        <v>-9663</v>
      </c>
      <c r="U495" s="788">
        <v>355722</v>
      </c>
    </row>
    <row r="496" spans="1:21" x14ac:dyDescent="0.25">
      <c r="A496" s="782">
        <v>95204</v>
      </c>
      <c r="B496" s="783" t="s">
        <v>3106</v>
      </c>
      <c r="C496" s="784">
        <v>1.26E-5</v>
      </c>
      <c r="D496" s="784">
        <v>1.1600000000000001E-5</v>
      </c>
      <c r="E496" s="815">
        <v>7226</v>
      </c>
      <c r="F496" s="818">
        <v>24619</v>
      </c>
      <c r="G496" s="785">
        <v>19249</v>
      </c>
      <c r="H496" s="785"/>
      <c r="I496" s="786">
        <v>1109</v>
      </c>
      <c r="J496" s="787">
        <v>4674</v>
      </c>
      <c r="K496" s="786">
        <v>2749</v>
      </c>
      <c r="L496" s="785">
        <v>1824</v>
      </c>
      <c r="M496" s="785"/>
      <c r="N496" s="786">
        <v>545</v>
      </c>
      <c r="O496" s="786">
        <v>0</v>
      </c>
      <c r="P496" s="786">
        <v>0</v>
      </c>
      <c r="Q496" s="785">
        <v>1143</v>
      </c>
      <c r="R496" s="785"/>
      <c r="S496" s="786">
        <v>6487</v>
      </c>
      <c r="T496" s="788">
        <v>-195</v>
      </c>
      <c r="U496" s="788">
        <v>6292</v>
      </c>
    </row>
    <row r="497" spans="1:21" x14ac:dyDescent="0.25">
      <c r="A497" s="782">
        <v>95205</v>
      </c>
      <c r="B497" s="783" t="s">
        <v>3107</v>
      </c>
      <c r="C497" s="784">
        <v>4.5000000000000001E-6</v>
      </c>
      <c r="D497" s="784">
        <v>4.7999999999999998E-6</v>
      </c>
      <c r="E497" s="815">
        <v>2455</v>
      </c>
      <c r="F497" s="818">
        <v>10187</v>
      </c>
      <c r="G497" s="785">
        <v>6875</v>
      </c>
      <c r="H497" s="785"/>
      <c r="I497" s="786">
        <v>396</v>
      </c>
      <c r="J497" s="787">
        <v>1669</v>
      </c>
      <c r="K497" s="786">
        <v>982</v>
      </c>
      <c r="L497" s="785">
        <v>605</v>
      </c>
      <c r="M497" s="785"/>
      <c r="N497" s="786">
        <v>195</v>
      </c>
      <c r="O497" s="786">
        <v>0</v>
      </c>
      <c r="P497" s="786">
        <v>0</v>
      </c>
      <c r="Q497" s="785">
        <v>0</v>
      </c>
      <c r="R497" s="785"/>
      <c r="S497" s="786">
        <v>2317</v>
      </c>
      <c r="T497" s="788">
        <v>311</v>
      </c>
      <c r="U497" s="788">
        <v>2628</v>
      </c>
    </row>
    <row r="498" spans="1:21" x14ac:dyDescent="0.25">
      <c r="A498" s="782">
        <v>95211</v>
      </c>
      <c r="B498" s="783" t="s">
        <v>3108</v>
      </c>
      <c r="C498" s="784">
        <v>8.3999999999999992E-6</v>
      </c>
      <c r="D498" s="784">
        <v>9.2E-6</v>
      </c>
      <c r="E498" s="815">
        <v>4222</v>
      </c>
      <c r="F498" s="818">
        <v>19525</v>
      </c>
      <c r="G498" s="785">
        <v>12833</v>
      </c>
      <c r="H498" s="785"/>
      <c r="I498" s="786">
        <v>739</v>
      </c>
      <c r="J498" s="787">
        <v>3115</v>
      </c>
      <c r="K498" s="786">
        <v>1833</v>
      </c>
      <c r="L498" s="785">
        <v>1455</v>
      </c>
      <c r="M498" s="785"/>
      <c r="N498" s="786">
        <v>363</v>
      </c>
      <c r="O498" s="786">
        <v>0</v>
      </c>
      <c r="P498" s="786">
        <v>0</v>
      </c>
      <c r="Q498" s="785">
        <v>1231</v>
      </c>
      <c r="R498" s="785"/>
      <c r="S498" s="786">
        <v>4325</v>
      </c>
      <c r="T498" s="788">
        <v>-523</v>
      </c>
      <c r="U498" s="788">
        <v>3802</v>
      </c>
    </row>
    <row r="499" spans="1:21" x14ac:dyDescent="0.25">
      <c r="A499" s="782">
        <v>95221</v>
      </c>
      <c r="B499" s="783" t="s">
        <v>3109</v>
      </c>
      <c r="C499" s="784">
        <v>4.4100000000000001E-5</v>
      </c>
      <c r="D499" s="784">
        <v>1.6900000000000001E-5</v>
      </c>
      <c r="E499" s="815">
        <v>20361</v>
      </c>
      <c r="F499" s="818">
        <v>35867</v>
      </c>
      <c r="G499" s="785">
        <v>67373</v>
      </c>
      <c r="H499" s="785"/>
      <c r="I499" s="786">
        <v>3881</v>
      </c>
      <c r="J499" s="787">
        <v>16358</v>
      </c>
      <c r="K499" s="786">
        <v>9622</v>
      </c>
      <c r="L499" s="785">
        <v>21037</v>
      </c>
      <c r="M499" s="785"/>
      <c r="N499" s="786">
        <v>1907</v>
      </c>
      <c r="O499" s="786">
        <v>0</v>
      </c>
      <c r="P499" s="786">
        <v>0</v>
      </c>
      <c r="Q499" s="785">
        <v>11299</v>
      </c>
      <c r="R499" s="785"/>
      <c r="S499" s="786">
        <v>22705</v>
      </c>
      <c r="T499" s="788">
        <v>2535</v>
      </c>
      <c r="U499" s="788">
        <v>25240</v>
      </c>
    </row>
    <row r="500" spans="1:21" x14ac:dyDescent="0.25">
      <c r="A500" s="782">
        <v>95301</v>
      </c>
      <c r="B500" s="783" t="s">
        <v>3110</v>
      </c>
      <c r="C500" s="784">
        <v>2.3917999999999999E-3</v>
      </c>
      <c r="D500" s="784">
        <v>2.4063999999999999E-3</v>
      </c>
      <c r="E500" s="815">
        <v>1141657</v>
      </c>
      <c r="F500" s="818">
        <v>5107187</v>
      </c>
      <c r="G500" s="785">
        <v>3654008</v>
      </c>
      <c r="H500" s="785"/>
      <c r="I500" s="786">
        <v>210505</v>
      </c>
      <c r="J500" s="787">
        <v>887197</v>
      </c>
      <c r="K500" s="786">
        <v>521843</v>
      </c>
      <c r="L500" s="785">
        <v>73478</v>
      </c>
      <c r="M500" s="785"/>
      <c r="N500" s="786">
        <v>103433</v>
      </c>
      <c r="O500" s="786">
        <v>0</v>
      </c>
      <c r="P500" s="786">
        <v>0</v>
      </c>
      <c r="Q500" s="785">
        <v>11228</v>
      </c>
      <c r="R500" s="785"/>
      <c r="S500" s="786">
        <v>1231404</v>
      </c>
      <c r="T500" s="788">
        <v>19362</v>
      </c>
      <c r="U500" s="788">
        <f>1250765+1</f>
        <v>1250766</v>
      </c>
    </row>
    <row r="501" spans="1:21" x14ac:dyDescent="0.25">
      <c r="A501" s="782">
        <v>95311</v>
      </c>
      <c r="B501" s="783" t="s">
        <v>3111</v>
      </c>
      <c r="C501" s="784">
        <v>2.6873999999999999E-3</v>
      </c>
      <c r="D501" s="784">
        <v>2.6841999999999999E-3</v>
      </c>
      <c r="E501" s="815">
        <v>1275634</v>
      </c>
      <c r="F501" s="818">
        <v>5696772</v>
      </c>
      <c r="G501" s="785">
        <v>4105603</v>
      </c>
      <c r="H501" s="785"/>
      <c r="I501" s="786">
        <v>236521</v>
      </c>
      <c r="J501" s="787">
        <v>996846</v>
      </c>
      <c r="K501" s="786">
        <v>586337</v>
      </c>
      <c r="L501" s="785">
        <v>41083</v>
      </c>
      <c r="M501" s="785"/>
      <c r="N501" s="786">
        <v>116217</v>
      </c>
      <c r="O501" s="786">
        <v>0</v>
      </c>
      <c r="P501" s="786">
        <v>0</v>
      </c>
      <c r="Q501" s="785">
        <v>117171</v>
      </c>
      <c r="R501" s="785"/>
      <c r="S501" s="786">
        <v>1383592</v>
      </c>
      <c r="T501" s="788">
        <v>-46704</v>
      </c>
      <c r="U501" s="788">
        <v>1336888</v>
      </c>
    </row>
    <row r="502" spans="1:21" x14ac:dyDescent="0.25">
      <c r="A502" s="782">
        <v>95317</v>
      </c>
      <c r="B502" s="783" t="s">
        <v>3112</v>
      </c>
      <c r="C502" s="784">
        <v>4.8900000000000003E-5</v>
      </c>
      <c r="D502" s="784">
        <v>5.1400000000000003E-5</v>
      </c>
      <c r="E502" s="815">
        <v>27511</v>
      </c>
      <c r="F502" s="818">
        <v>109088</v>
      </c>
      <c r="G502" s="785">
        <v>74706</v>
      </c>
      <c r="H502" s="785"/>
      <c r="I502" s="786">
        <v>4304</v>
      </c>
      <c r="J502" s="787">
        <v>18138</v>
      </c>
      <c r="K502" s="786">
        <v>10669</v>
      </c>
      <c r="L502" s="785">
        <v>6328</v>
      </c>
      <c r="M502" s="785"/>
      <c r="N502" s="786">
        <v>2115</v>
      </c>
      <c r="O502" s="786">
        <v>0</v>
      </c>
      <c r="P502" s="786">
        <v>0</v>
      </c>
      <c r="Q502" s="785">
        <v>38</v>
      </c>
      <c r="R502" s="785"/>
      <c r="S502" s="786">
        <v>25176</v>
      </c>
      <c r="T502" s="788">
        <v>2474</v>
      </c>
      <c r="U502" s="788">
        <v>27650</v>
      </c>
    </row>
    <row r="503" spans="1:21" x14ac:dyDescent="0.25">
      <c r="A503" s="782">
        <v>95321</v>
      </c>
      <c r="B503" s="783" t="s">
        <v>3113</v>
      </c>
      <c r="C503" s="784">
        <v>4.71E-5</v>
      </c>
      <c r="D503" s="784">
        <v>5.7000000000000003E-5</v>
      </c>
      <c r="E503" s="815">
        <v>27222</v>
      </c>
      <c r="F503" s="818">
        <v>120973</v>
      </c>
      <c r="G503" s="785">
        <v>71956</v>
      </c>
      <c r="H503" s="785"/>
      <c r="I503" s="786">
        <v>4145</v>
      </c>
      <c r="J503" s="787">
        <v>17471</v>
      </c>
      <c r="K503" s="786">
        <v>10276</v>
      </c>
      <c r="L503" s="785">
        <v>3087</v>
      </c>
      <c r="M503" s="785"/>
      <c r="N503" s="786">
        <v>2037</v>
      </c>
      <c r="O503" s="786">
        <v>0</v>
      </c>
      <c r="P503" s="786">
        <v>0</v>
      </c>
      <c r="Q503" s="785">
        <v>2158</v>
      </c>
      <c r="R503" s="785"/>
      <c r="S503" s="786">
        <v>24249</v>
      </c>
      <c r="T503" s="788">
        <v>1089</v>
      </c>
      <c r="U503" s="788">
        <v>25338</v>
      </c>
    </row>
    <row r="504" spans="1:21" x14ac:dyDescent="0.25">
      <c r="A504" s="782">
        <v>95401</v>
      </c>
      <c r="B504" s="783" t="s">
        <v>3114</v>
      </c>
      <c r="C504" s="784">
        <v>2.9992E-3</v>
      </c>
      <c r="D504" s="784">
        <v>2.9979999999999998E-3</v>
      </c>
      <c r="E504" s="815">
        <v>1351002</v>
      </c>
      <c r="F504" s="818">
        <v>6362760</v>
      </c>
      <c r="G504" s="785">
        <v>4581947</v>
      </c>
      <c r="H504" s="785"/>
      <c r="I504" s="786">
        <v>263963</v>
      </c>
      <c r="J504" s="787">
        <v>1112502</v>
      </c>
      <c r="K504" s="786">
        <v>654365</v>
      </c>
      <c r="L504" s="785">
        <v>27695</v>
      </c>
      <c r="M504" s="785"/>
      <c r="N504" s="786">
        <v>129700</v>
      </c>
      <c r="O504" s="786">
        <v>0</v>
      </c>
      <c r="P504" s="786">
        <v>0</v>
      </c>
      <c r="Q504" s="785">
        <v>19902</v>
      </c>
      <c r="R504" s="785"/>
      <c r="S504" s="786">
        <v>1544120</v>
      </c>
      <c r="T504" s="788">
        <v>10089</v>
      </c>
      <c r="U504" s="788">
        <v>1554209</v>
      </c>
    </row>
    <row r="505" spans="1:21" x14ac:dyDescent="0.25">
      <c r="A505" s="782">
        <v>95404</v>
      </c>
      <c r="B505" s="783" t="s">
        <v>3115</v>
      </c>
      <c r="C505" s="784">
        <v>5.3100000000000003E-5</v>
      </c>
      <c r="D505" s="784">
        <v>4.9799999999999998E-5</v>
      </c>
      <c r="E505" s="815">
        <v>22123</v>
      </c>
      <c r="F505" s="818">
        <v>105692</v>
      </c>
      <c r="G505" s="785">
        <v>81122</v>
      </c>
      <c r="H505" s="785"/>
      <c r="I505" s="786">
        <v>4673</v>
      </c>
      <c r="J505" s="787">
        <v>19697</v>
      </c>
      <c r="K505" s="786">
        <v>11585</v>
      </c>
      <c r="L505" s="785">
        <v>5158</v>
      </c>
      <c r="M505" s="785"/>
      <c r="N505" s="786">
        <v>2296</v>
      </c>
      <c r="O505" s="786">
        <v>0</v>
      </c>
      <c r="P505" s="786">
        <v>0</v>
      </c>
      <c r="Q505" s="785">
        <v>0</v>
      </c>
      <c r="R505" s="785"/>
      <c r="S505" s="786">
        <v>27338</v>
      </c>
      <c r="T505" s="788">
        <v>1949</v>
      </c>
      <c r="U505" s="788">
        <v>29287</v>
      </c>
    </row>
    <row r="506" spans="1:21" x14ac:dyDescent="0.25">
      <c r="A506" s="782">
        <v>95405</v>
      </c>
      <c r="B506" s="783" t="s">
        <v>3116</v>
      </c>
      <c r="C506" s="784">
        <v>1.84E-5</v>
      </c>
      <c r="D506" s="784">
        <v>1.84E-5</v>
      </c>
      <c r="E506" s="815">
        <v>17053</v>
      </c>
      <c r="F506" s="818">
        <v>39051</v>
      </c>
      <c r="G506" s="785">
        <v>28110</v>
      </c>
      <c r="H506" s="785"/>
      <c r="I506" s="786">
        <v>1619</v>
      </c>
      <c r="J506" s="787">
        <v>6826</v>
      </c>
      <c r="K506" s="786">
        <v>4015</v>
      </c>
      <c r="L506" s="785">
        <v>15544</v>
      </c>
      <c r="M506" s="785"/>
      <c r="N506" s="786">
        <v>796</v>
      </c>
      <c r="O506" s="786">
        <v>0</v>
      </c>
      <c r="P506" s="786">
        <v>0</v>
      </c>
      <c r="Q506" s="785">
        <v>0</v>
      </c>
      <c r="R506" s="785"/>
      <c r="S506" s="786">
        <v>9473</v>
      </c>
      <c r="T506" s="788">
        <v>5475</v>
      </c>
      <c r="U506" s="788">
        <v>14948</v>
      </c>
    </row>
    <row r="507" spans="1:21" x14ac:dyDescent="0.25">
      <c r="A507" s="782">
        <v>95411</v>
      </c>
      <c r="B507" s="783" t="s">
        <v>3117</v>
      </c>
      <c r="C507" s="784">
        <v>2.2173000000000002E-3</v>
      </c>
      <c r="D507" s="784">
        <v>2.3272000000000002E-3</v>
      </c>
      <c r="E507" s="815">
        <v>1058017</v>
      </c>
      <c r="F507" s="818">
        <v>4939098</v>
      </c>
      <c r="G507" s="785">
        <v>3387420</v>
      </c>
      <c r="H507" s="785"/>
      <c r="I507" s="786">
        <v>195147</v>
      </c>
      <c r="J507" s="787">
        <v>822470</v>
      </c>
      <c r="K507" s="786">
        <v>483771</v>
      </c>
      <c r="L507" s="785">
        <v>14015</v>
      </c>
      <c r="M507" s="785"/>
      <c r="N507" s="786">
        <v>95887</v>
      </c>
      <c r="O507" s="786">
        <v>0</v>
      </c>
      <c r="P507" s="786">
        <v>0</v>
      </c>
      <c r="Q507" s="785">
        <v>60237</v>
      </c>
      <c r="R507" s="785"/>
      <c r="S507" s="786">
        <v>1141564</v>
      </c>
      <c r="T507" s="788">
        <v>-23907</v>
      </c>
      <c r="U507" s="788">
        <f>1117656+1</f>
        <v>1117657</v>
      </c>
    </row>
    <row r="508" spans="1:21" x14ac:dyDescent="0.25">
      <c r="A508" s="782">
        <v>95412</v>
      </c>
      <c r="B508" s="783" t="s">
        <v>3118</v>
      </c>
      <c r="C508" s="784">
        <v>0</v>
      </c>
      <c r="D508" s="784">
        <v>0</v>
      </c>
      <c r="E508" s="815">
        <v>0</v>
      </c>
      <c r="F508" s="818">
        <v>0</v>
      </c>
      <c r="G508" s="785">
        <v>0</v>
      </c>
      <c r="H508" s="785"/>
      <c r="I508" s="786">
        <v>0</v>
      </c>
      <c r="J508" s="787">
        <v>0</v>
      </c>
      <c r="K508" s="786">
        <v>0</v>
      </c>
      <c r="L508" s="785">
        <v>0</v>
      </c>
      <c r="M508" s="785"/>
      <c r="N508" s="786">
        <v>0</v>
      </c>
      <c r="O508" s="786">
        <v>0</v>
      </c>
      <c r="P508" s="786">
        <v>0</v>
      </c>
      <c r="Q508" s="785">
        <v>27831</v>
      </c>
      <c r="R508" s="785"/>
      <c r="S508" s="786">
        <v>0</v>
      </c>
      <c r="T508" s="788">
        <v>-18518</v>
      </c>
      <c r="U508" s="788">
        <v>-18518</v>
      </c>
    </row>
    <row r="509" spans="1:21" x14ac:dyDescent="0.25">
      <c r="A509" s="782">
        <v>95413</v>
      </c>
      <c r="B509" s="783" t="s">
        <v>3119</v>
      </c>
      <c r="C509" s="784">
        <v>2.5809999999999999E-4</v>
      </c>
      <c r="D509" s="784">
        <v>2.945E-4</v>
      </c>
      <c r="E509" s="815">
        <v>285392</v>
      </c>
      <c r="F509" s="818">
        <v>625028</v>
      </c>
      <c r="G509" s="785">
        <v>394305</v>
      </c>
      <c r="H509" s="785"/>
      <c r="I509" s="786">
        <v>22716</v>
      </c>
      <c r="J509" s="787">
        <v>95737</v>
      </c>
      <c r="K509" s="786">
        <v>56312</v>
      </c>
      <c r="L509" s="785">
        <v>247679</v>
      </c>
      <c r="M509" s="785"/>
      <c r="N509" s="786">
        <v>11162</v>
      </c>
      <c r="O509" s="786">
        <v>0</v>
      </c>
      <c r="P509" s="786">
        <v>0</v>
      </c>
      <c r="Q509" s="785">
        <v>9401</v>
      </c>
      <c r="R509" s="785"/>
      <c r="S509" s="786">
        <v>132881</v>
      </c>
      <c r="T509" s="788">
        <v>77340</v>
      </c>
      <c r="U509" s="788">
        <v>210221</v>
      </c>
    </row>
    <row r="510" spans="1:21" x14ac:dyDescent="0.25">
      <c r="A510" s="782">
        <v>95415</v>
      </c>
      <c r="B510" s="783" t="s">
        <v>3120</v>
      </c>
      <c r="C510" s="784">
        <v>6.2899999999999997E-5</v>
      </c>
      <c r="D510" s="784">
        <v>7.9499999999999994E-5</v>
      </c>
      <c r="E510" s="815">
        <v>28158</v>
      </c>
      <c r="F510" s="818">
        <v>168726</v>
      </c>
      <c r="G510" s="785">
        <v>96094</v>
      </c>
      <c r="H510" s="785"/>
      <c r="I510" s="786">
        <v>5536</v>
      </c>
      <c r="J510" s="787">
        <v>23331</v>
      </c>
      <c r="K510" s="786">
        <v>13724</v>
      </c>
      <c r="L510" s="785">
        <v>5301</v>
      </c>
      <c r="M510" s="785"/>
      <c r="N510" s="786">
        <v>2720</v>
      </c>
      <c r="O510" s="786">
        <v>0</v>
      </c>
      <c r="P510" s="786">
        <v>0</v>
      </c>
      <c r="Q510" s="785">
        <v>16874</v>
      </c>
      <c r="R510" s="785"/>
      <c r="S510" s="786">
        <v>32384</v>
      </c>
      <c r="T510" s="788">
        <v>-165</v>
      </c>
      <c r="U510" s="788">
        <v>32219</v>
      </c>
    </row>
    <row r="511" spans="1:21" x14ac:dyDescent="0.25">
      <c r="A511" s="782">
        <v>95421</v>
      </c>
      <c r="B511" s="783" t="s">
        <v>3121</v>
      </c>
      <c r="C511" s="784">
        <v>3.8699999999999999E-5</v>
      </c>
      <c r="D511" s="784">
        <v>3.9100000000000002E-5</v>
      </c>
      <c r="E511" s="815">
        <v>18385</v>
      </c>
      <c r="F511" s="818">
        <v>82983</v>
      </c>
      <c r="G511" s="785">
        <v>59123</v>
      </c>
      <c r="H511" s="785"/>
      <c r="I511" s="786">
        <v>3406</v>
      </c>
      <c r="J511" s="787">
        <v>14355</v>
      </c>
      <c r="K511" s="786">
        <v>8444</v>
      </c>
      <c r="L511" s="785">
        <v>226</v>
      </c>
      <c r="M511" s="785"/>
      <c r="N511" s="786">
        <v>1674</v>
      </c>
      <c r="O511" s="786">
        <v>0</v>
      </c>
      <c r="P511" s="786">
        <v>0</v>
      </c>
      <c r="Q511" s="785">
        <v>9353</v>
      </c>
      <c r="R511" s="785"/>
      <c r="S511" s="786">
        <v>19924</v>
      </c>
      <c r="T511" s="788">
        <v>-4913</v>
      </c>
      <c r="U511" s="788">
        <f>15012-1</f>
        <v>15011</v>
      </c>
    </row>
    <row r="512" spans="1:21" x14ac:dyDescent="0.25">
      <c r="A512" s="782">
        <v>95431</v>
      </c>
      <c r="B512" s="783" t="s">
        <v>3122</v>
      </c>
      <c r="C512" s="784">
        <v>1.5300000000000001E-4</v>
      </c>
      <c r="D512" s="784">
        <v>1.8009999999999999E-4</v>
      </c>
      <c r="E512" s="815">
        <v>61885</v>
      </c>
      <c r="F512" s="818">
        <v>382233</v>
      </c>
      <c r="G512" s="785">
        <v>233742</v>
      </c>
      <c r="H512" s="785"/>
      <c r="I512" s="786">
        <v>13466</v>
      </c>
      <c r="J512" s="787">
        <v>56753</v>
      </c>
      <c r="K512" s="786">
        <v>33382</v>
      </c>
      <c r="L512" s="785">
        <v>224</v>
      </c>
      <c r="M512" s="785"/>
      <c r="N512" s="786">
        <v>6616</v>
      </c>
      <c r="O512" s="786">
        <v>0</v>
      </c>
      <c r="P512" s="786">
        <v>0</v>
      </c>
      <c r="Q512" s="785">
        <v>34003</v>
      </c>
      <c r="R512" s="785"/>
      <c r="S512" s="786">
        <v>78771</v>
      </c>
      <c r="T512" s="788">
        <v>-9919</v>
      </c>
      <c r="U512" s="788">
        <v>68852</v>
      </c>
    </row>
    <row r="513" spans="1:21" x14ac:dyDescent="0.25">
      <c r="A513" s="782">
        <v>95501</v>
      </c>
      <c r="B513" s="783" t="s">
        <v>3123</v>
      </c>
      <c r="C513" s="784">
        <v>4.8764999999999998E-3</v>
      </c>
      <c r="D513" s="784">
        <v>4.7917999999999997E-3</v>
      </c>
      <c r="E513" s="815">
        <v>2104813</v>
      </c>
      <c r="F513" s="818">
        <v>10169805</v>
      </c>
      <c r="G513" s="785">
        <v>7449941</v>
      </c>
      <c r="H513" s="785"/>
      <c r="I513" s="786">
        <v>429186</v>
      </c>
      <c r="J513" s="787">
        <v>1808855</v>
      </c>
      <c r="K513" s="786">
        <v>1063955</v>
      </c>
      <c r="L513" s="785">
        <v>31695</v>
      </c>
      <c r="M513" s="785"/>
      <c r="N513" s="786">
        <v>210884</v>
      </c>
      <c r="O513" s="786">
        <v>0</v>
      </c>
      <c r="P513" s="786">
        <v>0</v>
      </c>
      <c r="Q513" s="785">
        <v>124610</v>
      </c>
      <c r="R513" s="785"/>
      <c r="S513" s="786">
        <v>2510637</v>
      </c>
      <c r="T513" s="788">
        <v>-8646</v>
      </c>
      <c r="U513" s="788">
        <v>2501991</v>
      </c>
    </row>
    <row r="514" spans="1:21" x14ac:dyDescent="0.25">
      <c r="A514" s="782">
        <v>95504</v>
      </c>
      <c r="B514" s="783" t="s">
        <v>3124</v>
      </c>
      <c r="C514" s="784">
        <v>9.3999999999999998E-6</v>
      </c>
      <c r="D514" s="784">
        <v>8.8999999999999995E-6</v>
      </c>
      <c r="E514" s="815">
        <v>9297</v>
      </c>
      <c r="F514" s="818">
        <v>18889</v>
      </c>
      <c r="G514" s="785">
        <v>14361</v>
      </c>
      <c r="H514" s="785"/>
      <c r="I514" s="786">
        <v>827</v>
      </c>
      <c r="J514" s="787">
        <v>3487</v>
      </c>
      <c r="K514" s="786">
        <v>2051</v>
      </c>
      <c r="L514" s="785">
        <v>7912</v>
      </c>
      <c r="M514" s="785"/>
      <c r="N514" s="786">
        <v>407</v>
      </c>
      <c r="O514" s="786">
        <v>0</v>
      </c>
      <c r="P514" s="786">
        <v>0</v>
      </c>
      <c r="Q514" s="785">
        <v>0</v>
      </c>
      <c r="R514" s="785"/>
      <c r="S514" s="786">
        <v>4840</v>
      </c>
      <c r="T514" s="788">
        <v>2952</v>
      </c>
      <c r="U514" s="788">
        <f>7791+1</f>
        <v>7792</v>
      </c>
    </row>
    <row r="515" spans="1:21" x14ac:dyDescent="0.25">
      <c r="A515" s="782">
        <v>95511</v>
      </c>
      <c r="B515" s="783" t="s">
        <v>3125</v>
      </c>
      <c r="C515" s="784">
        <v>9.7460000000000005E-4</v>
      </c>
      <c r="D515" s="784">
        <v>9.6049999999999998E-4</v>
      </c>
      <c r="E515" s="815">
        <v>484188</v>
      </c>
      <c r="F515" s="818">
        <v>2038503</v>
      </c>
      <c r="G515" s="785">
        <v>1488919</v>
      </c>
      <c r="H515" s="785"/>
      <c r="I515" s="786">
        <v>85776</v>
      </c>
      <c r="J515" s="787">
        <v>361511</v>
      </c>
      <c r="K515" s="786">
        <v>212638</v>
      </c>
      <c r="L515" s="785">
        <v>44242</v>
      </c>
      <c r="M515" s="785"/>
      <c r="N515" s="786">
        <v>42147</v>
      </c>
      <c r="O515" s="786">
        <v>0</v>
      </c>
      <c r="P515" s="786">
        <v>0</v>
      </c>
      <c r="Q515" s="785">
        <v>52155</v>
      </c>
      <c r="R515" s="785"/>
      <c r="S515" s="786">
        <v>501767</v>
      </c>
      <c r="T515" s="788">
        <v>-4607</v>
      </c>
      <c r="U515" s="788">
        <v>497160</v>
      </c>
    </row>
    <row r="516" spans="1:21" x14ac:dyDescent="0.25">
      <c r="A516" s="782">
        <v>95513</v>
      </c>
      <c r="B516" s="783" t="s">
        <v>3126</v>
      </c>
      <c r="C516" s="784">
        <v>4.6699999999999997E-5</v>
      </c>
      <c r="D516" s="784">
        <v>4.5500000000000001E-5</v>
      </c>
      <c r="E516" s="815">
        <v>31793</v>
      </c>
      <c r="F516" s="818">
        <v>96566</v>
      </c>
      <c r="G516" s="785">
        <v>71345</v>
      </c>
      <c r="H516" s="785"/>
      <c r="I516" s="786">
        <v>4110</v>
      </c>
      <c r="J516" s="787">
        <v>17322</v>
      </c>
      <c r="K516" s="786">
        <v>10189</v>
      </c>
      <c r="L516" s="785">
        <v>21773</v>
      </c>
      <c r="M516" s="785"/>
      <c r="N516" s="786">
        <v>2020</v>
      </c>
      <c r="O516" s="786">
        <v>0</v>
      </c>
      <c r="P516" s="786">
        <v>0</v>
      </c>
      <c r="Q516" s="785">
        <v>0</v>
      </c>
      <c r="R516" s="785"/>
      <c r="S516" s="786">
        <v>24043</v>
      </c>
      <c r="T516" s="788">
        <v>9103</v>
      </c>
      <c r="U516" s="788">
        <v>33146</v>
      </c>
    </row>
    <row r="517" spans="1:21" x14ac:dyDescent="0.25">
      <c r="A517" s="782">
        <v>95517</v>
      </c>
      <c r="B517" s="783" t="s">
        <v>3127</v>
      </c>
      <c r="C517" s="784">
        <v>2.4499999999999999E-5</v>
      </c>
      <c r="D517" s="784">
        <v>1.66E-5</v>
      </c>
      <c r="E517" s="815">
        <v>15695</v>
      </c>
      <c r="F517" s="818">
        <v>35231</v>
      </c>
      <c r="G517" s="785">
        <v>37429</v>
      </c>
      <c r="H517" s="785"/>
      <c r="I517" s="786">
        <v>2156</v>
      </c>
      <c r="J517" s="787">
        <v>9087</v>
      </c>
      <c r="K517" s="786">
        <v>5345</v>
      </c>
      <c r="L517" s="785">
        <v>17989</v>
      </c>
      <c r="M517" s="785"/>
      <c r="N517" s="786">
        <v>1060</v>
      </c>
      <c r="O517" s="786">
        <v>0</v>
      </c>
      <c r="P517" s="786">
        <v>0</v>
      </c>
      <c r="Q517" s="785">
        <v>0</v>
      </c>
      <c r="R517" s="785"/>
      <c r="S517" s="786">
        <v>12614</v>
      </c>
      <c r="T517" s="788">
        <v>6544</v>
      </c>
      <c r="U517" s="788">
        <v>19158</v>
      </c>
    </row>
    <row r="518" spans="1:21" x14ac:dyDescent="0.25">
      <c r="A518" s="782">
        <v>95601</v>
      </c>
      <c r="B518" s="783" t="s">
        <v>3128</v>
      </c>
      <c r="C518" s="784">
        <v>2.6280000000000001E-3</v>
      </c>
      <c r="D518" s="784">
        <v>2.6592999999999999E-3</v>
      </c>
      <c r="E518" s="815">
        <v>1208853</v>
      </c>
      <c r="F518" s="818">
        <v>5643925</v>
      </c>
      <c r="G518" s="785">
        <v>4014856</v>
      </c>
      <c r="H518" s="785"/>
      <c r="I518" s="786">
        <v>231293</v>
      </c>
      <c r="J518" s="787">
        <v>974812</v>
      </c>
      <c r="K518" s="786">
        <v>573377</v>
      </c>
      <c r="L518" s="785">
        <v>85590</v>
      </c>
      <c r="M518" s="785"/>
      <c r="N518" s="786">
        <v>113648</v>
      </c>
      <c r="O518" s="786">
        <v>0</v>
      </c>
      <c r="P518" s="786">
        <v>0</v>
      </c>
      <c r="Q518" s="785">
        <v>19082</v>
      </c>
      <c r="R518" s="785"/>
      <c r="S518" s="786">
        <v>1353010</v>
      </c>
      <c r="T518" s="788">
        <v>47697</v>
      </c>
      <c r="U518" s="788">
        <v>1400707</v>
      </c>
    </row>
    <row r="519" spans="1:21" x14ac:dyDescent="0.25">
      <c r="A519" s="782">
        <v>95611</v>
      </c>
      <c r="B519" s="783" t="s">
        <v>3129</v>
      </c>
      <c r="C519" s="784">
        <v>4.0660000000000002E-4</v>
      </c>
      <c r="D519" s="784">
        <v>3.9540000000000002E-4</v>
      </c>
      <c r="E519" s="815">
        <v>186384</v>
      </c>
      <c r="F519" s="818">
        <v>839171</v>
      </c>
      <c r="G519" s="785">
        <v>621172</v>
      </c>
      <c r="H519" s="785"/>
      <c r="I519" s="786">
        <v>35785</v>
      </c>
      <c r="J519" s="787">
        <v>150821</v>
      </c>
      <c r="K519" s="786">
        <v>88712</v>
      </c>
      <c r="L519" s="785">
        <v>8653</v>
      </c>
      <c r="M519" s="785"/>
      <c r="N519" s="786">
        <v>17583</v>
      </c>
      <c r="O519" s="786">
        <v>0</v>
      </c>
      <c r="P519" s="786">
        <v>0</v>
      </c>
      <c r="Q519" s="785">
        <v>3649</v>
      </c>
      <c r="R519" s="785"/>
      <c r="S519" s="786">
        <v>209336</v>
      </c>
      <c r="T519" s="788">
        <v>1212</v>
      </c>
      <c r="U519" s="788">
        <f>210547+1</f>
        <v>210548</v>
      </c>
    </row>
    <row r="520" spans="1:21" x14ac:dyDescent="0.25">
      <c r="A520" s="782">
        <v>95617</v>
      </c>
      <c r="B520" s="783" t="s">
        <v>3130</v>
      </c>
      <c r="C520" s="784">
        <v>1.6399999999999999E-5</v>
      </c>
      <c r="D520" s="784">
        <v>1.6500000000000001E-5</v>
      </c>
      <c r="E520" s="815">
        <v>8201</v>
      </c>
      <c r="F520" s="818">
        <v>35019</v>
      </c>
      <c r="G520" s="785">
        <v>25055</v>
      </c>
      <c r="H520" s="785"/>
      <c r="I520" s="786">
        <v>1443</v>
      </c>
      <c r="J520" s="787">
        <v>6084</v>
      </c>
      <c r="K520" s="786">
        <v>3578</v>
      </c>
      <c r="L520" s="785">
        <v>722</v>
      </c>
      <c r="M520" s="785"/>
      <c r="N520" s="786">
        <v>709</v>
      </c>
      <c r="O520" s="786">
        <v>0</v>
      </c>
      <c r="P520" s="786">
        <v>0</v>
      </c>
      <c r="Q520" s="785">
        <v>1277</v>
      </c>
      <c r="R520" s="785"/>
      <c r="S520" s="786">
        <v>8443</v>
      </c>
      <c r="T520" s="788">
        <v>-659</v>
      </c>
      <c r="U520" s="788">
        <v>7784</v>
      </c>
    </row>
    <row r="521" spans="1:21" x14ac:dyDescent="0.25">
      <c r="A521" s="782">
        <v>95621</v>
      </c>
      <c r="B521" s="783" t="s">
        <v>3131</v>
      </c>
      <c r="C521" s="784">
        <v>4.5360000000000002E-4</v>
      </c>
      <c r="D521" s="784">
        <v>4.8020000000000002E-4</v>
      </c>
      <c r="E521" s="815">
        <v>227836</v>
      </c>
      <c r="F521" s="818">
        <v>1019145</v>
      </c>
      <c r="G521" s="785">
        <v>692975</v>
      </c>
      <c r="H521" s="785"/>
      <c r="I521" s="786">
        <v>39922</v>
      </c>
      <c r="J521" s="787">
        <v>168255</v>
      </c>
      <c r="K521" s="786">
        <v>98966</v>
      </c>
      <c r="L521" s="785">
        <v>3166</v>
      </c>
      <c r="M521" s="785"/>
      <c r="N521" s="786">
        <v>19616</v>
      </c>
      <c r="O521" s="786">
        <v>0</v>
      </c>
      <c r="P521" s="786">
        <v>0</v>
      </c>
      <c r="Q521" s="785">
        <v>4423</v>
      </c>
      <c r="R521" s="785"/>
      <c r="S521" s="786">
        <v>233533</v>
      </c>
      <c r="T521" s="788">
        <v>1481</v>
      </c>
      <c r="U521" s="788">
        <f>235015-1</f>
        <v>235014</v>
      </c>
    </row>
    <row r="522" spans="1:21" x14ac:dyDescent="0.25">
      <c r="A522" s="782">
        <v>95701</v>
      </c>
      <c r="B522" s="783" t="s">
        <v>3132</v>
      </c>
      <c r="C522" s="784">
        <v>1.3747E-3</v>
      </c>
      <c r="D522" s="784">
        <v>1.291E-3</v>
      </c>
      <c r="E522" s="815">
        <v>600622</v>
      </c>
      <c r="F522" s="818">
        <v>2739934</v>
      </c>
      <c r="G522" s="785">
        <v>2100161</v>
      </c>
      <c r="H522" s="785"/>
      <c r="I522" s="786">
        <v>120989</v>
      </c>
      <c r="J522" s="787">
        <v>509922</v>
      </c>
      <c r="K522" s="786">
        <v>299932</v>
      </c>
      <c r="L522" s="785">
        <v>62898</v>
      </c>
      <c r="M522" s="785"/>
      <c r="N522" s="786">
        <v>59449</v>
      </c>
      <c r="O522" s="786">
        <v>0</v>
      </c>
      <c r="P522" s="786">
        <v>0</v>
      </c>
      <c r="Q522" s="785">
        <v>0</v>
      </c>
      <c r="R522" s="785"/>
      <c r="S522" s="786">
        <v>707756</v>
      </c>
      <c r="T522" s="788">
        <v>28646</v>
      </c>
      <c r="U522" s="788">
        <v>736402</v>
      </c>
    </row>
    <row r="523" spans="1:21" x14ac:dyDescent="0.25">
      <c r="A523" s="782">
        <v>95711</v>
      </c>
      <c r="B523" s="783" t="s">
        <v>3133</v>
      </c>
      <c r="C523" s="784">
        <v>1.394E-4</v>
      </c>
      <c r="D523" s="784">
        <v>1.382E-4</v>
      </c>
      <c r="E523" s="815">
        <v>55785</v>
      </c>
      <c r="F523" s="818">
        <v>293307</v>
      </c>
      <c r="G523" s="785">
        <v>212965</v>
      </c>
      <c r="H523" s="785"/>
      <c r="I523" s="786">
        <v>12269</v>
      </c>
      <c r="J523" s="787">
        <v>51708</v>
      </c>
      <c r="K523" s="786">
        <v>30414</v>
      </c>
      <c r="L523" s="785">
        <v>6056</v>
      </c>
      <c r="M523" s="785"/>
      <c r="N523" s="786">
        <v>6028</v>
      </c>
      <c r="O523" s="786">
        <v>0</v>
      </c>
      <c r="P523" s="786">
        <v>0</v>
      </c>
      <c r="Q523" s="785">
        <v>5836</v>
      </c>
      <c r="R523" s="785"/>
      <c r="S523" s="786">
        <v>71769</v>
      </c>
      <c r="T523" s="788">
        <v>1663</v>
      </c>
      <c r="U523" s="788">
        <v>73432</v>
      </c>
    </row>
    <row r="524" spans="1:21" x14ac:dyDescent="0.25">
      <c r="A524" s="782">
        <v>95721</v>
      </c>
      <c r="B524" s="783" t="s">
        <v>3134</v>
      </c>
      <c r="C524" s="784">
        <v>6.7600000000000003E-5</v>
      </c>
      <c r="D524" s="784">
        <v>6.6199999999999996E-5</v>
      </c>
      <c r="E524" s="815">
        <v>25093</v>
      </c>
      <c r="F524" s="818">
        <v>140499</v>
      </c>
      <c r="G524" s="785">
        <v>103274</v>
      </c>
      <c r="H524" s="785"/>
      <c r="I524" s="786">
        <v>5950</v>
      </c>
      <c r="J524" s="787">
        <v>25075</v>
      </c>
      <c r="K524" s="786">
        <v>14749</v>
      </c>
      <c r="L524" s="785">
        <v>0</v>
      </c>
      <c r="M524" s="785"/>
      <c r="N524" s="786">
        <v>2923</v>
      </c>
      <c r="O524" s="786">
        <v>0</v>
      </c>
      <c r="P524" s="786">
        <v>0</v>
      </c>
      <c r="Q524" s="785">
        <v>9622</v>
      </c>
      <c r="R524" s="785"/>
      <c r="S524" s="786">
        <v>34803</v>
      </c>
      <c r="T524" s="788">
        <v>-4619</v>
      </c>
      <c r="U524" s="788">
        <f>30185-1</f>
        <v>30184</v>
      </c>
    </row>
    <row r="525" spans="1:21" x14ac:dyDescent="0.25">
      <c r="A525" s="782">
        <v>95733</v>
      </c>
      <c r="B525" s="783" t="s">
        <v>3135</v>
      </c>
      <c r="C525" s="784">
        <v>1.5400000000000002E-5</v>
      </c>
      <c r="D525" s="784">
        <v>1.56E-5</v>
      </c>
      <c r="E525" s="815">
        <v>6898</v>
      </c>
      <c r="F525" s="818">
        <v>33108</v>
      </c>
      <c r="G525" s="785">
        <v>23527</v>
      </c>
      <c r="H525" s="785"/>
      <c r="I525" s="786">
        <v>1355</v>
      </c>
      <c r="J525" s="787">
        <v>5712</v>
      </c>
      <c r="K525" s="786">
        <v>3360</v>
      </c>
      <c r="L525" s="785">
        <v>581</v>
      </c>
      <c r="M525" s="785"/>
      <c r="N525" s="786">
        <v>666</v>
      </c>
      <c r="O525" s="786">
        <v>0</v>
      </c>
      <c r="P525" s="786">
        <v>0</v>
      </c>
      <c r="Q525" s="785">
        <v>464</v>
      </c>
      <c r="R525" s="785"/>
      <c r="S525" s="786">
        <v>7929</v>
      </c>
      <c r="T525" s="788">
        <v>209</v>
      </c>
      <c r="U525" s="788">
        <v>8138</v>
      </c>
    </row>
    <row r="526" spans="1:21" x14ac:dyDescent="0.25">
      <c r="A526" s="782">
        <v>95801</v>
      </c>
      <c r="B526" s="783" t="s">
        <v>3136</v>
      </c>
      <c r="C526" s="784">
        <v>9.6310000000000005E-4</v>
      </c>
      <c r="D526" s="784">
        <v>8.9349999999999998E-4</v>
      </c>
      <c r="E526" s="815">
        <v>449779</v>
      </c>
      <c r="F526" s="818">
        <v>1896306</v>
      </c>
      <c r="G526" s="785">
        <v>1471350</v>
      </c>
      <c r="H526" s="785"/>
      <c r="I526" s="786">
        <v>84763</v>
      </c>
      <c r="J526" s="787">
        <v>357246</v>
      </c>
      <c r="K526" s="786">
        <v>210129</v>
      </c>
      <c r="L526" s="785">
        <v>62205</v>
      </c>
      <c r="M526" s="785"/>
      <c r="N526" s="786">
        <v>41649</v>
      </c>
      <c r="O526" s="786">
        <v>0</v>
      </c>
      <c r="P526" s="786">
        <v>0</v>
      </c>
      <c r="Q526" s="785">
        <v>4103</v>
      </c>
      <c r="R526" s="785"/>
      <c r="S526" s="786">
        <v>495846</v>
      </c>
      <c r="T526" s="788">
        <v>14399</v>
      </c>
      <c r="U526" s="788">
        <v>510245</v>
      </c>
    </row>
    <row r="527" spans="1:21" x14ac:dyDescent="0.25">
      <c r="A527" s="782">
        <v>95802</v>
      </c>
      <c r="B527" s="783" t="s">
        <v>3137</v>
      </c>
      <c r="C527" s="784">
        <v>6.1E-6</v>
      </c>
      <c r="D527" s="784">
        <v>6.8000000000000001E-6</v>
      </c>
      <c r="E527" s="815">
        <v>5124</v>
      </c>
      <c r="F527" s="818">
        <v>14432</v>
      </c>
      <c r="G527" s="785">
        <v>9319</v>
      </c>
      <c r="H527" s="785"/>
      <c r="I527" s="786">
        <v>537</v>
      </c>
      <c r="J527" s="787">
        <v>2263</v>
      </c>
      <c r="K527" s="786">
        <v>1331</v>
      </c>
      <c r="L527" s="785">
        <v>3297</v>
      </c>
      <c r="M527" s="785"/>
      <c r="N527" s="786">
        <v>264</v>
      </c>
      <c r="O527" s="786">
        <v>0</v>
      </c>
      <c r="P527" s="786">
        <v>0</v>
      </c>
      <c r="Q527" s="785">
        <v>1248</v>
      </c>
      <c r="R527" s="785"/>
      <c r="S527" s="786">
        <v>3141</v>
      </c>
      <c r="T527" s="788">
        <v>-81</v>
      </c>
      <c r="U527" s="788">
        <v>3060</v>
      </c>
    </row>
    <row r="528" spans="1:21" x14ac:dyDescent="0.25">
      <c r="A528" s="782">
        <v>95804</v>
      </c>
      <c r="B528" s="783" t="s">
        <v>3138</v>
      </c>
      <c r="C528" s="784">
        <v>2.19E-5</v>
      </c>
      <c r="D528" s="784">
        <v>1.63E-5</v>
      </c>
      <c r="E528" s="815">
        <v>7566</v>
      </c>
      <c r="F528" s="818">
        <v>34594</v>
      </c>
      <c r="G528" s="785">
        <v>33457</v>
      </c>
      <c r="H528" s="785"/>
      <c r="I528" s="786">
        <v>1927</v>
      </c>
      <c r="J528" s="787">
        <v>8123</v>
      </c>
      <c r="K528" s="786">
        <v>4778</v>
      </c>
      <c r="L528" s="785">
        <v>3631</v>
      </c>
      <c r="M528" s="785"/>
      <c r="N528" s="786">
        <v>947</v>
      </c>
      <c r="O528" s="786">
        <v>0</v>
      </c>
      <c r="P528" s="786">
        <v>0</v>
      </c>
      <c r="Q528" s="785">
        <v>0</v>
      </c>
      <c r="R528" s="785"/>
      <c r="S528" s="786">
        <v>11275</v>
      </c>
      <c r="T528" s="788">
        <v>1628</v>
      </c>
      <c r="U528" s="788">
        <f>12904-1</f>
        <v>12903</v>
      </c>
    </row>
    <row r="529" spans="1:21" x14ac:dyDescent="0.25">
      <c r="A529" s="782">
        <v>95811</v>
      </c>
      <c r="B529" s="783" t="s">
        <v>3139</v>
      </c>
      <c r="C529" s="784">
        <v>5.3129999999999996E-4</v>
      </c>
      <c r="D529" s="784">
        <v>5.3410000000000003E-4</v>
      </c>
      <c r="E529" s="815">
        <v>243909</v>
      </c>
      <c r="F529" s="818">
        <v>1133539</v>
      </c>
      <c r="G529" s="785">
        <v>811679</v>
      </c>
      <c r="H529" s="785"/>
      <c r="I529" s="786">
        <v>46760</v>
      </c>
      <c r="J529" s="787">
        <v>197076</v>
      </c>
      <c r="K529" s="786">
        <v>115919</v>
      </c>
      <c r="L529" s="785">
        <v>1678</v>
      </c>
      <c r="M529" s="785"/>
      <c r="N529" s="786">
        <v>22976</v>
      </c>
      <c r="O529" s="786">
        <v>0</v>
      </c>
      <c r="P529" s="786">
        <v>0</v>
      </c>
      <c r="Q529" s="785">
        <v>5329</v>
      </c>
      <c r="R529" s="785"/>
      <c r="S529" s="786">
        <v>273537</v>
      </c>
      <c r="T529" s="788">
        <v>-1501</v>
      </c>
      <c r="U529" s="788">
        <f>272035+1</f>
        <v>272036</v>
      </c>
    </row>
    <row r="530" spans="1:21" x14ac:dyDescent="0.25">
      <c r="A530" s="782">
        <v>95813</v>
      </c>
      <c r="B530" s="783" t="s">
        <v>3140</v>
      </c>
      <c r="C530" s="784">
        <v>4.88E-5</v>
      </c>
      <c r="D530" s="784">
        <v>4.4400000000000002E-5</v>
      </c>
      <c r="E530" s="815">
        <v>63299</v>
      </c>
      <c r="F530" s="818">
        <v>94232</v>
      </c>
      <c r="G530" s="785">
        <v>74553</v>
      </c>
      <c r="H530" s="785"/>
      <c r="I530" s="786">
        <v>4295</v>
      </c>
      <c r="J530" s="787">
        <v>18101</v>
      </c>
      <c r="K530" s="786">
        <v>10647</v>
      </c>
      <c r="L530" s="785">
        <v>72000</v>
      </c>
      <c r="M530" s="785"/>
      <c r="N530" s="786">
        <v>2110</v>
      </c>
      <c r="O530" s="786">
        <v>0</v>
      </c>
      <c r="P530" s="786">
        <v>0</v>
      </c>
      <c r="Q530" s="785">
        <v>0</v>
      </c>
      <c r="R530" s="785"/>
      <c r="S530" s="786">
        <v>25124</v>
      </c>
      <c r="T530" s="788">
        <v>24457</v>
      </c>
      <c r="U530" s="788">
        <v>49581</v>
      </c>
    </row>
    <row r="531" spans="1:21" x14ac:dyDescent="0.25">
      <c r="A531" s="782">
        <v>95821</v>
      </c>
      <c r="B531" s="783" t="s">
        <v>3141</v>
      </c>
      <c r="C531" s="784">
        <v>0</v>
      </c>
      <c r="D531" s="784">
        <v>1.7E-6</v>
      </c>
      <c r="E531" s="815">
        <v>610</v>
      </c>
      <c r="F531" s="818">
        <v>3608</v>
      </c>
      <c r="G531" s="785">
        <v>0</v>
      </c>
      <c r="H531" s="785"/>
      <c r="I531" s="786">
        <v>0</v>
      </c>
      <c r="J531" s="787">
        <v>0</v>
      </c>
      <c r="K531" s="786">
        <v>0</v>
      </c>
      <c r="L531" s="785">
        <v>1293</v>
      </c>
      <c r="M531" s="785"/>
      <c r="N531" s="786">
        <v>0</v>
      </c>
      <c r="O531" s="786">
        <v>0</v>
      </c>
      <c r="P531" s="786">
        <v>0</v>
      </c>
      <c r="Q531" s="785">
        <v>652</v>
      </c>
      <c r="R531" s="785"/>
      <c r="S531" s="786">
        <v>0</v>
      </c>
      <c r="T531" s="788">
        <v>460</v>
      </c>
      <c r="U531" s="788">
        <v>460</v>
      </c>
    </row>
    <row r="532" spans="1:21" x14ac:dyDescent="0.25">
      <c r="A532" s="782">
        <v>95831</v>
      </c>
      <c r="B532" s="783" t="s">
        <v>3142</v>
      </c>
      <c r="C532" s="784">
        <v>1.6799999999999998E-5</v>
      </c>
      <c r="D532" s="784">
        <v>1.36E-5</v>
      </c>
      <c r="E532" s="815">
        <v>22034</v>
      </c>
      <c r="F532" s="818">
        <v>28864</v>
      </c>
      <c r="G532" s="785">
        <v>25666</v>
      </c>
      <c r="H532" s="785"/>
      <c r="I532" s="786">
        <v>1479</v>
      </c>
      <c r="J532" s="787">
        <v>6232</v>
      </c>
      <c r="K532" s="786">
        <v>3665</v>
      </c>
      <c r="L532" s="785">
        <v>23962</v>
      </c>
      <c r="M532" s="785"/>
      <c r="N532" s="786">
        <v>727</v>
      </c>
      <c r="O532" s="786">
        <v>0</v>
      </c>
      <c r="P532" s="786">
        <v>0</v>
      </c>
      <c r="Q532" s="785">
        <v>0</v>
      </c>
      <c r="R532" s="785"/>
      <c r="S532" s="786">
        <v>8649</v>
      </c>
      <c r="T532" s="788">
        <v>8068</v>
      </c>
      <c r="U532" s="788">
        <v>16717</v>
      </c>
    </row>
    <row r="533" spans="1:21" x14ac:dyDescent="0.25">
      <c r="A533" s="782">
        <v>95841</v>
      </c>
      <c r="B533" s="783" t="s">
        <v>3143</v>
      </c>
      <c r="C533" s="784">
        <v>2.0999999999999999E-5</v>
      </c>
      <c r="D533" s="784">
        <v>2.1100000000000001E-5</v>
      </c>
      <c r="E533" s="815">
        <v>10805</v>
      </c>
      <c r="F533" s="818">
        <v>44781</v>
      </c>
      <c r="G533" s="785">
        <v>32082</v>
      </c>
      <c r="H533" s="785"/>
      <c r="I533" s="786">
        <v>1848</v>
      </c>
      <c r="J533" s="787">
        <v>7790</v>
      </c>
      <c r="K533" s="786">
        <v>4582</v>
      </c>
      <c r="L533" s="785">
        <v>2103</v>
      </c>
      <c r="M533" s="785"/>
      <c r="N533" s="786">
        <v>908</v>
      </c>
      <c r="O533" s="786">
        <v>0</v>
      </c>
      <c r="P533" s="786">
        <v>0</v>
      </c>
      <c r="Q533" s="785">
        <v>0</v>
      </c>
      <c r="R533" s="785"/>
      <c r="S533" s="786">
        <v>10812</v>
      </c>
      <c r="T533" s="788">
        <v>817</v>
      </c>
      <c r="U533" s="788">
        <v>11629</v>
      </c>
    </row>
    <row r="534" spans="1:21" x14ac:dyDescent="0.25">
      <c r="A534" s="782">
        <v>95851</v>
      </c>
      <c r="B534" s="783" t="s">
        <v>3144</v>
      </c>
      <c r="C534" s="784">
        <v>1.327E-4</v>
      </c>
      <c r="D534" s="784">
        <v>1.3009999999999999E-4</v>
      </c>
      <c r="E534" s="815">
        <v>142459</v>
      </c>
      <c r="F534" s="818">
        <v>276116</v>
      </c>
      <c r="G534" s="785">
        <v>202729</v>
      </c>
      <c r="H534" s="785"/>
      <c r="I534" s="786">
        <v>11679</v>
      </c>
      <c r="J534" s="787">
        <v>49223</v>
      </c>
      <c r="K534" s="786">
        <v>28952</v>
      </c>
      <c r="L534" s="785">
        <v>130637</v>
      </c>
      <c r="M534" s="785"/>
      <c r="N534" s="786">
        <v>5739</v>
      </c>
      <c r="O534" s="786">
        <v>0</v>
      </c>
      <c r="P534" s="786">
        <v>0</v>
      </c>
      <c r="Q534" s="785">
        <v>4180</v>
      </c>
      <c r="R534" s="785"/>
      <c r="S534" s="786">
        <v>68320</v>
      </c>
      <c r="T534" s="788">
        <v>39831</v>
      </c>
      <c r="U534" s="788">
        <v>108151</v>
      </c>
    </row>
    <row r="535" spans="1:21" x14ac:dyDescent="0.25">
      <c r="A535" s="782">
        <v>95853</v>
      </c>
      <c r="B535" s="783" t="s">
        <v>3145</v>
      </c>
      <c r="C535" s="784">
        <v>2.69E-5</v>
      </c>
      <c r="D535" s="784">
        <v>2.4000000000000001E-5</v>
      </c>
      <c r="E535" s="815">
        <v>14344</v>
      </c>
      <c r="F535" s="818">
        <v>50936</v>
      </c>
      <c r="G535" s="785">
        <v>41096</v>
      </c>
      <c r="H535" s="785"/>
      <c r="I535" s="786">
        <v>2367</v>
      </c>
      <c r="J535" s="787">
        <v>9978</v>
      </c>
      <c r="K535" s="786">
        <v>5869</v>
      </c>
      <c r="L535" s="785">
        <v>8793</v>
      </c>
      <c r="M535" s="785"/>
      <c r="N535" s="786">
        <v>1163</v>
      </c>
      <c r="O535" s="786">
        <v>0</v>
      </c>
      <c r="P535" s="786">
        <v>0</v>
      </c>
      <c r="Q535" s="785">
        <v>0</v>
      </c>
      <c r="R535" s="785"/>
      <c r="S535" s="786">
        <v>13849</v>
      </c>
      <c r="T535" s="788">
        <v>3675</v>
      </c>
      <c r="U535" s="788">
        <f>17525-1</f>
        <v>17524</v>
      </c>
    </row>
    <row r="536" spans="1:21" x14ac:dyDescent="0.25">
      <c r="A536" s="782">
        <v>95901</v>
      </c>
      <c r="B536" s="783" t="s">
        <v>3146</v>
      </c>
      <c r="C536" s="784">
        <v>1.8714999999999999E-3</v>
      </c>
      <c r="D536" s="784">
        <v>1.8266999999999999E-3</v>
      </c>
      <c r="E536" s="815">
        <v>815702</v>
      </c>
      <c r="F536" s="818">
        <v>3876869</v>
      </c>
      <c r="G536" s="785">
        <v>2859134</v>
      </c>
      <c r="H536" s="785"/>
      <c r="I536" s="786">
        <v>164713</v>
      </c>
      <c r="J536" s="787">
        <v>694201</v>
      </c>
      <c r="K536" s="786">
        <v>408324</v>
      </c>
      <c r="L536" s="785">
        <v>36652</v>
      </c>
      <c r="M536" s="785"/>
      <c r="N536" s="786">
        <v>80933</v>
      </c>
      <c r="O536" s="786">
        <v>0</v>
      </c>
      <c r="P536" s="786">
        <v>0</v>
      </c>
      <c r="Q536" s="785">
        <v>13191</v>
      </c>
      <c r="R536" s="785"/>
      <c r="S536" s="786">
        <v>963531</v>
      </c>
      <c r="T536" s="788">
        <v>28466</v>
      </c>
      <c r="U536" s="788">
        <v>991997</v>
      </c>
    </row>
    <row r="537" spans="1:21" x14ac:dyDescent="0.25">
      <c r="A537" s="782">
        <v>95908</v>
      </c>
      <c r="B537" s="783" t="s">
        <v>3147</v>
      </c>
      <c r="C537" s="784">
        <v>7.2200000000000007E-5</v>
      </c>
      <c r="D537" s="784">
        <v>7.2000000000000002E-5</v>
      </c>
      <c r="E537" s="815">
        <v>24598</v>
      </c>
      <c r="F537" s="818">
        <v>152808</v>
      </c>
      <c r="G537" s="785">
        <v>110302</v>
      </c>
      <c r="H537" s="785"/>
      <c r="I537" s="786">
        <v>6354</v>
      </c>
      <c r="J537" s="787">
        <v>26781</v>
      </c>
      <c r="K537" s="786">
        <v>15753</v>
      </c>
      <c r="L537" s="785">
        <v>0</v>
      </c>
      <c r="M537" s="785"/>
      <c r="N537" s="786">
        <v>3122</v>
      </c>
      <c r="O537" s="786">
        <v>0</v>
      </c>
      <c r="P537" s="786">
        <v>0</v>
      </c>
      <c r="Q537" s="785">
        <v>22164</v>
      </c>
      <c r="R537" s="785"/>
      <c r="S537" s="786">
        <v>37172</v>
      </c>
      <c r="T537" s="788">
        <v>-10736</v>
      </c>
      <c r="U537" s="788">
        <v>26436</v>
      </c>
    </row>
    <row r="538" spans="1:21" x14ac:dyDescent="0.25">
      <c r="A538" s="782">
        <v>95911</v>
      </c>
      <c r="B538" s="783" t="s">
        <v>3148</v>
      </c>
      <c r="C538" s="784">
        <v>5.7450000000000003E-4</v>
      </c>
      <c r="D538" s="784">
        <v>5.6979999999999997E-4</v>
      </c>
      <c r="E538" s="815">
        <v>244845</v>
      </c>
      <c r="F538" s="818">
        <v>1209306</v>
      </c>
      <c r="G538" s="785">
        <v>877677</v>
      </c>
      <c r="H538" s="785"/>
      <c r="I538" s="786">
        <v>50562</v>
      </c>
      <c r="J538" s="787">
        <v>213101</v>
      </c>
      <c r="K538" s="786">
        <v>125344</v>
      </c>
      <c r="L538" s="785">
        <v>2898</v>
      </c>
      <c r="M538" s="785"/>
      <c r="N538" s="786">
        <v>24844</v>
      </c>
      <c r="O538" s="786">
        <v>0</v>
      </c>
      <c r="P538" s="786">
        <v>0</v>
      </c>
      <c r="Q538" s="785">
        <v>40952</v>
      </c>
      <c r="R538" s="785"/>
      <c r="S538" s="786">
        <v>295778</v>
      </c>
      <c r="T538" s="788">
        <v>-14076</v>
      </c>
      <c r="U538" s="788">
        <v>281702</v>
      </c>
    </row>
    <row r="539" spans="1:21" x14ac:dyDescent="0.25">
      <c r="A539" s="782">
        <v>95917</v>
      </c>
      <c r="B539" s="783" t="s">
        <v>3149</v>
      </c>
      <c r="C539" s="784">
        <v>2.6699999999999998E-5</v>
      </c>
      <c r="D539" s="784">
        <v>2.2399999999999999E-5</v>
      </c>
      <c r="E539" s="815">
        <v>11001</v>
      </c>
      <c r="F539" s="818">
        <v>47540</v>
      </c>
      <c r="G539" s="785">
        <v>40790</v>
      </c>
      <c r="H539" s="785"/>
      <c r="I539" s="786">
        <v>2350</v>
      </c>
      <c r="J539" s="787">
        <v>9904</v>
      </c>
      <c r="K539" s="786">
        <v>5825</v>
      </c>
      <c r="L539" s="785">
        <v>4378</v>
      </c>
      <c r="M539" s="785"/>
      <c r="N539" s="786">
        <v>1155</v>
      </c>
      <c r="O539" s="786">
        <v>0</v>
      </c>
      <c r="P539" s="786">
        <v>0</v>
      </c>
      <c r="Q539" s="785">
        <v>501</v>
      </c>
      <c r="R539" s="785"/>
      <c r="S539" s="786">
        <v>13746</v>
      </c>
      <c r="T539" s="788">
        <v>2216</v>
      </c>
      <c r="U539" s="788">
        <v>15962</v>
      </c>
    </row>
    <row r="540" spans="1:21" x14ac:dyDescent="0.25">
      <c r="A540" s="782">
        <v>95921</v>
      </c>
      <c r="B540" s="783" t="s">
        <v>3150</v>
      </c>
      <c r="C540" s="784">
        <v>4.7500000000000003E-5</v>
      </c>
      <c r="D540" s="784">
        <v>4.4700000000000002E-5</v>
      </c>
      <c r="E540" s="815">
        <v>19772</v>
      </c>
      <c r="F540" s="818">
        <v>94868</v>
      </c>
      <c r="G540" s="785">
        <v>72567</v>
      </c>
      <c r="H540" s="785"/>
      <c r="I540" s="786">
        <v>4181</v>
      </c>
      <c r="J540" s="787">
        <v>17619</v>
      </c>
      <c r="K540" s="786">
        <v>10364</v>
      </c>
      <c r="L540" s="785">
        <v>3925</v>
      </c>
      <c r="M540" s="785"/>
      <c r="N540" s="786">
        <v>2054</v>
      </c>
      <c r="O540" s="786">
        <v>0</v>
      </c>
      <c r="P540" s="786">
        <v>0</v>
      </c>
      <c r="Q540" s="785">
        <v>948</v>
      </c>
      <c r="R540" s="785"/>
      <c r="S540" s="786">
        <v>24455</v>
      </c>
      <c r="T540" s="788">
        <v>526</v>
      </c>
      <c r="U540" s="788">
        <v>24981</v>
      </c>
    </row>
    <row r="541" spans="1:21" x14ac:dyDescent="0.25">
      <c r="A541" s="782">
        <v>96001</v>
      </c>
      <c r="B541" s="783" t="s">
        <v>3151</v>
      </c>
      <c r="C541" s="784">
        <v>4.4386399999999999E-2</v>
      </c>
      <c r="D541" s="784">
        <v>4.43519E-2</v>
      </c>
      <c r="E541" s="815">
        <v>20012605</v>
      </c>
      <c r="F541" s="818">
        <v>94129590</v>
      </c>
      <c r="G541" s="785">
        <v>67810124</v>
      </c>
      <c r="H541" s="785"/>
      <c r="I541" s="786">
        <v>3906491</v>
      </c>
      <c r="J541" s="787">
        <v>16464380</v>
      </c>
      <c r="K541" s="786">
        <v>9684225</v>
      </c>
      <c r="L541" s="785">
        <v>1457342</v>
      </c>
      <c r="M541" s="785"/>
      <c r="N541" s="786">
        <v>1919490</v>
      </c>
      <c r="O541" s="786">
        <v>0</v>
      </c>
      <c r="P541" s="786">
        <v>0</v>
      </c>
      <c r="Q541" s="785">
        <v>477903</v>
      </c>
      <c r="R541" s="785"/>
      <c r="S541" s="786">
        <v>22852072</v>
      </c>
      <c r="T541" s="788">
        <v>1208760</v>
      </c>
      <c r="U541" s="788">
        <v>24060832</v>
      </c>
    </row>
    <row r="542" spans="1:21" x14ac:dyDescent="0.25">
      <c r="A542" s="782">
        <v>96003</v>
      </c>
      <c r="B542" s="783" t="s">
        <v>3152</v>
      </c>
      <c r="C542" s="784">
        <v>1.6523E-3</v>
      </c>
      <c r="D542" s="784">
        <v>1.7309000000000001E-3</v>
      </c>
      <c r="E542" s="815">
        <v>743373</v>
      </c>
      <c r="F542" s="818">
        <v>3673550</v>
      </c>
      <c r="G542" s="785">
        <v>2524257</v>
      </c>
      <c r="H542" s="785"/>
      <c r="I542" s="786">
        <v>145421</v>
      </c>
      <c r="J542" s="787">
        <v>612893</v>
      </c>
      <c r="K542" s="786">
        <v>360499</v>
      </c>
      <c r="L542" s="785">
        <v>3089</v>
      </c>
      <c r="M542" s="785"/>
      <c r="N542" s="786">
        <v>71454</v>
      </c>
      <c r="O542" s="786">
        <v>0</v>
      </c>
      <c r="P542" s="786">
        <v>0</v>
      </c>
      <c r="Q542" s="785">
        <v>135978</v>
      </c>
      <c r="R542" s="785"/>
      <c r="S542" s="786">
        <v>850677</v>
      </c>
      <c r="T542" s="788">
        <v>-56030</v>
      </c>
      <c r="U542" s="788">
        <v>794647</v>
      </c>
    </row>
    <row r="543" spans="1:21" x14ac:dyDescent="0.25">
      <c r="A543" s="782">
        <v>96004</v>
      </c>
      <c r="B543" s="783" t="s">
        <v>3153</v>
      </c>
      <c r="C543" s="784">
        <v>8.9439999999999995E-4</v>
      </c>
      <c r="D543" s="784">
        <v>8.7699999999999996E-4</v>
      </c>
      <c r="E543" s="815">
        <v>462352</v>
      </c>
      <c r="F543" s="818">
        <v>1861288</v>
      </c>
      <c r="G543" s="785">
        <v>1366395</v>
      </c>
      <c r="H543" s="785"/>
      <c r="I543" s="786">
        <v>78717</v>
      </c>
      <c r="J543" s="787">
        <v>331762</v>
      </c>
      <c r="K543" s="786">
        <v>195140</v>
      </c>
      <c r="L543" s="785">
        <v>149546</v>
      </c>
      <c r="M543" s="785"/>
      <c r="N543" s="786">
        <v>38678</v>
      </c>
      <c r="O543" s="786">
        <v>0</v>
      </c>
      <c r="P543" s="786">
        <v>0</v>
      </c>
      <c r="Q543" s="785">
        <v>0</v>
      </c>
      <c r="R543" s="785"/>
      <c r="S543" s="786">
        <v>460476</v>
      </c>
      <c r="T543" s="788">
        <v>65505</v>
      </c>
      <c r="U543" s="788">
        <f>525982-1</f>
        <v>525981</v>
      </c>
    </row>
    <row r="544" spans="1:21" x14ac:dyDescent="0.25">
      <c r="A544" s="782">
        <v>96005</v>
      </c>
      <c r="B544" s="783" t="s">
        <v>3154</v>
      </c>
      <c r="C544" s="784">
        <v>2.6733999999999998E-3</v>
      </c>
      <c r="D544" s="784">
        <v>2.6457E-3</v>
      </c>
      <c r="E544" s="815">
        <v>1240290</v>
      </c>
      <c r="F544" s="818">
        <v>5615062</v>
      </c>
      <c r="G544" s="785">
        <v>4084215</v>
      </c>
      <c r="H544" s="785"/>
      <c r="I544" s="786">
        <v>235289</v>
      </c>
      <c r="J544" s="787">
        <v>991653</v>
      </c>
      <c r="K544" s="786">
        <v>583282</v>
      </c>
      <c r="L544" s="785">
        <v>222285</v>
      </c>
      <c r="M544" s="785"/>
      <c r="N544" s="786">
        <v>115611</v>
      </c>
      <c r="O544" s="786">
        <v>0</v>
      </c>
      <c r="P544" s="786">
        <v>0</v>
      </c>
      <c r="Q544" s="785">
        <v>0</v>
      </c>
      <c r="R544" s="785"/>
      <c r="S544" s="786">
        <v>1376384</v>
      </c>
      <c r="T544" s="788">
        <v>159087</v>
      </c>
      <c r="U544" s="788">
        <v>1535471</v>
      </c>
    </row>
    <row r="545" spans="1:21" x14ac:dyDescent="0.25">
      <c r="A545" s="782">
        <v>96008</v>
      </c>
      <c r="B545" s="783" t="s">
        <v>3155</v>
      </c>
      <c r="C545" s="784">
        <v>5.9955E-3</v>
      </c>
      <c r="D545" s="784">
        <v>5.9388000000000002E-3</v>
      </c>
      <c r="E545" s="815">
        <v>2075076</v>
      </c>
      <c r="F545" s="818">
        <v>12604123</v>
      </c>
      <c r="G545" s="785">
        <v>9159463</v>
      </c>
      <c r="H545" s="785"/>
      <c r="I545" s="786">
        <v>527670</v>
      </c>
      <c r="J545" s="787">
        <v>2223929</v>
      </c>
      <c r="K545" s="786">
        <v>1308098</v>
      </c>
      <c r="L545" s="785">
        <v>0</v>
      </c>
      <c r="M545" s="785"/>
      <c r="N545" s="786">
        <v>259275</v>
      </c>
      <c r="O545" s="786">
        <v>0</v>
      </c>
      <c r="P545" s="786">
        <v>0</v>
      </c>
      <c r="Q545" s="785">
        <v>767021</v>
      </c>
      <c r="R545" s="785"/>
      <c r="S545" s="786">
        <v>3086747</v>
      </c>
      <c r="T545" s="788">
        <v>-274630</v>
      </c>
      <c r="U545" s="788">
        <v>2812117</v>
      </c>
    </row>
    <row r="546" spans="1:21" x14ac:dyDescent="0.25">
      <c r="A546" s="782">
        <v>96009</v>
      </c>
      <c r="B546" s="783" t="s">
        <v>3156</v>
      </c>
      <c r="C546" s="784">
        <v>3.7609999999999998E-4</v>
      </c>
      <c r="D546" s="784">
        <v>3.5980000000000002E-4</v>
      </c>
      <c r="E546" s="815">
        <v>192063</v>
      </c>
      <c r="F546" s="818">
        <v>763616</v>
      </c>
      <c r="G546" s="785">
        <v>574577</v>
      </c>
      <c r="H546" s="785"/>
      <c r="I546" s="786">
        <v>33101</v>
      </c>
      <c r="J546" s="787">
        <v>139508</v>
      </c>
      <c r="K546" s="786">
        <v>82057</v>
      </c>
      <c r="L546" s="785">
        <v>33181</v>
      </c>
      <c r="M546" s="785"/>
      <c r="N546" s="786">
        <v>16264</v>
      </c>
      <c r="O546" s="786">
        <v>0</v>
      </c>
      <c r="P546" s="786">
        <v>0</v>
      </c>
      <c r="Q546" s="785">
        <v>2595</v>
      </c>
      <c r="R546" s="785"/>
      <c r="S546" s="786">
        <v>193633</v>
      </c>
      <c r="T546" s="788">
        <v>11508</v>
      </c>
      <c r="U546" s="788">
        <v>205141</v>
      </c>
    </row>
    <row r="547" spans="1:21" x14ac:dyDescent="0.25">
      <c r="A547" s="782">
        <v>96011</v>
      </c>
      <c r="B547" s="783" t="s">
        <v>3157</v>
      </c>
      <c r="C547" s="784">
        <v>6.1150400000000001E-2</v>
      </c>
      <c r="D547" s="784">
        <v>6.0489000000000001E-2</v>
      </c>
      <c r="E547" s="815">
        <v>28379211</v>
      </c>
      <c r="F547" s="818">
        <v>128377922</v>
      </c>
      <c r="G547" s="785">
        <v>93420873</v>
      </c>
      <c r="H547" s="785"/>
      <c r="I547" s="786">
        <v>5381908</v>
      </c>
      <c r="J547" s="787">
        <v>22682701</v>
      </c>
      <c r="K547" s="786">
        <v>13341794</v>
      </c>
      <c r="L547" s="785">
        <v>796221</v>
      </c>
      <c r="M547" s="785"/>
      <c r="N547" s="786">
        <v>2644449</v>
      </c>
      <c r="O547" s="786">
        <v>0</v>
      </c>
      <c r="P547" s="786">
        <v>0</v>
      </c>
      <c r="Q547" s="785">
        <v>51460</v>
      </c>
      <c r="R547" s="785"/>
      <c r="S547" s="786">
        <v>31482917</v>
      </c>
      <c r="T547" s="788">
        <v>212508</v>
      </c>
      <c r="U547" s="788">
        <v>31695425</v>
      </c>
    </row>
    <row r="548" spans="1:21" x14ac:dyDescent="0.25">
      <c r="A548" s="782">
        <v>96012</v>
      </c>
      <c r="B548" s="783" t="s">
        <v>3158</v>
      </c>
      <c r="C548" s="784">
        <v>2.4417000000000002E-3</v>
      </c>
      <c r="D548" s="784">
        <v>2.4095000000000002E-3</v>
      </c>
      <c r="E548" s="815">
        <v>1092788</v>
      </c>
      <c r="F548" s="818">
        <v>5113766</v>
      </c>
      <c r="G548" s="785">
        <v>3730241</v>
      </c>
      <c r="H548" s="785"/>
      <c r="I548" s="786">
        <v>214896</v>
      </c>
      <c r="J548" s="787">
        <v>905707</v>
      </c>
      <c r="K548" s="786">
        <v>532730</v>
      </c>
      <c r="L548" s="785">
        <v>77080</v>
      </c>
      <c r="M548" s="785"/>
      <c r="N548" s="786">
        <v>105591</v>
      </c>
      <c r="O548" s="786">
        <v>0</v>
      </c>
      <c r="P548" s="786">
        <v>0</v>
      </c>
      <c r="Q548" s="785">
        <v>937</v>
      </c>
      <c r="R548" s="785"/>
      <c r="S548" s="786">
        <v>1257095</v>
      </c>
      <c r="T548" s="788">
        <v>35595</v>
      </c>
      <c r="U548" s="788">
        <v>1292690</v>
      </c>
    </row>
    <row r="549" spans="1:21" x14ac:dyDescent="0.25">
      <c r="A549" s="782">
        <v>96018</v>
      </c>
      <c r="B549" s="783" t="s">
        <v>3159</v>
      </c>
      <c r="C549" s="784">
        <v>4.3600000000000003E-5</v>
      </c>
      <c r="D549" s="784">
        <v>3.6199999999999999E-5</v>
      </c>
      <c r="E549" s="815">
        <v>18035</v>
      </c>
      <c r="F549" s="818">
        <v>76829</v>
      </c>
      <c r="G549" s="785">
        <v>66609</v>
      </c>
      <c r="H549" s="785"/>
      <c r="I549" s="786">
        <v>3837</v>
      </c>
      <c r="J549" s="787">
        <v>16173</v>
      </c>
      <c r="K549" s="786">
        <v>9513</v>
      </c>
      <c r="L549" s="785">
        <v>9704</v>
      </c>
      <c r="M549" s="785"/>
      <c r="N549" s="786">
        <v>1885</v>
      </c>
      <c r="O549" s="786">
        <v>0</v>
      </c>
      <c r="P549" s="786">
        <v>0</v>
      </c>
      <c r="Q549" s="785">
        <v>0</v>
      </c>
      <c r="R549" s="785"/>
      <c r="S549" s="786">
        <v>22447</v>
      </c>
      <c r="T549" s="788">
        <v>5913</v>
      </c>
      <c r="U549" s="788">
        <v>28360</v>
      </c>
    </row>
    <row r="550" spans="1:21" x14ac:dyDescent="0.25">
      <c r="A550" s="782">
        <v>96021</v>
      </c>
      <c r="B550" s="783" t="s">
        <v>3160</v>
      </c>
      <c r="C550" s="784">
        <v>7.2090000000000001E-4</v>
      </c>
      <c r="D550" s="784">
        <v>8.5829999999999999E-4</v>
      </c>
      <c r="E550" s="815">
        <v>327690</v>
      </c>
      <c r="F550" s="818">
        <v>1821600</v>
      </c>
      <c r="G550" s="785">
        <v>1101336</v>
      </c>
      <c r="H550" s="785"/>
      <c r="I550" s="786">
        <v>63447</v>
      </c>
      <c r="J550" s="787">
        <v>267406</v>
      </c>
      <c r="K550" s="786">
        <v>157286</v>
      </c>
      <c r="L550" s="785">
        <v>31959</v>
      </c>
      <c r="M550" s="785"/>
      <c r="N550" s="786">
        <v>31175</v>
      </c>
      <c r="O550" s="786">
        <v>0</v>
      </c>
      <c r="P550" s="786">
        <v>0</v>
      </c>
      <c r="Q550" s="785">
        <v>119309</v>
      </c>
      <c r="R550" s="785"/>
      <c r="S550" s="786">
        <v>371151</v>
      </c>
      <c r="T550" s="788">
        <v>-13869</v>
      </c>
      <c r="U550" s="788">
        <v>357282</v>
      </c>
    </row>
    <row r="551" spans="1:21" x14ac:dyDescent="0.25">
      <c r="A551" s="782">
        <v>96031</v>
      </c>
      <c r="B551" s="783" t="s">
        <v>3161</v>
      </c>
      <c r="C551" s="784">
        <v>8.2580000000000001E-4</v>
      </c>
      <c r="D551" s="784">
        <v>9.0189999999999997E-4</v>
      </c>
      <c r="E551" s="815">
        <v>325476</v>
      </c>
      <c r="F551" s="818">
        <v>1914134</v>
      </c>
      <c r="G551" s="785">
        <v>1261594</v>
      </c>
      <c r="H551" s="785"/>
      <c r="I551" s="786">
        <v>72679</v>
      </c>
      <c r="J551" s="787">
        <v>306317</v>
      </c>
      <c r="K551" s="786">
        <v>180173</v>
      </c>
      <c r="L551" s="785">
        <v>0</v>
      </c>
      <c r="M551" s="785"/>
      <c r="N551" s="786">
        <v>35712</v>
      </c>
      <c r="O551" s="786">
        <v>0</v>
      </c>
      <c r="P551" s="786">
        <v>0</v>
      </c>
      <c r="Q551" s="785">
        <v>179263</v>
      </c>
      <c r="R551" s="785"/>
      <c r="S551" s="786">
        <v>425158</v>
      </c>
      <c r="T551" s="788">
        <v>-74461</v>
      </c>
      <c r="U551" s="788">
        <v>350697</v>
      </c>
    </row>
    <row r="552" spans="1:21" x14ac:dyDescent="0.25">
      <c r="A552" s="782">
        <v>96041</v>
      </c>
      <c r="B552" s="783" t="s">
        <v>3162</v>
      </c>
      <c r="C552" s="784">
        <v>1.7361E-3</v>
      </c>
      <c r="D552" s="784">
        <v>1.7323E-3</v>
      </c>
      <c r="E552" s="815">
        <v>721544</v>
      </c>
      <c r="F552" s="818">
        <v>3676521</v>
      </c>
      <c r="G552" s="785">
        <v>2652280</v>
      </c>
      <c r="H552" s="785"/>
      <c r="I552" s="786">
        <v>152796</v>
      </c>
      <c r="J552" s="787">
        <v>643977</v>
      </c>
      <c r="K552" s="786">
        <v>378782</v>
      </c>
      <c r="L552" s="785">
        <v>0</v>
      </c>
      <c r="M552" s="785"/>
      <c r="N552" s="786">
        <v>75078</v>
      </c>
      <c r="O552" s="786">
        <v>0</v>
      </c>
      <c r="P552" s="786">
        <v>0</v>
      </c>
      <c r="Q552" s="785">
        <v>139404</v>
      </c>
      <c r="R552" s="785"/>
      <c r="S552" s="786">
        <v>893821</v>
      </c>
      <c r="T552" s="788">
        <v>-60075</v>
      </c>
      <c r="U552" s="788">
        <v>833746</v>
      </c>
    </row>
    <row r="553" spans="1:21" x14ac:dyDescent="0.25">
      <c r="A553" s="782">
        <v>96051</v>
      </c>
      <c r="B553" s="783" t="s">
        <v>3163</v>
      </c>
      <c r="C553" s="784">
        <v>1.0062000000000001E-3</v>
      </c>
      <c r="D553" s="784">
        <v>1.0258000000000001E-3</v>
      </c>
      <c r="E553" s="815">
        <v>418346</v>
      </c>
      <c r="F553" s="818">
        <v>2177091</v>
      </c>
      <c r="G553" s="785">
        <v>1537195</v>
      </c>
      <c r="H553" s="785"/>
      <c r="I553" s="786">
        <v>88557</v>
      </c>
      <c r="J553" s="787">
        <v>373233</v>
      </c>
      <c r="K553" s="786">
        <v>219533</v>
      </c>
      <c r="L553" s="785">
        <v>0</v>
      </c>
      <c r="M553" s="785"/>
      <c r="N553" s="786">
        <v>43513</v>
      </c>
      <c r="O553" s="786">
        <v>0</v>
      </c>
      <c r="P553" s="786">
        <v>0</v>
      </c>
      <c r="Q553" s="785">
        <v>109605</v>
      </c>
      <c r="R553" s="785"/>
      <c r="S553" s="786">
        <v>518036</v>
      </c>
      <c r="T553" s="788">
        <v>-44751</v>
      </c>
      <c r="U553" s="788">
        <v>473285</v>
      </c>
    </row>
    <row r="554" spans="1:21" x14ac:dyDescent="0.25">
      <c r="A554" s="782">
        <v>96061</v>
      </c>
      <c r="B554" s="783" t="s">
        <v>3164</v>
      </c>
      <c r="C554" s="784">
        <v>3.3950000000000001E-4</v>
      </c>
      <c r="D554" s="784">
        <v>3.0800000000000001E-4</v>
      </c>
      <c r="E554" s="815">
        <v>154988</v>
      </c>
      <c r="F554" s="818">
        <v>653679</v>
      </c>
      <c r="G554" s="785">
        <v>518662</v>
      </c>
      <c r="H554" s="785"/>
      <c r="I554" s="786">
        <v>29880</v>
      </c>
      <c r="J554" s="787">
        <v>125932</v>
      </c>
      <c r="K554" s="786">
        <v>74072</v>
      </c>
      <c r="L554" s="785">
        <v>21868</v>
      </c>
      <c r="M554" s="785"/>
      <c r="N554" s="786">
        <v>14682</v>
      </c>
      <c r="O554" s="786">
        <v>0</v>
      </c>
      <c r="P554" s="786">
        <v>0</v>
      </c>
      <c r="Q554" s="785">
        <v>7447</v>
      </c>
      <c r="R554" s="785"/>
      <c r="S554" s="786">
        <v>174790</v>
      </c>
      <c r="T554" s="788">
        <v>2241</v>
      </c>
      <c r="U554" s="788">
        <v>177031</v>
      </c>
    </row>
    <row r="555" spans="1:21" x14ac:dyDescent="0.25">
      <c r="A555" s="782">
        <v>96071</v>
      </c>
      <c r="B555" s="783" t="s">
        <v>3165</v>
      </c>
      <c r="C555" s="784">
        <v>1.1367E-3</v>
      </c>
      <c r="D555" s="784">
        <v>1.1280999999999999E-3</v>
      </c>
      <c r="E555" s="815">
        <v>554009</v>
      </c>
      <c r="F555" s="818">
        <v>2394206</v>
      </c>
      <c r="G555" s="785">
        <v>1736563</v>
      </c>
      <c r="H555" s="785"/>
      <c r="I555" s="786">
        <v>100042</v>
      </c>
      <c r="J555" s="787">
        <v>421639</v>
      </c>
      <c r="K555" s="786">
        <v>248005</v>
      </c>
      <c r="L555" s="785">
        <v>72999</v>
      </c>
      <c r="M555" s="785"/>
      <c r="N555" s="786">
        <v>49157</v>
      </c>
      <c r="O555" s="786">
        <v>0</v>
      </c>
      <c r="P555" s="786">
        <v>0</v>
      </c>
      <c r="Q555" s="785">
        <v>71715</v>
      </c>
      <c r="R555" s="785"/>
      <c r="S555" s="786">
        <v>585223</v>
      </c>
      <c r="T555" s="788">
        <v>-1282</v>
      </c>
      <c r="U555" s="788">
        <v>583941</v>
      </c>
    </row>
    <row r="556" spans="1:21" x14ac:dyDescent="0.25">
      <c r="A556" s="782">
        <v>96081</v>
      </c>
      <c r="B556" s="783" t="s">
        <v>3166</v>
      </c>
      <c r="C556" s="784">
        <v>5.0900000000000001E-4</v>
      </c>
      <c r="D556" s="784">
        <v>4.7820000000000002E-4</v>
      </c>
      <c r="E556" s="815">
        <v>211520</v>
      </c>
      <c r="F556" s="818">
        <v>1014901</v>
      </c>
      <c r="G556" s="785">
        <v>777611</v>
      </c>
      <c r="H556" s="785"/>
      <c r="I556" s="786">
        <v>44798</v>
      </c>
      <c r="J556" s="787">
        <v>188805</v>
      </c>
      <c r="K556" s="786">
        <v>111054</v>
      </c>
      <c r="L556" s="785">
        <v>10640</v>
      </c>
      <c r="M556" s="785"/>
      <c r="N556" s="786">
        <v>22012</v>
      </c>
      <c r="O556" s="786">
        <v>0</v>
      </c>
      <c r="P556" s="786">
        <v>0</v>
      </c>
      <c r="Q556" s="785">
        <v>4115</v>
      </c>
      <c r="R556" s="785"/>
      <c r="S556" s="786">
        <v>262056</v>
      </c>
      <c r="T556" s="788">
        <v>5137</v>
      </c>
      <c r="U556" s="788">
        <v>267193</v>
      </c>
    </row>
    <row r="557" spans="1:21" x14ac:dyDescent="0.25">
      <c r="A557" s="782">
        <v>96101</v>
      </c>
      <c r="B557" s="783" t="s">
        <v>3167</v>
      </c>
      <c r="C557" s="784">
        <v>7.6749999999999995E-4</v>
      </c>
      <c r="D557" s="784">
        <v>7.5860000000000001E-4</v>
      </c>
      <c r="E557" s="815">
        <v>371541</v>
      </c>
      <c r="F557" s="818">
        <v>1610003</v>
      </c>
      <c r="G557" s="785">
        <v>1172527</v>
      </c>
      <c r="H557" s="785"/>
      <c r="I557" s="786">
        <v>67548</v>
      </c>
      <c r="J557" s="787">
        <v>284691</v>
      </c>
      <c r="K557" s="786">
        <v>167453</v>
      </c>
      <c r="L557" s="785">
        <v>39221</v>
      </c>
      <c r="M557" s="785"/>
      <c r="N557" s="786">
        <v>33191</v>
      </c>
      <c r="O557" s="786">
        <v>0</v>
      </c>
      <c r="P557" s="786">
        <v>0</v>
      </c>
      <c r="Q557" s="785">
        <v>3498</v>
      </c>
      <c r="R557" s="785"/>
      <c r="S557" s="786">
        <v>395143</v>
      </c>
      <c r="T557" s="788">
        <v>17230</v>
      </c>
      <c r="U557" s="788">
        <v>412373</v>
      </c>
    </row>
    <row r="558" spans="1:21" x14ac:dyDescent="0.25">
      <c r="A558" s="782">
        <v>96102</v>
      </c>
      <c r="B558" s="783" t="s">
        <v>3168</v>
      </c>
      <c r="C558" s="784">
        <v>1.36E-5</v>
      </c>
      <c r="D558" s="784">
        <v>1.42E-5</v>
      </c>
      <c r="E558" s="815">
        <v>5078</v>
      </c>
      <c r="F558" s="818">
        <v>30137</v>
      </c>
      <c r="G558" s="785">
        <v>20777</v>
      </c>
      <c r="H558" s="785"/>
      <c r="I558" s="786">
        <v>1197</v>
      </c>
      <c r="J558" s="787">
        <v>5045</v>
      </c>
      <c r="K558" s="786">
        <v>2967</v>
      </c>
      <c r="L558" s="785">
        <v>0</v>
      </c>
      <c r="M558" s="785"/>
      <c r="N558" s="786">
        <v>588</v>
      </c>
      <c r="O558" s="786">
        <v>0</v>
      </c>
      <c r="P558" s="786">
        <v>0</v>
      </c>
      <c r="Q558" s="785">
        <v>3137</v>
      </c>
      <c r="R558" s="785"/>
      <c r="S558" s="786">
        <v>7002</v>
      </c>
      <c r="T558" s="788">
        <v>-1435</v>
      </c>
      <c r="U558" s="788">
        <v>5567</v>
      </c>
    </row>
    <row r="559" spans="1:21" x14ac:dyDescent="0.25">
      <c r="A559" s="782">
        <v>96111</v>
      </c>
      <c r="B559" s="783" t="s">
        <v>3169</v>
      </c>
      <c r="C559" s="784">
        <v>1.5349999999999999E-4</v>
      </c>
      <c r="D559" s="784">
        <v>1.6119999999999999E-4</v>
      </c>
      <c r="E559" s="815">
        <v>74819</v>
      </c>
      <c r="F559" s="818">
        <v>342120</v>
      </c>
      <c r="G559" s="785">
        <v>234505</v>
      </c>
      <c r="H559" s="785"/>
      <c r="I559" s="786">
        <v>13510</v>
      </c>
      <c r="J559" s="787">
        <v>56938</v>
      </c>
      <c r="K559" s="786">
        <v>33491</v>
      </c>
      <c r="L559" s="785">
        <v>9403</v>
      </c>
      <c r="M559" s="785"/>
      <c r="N559" s="786">
        <v>6638</v>
      </c>
      <c r="O559" s="786">
        <v>0</v>
      </c>
      <c r="P559" s="786">
        <v>0</v>
      </c>
      <c r="Q559" s="785">
        <v>1683</v>
      </c>
      <c r="R559" s="785"/>
      <c r="S559" s="786">
        <v>79029</v>
      </c>
      <c r="T559" s="788">
        <v>6754</v>
      </c>
      <c r="U559" s="788">
        <v>85783</v>
      </c>
    </row>
    <row r="560" spans="1:21" x14ac:dyDescent="0.25">
      <c r="A560" s="782">
        <v>96121</v>
      </c>
      <c r="B560" s="783" t="s">
        <v>3170</v>
      </c>
      <c r="C560" s="784">
        <v>2.2500000000000001E-5</v>
      </c>
      <c r="D560" s="784">
        <v>2.2099999999999998E-5</v>
      </c>
      <c r="E560" s="815">
        <v>9052</v>
      </c>
      <c r="F560" s="818">
        <v>46904</v>
      </c>
      <c r="G560" s="785">
        <v>34374</v>
      </c>
      <c r="H560" s="785"/>
      <c r="I560" s="786">
        <v>1980</v>
      </c>
      <c r="J560" s="787">
        <v>8346</v>
      </c>
      <c r="K560" s="786">
        <v>4909</v>
      </c>
      <c r="L560" s="785">
        <v>397</v>
      </c>
      <c r="M560" s="785"/>
      <c r="N560" s="786">
        <v>973</v>
      </c>
      <c r="O560" s="786">
        <v>0</v>
      </c>
      <c r="P560" s="786">
        <v>0</v>
      </c>
      <c r="Q560" s="785">
        <v>1764</v>
      </c>
      <c r="R560" s="785"/>
      <c r="S560" s="786">
        <v>11584</v>
      </c>
      <c r="T560" s="788">
        <v>-946</v>
      </c>
      <c r="U560" s="788">
        <v>10638</v>
      </c>
    </row>
    <row r="561" spans="1:21" x14ac:dyDescent="0.25">
      <c r="A561" s="782">
        <v>96201</v>
      </c>
      <c r="B561" s="783" t="s">
        <v>3171</v>
      </c>
      <c r="C561" s="784">
        <v>1.1788E-3</v>
      </c>
      <c r="D561" s="784">
        <v>1.2302999999999999E-3</v>
      </c>
      <c r="E561" s="815">
        <v>527645</v>
      </c>
      <c r="F561" s="818">
        <v>2611109</v>
      </c>
      <c r="G561" s="785">
        <v>1800880</v>
      </c>
      <c r="H561" s="785"/>
      <c r="I561" s="786">
        <v>103747</v>
      </c>
      <c r="J561" s="787">
        <v>437256</v>
      </c>
      <c r="K561" s="786">
        <v>257191</v>
      </c>
      <c r="L561" s="785">
        <v>0</v>
      </c>
      <c r="M561" s="785"/>
      <c r="N561" s="786">
        <v>50977</v>
      </c>
      <c r="O561" s="786">
        <v>0</v>
      </c>
      <c r="P561" s="786">
        <v>0</v>
      </c>
      <c r="Q561" s="785">
        <v>73119</v>
      </c>
      <c r="R561" s="785"/>
      <c r="S561" s="786">
        <v>606898</v>
      </c>
      <c r="T561" s="788">
        <v>-23257</v>
      </c>
      <c r="U561" s="788">
        <v>583641</v>
      </c>
    </row>
    <row r="562" spans="1:21" x14ac:dyDescent="0.25">
      <c r="A562" s="782">
        <v>96204</v>
      </c>
      <c r="B562" s="783" t="s">
        <v>3172</v>
      </c>
      <c r="C562" s="784">
        <v>1.5099999999999999E-5</v>
      </c>
      <c r="D562" s="784">
        <v>1.5400000000000002E-5</v>
      </c>
      <c r="E562" s="815">
        <v>8503</v>
      </c>
      <c r="F562" s="818">
        <v>32684</v>
      </c>
      <c r="G562" s="785">
        <v>23069</v>
      </c>
      <c r="H562" s="785"/>
      <c r="I562" s="786">
        <v>1329</v>
      </c>
      <c r="J562" s="787">
        <v>5602</v>
      </c>
      <c r="K562" s="786">
        <v>3295</v>
      </c>
      <c r="L562" s="785">
        <v>3517</v>
      </c>
      <c r="M562" s="785"/>
      <c r="N562" s="786">
        <v>653</v>
      </c>
      <c r="O562" s="786">
        <v>0</v>
      </c>
      <c r="P562" s="786">
        <v>0</v>
      </c>
      <c r="Q562" s="785">
        <v>0</v>
      </c>
      <c r="R562" s="785"/>
      <c r="S562" s="786">
        <v>7774</v>
      </c>
      <c r="T562" s="788">
        <v>1655</v>
      </c>
      <c r="U562" s="788">
        <f>9430-1</f>
        <v>9429</v>
      </c>
    </row>
    <row r="563" spans="1:21" x14ac:dyDescent="0.25">
      <c r="A563" s="782">
        <v>96211</v>
      </c>
      <c r="B563" s="783" t="s">
        <v>3173</v>
      </c>
      <c r="C563" s="784">
        <v>2.62E-5</v>
      </c>
      <c r="D563" s="784">
        <v>3.0700000000000001E-5</v>
      </c>
      <c r="E563" s="815">
        <v>16678</v>
      </c>
      <c r="F563" s="818">
        <v>65156</v>
      </c>
      <c r="G563" s="785">
        <v>40026</v>
      </c>
      <c r="H563" s="785"/>
      <c r="I563" s="786">
        <v>2306</v>
      </c>
      <c r="J563" s="787">
        <v>9718</v>
      </c>
      <c r="K563" s="786">
        <v>5716</v>
      </c>
      <c r="L563" s="785">
        <v>4494</v>
      </c>
      <c r="M563" s="785"/>
      <c r="N563" s="786">
        <v>1133</v>
      </c>
      <c r="O563" s="786">
        <v>0</v>
      </c>
      <c r="P563" s="786">
        <v>0</v>
      </c>
      <c r="Q563" s="785">
        <v>4462</v>
      </c>
      <c r="R563" s="785"/>
      <c r="S563" s="786">
        <v>13489</v>
      </c>
      <c r="T563" s="788">
        <v>-2681</v>
      </c>
      <c r="U563" s="788">
        <v>10808</v>
      </c>
    </row>
    <row r="564" spans="1:21" x14ac:dyDescent="0.25">
      <c r="A564" s="782">
        <v>96221</v>
      </c>
      <c r="B564" s="783" t="s">
        <v>3174</v>
      </c>
      <c r="C564" s="784">
        <v>2.3350000000000001E-4</v>
      </c>
      <c r="D564" s="784">
        <v>2.287E-4</v>
      </c>
      <c r="E564" s="815">
        <v>98415</v>
      </c>
      <c r="F564" s="818">
        <v>485378</v>
      </c>
      <c r="G564" s="785">
        <v>356723</v>
      </c>
      <c r="H564" s="785"/>
      <c r="I564" s="786">
        <v>20551</v>
      </c>
      <c r="J564" s="787">
        <v>86613</v>
      </c>
      <c r="K564" s="786">
        <v>50945</v>
      </c>
      <c r="L564" s="785">
        <v>2439</v>
      </c>
      <c r="M564" s="785"/>
      <c r="N564" s="786">
        <v>10098</v>
      </c>
      <c r="O564" s="786">
        <v>0</v>
      </c>
      <c r="P564" s="786">
        <v>0</v>
      </c>
      <c r="Q564" s="785">
        <v>15042</v>
      </c>
      <c r="R564" s="785"/>
      <c r="S564" s="786">
        <v>120216</v>
      </c>
      <c r="T564" s="788">
        <v>-3357</v>
      </c>
      <c r="U564" s="788">
        <f>116860-1</f>
        <v>116859</v>
      </c>
    </row>
    <row r="565" spans="1:21" x14ac:dyDescent="0.25">
      <c r="A565" s="782">
        <v>96231</v>
      </c>
      <c r="B565" s="783" t="s">
        <v>3175</v>
      </c>
      <c r="C565" s="784">
        <v>1.3339999999999999E-4</v>
      </c>
      <c r="D565" s="784">
        <v>1.145E-4</v>
      </c>
      <c r="E565" s="815">
        <v>48595</v>
      </c>
      <c r="F565" s="818">
        <v>243007</v>
      </c>
      <c r="G565" s="785">
        <v>203798</v>
      </c>
      <c r="H565" s="785"/>
      <c r="I565" s="786">
        <v>11741</v>
      </c>
      <c r="J565" s="787">
        <v>49482</v>
      </c>
      <c r="K565" s="786">
        <v>29105</v>
      </c>
      <c r="L565" s="785">
        <v>2554</v>
      </c>
      <c r="M565" s="785"/>
      <c r="N565" s="786">
        <v>5769</v>
      </c>
      <c r="O565" s="786">
        <v>0</v>
      </c>
      <c r="P565" s="786">
        <v>0</v>
      </c>
      <c r="Q565" s="785">
        <v>14959</v>
      </c>
      <c r="R565" s="785"/>
      <c r="S565" s="786">
        <v>68680</v>
      </c>
      <c r="T565" s="788">
        <v>-7094</v>
      </c>
      <c r="U565" s="788">
        <v>61586</v>
      </c>
    </row>
    <row r="566" spans="1:21" x14ac:dyDescent="0.25">
      <c r="A566" s="782">
        <v>96241</v>
      </c>
      <c r="B566" s="783" t="s">
        <v>3176</v>
      </c>
      <c r="C566" s="784">
        <v>4.4700000000000002E-5</v>
      </c>
      <c r="D566" s="784">
        <v>4.6100000000000002E-5</v>
      </c>
      <c r="E566" s="815">
        <v>22791</v>
      </c>
      <c r="F566" s="818">
        <v>97840</v>
      </c>
      <c r="G566" s="785">
        <v>68289</v>
      </c>
      <c r="H566" s="785"/>
      <c r="I566" s="786">
        <v>3934</v>
      </c>
      <c r="J566" s="787">
        <v>16580</v>
      </c>
      <c r="K566" s="786">
        <v>9753</v>
      </c>
      <c r="L566" s="785">
        <v>5027</v>
      </c>
      <c r="M566" s="785"/>
      <c r="N566" s="786">
        <v>1933</v>
      </c>
      <c r="O566" s="786">
        <v>0</v>
      </c>
      <c r="P566" s="786">
        <v>0</v>
      </c>
      <c r="Q566" s="785">
        <v>4371</v>
      </c>
      <c r="R566" s="785"/>
      <c r="S566" s="786">
        <v>23014</v>
      </c>
      <c r="T566" s="788">
        <v>2407</v>
      </c>
      <c r="U566" s="788">
        <f>25420+1</f>
        <v>25421</v>
      </c>
    </row>
    <row r="567" spans="1:21" x14ac:dyDescent="0.25">
      <c r="A567" s="782">
        <v>96251</v>
      </c>
      <c r="B567" s="783" t="s">
        <v>3177</v>
      </c>
      <c r="C567" s="784">
        <v>9.3999999999999994E-5</v>
      </c>
      <c r="D567" s="784">
        <v>7.7100000000000004E-5</v>
      </c>
      <c r="E567" s="815">
        <v>36737</v>
      </c>
      <c r="F567" s="818">
        <v>163632</v>
      </c>
      <c r="G567" s="785">
        <v>143606</v>
      </c>
      <c r="H567" s="785"/>
      <c r="I567" s="786">
        <v>8273</v>
      </c>
      <c r="J567" s="787">
        <v>34868</v>
      </c>
      <c r="K567" s="786">
        <v>20509</v>
      </c>
      <c r="L567" s="785">
        <v>6198</v>
      </c>
      <c r="M567" s="785"/>
      <c r="N567" s="786">
        <v>4065</v>
      </c>
      <c r="O567" s="786">
        <v>0</v>
      </c>
      <c r="P567" s="786">
        <v>0</v>
      </c>
      <c r="Q567" s="785">
        <v>16886</v>
      </c>
      <c r="R567" s="785"/>
      <c r="S567" s="786">
        <v>48395</v>
      </c>
      <c r="T567" s="788">
        <v>-7102</v>
      </c>
      <c r="U567" s="788">
        <v>41293</v>
      </c>
    </row>
    <row r="568" spans="1:21" x14ac:dyDescent="0.25">
      <c r="A568" s="782">
        <v>96301</v>
      </c>
      <c r="B568" s="783" t="s">
        <v>3178</v>
      </c>
      <c r="C568" s="784">
        <v>4.3712999999999998E-3</v>
      </c>
      <c r="D568" s="784">
        <v>4.3785999999999999E-3</v>
      </c>
      <c r="E568" s="815">
        <v>1938350</v>
      </c>
      <c r="F568" s="818">
        <v>9292856</v>
      </c>
      <c r="G568" s="785">
        <v>6678136</v>
      </c>
      <c r="H568" s="785"/>
      <c r="I568" s="786">
        <v>384722</v>
      </c>
      <c r="J568" s="787">
        <v>1621460</v>
      </c>
      <c r="K568" s="786">
        <v>953730</v>
      </c>
      <c r="L568" s="785">
        <v>60786</v>
      </c>
      <c r="M568" s="785"/>
      <c r="N568" s="786">
        <v>189037</v>
      </c>
      <c r="O568" s="786">
        <v>0</v>
      </c>
      <c r="P568" s="786">
        <v>0</v>
      </c>
      <c r="Q568" s="785">
        <v>160488</v>
      </c>
      <c r="R568" s="785"/>
      <c r="S568" s="786">
        <v>2250538</v>
      </c>
      <c r="T568" s="788">
        <v>-27776</v>
      </c>
      <c r="U568" s="788">
        <v>2222762</v>
      </c>
    </row>
    <row r="569" spans="1:21" x14ac:dyDescent="0.25">
      <c r="A569" s="782">
        <v>96302</v>
      </c>
      <c r="B569" s="783" t="s">
        <v>3179</v>
      </c>
      <c r="C569" s="784">
        <v>2.5199999999999999E-5</v>
      </c>
      <c r="D569" s="784">
        <v>1.9199999999999999E-5</v>
      </c>
      <c r="E569" s="815">
        <v>12121</v>
      </c>
      <c r="F569" s="818">
        <v>40749</v>
      </c>
      <c r="G569" s="785">
        <v>38499</v>
      </c>
      <c r="H569" s="785"/>
      <c r="I569" s="786">
        <v>2218</v>
      </c>
      <c r="J569" s="787">
        <v>9347</v>
      </c>
      <c r="K569" s="786">
        <v>5498</v>
      </c>
      <c r="L569" s="785">
        <v>7399</v>
      </c>
      <c r="M569" s="785"/>
      <c r="N569" s="786">
        <v>1090</v>
      </c>
      <c r="O569" s="786">
        <v>0</v>
      </c>
      <c r="P569" s="786">
        <v>0</v>
      </c>
      <c r="Q569" s="785">
        <v>0</v>
      </c>
      <c r="R569" s="785"/>
      <c r="S569" s="786">
        <v>12974</v>
      </c>
      <c r="T569" s="788">
        <v>2631</v>
      </c>
      <c r="U569" s="788">
        <v>15605</v>
      </c>
    </row>
    <row r="570" spans="1:21" x14ac:dyDescent="0.25">
      <c r="A570" s="782">
        <v>96304</v>
      </c>
      <c r="B570" s="783" t="s">
        <v>3180</v>
      </c>
      <c r="C570" s="784">
        <v>4.5500000000000001E-5</v>
      </c>
      <c r="D570" s="784">
        <v>5.4599999999999999E-5</v>
      </c>
      <c r="E570" s="815">
        <v>27294</v>
      </c>
      <c r="F570" s="818">
        <v>115879</v>
      </c>
      <c r="G570" s="785">
        <v>69511</v>
      </c>
      <c r="H570" s="785"/>
      <c r="I570" s="786">
        <v>4005</v>
      </c>
      <c r="J570" s="787">
        <v>16877</v>
      </c>
      <c r="K570" s="786">
        <v>9927</v>
      </c>
      <c r="L570" s="785">
        <v>5469</v>
      </c>
      <c r="M570" s="785"/>
      <c r="N570" s="786">
        <v>1968</v>
      </c>
      <c r="O570" s="786">
        <v>0</v>
      </c>
      <c r="P570" s="786">
        <v>0</v>
      </c>
      <c r="Q570" s="785">
        <v>1092</v>
      </c>
      <c r="R570" s="785"/>
      <c r="S570" s="786">
        <v>23425</v>
      </c>
      <c r="T570" s="788">
        <v>2085</v>
      </c>
      <c r="U570" s="788">
        <v>25510</v>
      </c>
    </row>
    <row r="571" spans="1:21" x14ac:dyDescent="0.25">
      <c r="A571" s="782">
        <v>96305</v>
      </c>
      <c r="B571" s="783" t="s">
        <v>3181</v>
      </c>
      <c r="C571" s="784">
        <v>4.5500000000000001E-5</v>
      </c>
      <c r="D571" s="784">
        <v>4.8199999999999999E-5</v>
      </c>
      <c r="E571" s="815">
        <v>30520</v>
      </c>
      <c r="F571" s="818">
        <v>102297</v>
      </c>
      <c r="G571" s="785">
        <v>69511</v>
      </c>
      <c r="H571" s="785"/>
      <c r="I571" s="786">
        <v>4005</v>
      </c>
      <c r="J571" s="787">
        <v>16877</v>
      </c>
      <c r="K571" s="786">
        <v>9927</v>
      </c>
      <c r="L571" s="785">
        <v>13328</v>
      </c>
      <c r="M571" s="785"/>
      <c r="N571" s="786">
        <v>1968</v>
      </c>
      <c r="O571" s="786">
        <v>0</v>
      </c>
      <c r="P571" s="786">
        <v>0</v>
      </c>
      <c r="Q571" s="785">
        <v>0</v>
      </c>
      <c r="R571" s="785"/>
      <c r="S571" s="786">
        <v>23425</v>
      </c>
      <c r="T571" s="788">
        <v>4752</v>
      </c>
      <c r="U571" s="788">
        <v>28177</v>
      </c>
    </row>
    <row r="572" spans="1:21" x14ac:dyDescent="0.25">
      <c r="A572" s="782">
        <v>96310</v>
      </c>
      <c r="B572" s="783" t="s">
        <v>3182</v>
      </c>
      <c r="C572" s="784">
        <v>6.1099999999999994E-5</v>
      </c>
      <c r="D572" s="784">
        <v>4.88E-5</v>
      </c>
      <c r="E572" s="815">
        <v>26767</v>
      </c>
      <c r="F572" s="818">
        <v>103570</v>
      </c>
      <c r="G572" s="785">
        <v>93344</v>
      </c>
      <c r="H572" s="785"/>
      <c r="I572" s="786">
        <v>5377</v>
      </c>
      <c r="J572" s="787">
        <v>22664</v>
      </c>
      <c r="K572" s="786">
        <v>13331</v>
      </c>
      <c r="L572" s="785">
        <v>10507</v>
      </c>
      <c r="M572" s="785"/>
      <c r="N572" s="786">
        <v>2642</v>
      </c>
      <c r="O572" s="786">
        <v>0</v>
      </c>
      <c r="P572" s="786">
        <v>0</v>
      </c>
      <c r="Q572" s="785">
        <v>3055</v>
      </c>
      <c r="R572" s="785"/>
      <c r="S572" s="786">
        <v>31457</v>
      </c>
      <c r="T572" s="788">
        <v>3506</v>
      </c>
      <c r="U572" s="788">
        <v>34963</v>
      </c>
    </row>
    <row r="573" spans="1:21" x14ac:dyDescent="0.25">
      <c r="A573" s="782">
        <v>96311</v>
      </c>
      <c r="B573" s="783" t="s">
        <v>3183</v>
      </c>
      <c r="C573" s="784">
        <v>1.3113000000000001E-3</v>
      </c>
      <c r="D573" s="784">
        <v>1.4082999999999999E-3</v>
      </c>
      <c r="E573" s="815">
        <v>595124</v>
      </c>
      <c r="F573" s="818">
        <v>2988884</v>
      </c>
      <c r="G573" s="785">
        <v>2003303</v>
      </c>
      <c r="H573" s="785"/>
      <c r="I573" s="786">
        <v>115409</v>
      </c>
      <c r="J573" s="787">
        <v>486404</v>
      </c>
      <c r="K573" s="786">
        <v>286099</v>
      </c>
      <c r="L573" s="785">
        <v>11041</v>
      </c>
      <c r="M573" s="785"/>
      <c r="N573" s="786">
        <v>56707</v>
      </c>
      <c r="O573" s="786">
        <v>0</v>
      </c>
      <c r="P573" s="786">
        <v>0</v>
      </c>
      <c r="Q573" s="785">
        <v>139297</v>
      </c>
      <c r="R573" s="785"/>
      <c r="S573" s="786">
        <v>675115</v>
      </c>
      <c r="T573" s="788">
        <v>-33999</v>
      </c>
      <c r="U573" s="788">
        <v>641116</v>
      </c>
    </row>
    <row r="574" spans="1:21" x14ac:dyDescent="0.25">
      <c r="A574" s="782">
        <v>96312</v>
      </c>
      <c r="B574" s="783" t="s">
        <v>3184</v>
      </c>
      <c r="C574" s="784">
        <v>1.5999999999999999E-5</v>
      </c>
      <c r="D574" s="784">
        <v>1.5999999999999999E-6</v>
      </c>
      <c r="E574" s="815">
        <v>4820</v>
      </c>
      <c r="F574" s="818">
        <v>3396</v>
      </c>
      <c r="G574" s="785">
        <v>24444</v>
      </c>
      <c r="H574" s="785"/>
      <c r="I574" s="786">
        <v>1408</v>
      </c>
      <c r="J574" s="787">
        <v>5935</v>
      </c>
      <c r="K574" s="786">
        <v>3491</v>
      </c>
      <c r="L574" s="785">
        <v>7668</v>
      </c>
      <c r="M574" s="785"/>
      <c r="N574" s="786">
        <v>692</v>
      </c>
      <c r="O574" s="786">
        <v>0</v>
      </c>
      <c r="P574" s="786">
        <v>0</v>
      </c>
      <c r="Q574" s="785">
        <v>1864</v>
      </c>
      <c r="R574" s="785"/>
      <c r="S574" s="786">
        <v>8238</v>
      </c>
      <c r="T574" s="788">
        <v>374</v>
      </c>
      <c r="U574" s="788">
        <v>8612</v>
      </c>
    </row>
    <row r="575" spans="1:21" x14ac:dyDescent="0.25">
      <c r="A575" s="782">
        <v>96318</v>
      </c>
      <c r="B575" s="783" t="s">
        <v>3185</v>
      </c>
      <c r="C575" s="784">
        <v>2.1684999999999999E-3</v>
      </c>
      <c r="D575" s="784">
        <v>1.7782E-3</v>
      </c>
      <c r="E575" s="815">
        <v>1061238</v>
      </c>
      <c r="F575" s="818">
        <v>3773936</v>
      </c>
      <c r="G575" s="785">
        <v>3312867</v>
      </c>
      <c r="H575" s="785"/>
      <c r="I575" s="786">
        <v>190852</v>
      </c>
      <c r="J575" s="787">
        <v>804368</v>
      </c>
      <c r="K575" s="786">
        <v>473123</v>
      </c>
      <c r="L575" s="785">
        <v>7711758</v>
      </c>
      <c r="M575" s="785"/>
      <c r="N575" s="786">
        <v>93777</v>
      </c>
      <c r="O575" s="786">
        <v>0</v>
      </c>
      <c r="P575" s="786">
        <v>0</v>
      </c>
      <c r="Q575" s="785">
        <v>0</v>
      </c>
      <c r="R575" s="785"/>
      <c r="S575" s="786">
        <v>1116439</v>
      </c>
      <c r="T575" s="788">
        <v>2665103</v>
      </c>
      <c r="U575" s="788">
        <v>3781542</v>
      </c>
    </row>
    <row r="576" spans="1:21" x14ac:dyDescent="0.25">
      <c r="A576" s="782">
        <v>96321</v>
      </c>
      <c r="B576" s="783" t="s">
        <v>3186</v>
      </c>
      <c r="C576" s="784">
        <v>3.6900000000000002E-5</v>
      </c>
      <c r="D576" s="784">
        <v>3.7400000000000001E-5</v>
      </c>
      <c r="E576" s="815">
        <v>18737</v>
      </c>
      <c r="F576" s="818">
        <v>79375</v>
      </c>
      <c r="G576" s="785">
        <v>56373</v>
      </c>
      <c r="H576" s="785"/>
      <c r="I576" s="786">
        <v>3248</v>
      </c>
      <c r="J576" s="787">
        <v>13687</v>
      </c>
      <c r="K576" s="786">
        <v>8051</v>
      </c>
      <c r="L576" s="785">
        <v>1642</v>
      </c>
      <c r="M576" s="785"/>
      <c r="N576" s="786">
        <v>1596</v>
      </c>
      <c r="O576" s="786">
        <v>0</v>
      </c>
      <c r="P576" s="786">
        <v>0</v>
      </c>
      <c r="Q576" s="785">
        <v>2449</v>
      </c>
      <c r="R576" s="785"/>
      <c r="S576" s="786">
        <v>18998</v>
      </c>
      <c r="T576" s="788">
        <v>-489</v>
      </c>
      <c r="U576" s="788">
        <v>18509</v>
      </c>
    </row>
    <row r="577" spans="1:21" x14ac:dyDescent="0.25">
      <c r="A577" s="782">
        <v>96331</v>
      </c>
      <c r="B577" s="783" t="s">
        <v>3187</v>
      </c>
      <c r="C577" s="784">
        <v>7.0850000000000004E-4</v>
      </c>
      <c r="D577" s="784">
        <v>7.1699999999999997E-4</v>
      </c>
      <c r="E577" s="815">
        <v>321182</v>
      </c>
      <c r="F577" s="818">
        <v>1521714</v>
      </c>
      <c r="G577" s="785">
        <v>1082392</v>
      </c>
      <c r="H577" s="785"/>
      <c r="I577" s="786">
        <v>62356</v>
      </c>
      <c r="J577" s="787">
        <v>262806</v>
      </c>
      <c r="K577" s="786">
        <v>154581</v>
      </c>
      <c r="L577" s="785">
        <v>3107</v>
      </c>
      <c r="M577" s="785"/>
      <c r="N577" s="786">
        <v>30639</v>
      </c>
      <c r="O577" s="786">
        <v>0</v>
      </c>
      <c r="P577" s="786">
        <v>0</v>
      </c>
      <c r="Q577" s="785">
        <v>53524</v>
      </c>
      <c r="R577" s="785"/>
      <c r="S577" s="786">
        <v>364767</v>
      </c>
      <c r="T577" s="788">
        <v>-22322</v>
      </c>
      <c r="U577" s="788">
        <v>342445</v>
      </c>
    </row>
    <row r="578" spans="1:21" x14ac:dyDescent="0.25">
      <c r="A578" s="782">
        <v>96341</v>
      </c>
      <c r="B578" s="783" t="s">
        <v>3188</v>
      </c>
      <c r="C578" s="784">
        <v>8.3800000000000004E-5</v>
      </c>
      <c r="D578" s="784">
        <v>9.1600000000000004E-5</v>
      </c>
      <c r="E578" s="815">
        <v>35036</v>
      </c>
      <c r="F578" s="818">
        <v>194406</v>
      </c>
      <c r="G578" s="785">
        <v>128023</v>
      </c>
      <c r="H578" s="785"/>
      <c r="I578" s="786">
        <v>7375</v>
      </c>
      <c r="J578" s="787">
        <v>31084</v>
      </c>
      <c r="K578" s="786">
        <v>18283</v>
      </c>
      <c r="L578" s="785">
        <v>8694</v>
      </c>
      <c r="M578" s="785"/>
      <c r="N578" s="786">
        <v>3624</v>
      </c>
      <c r="O578" s="786">
        <v>0</v>
      </c>
      <c r="P578" s="786">
        <v>0</v>
      </c>
      <c r="Q578" s="785">
        <v>13544</v>
      </c>
      <c r="R578" s="785"/>
      <c r="S578" s="786">
        <v>43144</v>
      </c>
      <c r="T578" s="788">
        <v>-3090</v>
      </c>
      <c r="U578" s="788">
        <v>40054</v>
      </c>
    </row>
    <row r="579" spans="1:21" x14ac:dyDescent="0.25">
      <c r="A579" s="782">
        <v>96351</v>
      </c>
      <c r="B579" s="783" t="s">
        <v>3189</v>
      </c>
      <c r="C579" s="784">
        <v>1.0616E-3</v>
      </c>
      <c r="D579" s="784">
        <v>1.0736000000000001E-3</v>
      </c>
      <c r="E579" s="815">
        <v>488441</v>
      </c>
      <c r="F579" s="818">
        <v>2278539</v>
      </c>
      <c r="G579" s="785">
        <v>1621831</v>
      </c>
      <c r="H579" s="785"/>
      <c r="I579" s="786">
        <v>93432</v>
      </c>
      <c r="J579" s="787">
        <v>393782</v>
      </c>
      <c r="K579" s="786">
        <v>231620</v>
      </c>
      <c r="L579" s="785">
        <v>5421</v>
      </c>
      <c r="M579" s="785"/>
      <c r="N579" s="786">
        <v>45909</v>
      </c>
      <c r="O579" s="786">
        <v>0</v>
      </c>
      <c r="P579" s="786">
        <v>0</v>
      </c>
      <c r="Q579" s="785">
        <v>28542</v>
      </c>
      <c r="R579" s="785"/>
      <c r="S579" s="786">
        <v>546558</v>
      </c>
      <c r="T579" s="788">
        <v>-5218</v>
      </c>
      <c r="U579" s="788">
        <v>541340</v>
      </c>
    </row>
    <row r="580" spans="1:21" x14ac:dyDescent="0.25">
      <c r="A580" s="782">
        <v>96361</v>
      </c>
      <c r="B580" s="783" t="s">
        <v>3190</v>
      </c>
      <c r="C580" s="784">
        <v>5.5699999999999999E-5</v>
      </c>
      <c r="D580" s="784">
        <v>5.8900000000000002E-5</v>
      </c>
      <c r="E580" s="815">
        <v>24289</v>
      </c>
      <c r="F580" s="818">
        <v>125006</v>
      </c>
      <c r="G580" s="785">
        <v>85094</v>
      </c>
      <c r="H580" s="785"/>
      <c r="I580" s="786">
        <v>4902</v>
      </c>
      <c r="J580" s="787">
        <v>20661</v>
      </c>
      <c r="K580" s="786">
        <v>12153</v>
      </c>
      <c r="L580" s="785">
        <v>3403</v>
      </c>
      <c r="M580" s="785"/>
      <c r="N580" s="786">
        <v>2409</v>
      </c>
      <c r="O580" s="786">
        <v>0</v>
      </c>
      <c r="P580" s="786">
        <v>0</v>
      </c>
      <c r="Q580" s="785">
        <v>3423</v>
      </c>
      <c r="R580" s="785"/>
      <c r="S580" s="786">
        <v>28677</v>
      </c>
      <c r="T580" s="788">
        <v>936</v>
      </c>
      <c r="U580" s="788">
        <f>29612+1</f>
        <v>29613</v>
      </c>
    </row>
    <row r="581" spans="1:21" x14ac:dyDescent="0.25">
      <c r="A581" s="782">
        <v>96371</v>
      </c>
      <c r="B581" s="783" t="s">
        <v>3191</v>
      </c>
      <c r="C581" s="784">
        <v>1.5249999999999999E-4</v>
      </c>
      <c r="D581" s="784">
        <v>1.6359999999999999E-4</v>
      </c>
      <c r="E581" s="815">
        <v>67276</v>
      </c>
      <c r="F581" s="818">
        <v>347214</v>
      </c>
      <c r="G581" s="785">
        <v>232978</v>
      </c>
      <c r="H581" s="785"/>
      <c r="I581" s="786">
        <v>13422</v>
      </c>
      <c r="J581" s="787">
        <v>56568</v>
      </c>
      <c r="K581" s="786">
        <v>33272</v>
      </c>
      <c r="L581" s="785">
        <v>1335</v>
      </c>
      <c r="M581" s="785"/>
      <c r="N581" s="786">
        <v>6595</v>
      </c>
      <c r="O581" s="786">
        <v>0</v>
      </c>
      <c r="P581" s="786">
        <v>0</v>
      </c>
      <c r="Q581" s="785">
        <v>14966</v>
      </c>
      <c r="R581" s="785"/>
      <c r="S581" s="786">
        <v>78514</v>
      </c>
      <c r="T581" s="788">
        <v>-3158</v>
      </c>
      <c r="U581" s="788">
        <v>75356</v>
      </c>
    </row>
    <row r="582" spans="1:21" x14ac:dyDescent="0.25">
      <c r="A582" s="782">
        <v>96381</v>
      </c>
      <c r="B582" s="783" t="s">
        <v>3192</v>
      </c>
      <c r="C582" s="784">
        <v>3.2100000000000001E-5</v>
      </c>
      <c r="D582" s="784">
        <v>3.26E-5</v>
      </c>
      <c r="E582" s="815">
        <v>15357</v>
      </c>
      <c r="F582" s="818">
        <v>69188</v>
      </c>
      <c r="G582" s="785">
        <v>49040</v>
      </c>
      <c r="H582" s="785"/>
      <c r="I582" s="786">
        <v>2825</v>
      </c>
      <c r="J582" s="787">
        <v>11907</v>
      </c>
      <c r="K582" s="786">
        <v>7004</v>
      </c>
      <c r="L582" s="785">
        <v>235</v>
      </c>
      <c r="M582" s="785"/>
      <c r="N582" s="786">
        <v>1388</v>
      </c>
      <c r="O582" s="786">
        <v>0</v>
      </c>
      <c r="P582" s="786">
        <v>0</v>
      </c>
      <c r="Q582" s="785">
        <v>1858</v>
      </c>
      <c r="R582" s="785"/>
      <c r="S582" s="786">
        <v>16526</v>
      </c>
      <c r="T582" s="788">
        <v>-1164</v>
      </c>
      <c r="U582" s="788">
        <v>15362</v>
      </c>
    </row>
    <row r="583" spans="1:21" x14ac:dyDescent="0.25">
      <c r="A583" s="782">
        <v>96391</v>
      </c>
      <c r="B583" s="783" t="s">
        <v>3193</v>
      </c>
      <c r="C583" s="784">
        <v>2.029E-4</v>
      </c>
      <c r="D583" s="784">
        <v>1.807E-4</v>
      </c>
      <c r="E583" s="815">
        <v>74519</v>
      </c>
      <c r="F583" s="818">
        <v>383506</v>
      </c>
      <c r="G583" s="785">
        <v>309975</v>
      </c>
      <c r="H583" s="785"/>
      <c r="I583" s="786">
        <v>17857</v>
      </c>
      <c r="J583" s="787">
        <v>75263</v>
      </c>
      <c r="K583" s="786">
        <v>44269</v>
      </c>
      <c r="L583" s="785">
        <v>9831</v>
      </c>
      <c r="M583" s="785"/>
      <c r="N583" s="786">
        <v>8774</v>
      </c>
      <c r="O583" s="786">
        <v>0</v>
      </c>
      <c r="P583" s="786">
        <v>0</v>
      </c>
      <c r="Q583" s="785">
        <v>18208</v>
      </c>
      <c r="R583" s="785"/>
      <c r="S583" s="786">
        <v>104462</v>
      </c>
      <c r="T583" s="788">
        <v>2008</v>
      </c>
      <c r="U583" s="788">
        <v>106470</v>
      </c>
    </row>
    <row r="584" spans="1:21" x14ac:dyDescent="0.25">
      <c r="A584" s="782">
        <v>96401</v>
      </c>
      <c r="B584" s="783" t="s">
        <v>3194</v>
      </c>
      <c r="C584" s="784">
        <v>4.5672000000000004E-3</v>
      </c>
      <c r="D584" s="784">
        <v>4.5900000000000003E-3</v>
      </c>
      <c r="E584" s="815">
        <v>2040109</v>
      </c>
      <c r="F584" s="818">
        <v>9741518</v>
      </c>
      <c r="G584" s="785">
        <v>6977416</v>
      </c>
      <c r="H584" s="785"/>
      <c r="I584" s="786">
        <v>401964</v>
      </c>
      <c r="J584" s="787">
        <v>1694125</v>
      </c>
      <c r="K584" s="786">
        <v>996472</v>
      </c>
      <c r="L584" s="785">
        <v>15869</v>
      </c>
      <c r="M584" s="785"/>
      <c r="N584" s="786">
        <v>197509</v>
      </c>
      <c r="O584" s="786">
        <v>0</v>
      </c>
      <c r="P584" s="786">
        <v>0</v>
      </c>
      <c r="Q584" s="785">
        <v>86285</v>
      </c>
      <c r="R584" s="785"/>
      <c r="S584" s="786">
        <v>2351396</v>
      </c>
      <c r="T584" s="788">
        <v>-10848</v>
      </c>
      <c r="U584" s="788">
        <v>2340548</v>
      </c>
    </row>
    <row r="585" spans="1:21" x14ac:dyDescent="0.25">
      <c r="A585" s="782">
        <v>96404</v>
      </c>
      <c r="B585" s="783" t="s">
        <v>3195</v>
      </c>
      <c r="C585" s="784">
        <v>1.026E-4</v>
      </c>
      <c r="D585" s="784">
        <v>9.8800000000000003E-5</v>
      </c>
      <c r="E585" s="815">
        <v>57855</v>
      </c>
      <c r="F585" s="818">
        <v>209687</v>
      </c>
      <c r="G585" s="785">
        <v>156744</v>
      </c>
      <c r="H585" s="785"/>
      <c r="I585" s="786">
        <v>9030</v>
      </c>
      <c r="J585" s="787">
        <v>38058</v>
      </c>
      <c r="K585" s="786">
        <v>22385</v>
      </c>
      <c r="L585" s="785">
        <v>26983</v>
      </c>
      <c r="M585" s="785"/>
      <c r="N585" s="786">
        <v>4437</v>
      </c>
      <c r="O585" s="786">
        <v>0</v>
      </c>
      <c r="P585" s="786">
        <v>0</v>
      </c>
      <c r="Q585" s="785">
        <v>0</v>
      </c>
      <c r="R585" s="785"/>
      <c r="S585" s="786">
        <v>52823</v>
      </c>
      <c r="T585" s="788">
        <v>10540</v>
      </c>
      <c r="U585" s="788">
        <v>63363</v>
      </c>
    </row>
    <row r="586" spans="1:21" x14ac:dyDescent="0.25">
      <c r="A586" s="782">
        <v>96405</v>
      </c>
      <c r="B586" s="783" t="s">
        <v>3196</v>
      </c>
      <c r="C586" s="784">
        <v>1.6139999999999999E-4</v>
      </c>
      <c r="D586" s="784">
        <v>1.7760000000000001E-4</v>
      </c>
      <c r="E586" s="815">
        <v>86618</v>
      </c>
      <c r="F586" s="818">
        <v>376927</v>
      </c>
      <c r="G586" s="785">
        <v>246574</v>
      </c>
      <c r="H586" s="785"/>
      <c r="I586" s="786">
        <v>14205</v>
      </c>
      <c r="J586" s="787">
        <v>59869</v>
      </c>
      <c r="K586" s="786">
        <v>35214</v>
      </c>
      <c r="L586" s="785">
        <v>10221</v>
      </c>
      <c r="M586" s="785"/>
      <c r="N586" s="786">
        <v>6980</v>
      </c>
      <c r="O586" s="786">
        <v>0</v>
      </c>
      <c r="P586" s="786">
        <v>0</v>
      </c>
      <c r="Q586" s="785">
        <v>2204</v>
      </c>
      <c r="R586" s="785"/>
      <c r="S586" s="786">
        <v>83096</v>
      </c>
      <c r="T586" s="788">
        <v>4354</v>
      </c>
      <c r="U586" s="788">
        <v>87450</v>
      </c>
    </row>
    <row r="587" spans="1:21" x14ac:dyDescent="0.25">
      <c r="A587" s="782">
        <v>96411</v>
      </c>
      <c r="B587" s="783" t="s">
        <v>3197</v>
      </c>
      <c r="C587" s="784">
        <v>7.2299999999999996E-5</v>
      </c>
      <c r="D587" s="784">
        <v>5.66E-5</v>
      </c>
      <c r="E587" s="815">
        <v>28784</v>
      </c>
      <c r="F587" s="818">
        <v>120124</v>
      </c>
      <c r="G587" s="785">
        <v>110454</v>
      </c>
      <c r="H587" s="785"/>
      <c r="I587" s="786">
        <v>6363</v>
      </c>
      <c r="J587" s="787">
        <v>26818</v>
      </c>
      <c r="K587" s="786">
        <v>15774</v>
      </c>
      <c r="L587" s="785">
        <v>12280</v>
      </c>
      <c r="M587" s="785"/>
      <c r="N587" s="786">
        <v>3127</v>
      </c>
      <c r="O587" s="786">
        <v>0</v>
      </c>
      <c r="P587" s="786">
        <v>0</v>
      </c>
      <c r="Q587" s="785">
        <v>4004</v>
      </c>
      <c r="R587" s="785"/>
      <c r="S587" s="786">
        <v>37223</v>
      </c>
      <c r="T587" s="788">
        <v>2528</v>
      </c>
      <c r="U587" s="788">
        <v>39751</v>
      </c>
    </row>
    <row r="588" spans="1:21" x14ac:dyDescent="0.25">
      <c r="A588" s="782">
        <v>96421</v>
      </c>
      <c r="B588" s="783" t="s">
        <v>3198</v>
      </c>
      <c r="C588" s="784">
        <v>4.2529999999999998E-4</v>
      </c>
      <c r="D588" s="784">
        <v>4.2860000000000001E-4</v>
      </c>
      <c r="E588" s="815">
        <v>170404</v>
      </c>
      <c r="F588" s="818">
        <v>909633</v>
      </c>
      <c r="G588" s="785">
        <v>649741</v>
      </c>
      <c r="H588" s="785"/>
      <c r="I588" s="786">
        <v>37431</v>
      </c>
      <c r="J588" s="787">
        <v>157758</v>
      </c>
      <c r="K588" s="786">
        <v>92792</v>
      </c>
      <c r="L588" s="785">
        <v>0</v>
      </c>
      <c r="M588" s="785"/>
      <c r="N588" s="786">
        <v>18392</v>
      </c>
      <c r="O588" s="786">
        <v>0</v>
      </c>
      <c r="P588" s="786">
        <v>0</v>
      </c>
      <c r="Q588" s="785">
        <v>78762</v>
      </c>
      <c r="R588" s="785"/>
      <c r="S588" s="786">
        <v>218963</v>
      </c>
      <c r="T588" s="788">
        <v>-35149</v>
      </c>
      <c r="U588" s="788">
        <v>183814</v>
      </c>
    </row>
    <row r="589" spans="1:21" x14ac:dyDescent="0.25">
      <c r="A589" s="782">
        <v>96431</v>
      </c>
      <c r="B589" s="783" t="s">
        <v>3199</v>
      </c>
      <c r="C589" s="784">
        <v>4.2799999999999997E-5</v>
      </c>
      <c r="D589" s="784">
        <v>5.6100000000000002E-5</v>
      </c>
      <c r="E589" s="815">
        <v>21290</v>
      </c>
      <c r="F589" s="818">
        <v>119063</v>
      </c>
      <c r="G589" s="785">
        <v>65387</v>
      </c>
      <c r="H589" s="785"/>
      <c r="I589" s="786">
        <v>3767</v>
      </c>
      <c r="J589" s="787">
        <v>15876</v>
      </c>
      <c r="K589" s="786">
        <v>9338</v>
      </c>
      <c r="L589" s="785">
        <v>6277</v>
      </c>
      <c r="M589" s="785"/>
      <c r="N589" s="786">
        <v>1851</v>
      </c>
      <c r="O589" s="786">
        <v>0</v>
      </c>
      <c r="P589" s="786">
        <v>0</v>
      </c>
      <c r="Q589" s="785">
        <v>10135</v>
      </c>
      <c r="R589" s="785"/>
      <c r="S589" s="786">
        <v>22035</v>
      </c>
      <c r="T589" s="788">
        <v>-1596</v>
      </c>
      <c r="U589" s="788">
        <v>20439</v>
      </c>
    </row>
    <row r="590" spans="1:21" x14ac:dyDescent="0.25">
      <c r="A590" s="782">
        <v>96441</v>
      </c>
      <c r="B590" s="783" t="s">
        <v>3200</v>
      </c>
      <c r="C590" s="784">
        <v>2.97E-5</v>
      </c>
      <c r="D590" s="784">
        <v>3.1199999999999999E-5</v>
      </c>
      <c r="E590" s="815">
        <v>18707</v>
      </c>
      <c r="F590" s="818">
        <v>66217</v>
      </c>
      <c r="G590" s="785">
        <v>45373</v>
      </c>
      <c r="H590" s="785"/>
      <c r="I590" s="786">
        <v>2614</v>
      </c>
      <c r="J590" s="787">
        <v>11017</v>
      </c>
      <c r="K590" s="786">
        <v>6480</v>
      </c>
      <c r="L590" s="785">
        <v>7489</v>
      </c>
      <c r="M590" s="785"/>
      <c r="N590" s="786">
        <v>1284</v>
      </c>
      <c r="O590" s="786">
        <v>0</v>
      </c>
      <c r="P590" s="786">
        <v>0</v>
      </c>
      <c r="Q590" s="785">
        <v>440</v>
      </c>
      <c r="R590" s="785"/>
      <c r="S590" s="786">
        <v>15291</v>
      </c>
      <c r="T590" s="788">
        <v>2815</v>
      </c>
      <c r="U590" s="788">
        <v>18106</v>
      </c>
    </row>
    <row r="591" spans="1:21" x14ac:dyDescent="0.25">
      <c r="A591" s="782">
        <v>96451</v>
      </c>
      <c r="B591" s="783" t="s">
        <v>3201</v>
      </c>
      <c r="C591" s="784">
        <v>2.0299999999999999E-5</v>
      </c>
      <c r="D591" s="784">
        <v>1.38E-5</v>
      </c>
      <c r="E591" s="815">
        <v>8566</v>
      </c>
      <c r="F591" s="818">
        <v>29288</v>
      </c>
      <c r="G591" s="785">
        <v>31013</v>
      </c>
      <c r="H591" s="785"/>
      <c r="I591" s="786">
        <v>1787</v>
      </c>
      <c r="J591" s="787">
        <v>7530</v>
      </c>
      <c r="K591" s="786">
        <v>4429</v>
      </c>
      <c r="L591" s="785">
        <v>6431</v>
      </c>
      <c r="M591" s="785"/>
      <c r="N591" s="786">
        <v>878</v>
      </c>
      <c r="O591" s="786">
        <v>0</v>
      </c>
      <c r="P591" s="786">
        <v>0</v>
      </c>
      <c r="Q591" s="785">
        <v>1319</v>
      </c>
      <c r="R591" s="785"/>
      <c r="S591" s="786">
        <v>10451</v>
      </c>
      <c r="T591" s="788">
        <v>994</v>
      </c>
      <c r="U591" s="788">
        <v>11445</v>
      </c>
    </row>
    <row r="592" spans="1:21" x14ac:dyDescent="0.25">
      <c r="A592" s="782">
        <v>96461</v>
      </c>
      <c r="B592" s="783" t="s">
        <v>3202</v>
      </c>
      <c r="C592" s="784">
        <v>1.361E-4</v>
      </c>
      <c r="D592" s="784">
        <v>1.3410000000000001E-4</v>
      </c>
      <c r="E592" s="815">
        <v>63932</v>
      </c>
      <c r="F592" s="818">
        <v>284605</v>
      </c>
      <c r="G592" s="785">
        <v>207923</v>
      </c>
      <c r="H592" s="785"/>
      <c r="I592" s="786">
        <v>11978</v>
      </c>
      <c r="J592" s="787">
        <v>50484</v>
      </c>
      <c r="K592" s="786">
        <v>29694</v>
      </c>
      <c r="L592" s="785">
        <v>6504</v>
      </c>
      <c r="M592" s="785"/>
      <c r="N592" s="786">
        <v>5886</v>
      </c>
      <c r="O592" s="786">
        <v>0</v>
      </c>
      <c r="P592" s="786">
        <v>0</v>
      </c>
      <c r="Q592" s="785">
        <v>18452</v>
      </c>
      <c r="R592" s="785"/>
      <c r="S592" s="786">
        <v>70070</v>
      </c>
      <c r="T592" s="788">
        <v>-3923</v>
      </c>
      <c r="U592" s="788">
        <f>66148-1</f>
        <v>66147</v>
      </c>
    </row>
    <row r="593" spans="1:21" x14ac:dyDescent="0.25">
      <c r="A593" s="782">
        <v>96501</v>
      </c>
      <c r="B593" s="783" t="s">
        <v>3203</v>
      </c>
      <c r="C593" s="784">
        <v>1.44739E-2</v>
      </c>
      <c r="D593" s="784">
        <v>1.4156999999999999E-2</v>
      </c>
      <c r="E593" s="815">
        <v>6399556</v>
      </c>
      <c r="F593" s="818">
        <v>30045897</v>
      </c>
      <c r="G593" s="785">
        <v>22112110</v>
      </c>
      <c r="H593" s="785"/>
      <c r="I593" s="786">
        <v>1273862</v>
      </c>
      <c r="J593" s="787">
        <v>5368847</v>
      </c>
      <c r="K593" s="786">
        <v>3157916</v>
      </c>
      <c r="L593" s="785">
        <v>365065</v>
      </c>
      <c r="M593" s="785"/>
      <c r="N593" s="786">
        <v>625924</v>
      </c>
      <c r="O593" s="786">
        <v>0</v>
      </c>
      <c r="P593" s="786">
        <v>0</v>
      </c>
      <c r="Q593" s="785">
        <v>292930</v>
      </c>
      <c r="R593" s="785"/>
      <c r="S593" s="786">
        <v>7451801</v>
      </c>
      <c r="T593" s="788">
        <v>150498</v>
      </c>
      <c r="U593" s="788">
        <f>7602298+1</f>
        <v>7602299</v>
      </c>
    </row>
    <row r="594" spans="1:21" x14ac:dyDescent="0.25">
      <c r="A594" s="782">
        <v>96502</v>
      </c>
      <c r="B594" s="783" t="s">
        <v>3204</v>
      </c>
      <c r="C594" s="784">
        <v>4.2440000000000002E-4</v>
      </c>
      <c r="D594" s="784">
        <v>4.2309999999999998E-4</v>
      </c>
      <c r="E594" s="815">
        <v>198105</v>
      </c>
      <c r="F594" s="818">
        <v>897960</v>
      </c>
      <c r="G594" s="785">
        <v>648366</v>
      </c>
      <c r="H594" s="785"/>
      <c r="I594" s="786">
        <v>37352</v>
      </c>
      <c r="J594" s="787">
        <v>157424</v>
      </c>
      <c r="K594" s="786">
        <v>92596</v>
      </c>
      <c r="L594" s="785">
        <v>39317</v>
      </c>
      <c r="M594" s="785"/>
      <c r="N594" s="786">
        <v>18353</v>
      </c>
      <c r="O594" s="786">
        <v>0</v>
      </c>
      <c r="P594" s="786">
        <v>0</v>
      </c>
      <c r="Q594" s="785">
        <v>0</v>
      </c>
      <c r="R594" s="785"/>
      <c r="S594" s="786">
        <v>218500</v>
      </c>
      <c r="T594" s="788">
        <v>23185</v>
      </c>
      <c r="U594" s="788">
        <v>241685</v>
      </c>
    </row>
    <row r="595" spans="1:21" x14ac:dyDescent="0.25">
      <c r="A595" s="782">
        <v>96503</v>
      </c>
      <c r="B595" s="783" t="s">
        <v>3672</v>
      </c>
      <c r="C595" s="784">
        <v>3.0039999999999998E-4</v>
      </c>
      <c r="D595" s="784">
        <v>3.3700000000000001E-4</v>
      </c>
      <c r="E595" s="815">
        <v>293863</v>
      </c>
      <c r="F595" s="818">
        <v>0</v>
      </c>
      <c r="G595" s="785">
        <v>458928</v>
      </c>
      <c r="H595" s="785"/>
      <c r="I595" s="786">
        <v>26439</v>
      </c>
      <c r="J595" s="787">
        <v>111428</v>
      </c>
      <c r="K595" s="786">
        <v>65541</v>
      </c>
      <c r="L595" s="785">
        <v>240013</v>
      </c>
      <c r="M595" s="785"/>
      <c r="N595" s="786">
        <v>12991</v>
      </c>
      <c r="O595" s="786">
        <v>0</v>
      </c>
      <c r="P595" s="786">
        <v>0</v>
      </c>
      <c r="Q595" s="785">
        <v>14874</v>
      </c>
      <c r="R595" s="785"/>
      <c r="S595" s="786">
        <v>154659</v>
      </c>
      <c r="T595" s="788">
        <v>71167</v>
      </c>
      <c r="U595" s="788">
        <v>225826</v>
      </c>
    </row>
    <row r="596" spans="1:21" x14ac:dyDescent="0.25">
      <c r="A596" s="782">
        <v>96504</v>
      </c>
      <c r="B596" s="783" t="s">
        <v>3206</v>
      </c>
      <c r="C596" s="784">
        <v>4.1760000000000001E-4</v>
      </c>
      <c r="D596" s="784">
        <v>3.6039999999999998E-4</v>
      </c>
      <c r="E596" s="815">
        <v>189892</v>
      </c>
      <c r="F596" s="818">
        <v>764890</v>
      </c>
      <c r="G596" s="785">
        <v>637977</v>
      </c>
      <c r="H596" s="785"/>
      <c r="I596" s="786">
        <v>36753</v>
      </c>
      <c r="J596" s="787">
        <v>154902</v>
      </c>
      <c r="K596" s="786">
        <v>91112</v>
      </c>
      <c r="L596" s="785">
        <v>44166</v>
      </c>
      <c r="M596" s="785"/>
      <c r="N596" s="786">
        <v>18059</v>
      </c>
      <c r="O596" s="786">
        <v>0</v>
      </c>
      <c r="P596" s="786">
        <v>0</v>
      </c>
      <c r="Q596" s="785">
        <v>4428</v>
      </c>
      <c r="R596" s="785"/>
      <c r="S596" s="786">
        <v>214999</v>
      </c>
      <c r="T596" s="788">
        <v>11523</v>
      </c>
      <c r="U596" s="788">
        <f>226521+1</f>
        <v>226522</v>
      </c>
    </row>
    <row r="597" spans="1:21" x14ac:dyDescent="0.25">
      <c r="A597" s="782">
        <v>96507</v>
      </c>
      <c r="B597" s="783" t="s">
        <v>3207</v>
      </c>
      <c r="C597" s="784">
        <v>2.2147E-3</v>
      </c>
      <c r="D597" s="784">
        <v>2.2604999999999999E-3</v>
      </c>
      <c r="E597" s="815">
        <v>1026624</v>
      </c>
      <c r="F597" s="818">
        <v>4797538</v>
      </c>
      <c r="G597" s="785">
        <v>3383448</v>
      </c>
      <c r="H597" s="785"/>
      <c r="I597" s="786">
        <v>194918</v>
      </c>
      <c r="J597" s="787">
        <v>821505</v>
      </c>
      <c r="K597" s="786">
        <v>483203</v>
      </c>
      <c r="L597" s="785">
        <v>115759</v>
      </c>
      <c r="M597" s="785"/>
      <c r="N597" s="786">
        <v>95775</v>
      </c>
      <c r="O597" s="786">
        <v>0</v>
      </c>
      <c r="P597" s="786">
        <v>0</v>
      </c>
      <c r="Q597" s="785">
        <v>22795</v>
      </c>
      <c r="R597" s="785"/>
      <c r="S597" s="786">
        <v>1140225</v>
      </c>
      <c r="T597" s="788">
        <v>58867</v>
      </c>
      <c r="U597" s="788">
        <v>1199092</v>
      </c>
    </row>
    <row r="598" spans="1:21" x14ac:dyDescent="0.25">
      <c r="A598" s="782">
        <v>96508</v>
      </c>
      <c r="B598" s="783" t="s">
        <v>3208</v>
      </c>
      <c r="C598" s="784">
        <v>8.6000000000000007E-6</v>
      </c>
      <c r="D598" s="784">
        <v>9.7999999999999993E-6</v>
      </c>
      <c r="E598" s="815">
        <v>11086</v>
      </c>
      <c r="F598" s="818">
        <v>20799</v>
      </c>
      <c r="G598" s="785">
        <v>13138</v>
      </c>
      <c r="H598" s="785"/>
      <c r="I598" s="786">
        <v>757</v>
      </c>
      <c r="J598" s="787">
        <v>3190</v>
      </c>
      <c r="K598" s="786">
        <v>1876</v>
      </c>
      <c r="L598" s="785">
        <v>11113</v>
      </c>
      <c r="M598" s="785"/>
      <c r="N598" s="786">
        <v>372</v>
      </c>
      <c r="O598" s="786">
        <v>0</v>
      </c>
      <c r="P598" s="786">
        <v>0</v>
      </c>
      <c r="Q598" s="785">
        <v>0</v>
      </c>
      <c r="R598" s="785"/>
      <c r="S598" s="786">
        <v>4428</v>
      </c>
      <c r="T598" s="788">
        <v>4402</v>
      </c>
      <c r="U598" s="788">
        <v>8830</v>
      </c>
    </row>
    <row r="599" spans="1:21" x14ac:dyDescent="0.25">
      <c r="A599" s="782">
        <v>96511</v>
      </c>
      <c r="B599" s="783" t="s">
        <v>3209</v>
      </c>
      <c r="C599" s="784">
        <v>6.2069999999999996E-4</v>
      </c>
      <c r="D599" s="784">
        <v>6.221E-4</v>
      </c>
      <c r="E599" s="815">
        <v>276057</v>
      </c>
      <c r="F599" s="818">
        <v>1320305</v>
      </c>
      <c r="G599" s="785">
        <v>948258</v>
      </c>
      <c r="H599" s="785"/>
      <c r="I599" s="786">
        <v>54628</v>
      </c>
      <c r="J599" s="787">
        <v>230238</v>
      </c>
      <c r="K599" s="786">
        <v>135424</v>
      </c>
      <c r="L599" s="785">
        <v>0</v>
      </c>
      <c r="M599" s="785"/>
      <c r="N599" s="786">
        <v>26842</v>
      </c>
      <c r="O599" s="786">
        <v>0</v>
      </c>
      <c r="P599" s="786">
        <v>0</v>
      </c>
      <c r="Q599" s="785">
        <v>95843</v>
      </c>
      <c r="R599" s="785"/>
      <c r="S599" s="786">
        <v>319564</v>
      </c>
      <c r="T599" s="788">
        <v>-49396</v>
      </c>
      <c r="U599" s="788">
        <v>270168</v>
      </c>
    </row>
    <row r="600" spans="1:21" x14ac:dyDescent="0.25">
      <c r="A600" s="782">
        <v>96512</v>
      </c>
      <c r="B600" s="783" t="s">
        <v>3210</v>
      </c>
      <c r="C600" s="784">
        <v>1.5119999999999999E-4</v>
      </c>
      <c r="D600" s="784">
        <v>1.7000000000000001E-4</v>
      </c>
      <c r="E600" s="815">
        <v>72715</v>
      </c>
      <c r="F600" s="818">
        <v>360797</v>
      </c>
      <c r="G600" s="785">
        <v>230992</v>
      </c>
      <c r="H600" s="785"/>
      <c r="I600" s="786">
        <v>13307</v>
      </c>
      <c r="J600" s="787">
        <v>56085</v>
      </c>
      <c r="K600" s="786">
        <v>32989</v>
      </c>
      <c r="L600" s="785">
        <v>5578</v>
      </c>
      <c r="M600" s="785"/>
      <c r="N600" s="786">
        <v>6539</v>
      </c>
      <c r="O600" s="786">
        <v>0</v>
      </c>
      <c r="P600" s="786">
        <v>0</v>
      </c>
      <c r="Q600" s="785">
        <v>9964</v>
      </c>
      <c r="R600" s="785"/>
      <c r="S600" s="786">
        <v>77844</v>
      </c>
      <c r="T600" s="788">
        <v>198</v>
      </c>
      <c r="U600" s="788">
        <v>78042</v>
      </c>
    </row>
    <row r="601" spans="1:21" x14ac:dyDescent="0.25">
      <c r="A601" s="782">
        <v>96521</v>
      </c>
      <c r="B601" s="783" t="s">
        <v>3212</v>
      </c>
      <c r="C601" s="784">
        <v>9.881E-4</v>
      </c>
      <c r="D601" s="784">
        <v>9.4240000000000003E-4</v>
      </c>
      <c r="E601" s="815">
        <v>408178</v>
      </c>
      <c r="F601" s="818">
        <v>2000089</v>
      </c>
      <c r="G601" s="785">
        <v>1509543</v>
      </c>
      <c r="H601" s="785"/>
      <c r="I601" s="786">
        <v>86964</v>
      </c>
      <c r="J601" s="787">
        <v>366519</v>
      </c>
      <c r="K601" s="786">
        <v>215584</v>
      </c>
      <c r="L601" s="785">
        <v>30024</v>
      </c>
      <c r="M601" s="785"/>
      <c r="N601" s="786">
        <v>42730</v>
      </c>
      <c r="O601" s="786">
        <v>0</v>
      </c>
      <c r="P601" s="786">
        <v>0</v>
      </c>
      <c r="Q601" s="785">
        <v>25241</v>
      </c>
      <c r="R601" s="785"/>
      <c r="S601" s="786">
        <v>508717</v>
      </c>
      <c r="T601" s="788">
        <v>6710</v>
      </c>
      <c r="U601" s="788">
        <f>515428-1</f>
        <v>515427</v>
      </c>
    </row>
    <row r="602" spans="1:21" x14ac:dyDescent="0.25">
      <c r="A602" s="782">
        <v>96531</v>
      </c>
      <c r="B602" s="783" t="s">
        <v>3213</v>
      </c>
      <c r="C602" s="784">
        <v>8.5845000000000001E-3</v>
      </c>
      <c r="D602" s="784">
        <v>8.6088999999999992E-3</v>
      </c>
      <c r="E602" s="815">
        <v>3779881</v>
      </c>
      <c r="F602" s="818">
        <v>18270970</v>
      </c>
      <c r="G602" s="785">
        <v>13114738</v>
      </c>
      <c r="H602" s="785"/>
      <c r="I602" s="786">
        <v>755530</v>
      </c>
      <c r="J602" s="787">
        <v>3184274</v>
      </c>
      <c r="K602" s="786">
        <v>1872966</v>
      </c>
      <c r="L602" s="785">
        <v>48765</v>
      </c>
      <c r="M602" s="785"/>
      <c r="N602" s="786">
        <v>371237</v>
      </c>
      <c r="O602" s="786">
        <v>0</v>
      </c>
      <c r="P602" s="786">
        <v>0</v>
      </c>
      <c r="Q602" s="785">
        <v>418860</v>
      </c>
      <c r="R602" s="785"/>
      <c r="S602" s="786">
        <v>4419678</v>
      </c>
      <c r="T602" s="788">
        <v>-117601</v>
      </c>
      <c r="U602" s="788">
        <v>4302077</v>
      </c>
    </row>
    <row r="603" spans="1:21" x14ac:dyDescent="0.25">
      <c r="A603" s="782">
        <v>96541</v>
      </c>
      <c r="B603" s="783" t="s">
        <v>3214</v>
      </c>
      <c r="C603" s="784">
        <v>3.5950000000000001E-4</v>
      </c>
      <c r="D603" s="784">
        <v>3.3169999999999999E-4</v>
      </c>
      <c r="E603" s="815">
        <v>156792</v>
      </c>
      <c r="F603" s="818">
        <v>703979</v>
      </c>
      <c r="G603" s="785">
        <v>549216</v>
      </c>
      <c r="H603" s="785"/>
      <c r="I603" s="786">
        <v>31640</v>
      </c>
      <c r="J603" s="787">
        <v>133350</v>
      </c>
      <c r="K603" s="786">
        <v>78436</v>
      </c>
      <c r="L603" s="785">
        <v>24801</v>
      </c>
      <c r="M603" s="785"/>
      <c r="N603" s="786">
        <v>15547</v>
      </c>
      <c r="O603" s="786">
        <v>0</v>
      </c>
      <c r="P603" s="786">
        <v>0</v>
      </c>
      <c r="Q603" s="785">
        <v>0</v>
      </c>
      <c r="R603" s="785"/>
      <c r="S603" s="786">
        <v>185086</v>
      </c>
      <c r="T603" s="788">
        <v>13028</v>
      </c>
      <c r="U603" s="788">
        <f>198115-1</f>
        <v>198114</v>
      </c>
    </row>
    <row r="604" spans="1:21" x14ac:dyDescent="0.25">
      <c r="A604" s="782">
        <v>96601</v>
      </c>
      <c r="B604" s="783" t="s">
        <v>3215</v>
      </c>
      <c r="C604" s="784">
        <v>1.8169E-3</v>
      </c>
      <c r="D604" s="784">
        <v>1.8416000000000001E-3</v>
      </c>
      <c r="E604" s="815">
        <v>878872</v>
      </c>
      <c r="F604" s="818">
        <v>3908492</v>
      </c>
      <c r="G604" s="785">
        <v>2775720</v>
      </c>
      <c r="H604" s="785"/>
      <c r="I604" s="786">
        <v>159907</v>
      </c>
      <c r="J604" s="787">
        <v>673948</v>
      </c>
      <c r="K604" s="786">
        <v>396411</v>
      </c>
      <c r="L604" s="785">
        <v>50154</v>
      </c>
      <c r="M604" s="785"/>
      <c r="N604" s="786">
        <v>78572</v>
      </c>
      <c r="O604" s="786">
        <v>0</v>
      </c>
      <c r="P604" s="786">
        <v>0</v>
      </c>
      <c r="Q604" s="785">
        <v>4139</v>
      </c>
      <c r="R604" s="785"/>
      <c r="S604" s="786">
        <v>935420</v>
      </c>
      <c r="T604" s="788">
        <v>30132</v>
      </c>
      <c r="U604" s="788">
        <v>965552</v>
      </c>
    </row>
    <row r="605" spans="1:21" x14ac:dyDescent="0.25">
      <c r="A605" s="782">
        <v>96604</v>
      </c>
      <c r="B605" s="783" t="s">
        <v>3216</v>
      </c>
      <c r="C605" s="784">
        <v>7.6000000000000001E-6</v>
      </c>
      <c r="D605" s="784">
        <v>7.9000000000000006E-6</v>
      </c>
      <c r="E605" s="815">
        <v>5011</v>
      </c>
      <c r="F605" s="818">
        <v>16766</v>
      </c>
      <c r="G605" s="785">
        <v>11611</v>
      </c>
      <c r="H605" s="785"/>
      <c r="I605" s="786">
        <v>669</v>
      </c>
      <c r="J605" s="787">
        <v>2819</v>
      </c>
      <c r="K605" s="786">
        <v>1658</v>
      </c>
      <c r="L605" s="785">
        <v>2027</v>
      </c>
      <c r="M605" s="785"/>
      <c r="N605" s="786">
        <v>329</v>
      </c>
      <c r="O605" s="786">
        <v>0</v>
      </c>
      <c r="P605" s="786">
        <v>0</v>
      </c>
      <c r="Q605" s="785">
        <v>70</v>
      </c>
      <c r="R605" s="785"/>
      <c r="S605" s="786">
        <v>3913</v>
      </c>
      <c r="T605" s="788">
        <v>799</v>
      </c>
      <c r="U605" s="788">
        <v>4712</v>
      </c>
    </row>
    <row r="606" spans="1:21" x14ac:dyDescent="0.25">
      <c r="A606" s="782">
        <v>96611</v>
      </c>
      <c r="B606" s="783" t="s">
        <v>3217</v>
      </c>
      <c r="C606" s="784">
        <v>2.83E-5</v>
      </c>
      <c r="D606" s="784">
        <v>3.29E-5</v>
      </c>
      <c r="E606" s="815">
        <v>12016</v>
      </c>
      <c r="F606" s="818">
        <v>69825</v>
      </c>
      <c r="G606" s="785">
        <v>43235</v>
      </c>
      <c r="H606" s="785"/>
      <c r="I606" s="786">
        <v>2491</v>
      </c>
      <c r="J606" s="787">
        <v>10498</v>
      </c>
      <c r="K606" s="786">
        <v>6174</v>
      </c>
      <c r="L606" s="785">
        <v>1561</v>
      </c>
      <c r="M606" s="785"/>
      <c r="N606" s="786">
        <v>1224</v>
      </c>
      <c r="O606" s="786">
        <v>0</v>
      </c>
      <c r="P606" s="786">
        <v>0</v>
      </c>
      <c r="Q606" s="785">
        <v>4284</v>
      </c>
      <c r="R606" s="785"/>
      <c r="S606" s="786">
        <v>14570</v>
      </c>
      <c r="T606" s="788">
        <v>112</v>
      </c>
      <c r="U606" s="788">
        <f>14683-1</f>
        <v>14682</v>
      </c>
    </row>
    <row r="607" spans="1:21" x14ac:dyDescent="0.25">
      <c r="A607" s="782">
        <v>96612</v>
      </c>
      <c r="B607" s="783" t="s">
        <v>3218</v>
      </c>
      <c r="C607" s="784">
        <v>6.3299999999999994E-5</v>
      </c>
      <c r="D607" s="784">
        <v>6.3899999999999995E-5</v>
      </c>
      <c r="E607" s="815">
        <v>32834</v>
      </c>
      <c r="F607" s="818">
        <v>135617</v>
      </c>
      <c r="G607" s="785">
        <v>96705</v>
      </c>
      <c r="H607" s="785"/>
      <c r="I607" s="786">
        <v>5571</v>
      </c>
      <c r="J607" s="787">
        <v>23480</v>
      </c>
      <c r="K607" s="786">
        <v>13811</v>
      </c>
      <c r="L607" s="785">
        <v>7699</v>
      </c>
      <c r="M607" s="785"/>
      <c r="N607" s="786">
        <v>2737</v>
      </c>
      <c r="O607" s="786">
        <v>0</v>
      </c>
      <c r="P607" s="786">
        <v>0</v>
      </c>
      <c r="Q607" s="785">
        <v>658</v>
      </c>
      <c r="R607" s="785"/>
      <c r="S607" s="786">
        <v>32590</v>
      </c>
      <c r="T607" s="788">
        <v>2270</v>
      </c>
      <c r="U607" s="788">
        <f>34859+1</f>
        <v>34860</v>
      </c>
    </row>
    <row r="608" spans="1:21" x14ac:dyDescent="0.25">
      <c r="A608" s="782">
        <v>96621</v>
      </c>
      <c r="B608" s="783" t="s">
        <v>3219</v>
      </c>
      <c r="C608" s="784">
        <v>2.5999999999999998E-5</v>
      </c>
      <c r="D608" s="784">
        <v>2.65E-5</v>
      </c>
      <c r="E608" s="815">
        <v>13235</v>
      </c>
      <c r="F608" s="818">
        <v>56242</v>
      </c>
      <c r="G608" s="785">
        <v>39721</v>
      </c>
      <c r="H608" s="785"/>
      <c r="I608" s="786">
        <v>2288</v>
      </c>
      <c r="J608" s="787">
        <v>9644</v>
      </c>
      <c r="K608" s="786">
        <v>5673</v>
      </c>
      <c r="L608" s="785">
        <v>1435</v>
      </c>
      <c r="M608" s="785"/>
      <c r="N608" s="786">
        <v>1124</v>
      </c>
      <c r="O608" s="786">
        <v>0</v>
      </c>
      <c r="P608" s="786">
        <v>0</v>
      </c>
      <c r="Q608" s="785">
        <v>4828</v>
      </c>
      <c r="R608" s="785"/>
      <c r="S608" s="786">
        <v>13386</v>
      </c>
      <c r="T608" s="788">
        <v>-2281</v>
      </c>
      <c r="U608" s="788">
        <v>11105</v>
      </c>
    </row>
    <row r="609" spans="1:21" x14ac:dyDescent="0.25">
      <c r="A609" s="782">
        <v>96631</v>
      </c>
      <c r="B609" s="783" t="s">
        <v>3220</v>
      </c>
      <c r="C609" s="784">
        <v>2.51E-5</v>
      </c>
      <c r="D609" s="784">
        <v>2.5899999999999999E-5</v>
      </c>
      <c r="E609" s="815">
        <v>11905</v>
      </c>
      <c r="F609" s="818">
        <v>54968</v>
      </c>
      <c r="G609" s="785">
        <v>38346</v>
      </c>
      <c r="H609" s="785"/>
      <c r="I609" s="786">
        <v>2209</v>
      </c>
      <c r="J609" s="787">
        <v>9311</v>
      </c>
      <c r="K609" s="786">
        <v>5476</v>
      </c>
      <c r="L609" s="785">
        <v>3375</v>
      </c>
      <c r="M609" s="785"/>
      <c r="N609" s="786">
        <v>1085</v>
      </c>
      <c r="O609" s="786">
        <v>0</v>
      </c>
      <c r="P609" s="786">
        <v>0</v>
      </c>
      <c r="Q609" s="785">
        <v>345</v>
      </c>
      <c r="R609" s="785"/>
      <c r="S609" s="786">
        <v>12923</v>
      </c>
      <c r="T609" s="788">
        <v>2192</v>
      </c>
      <c r="U609" s="788">
        <f>15114+1</f>
        <v>15115</v>
      </c>
    </row>
    <row r="610" spans="1:21" x14ac:dyDescent="0.25">
      <c r="A610" s="782">
        <v>96641</v>
      </c>
      <c r="B610" s="783" t="s">
        <v>3221</v>
      </c>
      <c r="C610" s="784">
        <v>3.2199999999999997E-5</v>
      </c>
      <c r="D610" s="784">
        <v>2.6999999999999999E-5</v>
      </c>
      <c r="E610" s="815">
        <v>20865</v>
      </c>
      <c r="F610" s="818">
        <v>57303</v>
      </c>
      <c r="G610" s="785">
        <v>49193</v>
      </c>
      <c r="H610" s="785"/>
      <c r="I610" s="786">
        <v>2834</v>
      </c>
      <c r="J610" s="787">
        <v>11944</v>
      </c>
      <c r="K610" s="786">
        <v>7025</v>
      </c>
      <c r="L610" s="785">
        <v>15380</v>
      </c>
      <c r="M610" s="785"/>
      <c r="N610" s="786">
        <v>1392</v>
      </c>
      <c r="O610" s="786">
        <v>0</v>
      </c>
      <c r="P610" s="786">
        <v>0</v>
      </c>
      <c r="Q610" s="785">
        <v>0</v>
      </c>
      <c r="R610" s="785"/>
      <c r="S610" s="786">
        <v>16578</v>
      </c>
      <c r="T610" s="788">
        <v>5934</v>
      </c>
      <c r="U610" s="788">
        <v>22512</v>
      </c>
    </row>
    <row r="611" spans="1:21" x14ac:dyDescent="0.25">
      <c r="A611" s="782">
        <v>96651</v>
      </c>
      <c r="B611" s="783" t="s">
        <v>3222</v>
      </c>
      <c r="C611" s="784">
        <v>1.7399999999999999E-5</v>
      </c>
      <c r="D611" s="784">
        <v>1.9400000000000001E-5</v>
      </c>
      <c r="E611" s="815">
        <v>11419</v>
      </c>
      <c r="F611" s="818">
        <v>41173</v>
      </c>
      <c r="G611" s="785">
        <v>26582</v>
      </c>
      <c r="H611" s="785"/>
      <c r="I611" s="786">
        <v>1531</v>
      </c>
      <c r="J611" s="787">
        <v>6454</v>
      </c>
      <c r="K611" s="786">
        <v>3796</v>
      </c>
      <c r="L611" s="785">
        <v>1983</v>
      </c>
      <c r="M611" s="785"/>
      <c r="N611" s="786">
        <v>752</v>
      </c>
      <c r="O611" s="786">
        <v>0</v>
      </c>
      <c r="P611" s="786">
        <v>0</v>
      </c>
      <c r="Q611" s="785">
        <v>1305</v>
      </c>
      <c r="R611" s="785"/>
      <c r="S611" s="786">
        <v>8958</v>
      </c>
      <c r="T611" s="788">
        <v>-364</v>
      </c>
      <c r="U611" s="788">
        <f>8595-1</f>
        <v>8594</v>
      </c>
    </row>
    <row r="612" spans="1:21" x14ac:dyDescent="0.25">
      <c r="A612" s="782">
        <v>96661</v>
      </c>
      <c r="B612" s="783" t="s">
        <v>3223</v>
      </c>
      <c r="C612" s="784">
        <v>1.9700000000000001E-5</v>
      </c>
      <c r="D612" s="784">
        <v>1.9000000000000001E-5</v>
      </c>
      <c r="E612" s="815">
        <v>10400</v>
      </c>
      <c r="F612" s="818">
        <v>40324</v>
      </c>
      <c r="G612" s="785">
        <v>30096</v>
      </c>
      <c r="H612" s="785"/>
      <c r="I612" s="786">
        <v>1734</v>
      </c>
      <c r="J612" s="787">
        <v>7308</v>
      </c>
      <c r="K612" s="786">
        <v>4298</v>
      </c>
      <c r="L612" s="785">
        <v>5449</v>
      </c>
      <c r="M612" s="785"/>
      <c r="N612" s="786">
        <v>852</v>
      </c>
      <c r="O612" s="786">
        <v>0</v>
      </c>
      <c r="P612" s="786">
        <v>0</v>
      </c>
      <c r="Q612" s="785">
        <v>0</v>
      </c>
      <c r="R612" s="785"/>
      <c r="S612" s="786">
        <v>10142</v>
      </c>
      <c r="T612" s="788">
        <v>2525</v>
      </c>
      <c r="U612" s="788">
        <f>12668-1</f>
        <v>12667</v>
      </c>
    </row>
    <row r="613" spans="1:21" x14ac:dyDescent="0.25">
      <c r="A613" s="782">
        <v>96671</v>
      </c>
      <c r="B613" s="783" t="s">
        <v>3224</v>
      </c>
      <c r="C613" s="784">
        <v>1.49E-5</v>
      </c>
      <c r="D613" s="784">
        <v>1.5500000000000001E-5</v>
      </c>
      <c r="E613" s="815">
        <v>8400</v>
      </c>
      <c r="F613" s="818">
        <v>32896</v>
      </c>
      <c r="G613" s="785">
        <v>22763</v>
      </c>
      <c r="H613" s="785"/>
      <c r="I613" s="786">
        <v>1311</v>
      </c>
      <c r="J613" s="787">
        <v>5527</v>
      </c>
      <c r="K613" s="786">
        <v>3251</v>
      </c>
      <c r="L613" s="785">
        <v>8612</v>
      </c>
      <c r="M613" s="785"/>
      <c r="N613" s="786">
        <v>644</v>
      </c>
      <c r="O613" s="786">
        <v>0</v>
      </c>
      <c r="P613" s="786">
        <v>0</v>
      </c>
      <c r="Q613" s="785">
        <v>208</v>
      </c>
      <c r="R613" s="785"/>
      <c r="S613" s="786">
        <v>7671</v>
      </c>
      <c r="T613" s="788">
        <v>3620</v>
      </c>
      <c r="U613" s="788">
        <v>11291</v>
      </c>
    </row>
    <row r="614" spans="1:21" x14ac:dyDescent="0.25">
      <c r="A614" s="782">
        <v>96681</v>
      </c>
      <c r="B614" s="783" t="s">
        <v>3225</v>
      </c>
      <c r="C614" s="784">
        <v>1.7499999999999998E-5</v>
      </c>
      <c r="D614" s="784">
        <v>3.4799999999999999E-5</v>
      </c>
      <c r="E614" s="815">
        <v>12179</v>
      </c>
      <c r="F614" s="818">
        <v>73857</v>
      </c>
      <c r="G614" s="785">
        <v>26735</v>
      </c>
      <c r="H614" s="785"/>
      <c r="I614" s="786">
        <v>1540</v>
      </c>
      <c r="J614" s="787">
        <v>6491</v>
      </c>
      <c r="K614" s="786">
        <v>3818</v>
      </c>
      <c r="L614" s="785">
        <v>12682</v>
      </c>
      <c r="M614" s="785"/>
      <c r="N614" s="786">
        <v>757</v>
      </c>
      <c r="O614" s="786">
        <v>0</v>
      </c>
      <c r="P614" s="786">
        <v>0</v>
      </c>
      <c r="Q614" s="785">
        <v>9027</v>
      </c>
      <c r="R614" s="785"/>
      <c r="S614" s="786">
        <v>9010</v>
      </c>
      <c r="T614" s="788">
        <v>3129</v>
      </c>
      <c r="U614" s="788">
        <v>12139</v>
      </c>
    </row>
    <row r="615" spans="1:21" x14ac:dyDescent="0.25">
      <c r="A615" s="782">
        <v>96701</v>
      </c>
      <c r="B615" s="783" t="s">
        <v>3226</v>
      </c>
      <c r="C615" s="784">
        <v>8.4206000000000003E-3</v>
      </c>
      <c r="D615" s="784">
        <v>7.7850000000000003E-3</v>
      </c>
      <c r="E615" s="815">
        <v>3657208</v>
      </c>
      <c r="F615" s="818">
        <v>16522378</v>
      </c>
      <c r="G615" s="785">
        <v>12864344</v>
      </c>
      <c r="H615" s="785"/>
      <c r="I615" s="786">
        <v>741105</v>
      </c>
      <c r="J615" s="787">
        <v>3123478</v>
      </c>
      <c r="K615" s="786">
        <v>1837207</v>
      </c>
      <c r="L615" s="785">
        <v>445953</v>
      </c>
      <c r="M615" s="785"/>
      <c r="N615" s="786">
        <v>364149</v>
      </c>
      <c r="O615" s="786">
        <v>0</v>
      </c>
      <c r="P615" s="786">
        <v>0</v>
      </c>
      <c r="Q615" s="785">
        <v>51464</v>
      </c>
      <c r="R615" s="785"/>
      <c r="S615" s="786">
        <v>4335295</v>
      </c>
      <c r="T615" s="788">
        <v>139565</v>
      </c>
      <c r="U615" s="788">
        <f>4474861-1</f>
        <v>4474860</v>
      </c>
    </row>
    <row r="616" spans="1:21" x14ac:dyDescent="0.25">
      <c r="A616" s="782">
        <v>96704</v>
      </c>
      <c r="B616" s="783" t="s">
        <v>3227</v>
      </c>
      <c r="C616" s="784">
        <v>1.7259999999999999E-4</v>
      </c>
      <c r="D616" s="784">
        <v>1.5330000000000001E-4</v>
      </c>
      <c r="E616" s="815">
        <v>92320</v>
      </c>
      <c r="F616" s="818">
        <v>325354</v>
      </c>
      <c r="G616" s="785">
        <v>263685</v>
      </c>
      <c r="H616" s="785"/>
      <c r="I616" s="786">
        <v>15191</v>
      </c>
      <c r="J616" s="787">
        <v>64023</v>
      </c>
      <c r="K616" s="786">
        <v>37658</v>
      </c>
      <c r="L616" s="785">
        <v>28813</v>
      </c>
      <c r="M616" s="785"/>
      <c r="N616" s="786">
        <v>7464</v>
      </c>
      <c r="O616" s="786">
        <v>0</v>
      </c>
      <c r="P616" s="786">
        <v>0</v>
      </c>
      <c r="Q616" s="785">
        <v>0</v>
      </c>
      <c r="R616" s="785"/>
      <c r="S616" s="786">
        <v>88862</v>
      </c>
      <c r="T616" s="788">
        <v>9625</v>
      </c>
      <c r="U616" s="788">
        <v>98487</v>
      </c>
    </row>
    <row r="617" spans="1:21" x14ac:dyDescent="0.25">
      <c r="A617" s="782">
        <v>96708</v>
      </c>
      <c r="B617" s="783" t="s">
        <v>3228</v>
      </c>
      <c r="C617" s="784">
        <v>9.031E-4</v>
      </c>
      <c r="D617" s="784">
        <v>8.4590000000000002E-4</v>
      </c>
      <c r="E617" s="815">
        <v>441727</v>
      </c>
      <c r="F617" s="818">
        <v>1795283</v>
      </c>
      <c r="G617" s="785">
        <v>1379687</v>
      </c>
      <c r="H617" s="785"/>
      <c r="I617" s="786">
        <v>79483</v>
      </c>
      <c r="J617" s="787">
        <v>334989</v>
      </c>
      <c r="K617" s="786">
        <v>197038</v>
      </c>
      <c r="L617" s="785">
        <v>93931</v>
      </c>
      <c r="M617" s="785"/>
      <c r="N617" s="786">
        <v>39055</v>
      </c>
      <c r="O617" s="786">
        <v>0</v>
      </c>
      <c r="P617" s="786">
        <v>0</v>
      </c>
      <c r="Q617" s="785">
        <v>19895</v>
      </c>
      <c r="R617" s="785"/>
      <c r="S617" s="786">
        <v>464956</v>
      </c>
      <c r="T617" s="788">
        <v>29117</v>
      </c>
      <c r="U617" s="788">
        <v>494073</v>
      </c>
    </row>
    <row r="618" spans="1:21" x14ac:dyDescent="0.25">
      <c r="A618" s="782">
        <v>96711</v>
      </c>
      <c r="B618" s="783" t="s">
        <v>3229</v>
      </c>
      <c r="C618" s="784">
        <v>4.0464000000000003E-3</v>
      </c>
      <c r="D618" s="784">
        <v>4.4140000000000004E-3</v>
      </c>
      <c r="E618" s="815">
        <v>1869918</v>
      </c>
      <c r="F618" s="818">
        <v>9367987</v>
      </c>
      <c r="G618" s="785">
        <v>6181778</v>
      </c>
      <c r="H618" s="785"/>
      <c r="I618" s="786">
        <v>356128</v>
      </c>
      <c r="J618" s="787">
        <v>1500943</v>
      </c>
      <c r="K618" s="786">
        <v>882844</v>
      </c>
      <c r="L618" s="785">
        <v>10323</v>
      </c>
      <c r="M618" s="785"/>
      <c r="N618" s="786">
        <v>174987</v>
      </c>
      <c r="O618" s="786">
        <v>0</v>
      </c>
      <c r="P618" s="786">
        <v>0</v>
      </c>
      <c r="Q618" s="785">
        <v>468550</v>
      </c>
      <c r="R618" s="785"/>
      <c r="S618" s="786">
        <v>2083265</v>
      </c>
      <c r="T618" s="788">
        <v>-165088</v>
      </c>
      <c r="U618" s="788">
        <v>1918177</v>
      </c>
    </row>
    <row r="619" spans="1:21" x14ac:dyDescent="0.25">
      <c r="A619" s="782">
        <v>96721</v>
      </c>
      <c r="B619" s="783" t="s">
        <v>3230</v>
      </c>
      <c r="C619" s="784">
        <v>2.1379999999999999E-4</v>
      </c>
      <c r="D619" s="784">
        <v>1.9780000000000001E-4</v>
      </c>
      <c r="E619" s="815">
        <v>96163</v>
      </c>
      <c r="F619" s="818">
        <v>419798</v>
      </c>
      <c r="G619" s="785">
        <v>326627</v>
      </c>
      <c r="H619" s="785"/>
      <c r="I619" s="786">
        <v>18817</v>
      </c>
      <c r="J619" s="787">
        <v>79305</v>
      </c>
      <c r="K619" s="786">
        <v>46647</v>
      </c>
      <c r="L619" s="785">
        <v>14615</v>
      </c>
      <c r="M619" s="785"/>
      <c r="N619" s="786">
        <v>9246</v>
      </c>
      <c r="O619" s="786">
        <v>0</v>
      </c>
      <c r="P619" s="786">
        <v>0</v>
      </c>
      <c r="Q619" s="785">
        <v>25539</v>
      </c>
      <c r="R619" s="785"/>
      <c r="S619" s="786">
        <v>110074</v>
      </c>
      <c r="T619" s="788">
        <v>-1269</v>
      </c>
      <c r="U619" s="788">
        <v>108805</v>
      </c>
    </row>
    <row r="620" spans="1:21" x14ac:dyDescent="0.25">
      <c r="A620" s="782">
        <v>96731</v>
      </c>
      <c r="B620" s="783" t="s">
        <v>3231</v>
      </c>
      <c r="C620" s="784">
        <v>1.697E-4</v>
      </c>
      <c r="D620" s="784">
        <v>1.5090000000000001E-4</v>
      </c>
      <c r="E620" s="815">
        <v>72356</v>
      </c>
      <c r="F620" s="818">
        <v>320260</v>
      </c>
      <c r="G620" s="785">
        <v>259255</v>
      </c>
      <c r="H620" s="785"/>
      <c r="I620" s="786">
        <v>14935</v>
      </c>
      <c r="J620" s="787">
        <v>62947</v>
      </c>
      <c r="K620" s="786">
        <v>37025</v>
      </c>
      <c r="L620" s="785">
        <v>20951</v>
      </c>
      <c r="M620" s="785"/>
      <c r="N620" s="786">
        <v>7339</v>
      </c>
      <c r="O620" s="786">
        <v>0</v>
      </c>
      <c r="P620" s="786">
        <v>0</v>
      </c>
      <c r="Q620" s="785">
        <v>6</v>
      </c>
      <c r="R620" s="785"/>
      <c r="S620" s="786">
        <v>87369</v>
      </c>
      <c r="T620" s="788">
        <v>7300</v>
      </c>
      <c r="U620" s="788">
        <v>94669</v>
      </c>
    </row>
    <row r="621" spans="1:21" x14ac:dyDescent="0.25">
      <c r="A621" s="782">
        <v>96733</v>
      </c>
      <c r="B621" s="783" t="s">
        <v>3232</v>
      </c>
      <c r="C621" s="784">
        <v>7.3000000000000004E-6</v>
      </c>
      <c r="D621" s="784">
        <v>9.2E-6</v>
      </c>
      <c r="E621" s="815">
        <v>4279</v>
      </c>
      <c r="F621" s="818">
        <v>19525</v>
      </c>
      <c r="G621" s="785">
        <v>11152</v>
      </c>
      <c r="H621" s="785"/>
      <c r="I621" s="786">
        <v>642</v>
      </c>
      <c r="J621" s="787">
        <v>2708</v>
      </c>
      <c r="K621" s="786">
        <v>1593</v>
      </c>
      <c r="L621" s="785">
        <v>3988</v>
      </c>
      <c r="M621" s="785"/>
      <c r="N621" s="786">
        <v>316</v>
      </c>
      <c r="O621" s="786">
        <v>0</v>
      </c>
      <c r="P621" s="786">
        <v>0</v>
      </c>
      <c r="Q621" s="785">
        <v>1209</v>
      </c>
      <c r="R621" s="785"/>
      <c r="S621" s="786">
        <v>3758</v>
      </c>
      <c r="T621" s="788">
        <v>1574</v>
      </c>
      <c r="U621" s="788">
        <v>5332</v>
      </c>
    </row>
    <row r="622" spans="1:21" x14ac:dyDescent="0.25">
      <c r="A622" s="782">
        <v>96741</v>
      </c>
      <c r="B622" s="783" t="s">
        <v>3233</v>
      </c>
      <c r="C622" s="784">
        <v>9.0799999999999998E-5</v>
      </c>
      <c r="D622" s="784">
        <v>9.2399999999999996E-5</v>
      </c>
      <c r="E622" s="815">
        <v>41448</v>
      </c>
      <c r="F622" s="818">
        <v>196104</v>
      </c>
      <c r="G622" s="785">
        <v>138717</v>
      </c>
      <c r="H622" s="785"/>
      <c r="I622" s="786">
        <v>7991</v>
      </c>
      <c r="J622" s="787">
        <v>33681</v>
      </c>
      <c r="K622" s="786">
        <v>19811</v>
      </c>
      <c r="L622" s="785">
        <v>4204</v>
      </c>
      <c r="M622" s="785"/>
      <c r="N622" s="786">
        <v>3927</v>
      </c>
      <c r="O622" s="786">
        <v>0</v>
      </c>
      <c r="P622" s="786">
        <v>0</v>
      </c>
      <c r="Q622" s="785">
        <v>2410</v>
      </c>
      <c r="R622" s="785"/>
      <c r="S622" s="786">
        <v>46748</v>
      </c>
      <c r="T622" s="788">
        <v>2215</v>
      </c>
      <c r="U622" s="788">
        <v>48963</v>
      </c>
    </row>
    <row r="623" spans="1:21" x14ac:dyDescent="0.25">
      <c r="A623" s="782">
        <v>96751</v>
      </c>
      <c r="B623" s="783" t="s">
        <v>3234</v>
      </c>
      <c r="C623" s="784">
        <v>2.5809999999999999E-4</v>
      </c>
      <c r="D623" s="784">
        <v>2.6120000000000001E-4</v>
      </c>
      <c r="E623" s="815">
        <v>115660</v>
      </c>
      <c r="F623" s="818">
        <v>554354</v>
      </c>
      <c r="G623" s="785">
        <v>394305</v>
      </c>
      <c r="H623" s="785"/>
      <c r="I623" s="786">
        <v>22716</v>
      </c>
      <c r="J623" s="787">
        <v>95737</v>
      </c>
      <c r="K623" s="786">
        <v>56312</v>
      </c>
      <c r="L623" s="785">
        <v>10810</v>
      </c>
      <c r="M623" s="785"/>
      <c r="N623" s="786">
        <v>11162</v>
      </c>
      <c r="O623" s="786">
        <v>0</v>
      </c>
      <c r="P623" s="786">
        <v>0</v>
      </c>
      <c r="Q623" s="785">
        <v>31380</v>
      </c>
      <c r="R623" s="785"/>
      <c r="S623" s="786">
        <v>132881</v>
      </c>
      <c r="T623" s="788">
        <v>-737</v>
      </c>
      <c r="U623" s="788">
        <v>132144</v>
      </c>
    </row>
    <row r="624" spans="1:21" x14ac:dyDescent="0.25">
      <c r="A624" s="782">
        <v>96801</v>
      </c>
      <c r="B624" s="783" t="s">
        <v>3235</v>
      </c>
      <c r="C624" s="784">
        <v>7.5814000000000003E-3</v>
      </c>
      <c r="D624" s="784">
        <v>7.8463999999999999E-3</v>
      </c>
      <c r="E624" s="815">
        <v>3611120</v>
      </c>
      <c r="F624" s="818">
        <v>16652689</v>
      </c>
      <c r="G624" s="785">
        <v>11582279</v>
      </c>
      <c r="H624" s="785"/>
      <c r="I624" s="786">
        <v>667247</v>
      </c>
      <c r="J624" s="787">
        <v>2812192</v>
      </c>
      <c r="K624" s="786">
        <v>1654110</v>
      </c>
      <c r="L624" s="785">
        <v>406857</v>
      </c>
      <c r="M624" s="785"/>
      <c r="N624" s="786">
        <v>327858</v>
      </c>
      <c r="O624" s="786">
        <v>0</v>
      </c>
      <c r="P624" s="786">
        <v>0</v>
      </c>
      <c r="Q624" s="785">
        <v>73178</v>
      </c>
      <c r="R624" s="785"/>
      <c r="S624" s="786">
        <v>3903238</v>
      </c>
      <c r="T624" s="788">
        <v>217480</v>
      </c>
      <c r="U624" s="788">
        <v>4120718</v>
      </c>
    </row>
    <row r="625" spans="1:21" x14ac:dyDescent="0.25">
      <c r="A625" s="782">
        <v>96804</v>
      </c>
      <c r="B625" s="783" t="s">
        <v>3236</v>
      </c>
      <c r="C625" s="784">
        <v>2.654E-4</v>
      </c>
      <c r="D625" s="784">
        <v>2.4230000000000001E-4</v>
      </c>
      <c r="E625" s="815">
        <v>109175</v>
      </c>
      <c r="F625" s="818">
        <v>514242</v>
      </c>
      <c r="G625" s="785">
        <v>405458</v>
      </c>
      <c r="H625" s="785"/>
      <c r="I625" s="786">
        <v>23358</v>
      </c>
      <c r="J625" s="787">
        <v>98446</v>
      </c>
      <c r="K625" s="786">
        <v>57905</v>
      </c>
      <c r="L625" s="785">
        <v>7601</v>
      </c>
      <c r="M625" s="785"/>
      <c r="N625" s="786">
        <v>11477</v>
      </c>
      <c r="O625" s="786">
        <v>0</v>
      </c>
      <c r="P625" s="786">
        <v>0</v>
      </c>
      <c r="Q625" s="785">
        <v>2044</v>
      </c>
      <c r="R625" s="785"/>
      <c r="S625" s="786">
        <v>136640</v>
      </c>
      <c r="T625" s="788">
        <v>2424</v>
      </c>
      <c r="U625" s="788">
        <v>139064</v>
      </c>
    </row>
    <row r="626" spans="1:21" x14ac:dyDescent="0.25">
      <c r="A626" s="782">
        <v>96808</v>
      </c>
      <c r="B626" s="783" t="s">
        <v>3237</v>
      </c>
      <c r="C626" s="784">
        <v>1.2711000000000001E-3</v>
      </c>
      <c r="D626" s="784">
        <v>1.2882E-3</v>
      </c>
      <c r="E626" s="815">
        <v>593249</v>
      </c>
      <c r="F626" s="818">
        <v>2733992</v>
      </c>
      <c r="G626" s="785">
        <v>1941889</v>
      </c>
      <c r="H626" s="785"/>
      <c r="I626" s="786">
        <v>111871</v>
      </c>
      <c r="J626" s="787">
        <v>471493</v>
      </c>
      <c r="K626" s="786">
        <v>277329</v>
      </c>
      <c r="L626" s="785">
        <v>42529</v>
      </c>
      <c r="M626" s="785"/>
      <c r="N626" s="786">
        <v>54969</v>
      </c>
      <c r="O626" s="786">
        <v>0</v>
      </c>
      <c r="P626" s="786">
        <v>0</v>
      </c>
      <c r="Q626" s="785">
        <v>3699</v>
      </c>
      <c r="R626" s="785"/>
      <c r="S626" s="786">
        <v>654418</v>
      </c>
      <c r="T626" s="788">
        <v>23633</v>
      </c>
      <c r="U626" s="788">
        <v>678051</v>
      </c>
    </row>
    <row r="627" spans="1:21" x14ac:dyDescent="0.25">
      <c r="A627" s="782">
        <v>96811</v>
      </c>
      <c r="B627" s="783" t="s">
        <v>3238</v>
      </c>
      <c r="C627" s="784">
        <v>6.0096999999999998E-3</v>
      </c>
      <c r="D627" s="784">
        <v>5.9861999999999997E-3</v>
      </c>
      <c r="E627" s="815">
        <v>2786025</v>
      </c>
      <c r="F627" s="818">
        <v>12704722</v>
      </c>
      <c r="G627" s="785">
        <v>9181157</v>
      </c>
      <c r="H627" s="785"/>
      <c r="I627" s="786">
        <v>528920</v>
      </c>
      <c r="J627" s="787">
        <v>2229197</v>
      </c>
      <c r="K627" s="786">
        <v>1311196</v>
      </c>
      <c r="L627" s="785">
        <v>37410</v>
      </c>
      <c r="M627" s="785"/>
      <c r="N627" s="786">
        <v>259889</v>
      </c>
      <c r="O627" s="786">
        <v>0</v>
      </c>
      <c r="P627" s="786">
        <v>0</v>
      </c>
      <c r="Q627" s="785">
        <v>53500</v>
      </c>
      <c r="R627" s="785"/>
      <c r="S627" s="786">
        <v>3094058</v>
      </c>
      <c r="T627" s="788">
        <v>-23369</v>
      </c>
      <c r="U627" s="788">
        <v>3070689</v>
      </c>
    </row>
    <row r="628" spans="1:21" x14ac:dyDescent="0.25">
      <c r="A628" s="782">
        <v>96821</v>
      </c>
      <c r="B628" s="783" t="s">
        <v>3239</v>
      </c>
      <c r="C628" s="784">
        <v>1.3247000000000001E-3</v>
      </c>
      <c r="D628" s="784">
        <v>1.3630999999999999E-3</v>
      </c>
      <c r="E628" s="815">
        <v>603956</v>
      </c>
      <c r="F628" s="818">
        <v>2892955</v>
      </c>
      <c r="G628" s="785">
        <v>2023775</v>
      </c>
      <c r="H628" s="785"/>
      <c r="I628" s="786">
        <v>116588</v>
      </c>
      <c r="J628" s="787">
        <v>491375</v>
      </c>
      <c r="K628" s="786">
        <v>289023</v>
      </c>
      <c r="L628" s="785">
        <v>0</v>
      </c>
      <c r="M628" s="785"/>
      <c r="N628" s="786">
        <v>57287</v>
      </c>
      <c r="O628" s="786">
        <v>0</v>
      </c>
      <c r="P628" s="786">
        <v>0</v>
      </c>
      <c r="Q628" s="785">
        <v>134629</v>
      </c>
      <c r="R628" s="785"/>
      <c r="S628" s="786">
        <v>682014</v>
      </c>
      <c r="T628" s="788">
        <v>-54878</v>
      </c>
      <c r="U628" s="788">
        <v>627136</v>
      </c>
    </row>
    <row r="629" spans="1:21" x14ac:dyDescent="0.25">
      <c r="A629" s="782">
        <v>96831</v>
      </c>
      <c r="B629" s="783" t="s">
        <v>3240</v>
      </c>
      <c r="C629" s="784">
        <v>9.1929999999999996E-4</v>
      </c>
      <c r="D629" s="784">
        <v>9.2400000000000002E-4</v>
      </c>
      <c r="E629" s="815">
        <v>426593</v>
      </c>
      <c r="F629" s="818">
        <v>1961038</v>
      </c>
      <c r="G629" s="785">
        <v>1404436</v>
      </c>
      <c r="H629" s="785"/>
      <c r="I629" s="786">
        <v>80909</v>
      </c>
      <c r="J629" s="787">
        <v>340998</v>
      </c>
      <c r="K629" s="786">
        <v>200573</v>
      </c>
      <c r="L629" s="785">
        <v>37726</v>
      </c>
      <c r="M629" s="785"/>
      <c r="N629" s="786">
        <v>39755</v>
      </c>
      <c r="O629" s="786">
        <v>0</v>
      </c>
      <c r="P629" s="786">
        <v>0</v>
      </c>
      <c r="Q629" s="785">
        <v>0</v>
      </c>
      <c r="R629" s="785"/>
      <c r="S629" s="786">
        <v>473296</v>
      </c>
      <c r="T629" s="788">
        <v>19380</v>
      </c>
      <c r="U629" s="788">
        <v>492676</v>
      </c>
    </row>
    <row r="630" spans="1:21" x14ac:dyDescent="0.25">
      <c r="A630" s="782">
        <v>96901</v>
      </c>
      <c r="B630" s="783" t="s">
        <v>3241</v>
      </c>
      <c r="C630" s="784">
        <v>8.9820000000000004E-4</v>
      </c>
      <c r="D630" s="784">
        <v>8.1610000000000005E-4</v>
      </c>
      <c r="E630" s="815">
        <v>411770</v>
      </c>
      <c r="F630" s="818">
        <v>1732038</v>
      </c>
      <c r="G630" s="785">
        <v>1372201</v>
      </c>
      <c r="H630" s="785"/>
      <c r="I630" s="786">
        <v>79051</v>
      </c>
      <c r="J630" s="787">
        <v>333172</v>
      </c>
      <c r="K630" s="786">
        <v>195969</v>
      </c>
      <c r="L630" s="785">
        <v>85745</v>
      </c>
      <c r="M630" s="785"/>
      <c r="N630" s="786">
        <v>38843</v>
      </c>
      <c r="O630" s="786">
        <v>0</v>
      </c>
      <c r="P630" s="786">
        <v>0</v>
      </c>
      <c r="Q630" s="785">
        <v>0</v>
      </c>
      <c r="R630" s="785"/>
      <c r="S630" s="786">
        <v>462433</v>
      </c>
      <c r="T630" s="788">
        <v>28927</v>
      </c>
      <c r="U630" s="788">
        <v>491360</v>
      </c>
    </row>
    <row r="631" spans="1:21" x14ac:dyDescent="0.25">
      <c r="A631" s="782">
        <v>96911</v>
      </c>
      <c r="B631" s="783" t="s">
        <v>3242</v>
      </c>
      <c r="C631" s="784">
        <v>2.3999999999999999E-6</v>
      </c>
      <c r="D631" s="784">
        <v>3.7000000000000002E-6</v>
      </c>
      <c r="E631" s="815">
        <v>1942</v>
      </c>
      <c r="F631" s="818">
        <v>7853</v>
      </c>
      <c r="G631" s="785">
        <v>3667</v>
      </c>
      <c r="H631" s="785"/>
      <c r="I631" s="786">
        <v>211</v>
      </c>
      <c r="J631" s="787">
        <v>890</v>
      </c>
      <c r="K631" s="786">
        <v>524</v>
      </c>
      <c r="L631" s="785">
        <v>2464</v>
      </c>
      <c r="M631" s="785"/>
      <c r="N631" s="786">
        <v>104</v>
      </c>
      <c r="O631" s="786">
        <v>0</v>
      </c>
      <c r="P631" s="786">
        <v>0</v>
      </c>
      <c r="Q631" s="785">
        <v>2953</v>
      </c>
      <c r="R631" s="785"/>
      <c r="S631" s="786">
        <v>1236</v>
      </c>
      <c r="T631" s="788">
        <v>521</v>
      </c>
      <c r="U631" s="788">
        <f>1756+1</f>
        <v>1757</v>
      </c>
    </row>
    <row r="632" spans="1:21" x14ac:dyDescent="0.25">
      <c r="A632" s="782">
        <v>96912</v>
      </c>
      <c r="B632" s="783" t="s">
        <v>3243</v>
      </c>
      <c r="C632" s="784">
        <v>6.0099999999999997E-5</v>
      </c>
      <c r="D632" s="784">
        <v>6.0999999999999999E-5</v>
      </c>
      <c r="E632" s="815">
        <v>24610</v>
      </c>
      <c r="F632" s="818">
        <v>129462</v>
      </c>
      <c r="G632" s="785">
        <v>91816</v>
      </c>
      <c r="H632" s="785"/>
      <c r="I632" s="786">
        <v>5289</v>
      </c>
      <c r="J632" s="787">
        <v>22293</v>
      </c>
      <c r="K632" s="786">
        <v>13113</v>
      </c>
      <c r="L632" s="785">
        <v>4325</v>
      </c>
      <c r="M632" s="785"/>
      <c r="N632" s="786">
        <v>2599</v>
      </c>
      <c r="O632" s="786">
        <v>0</v>
      </c>
      <c r="P632" s="786">
        <v>0</v>
      </c>
      <c r="Q632" s="785">
        <v>3739</v>
      </c>
      <c r="R632" s="785"/>
      <c r="S632" s="786">
        <v>30942</v>
      </c>
      <c r="T632" s="788">
        <v>2307</v>
      </c>
      <c r="U632" s="788">
        <v>33249</v>
      </c>
    </row>
    <row r="633" spans="1:21" x14ac:dyDescent="0.25">
      <c r="A633" s="782">
        <v>96918</v>
      </c>
      <c r="B633" s="783" t="s">
        <v>3244</v>
      </c>
      <c r="C633" s="784">
        <v>3.8000000000000002E-5</v>
      </c>
      <c r="D633" s="784">
        <v>4.0500000000000002E-5</v>
      </c>
      <c r="E633" s="815">
        <v>20289</v>
      </c>
      <c r="F633" s="818">
        <v>85955</v>
      </c>
      <c r="G633" s="785">
        <v>58053</v>
      </c>
      <c r="H633" s="785"/>
      <c r="I633" s="786">
        <v>3344</v>
      </c>
      <c r="J633" s="787">
        <v>14095</v>
      </c>
      <c r="K633" s="786">
        <v>8291</v>
      </c>
      <c r="L633" s="785">
        <v>7713</v>
      </c>
      <c r="M633" s="785"/>
      <c r="N633" s="786">
        <v>1643</v>
      </c>
      <c r="O633" s="786">
        <v>0</v>
      </c>
      <c r="P633" s="786">
        <v>0</v>
      </c>
      <c r="Q633" s="785">
        <v>884</v>
      </c>
      <c r="R633" s="785"/>
      <c r="S633" s="786">
        <v>19564</v>
      </c>
      <c r="T633" s="788">
        <v>5648</v>
      </c>
      <c r="U633" s="788">
        <v>25212</v>
      </c>
    </row>
    <row r="634" spans="1:21" x14ac:dyDescent="0.25">
      <c r="A634" s="782">
        <v>97001</v>
      </c>
      <c r="B634" s="783" t="s">
        <v>3245</v>
      </c>
      <c r="C634" s="784">
        <v>1.3778E-3</v>
      </c>
      <c r="D634" s="784">
        <v>1.3641E-3</v>
      </c>
      <c r="E634" s="815">
        <v>710694</v>
      </c>
      <c r="F634" s="818">
        <v>2895077</v>
      </c>
      <c r="G634" s="785">
        <v>2104897</v>
      </c>
      <c r="H634" s="785"/>
      <c r="I634" s="786">
        <v>121262</v>
      </c>
      <c r="J634" s="787">
        <v>511071</v>
      </c>
      <c r="K634" s="786">
        <v>300608</v>
      </c>
      <c r="L634" s="785">
        <v>148744</v>
      </c>
      <c r="M634" s="785"/>
      <c r="N634" s="786">
        <v>59583</v>
      </c>
      <c r="O634" s="786">
        <v>0</v>
      </c>
      <c r="P634" s="786">
        <v>0</v>
      </c>
      <c r="Q634" s="785">
        <v>11523</v>
      </c>
      <c r="R634" s="785"/>
      <c r="S634" s="786">
        <v>709352</v>
      </c>
      <c r="T634" s="788">
        <v>36360</v>
      </c>
      <c r="U634" s="788">
        <v>745712</v>
      </c>
    </row>
    <row r="635" spans="1:21" x14ac:dyDescent="0.25">
      <c r="A635" s="782">
        <v>97002</v>
      </c>
      <c r="B635" s="783" t="s">
        <v>3246</v>
      </c>
      <c r="C635" s="784">
        <v>5.2610000000000005E-4</v>
      </c>
      <c r="D635" s="784">
        <v>4.6589999999999999E-4</v>
      </c>
      <c r="E635" s="815">
        <v>182319</v>
      </c>
      <c r="F635" s="818">
        <v>988796</v>
      </c>
      <c r="G635" s="785">
        <v>803735</v>
      </c>
      <c r="H635" s="785"/>
      <c r="I635" s="786">
        <v>46303</v>
      </c>
      <c r="J635" s="787">
        <v>195148</v>
      </c>
      <c r="K635" s="786">
        <v>114784</v>
      </c>
      <c r="L635" s="785">
        <v>16832</v>
      </c>
      <c r="M635" s="785"/>
      <c r="N635" s="786">
        <v>22751</v>
      </c>
      <c r="O635" s="786">
        <v>0</v>
      </c>
      <c r="P635" s="786">
        <v>0</v>
      </c>
      <c r="Q635" s="785">
        <v>7002</v>
      </c>
      <c r="R635" s="785"/>
      <c r="S635" s="786">
        <v>270859</v>
      </c>
      <c r="T635" s="788">
        <v>10025</v>
      </c>
      <c r="U635" s="788">
        <f>280885-1</f>
        <v>280884</v>
      </c>
    </row>
    <row r="636" spans="1:21" x14ac:dyDescent="0.25">
      <c r="A636" s="782">
        <v>97004</v>
      </c>
      <c r="B636" s="783" t="s">
        <v>3247</v>
      </c>
      <c r="C636" s="784">
        <v>9.7999999999999993E-6</v>
      </c>
      <c r="D636" s="784">
        <v>1.0900000000000001E-5</v>
      </c>
      <c r="E636" s="815">
        <v>8257</v>
      </c>
      <c r="F636" s="818">
        <v>23133</v>
      </c>
      <c r="G636" s="785">
        <v>14972</v>
      </c>
      <c r="H636" s="785"/>
      <c r="I636" s="786">
        <v>863</v>
      </c>
      <c r="J636" s="787">
        <v>3635</v>
      </c>
      <c r="K636" s="786">
        <v>2138</v>
      </c>
      <c r="L636" s="785">
        <v>4225</v>
      </c>
      <c r="M636" s="785"/>
      <c r="N636" s="786">
        <v>424</v>
      </c>
      <c r="O636" s="786">
        <v>0</v>
      </c>
      <c r="P636" s="786">
        <v>0</v>
      </c>
      <c r="Q636" s="785">
        <v>0</v>
      </c>
      <c r="R636" s="785"/>
      <c r="S636" s="786">
        <v>5045</v>
      </c>
      <c r="T636" s="788">
        <v>1862</v>
      </c>
      <c r="U636" s="788">
        <f>6908-1</f>
        <v>6907</v>
      </c>
    </row>
    <row r="637" spans="1:21" x14ac:dyDescent="0.25">
      <c r="A637" s="782">
        <v>97005</v>
      </c>
      <c r="B637" s="783" t="s">
        <v>3248</v>
      </c>
      <c r="C637" s="784">
        <v>2.83E-5</v>
      </c>
      <c r="D637" s="784">
        <v>1.42E-5</v>
      </c>
      <c r="E637" s="815">
        <v>15092</v>
      </c>
      <c r="F637" s="818">
        <v>30137</v>
      </c>
      <c r="G637" s="785">
        <v>43235</v>
      </c>
      <c r="H637" s="785"/>
      <c r="I637" s="786">
        <v>2491</v>
      </c>
      <c r="J637" s="787">
        <v>10498</v>
      </c>
      <c r="K637" s="786">
        <v>6174</v>
      </c>
      <c r="L637" s="785">
        <v>13129</v>
      </c>
      <c r="M637" s="785"/>
      <c r="N637" s="786">
        <v>1224</v>
      </c>
      <c r="O637" s="786">
        <v>0</v>
      </c>
      <c r="P637" s="786">
        <v>0</v>
      </c>
      <c r="Q637" s="785">
        <v>1368</v>
      </c>
      <c r="R637" s="785"/>
      <c r="S637" s="786">
        <v>14570</v>
      </c>
      <c r="T637" s="788">
        <v>3211</v>
      </c>
      <c r="U637" s="788">
        <v>17781</v>
      </c>
    </row>
    <row r="638" spans="1:21" x14ac:dyDescent="0.25">
      <c r="A638" s="782">
        <v>97008</v>
      </c>
      <c r="B638" s="783" t="s">
        <v>3249</v>
      </c>
      <c r="C638" s="784">
        <v>2.8659999999999997E-4</v>
      </c>
      <c r="D638" s="784">
        <v>2.7530000000000002E-4</v>
      </c>
      <c r="E638" s="815">
        <v>128453</v>
      </c>
      <c r="F638" s="818">
        <v>584279</v>
      </c>
      <c r="G638" s="785">
        <v>437845</v>
      </c>
      <c r="H638" s="785"/>
      <c r="I638" s="786">
        <v>25224</v>
      </c>
      <c r="J638" s="787">
        <v>106309</v>
      </c>
      <c r="K638" s="786">
        <v>62530</v>
      </c>
      <c r="L638" s="785">
        <v>12387</v>
      </c>
      <c r="M638" s="785"/>
      <c r="N638" s="786">
        <v>12394</v>
      </c>
      <c r="O638" s="786">
        <v>0</v>
      </c>
      <c r="P638" s="786">
        <v>0</v>
      </c>
      <c r="Q638" s="785">
        <v>3127</v>
      </c>
      <c r="R638" s="785"/>
      <c r="S638" s="786">
        <v>147554</v>
      </c>
      <c r="T638" s="788">
        <v>7175</v>
      </c>
      <c r="U638" s="788">
        <v>154729</v>
      </c>
    </row>
    <row r="639" spans="1:21" x14ac:dyDescent="0.25">
      <c r="A639" s="782">
        <v>97010</v>
      </c>
      <c r="B639" s="783" t="s">
        <v>3250</v>
      </c>
      <c r="C639" s="784">
        <v>0</v>
      </c>
      <c r="D639" s="784">
        <v>0</v>
      </c>
      <c r="E639" s="815">
        <v>0</v>
      </c>
      <c r="F639" s="818">
        <v>0</v>
      </c>
      <c r="G639" s="785">
        <v>0</v>
      </c>
      <c r="H639" s="785"/>
      <c r="I639" s="786">
        <v>0</v>
      </c>
      <c r="J639" s="787">
        <v>0</v>
      </c>
      <c r="K639" s="786">
        <v>0</v>
      </c>
      <c r="L639" s="785">
        <v>0</v>
      </c>
      <c r="M639" s="785"/>
      <c r="N639" s="786">
        <v>0</v>
      </c>
      <c r="O639" s="786">
        <v>0</v>
      </c>
      <c r="P639" s="786">
        <v>0</v>
      </c>
      <c r="Q639" s="785">
        <v>2056902</v>
      </c>
      <c r="R639" s="785"/>
      <c r="S639" s="786">
        <v>0</v>
      </c>
      <c r="T639" s="788">
        <v>-1282454</v>
      </c>
      <c r="U639" s="788">
        <v>-1282454</v>
      </c>
    </row>
    <row r="640" spans="1:21" x14ac:dyDescent="0.25">
      <c r="A640" s="782">
        <v>97011</v>
      </c>
      <c r="B640" s="783" t="s">
        <v>3251</v>
      </c>
      <c r="C640" s="784">
        <v>1.9166999999999999E-3</v>
      </c>
      <c r="D640" s="784">
        <v>1.9522999999999999E-3</v>
      </c>
      <c r="E640" s="815">
        <v>907458</v>
      </c>
      <c r="F640" s="818">
        <v>4143435</v>
      </c>
      <c r="G640" s="785">
        <v>2928187</v>
      </c>
      <c r="H640" s="785"/>
      <c r="I640" s="786">
        <v>168691</v>
      </c>
      <c r="J640" s="787">
        <v>710967</v>
      </c>
      <c r="K640" s="786">
        <v>418186</v>
      </c>
      <c r="L640" s="785">
        <v>0</v>
      </c>
      <c r="M640" s="785"/>
      <c r="N640" s="786">
        <v>82888</v>
      </c>
      <c r="O640" s="786">
        <v>0</v>
      </c>
      <c r="P640" s="786">
        <v>0</v>
      </c>
      <c r="Q640" s="785">
        <v>92552</v>
      </c>
      <c r="R640" s="785"/>
      <c r="S640" s="786">
        <v>986801</v>
      </c>
      <c r="T640" s="788">
        <v>-38711</v>
      </c>
      <c r="U640" s="788">
        <v>948090</v>
      </c>
    </row>
    <row r="641" spans="1:21" x14ac:dyDescent="0.25">
      <c r="A641" s="782">
        <v>97012</v>
      </c>
      <c r="B641" s="783" t="s">
        <v>3252</v>
      </c>
      <c r="C641" s="784">
        <v>2.9499999999999999E-5</v>
      </c>
      <c r="D641" s="784">
        <v>2.4499999999999999E-5</v>
      </c>
      <c r="E641" s="815">
        <v>12375</v>
      </c>
      <c r="F641" s="818">
        <v>51997</v>
      </c>
      <c r="G641" s="785">
        <v>45068</v>
      </c>
      <c r="H641" s="785"/>
      <c r="I641" s="786">
        <v>2596</v>
      </c>
      <c r="J641" s="787">
        <v>10942</v>
      </c>
      <c r="K641" s="786">
        <v>6436</v>
      </c>
      <c r="L641" s="785">
        <v>4949</v>
      </c>
      <c r="M641" s="785"/>
      <c r="N641" s="786">
        <v>1276</v>
      </c>
      <c r="O641" s="786">
        <v>0</v>
      </c>
      <c r="P641" s="786">
        <v>0</v>
      </c>
      <c r="Q641" s="785">
        <v>1149</v>
      </c>
      <c r="R641" s="785"/>
      <c r="S641" s="786">
        <v>15188</v>
      </c>
      <c r="T641" s="788">
        <v>752</v>
      </c>
      <c r="U641" s="788">
        <v>15940</v>
      </c>
    </row>
    <row r="642" spans="1:21" x14ac:dyDescent="0.25">
      <c r="A642" s="782">
        <v>97013</v>
      </c>
      <c r="B642" s="783" t="s">
        <v>3253</v>
      </c>
      <c r="C642" s="784">
        <v>1.8199999999999999E-5</v>
      </c>
      <c r="D642" s="784">
        <v>2.0699999999999998E-5</v>
      </c>
      <c r="E642" s="815">
        <v>11433</v>
      </c>
      <c r="F642" s="818">
        <v>43932</v>
      </c>
      <c r="G642" s="785">
        <v>27805</v>
      </c>
      <c r="H642" s="785"/>
      <c r="I642" s="786">
        <v>1602</v>
      </c>
      <c r="J642" s="787">
        <v>6751</v>
      </c>
      <c r="K642" s="786">
        <v>3971</v>
      </c>
      <c r="L642" s="785">
        <v>6233</v>
      </c>
      <c r="M642" s="785"/>
      <c r="N642" s="786">
        <v>787</v>
      </c>
      <c r="O642" s="786">
        <v>0</v>
      </c>
      <c r="P642" s="786">
        <v>0</v>
      </c>
      <c r="Q642" s="785">
        <v>431</v>
      </c>
      <c r="R642" s="785"/>
      <c r="S642" s="786">
        <v>9370</v>
      </c>
      <c r="T642" s="788">
        <v>2046</v>
      </c>
      <c r="U642" s="788">
        <v>11416</v>
      </c>
    </row>
    <row r="643" spans="1:21" x14ac:dyDescent="0.25">
      <c r="A643" s="782">
        <v>97015</v>
      </c>
      <c r="B643" s="783" t="s">
        <v>3254</v>
      </c>
      <c r="C643" s="784">
        <v>4.1499999999999999E-5</v>
      </c>
      <c r="D643" s="784">
        <v>5.3699999999999997E-5</v>
      </c>
      <c r="E643" s="815">
        <v>23036</v>
      </c>
      <c r="F643" s="818">
        <v>113969</v>
      </c>
      <c r="G643" s="785">
        <v>63401</v>
      </c>
      <c r="H643" s="785"/>
      <c r="I643" s="786">
        <v>3652</v>
      </c>
      <c r="J643" s="787">
        <v>15394</v>
      </c>
      <c r="K643" s="786">
        <v>9054</v>
      </c>
      <c r="L643" s="785">
        <v>4608</v>
      </c>
      <c r="M643" s="785"/>
      <c r="N643" s="786">
        <v>1795</v>
      </c>
      <c r="O643" s="786">
        <v>0</v>
      </c>
      <c r="P643" s="786">
        <v>0</v>
      </c>
      <c r="Q643" s="785">
        <v>5783</v>
      </c>
      <c r="R643" s="785"/>
      <c r="S643" s="786">
        <v>21366</v>
      </c>
      <c r="T643" s="788">
        <v>26</v>
      </c>
      <c r="U643" s="788">
        <v>21392</v>
      </c>
    </row>
    <row r="644" spans="1:21" x14ac:dyDescent="0.25">
      <c r="A644" s="782">
        <v>97018</v>
      </c>
      <c r="B644" s="783" t="s">
        <v>3255</v>
      </c>
      <c r="C644" s="784">
        <v>8.6000000000000007E-6</v>
      </c>
      <c r="D644" s="784">
        <v>9.3999999999999998E-6</v>
      </c>
      <c r="E644" s="815">
        <v>8135</v>
      </c>
      <c r="F644" s="818">
        <v>19950</v>
      </c>
      <c r="G644" s="785">
        <v>13138</v>
      </c>
      <c r="H644" s="785"/>
      <c r="I644" s="786">
        <v>757</v>
      </c>
      <c r="J644" s="787">
        <v>3190</v>
      </c>
      <c r="K644" s="786">
        <v>1876</v>
      </c>
      <c r="L644" s="785">
        <v>6833</v>
      </c>
      <c r="M644" s="785"/>
      <c r="N644" s="786">
        <v>372</v>
      </c>
      <c r="O644" s="786">
        <v>0</v>
      </c>
      <c r="P644" s="786">
        <v>0</v>
      </c>
      <c r="Q644" s="785">
        <v>0</v>
      </c>
      <c r="R644" s="785"/>
      <c r="S644" s="786">
        <v>4428</v>
      </c>
      <c r="T644" s="788">
        <v>2806</v>
      </c>
      <c r="U644" s="788">
        <v>7234</v>
      </c>
    </row>
    <row r="645" spans="1:21" x14ac:dyDescent="0.25">
      <c r="A645" s="782">
        <v>97101</v>
      </c>
      <c r="B645" s="783" t="s">
        <v>3256</v>
      </c>
      <c r="C645" s="784">
        <v>2.5790000000000001E-3</v>
      </c>
      <c r="D645" s="784">
        <v>2.6029E-3</v>
      </c>
      <c r="E645" s="815">
        <v>1208500</v>
      </c>
      <c r="F645" s="818">
        <v>5524226</v>
      </c>
      <c r="G645" s="785">
        <v>3939998</v>
      </c>
      <c r="H645" s="785"/>
      <c r="I645" s="786">
        <v>226980</v>
      </c>
      <c r="J645" s="787">
        <v>956636</v>
      </c>
      <c r="K645" s="786">
        <v>562686</v>
      </c>
      <c r="L645" s="785">
        <v>22549</v>
      </c>
      <c r="M645" s="785"/>
      <c r="N645" s="786">
        <v>111529</v>
      </c>
      <c r="O645" s="786">
        <v>0</v>
      </c>
      <c r="P645" s="786">
        <v>0</v>
      </c>
      <c r="Q645" s="785">
        <v>6937</v>
      </c>
      <c r="R645" s="785"/>
      <c r="S645" s="786">
        <v>1327783</v>
      </c>
      <c r="T645" s="788">
        <v>3541</v>
      </c>
      <c r="U645" s="788">
        <v>1331324</v>
      </c>
    </row>
    <row r="646" spans="1:21" x14ac:dyDescent="0.25">
      <c r="A646" s="782">
        <v>97104</v>
      </c>
      <c r="B646" s="783" t="s">
        <v>3257</v>
      </c>
      <c r="C646" s="784">
        <v>5.4299999999999998E-5</v>
      </c>
      <c r="D646" s="784">
        <v>5.6799999999999998E-5</v>
      </c>
      <c r="E646" s="815">
        <v>29147</v>
      </c>
      <c r="F646" s="818">
        <v>120549</v>
      </c>
      <c r="G646" s="785">
        <v>82955</v>
      </c>
      <c r="H646" s="785"/>
      <c r="I646" s="786">
        <v>4779</v>
      </c>
      <c r="J646" s="787">
        <v>20142</v>
      </c>
      <c r="K646" s="786">
        <v>11847</v>
      </c>
      <c r="L646" s="785">
        <v>11700</v>
      </c>
      <c r="M646" s="785"/>
      <c r="N646" s="786">
        <v>2348</v>
      </c>
      <c r="O646" s="786">
        <v>0</v>
      </c>
      <c r="P646" s="786">
        <v>0</v>
      </c>
      <c r="Q646" s="785">
        <v>0</v>
      </c>
      <c r="R646" s="785"/>
      <c r="S646" s="786">
        <v>27956</v>
      </c>
      <c r="T646" s="788">
        <v>6133</v>
      </c>
      <c r="U646" s="788">
        <v>34089</v>
      </c>
    </row>
    <row r="647" spans="1:21" x14ac:dyDescent="0.25">
      <c r="A647" s="782">
        <v>97111</v>
      </c>
      <c r="B647" s="783" t="s">
        <v>3258</v>
      </c>
      <c r="C647" s="784">
        <v>2.8200000000000002E-4</v>
      </c>
      <c r="D647" s="784">
        <v>2.7099999999999997E-4</v>
      </c>
      <c r="E647" s="815">
        <v>108871</v>
      </c>
      <c r="F647" s="818">
        <v>575153</v>
      </c>
      <c r="G647" s="785">
        <v>430818</v>
      </c>
      <c r="H647" s="785"/>
      <c r="I647" s="786">
        <v>24819</v>
      </c>
      <c r="J647" s="787">
        <v>104603</v>
      </c>
      <c r="K647" s="786">
        <v>61527</v>
      </c>
      <c r="L647" s="785">
        <v>7621</v>
      </c>
      <c r="M647" s="785"/>
      <c r="N647" s="786">
        <v>12195</v>
      </c>
      <c r="O647" s="786">
        <v>0</v>
      </c>
      <c r="P647" s="786">
        <v>0</v>
      </c>
      <c r="Q647" s="785">
        <v>20335</v>
      </c>
      <c r="R647" s="785"/>
      <c r="S647" s="786">
        <v>145186</v>
      </c>
      <c r="T647" s="788">
        <v>-1416</v>
      </c>
      <c r="U647" s="788">
        <v>143770</v>
      </c>
    </row>
    <row r="648" spans="1:21" x14ac:dyDescent="0.25">
      <c r="A648" s="782">
        <v>97121</v>
      </c>
      <c r="B648" s="783" t="s">
        <v>3259</v>
      </c>
      <c r="C648" s="784">
        <v>1.3640000000000001E-4</v>
      </c>
      <c r="D648" s="784">
        <v>1.2070000000000001E-4</v>
      </c>
      <c r="E648" s="815">
        <v>66522</v>
      </c>
      <c r="F648" s="818">
        <v>256166</v>
      </c>
      <c r="G648" s="785">
        <v>208381</v>
      </c>
      <c r="H648" s="785"/>
      <c r="I648" s="786">
        <v>12005</v>
      </c>
      <c r="J648" s="787">
        <v>50595</v>
      </c>
      <c r="K648" s="786">
        <v>29760</v>
      </c>
      <c r="L648" s="785">
        <v>13649</v>
      </c>
      <c r="M648" s="785"/>
      <c r="N648" s="786">
        <v>5899</v>
      </c>
      <c r="O648" s="786">
        <v>0</v>
      </c>
      <c r="P648" s="786">
        <v>0</v>
      </c>
      <c r="Q648" s="785">
        <v>10026</v>
      </c>
      <c r="R648" s="785"/>
      <c r="S648" s="786">
        <v>70225</v>
      </c>
      <c r="T648" s="788">
        <v>-1103</v>
      </c>
      <c r="U648" s="788">
        <v>69122</v>
      </c>
    </row>
    <row r="649" spans="1:21" x14ac:dyDescent="0.25">
      <c r="A649" s="782">
        <v>97131</v>
      </c>
      <c r="B649" s="783" t="s">
        <v>3260</v>
      </c>
      <c r="C649" s="784">
        <v>7.358E-4</v>
      </c>
      <c r="D649" s="784">
        <v>6.2969999999999996E-4</v>
      </c>
      <c r="E649" s="815">
        <v>280483</v>
      </c>
      <c r="F649" s="818">
        <v>1336434</v>
      </c>
      <c r="G649" s="785">
        <v>1124099</v>
      </c>
      <c r="H649" s="785"/>
      <c r="I649" s="786">
        <v>64758</v>
      </c>
      <c r="J649" s="787">
        <v>272933</v>
      </c>
      <c r="K649" s="786">
        <v>160537</v>
      </c>
      <c r="L649" s="785">
        <v>29703</v>
      </c>
      <c r="M649" s="785"/>
      <c r="N649" s="786">
        <v>31820</v>
      </c>
      <c r="O649" s="786">
        <v>0</v>
      </c>
      <c r="P649" s="786">
        <v>0</v>
      </c>
      <c r="Q649" s="785">
        <v>2383</v>
      </c>
      <c r="R649" s="785"/>
      <c r="S649" s="786">
        <v>378822</v>
      </c>
      <c r="T649" s="788">
        <v>7857</v>
      </c>
      <c r="U649" s="788">
        <v>386679</v>
      </c>
    </row>
    <row r="650" spans="1:21" x14ac:dyDescent="0.25">
      <c r="A650" s="782">
        <v>97201</v>
      </c>
      <c r="B650" s="783" t="s">
        <v>3261</v>
      </c>
      <c r="C650" s="784">
        <v>5.2689999999999996E-4</v>
      </c>
      <c r="D650" s="784">
        <v>4.9439999999999998E-4</v>
      </c>
      <c r="E650" s="815">
        <v>248232</v>
      </c>
      <c r="F650" s="818">
        <v>1049282</v>
      </c>
      <c r="G650" s="785">
        <v>804957</v>
      </c>
      <c r="H650" s="785"/>
      <c r="I650" s="786">
        <v>46373</v>
      </c>
      <c r="J650" s="787">
        <v>195445</v>
      </c>
      <c r="K650" s="786">
        <v>114959</v>
      </c>
      <c r="L650" s="785">
        <v>43529</v>
      </c>
      <c r="M650" s="785"/>
      <c r="N650" s="786">
        <v>22786</v>
      </c>
      <c r="O650" s="786">
        <v>0</v>
      </c>
      <c r="P650" s="786">
        <v>0</v>
      </c>
      <c r="Q650" s="785">
        <v>1877</v>
      </c>
      <c r="R650" s="785"/>
      <c r="S650" s="786">
        <v>271271</v>
      </c>
      <c r="T650" s="788">
        <v>10950</v>
      </c>
      <c r="U650" s="788">
        <f>282222-1</f>
        <v>282221</v>
      </c>
    </row>
    <row r="651" spans="1:21" x14ac:dyDescent="0.25">
      <c r="A651" s="782">
        <v>97211</v>
      </c>
      <c r="B651" s="783" t="s">
        <v>3262</v>
      </c>
      <c r="C651" s="784">
        <v>1.5980000000000001E-4</v>
      </c>
      <c r="D651" s="784">
        <v>1.4119999999999999E-4</v>
      </c>
      <c r="E651" s="815">
        <v>74902</v>
      </c>
      <c r="F651" s="818">
        <v>299674</v>
      </c>
      <c r="G651" s="785">
        <v>244130</v>
      </c>
      <c r="H651" s="785"/>
      <c r="I651" s="786">
        <v>14064</v>
      </c>
      <c r="J651" s="787">
        <v>59275</v>
      </c>
      <c r="K651" s="786">
        <v>34865</v>
      </c>
      <c r="L651" s="785">
        <v>16009</v>
      </c>
      <c r="M651" s="785"/>
      <c r="N651" s="786">
        <v>6911</v>
      </c>
      <c r="O651" s="786">
        <v>0</v>
      </c>
      <c r="P651" s="786">
        <v>0</v>
      </c>
      <c r="Q651" s="785">
        <v>12120</v>
      </c>
      <c r="R651" s="785"/>
      <c r="S651" s="786">
        <v>82272</v>
      </c>
      <c r="T651" s="788">
        <v>347</v>
      </c>
      <c r="U651" s="788">
        <v>82619</v>
      </c>
    </row>
    <row r="652" spans="1:21" x14ac:dyDescent="0.25">
      <c r="A652" s="782">
        <v>97213</v>
      </c>
      <c r="B652" s="783" t="s">
        <v>3263</v>
      </c>
      <c r="C652" s="784">
        <v>3.9100000000000002E-5</v>
      </c>
      <c r="D652" s="784">
        <v>3.8300000000000003E-5</v>
      </c>
      <c r="E652" s="815">
        <v>24680</v>
      </c>
      <c r="F652" s="818">
        <v>81285</v>
      </c>
      <c r="G652" s="785">
        <v>59734</v>
      </c>
      <c r="H652" s="785"/>
      <c r="I652" s="786">
        <v>3441</v>
      </c>
      <c r="J652" s="787">
        <v>14504</v>
      </c>
      <c r="K652" s="786">
        <v>8531</v>
      </c>
      <c r="L652" s="785">
        <v>6715</v>
      </c>
      <c r="M652" s="785"/>
      <c r="N652" s="786">
        <v>1691</v>
      </c>
      <c r="O652" s="786">
        <v>0</v>
      </c>
      <c r="P652" s="786">
        <v>0</v>
      </c>
      <c r="Q652" s="785">
        <v>495</v>
      </c>
      <c r="R652" s="785"/>
      <c r="S652" s="786">
        <v>20130</v>
      </c>
      <c r="T652" s="788">
        <v>2057</v>
      </c>
      <c r="U652" s="788">
        <v>22187</v>
      </c>
    </row>
    <row r="653" spans="1:21" x14ac:dyDescent="0.25">
      <c r="A653" s="782">
        <v>97217</v>
      </c>
      <c r="B653" s="783" t="s">
        <v>3264</v>
      </c>
      <c r="C653" s="784">
        <v>4.6E-6</v>
      </c>
      <c r="D653" s="784">
        <v>4.8999999999999997E-6</v>
      </c>
      <c r="E653" s="815">
        <v>6890</v>
      </c>
      <c r="F653" s="818">
        <v>10399</v>
      </c>
      <c r="G653" s="785">
        <v>7028</v>
      </c>
      <c r="H653" s="785"/>
      <c r="I653" s="786">
        <v>405</v>
      </c>
      <c r="J653" s="787">
        <v>1706</v>
      </c>
      <c r="K653" s="786">
        <v>1004</v>
      </c>
      <c r="L653" s="785">
        <v>8215</v>
      </c>
      <c r="M653" s="785"/>
      <c r="N653" s="786">
        <v>199</v>
      </c>
      <c r="O653" s="786">
        <v>0</v>
      </c>
      <c r="P653" s="786">
        <v>0</v>
      </c>
      <c r="Q653" s="785">
        <v>0</v>
      </c>
      <c r="R653" s="785"/>
      <c r="S653" s="786">
        <v>2368</v>
      </c>
      <c r="T653" s="788">
        <v>3286</v>
      </c>
      <c r="U653" s="788">
        <v>5654</v>
      </c>
    </row>
    <row r="654" spans="1:21" x14ac:dyDescent="0.25">
      <c r="A654" s="782">
        <v>97221</v>
      </c>
      <c r="B654" s="783" t="s">
        <v>3265</v>
      </c>
      <c r="C654" s="784">
        <v>7.1999999999999997E-6</v>
      </c>
      <c r="D654" s="784">
        <v>6.1999999999999999E-6</v>
      </c>
      <c r="E654" s="815">
        <v>7778</v>
      </c>
      <c r="F654" s="818">
        <v>13158</v>
      </c>
      <c r="G654" s="785">
        <v>11000</v>
      </c>
      <c r="H654" s="785"/>
      <c r="I654" s="786">
        <v>634</v>
      </c>
      <c r="J654" s="787">
        <v>2670</v>
      </c>
      <c r="K654" s="786">
        <v>1571</v>
      </c>
      <c r="L654" s="785">
        <v>8086</v>
      </c>
      <c r="M654" s="785"/>
      <c r="N654" s="786">
        <v>311</v>
      </c>
      <c r="O654" s="786">
        <v>0</v>
      </c>
      <c r="P654" s="786">
        <v>0</v>
      </c>
      <c r="Q654" s="785">
        <v>0</v>
      </c>
      <c r="R654" s="785"/>
      <c r="S654" s="786">
        <v>3707</v>
      </c>
      <c r="T654" s="788">
        <v>3119</v>
      </c>
      <c r="U654" s="788">
        <v>6826</v>
      </c>
    </row>
    <row r="655" spans="1:21" x14ac:dyDescent="0.25">
      <c r="A655" s="782">
        <v>97301</v>
      </c>
      <c r="B655" s="783" t="s">
        <v>3266</v>
      </c>
      <c r="C655" s="784">
        <v>2.5135999999999999E-3</v>
      </c>
      <c r="D655" s="784">
        <v>2.5742E-3</v>
      </c>
      <c r="E655" s="815">
        <v>1186932</v>
      </c>
      <c r="F655" s="818">
        <v>5463315</v>
      </c>
      <c r="G655" s="785">
        <v>3840085</v>
      </c>
      <c r="H655" s="785"/>
      <c r="I655" s="786">
        <v>221224</v>
      </c>
      <c r="J655" s="787">
        <v>932377</v>
      </c>
      <c r="K655" s="786">
        <v>548417</v>
      </c>
      <c r="L655" s="785">
        <v>23710</v>
      </c>
      <c r="M655" s="785"/>
      <c r="N655" s="786">
        <v>108701</v>
      </c>
      <c r="O655" s="786">
        <v>0</v>
      </c>
      <c r="P655" s="786">
        <v>0</v>
      </c>
      <c r="Q655" s="785">
        <v>56463</v>
      </c>
      <c r="R655" s="785"/>
      <c r="S655" s="786">
        <v>1294112</v>
      </c>
      <c r="T655" s="788">
        <v>-10667</v>
      </c>
      <c r="U655" s="788">
        <v>1283445</v>
      </c>
    </row>
    <row r="656" spans="1:21" x14ac:dyDescent="0.25">
      <c r="A656" s="782">
        <v>97304</v>
      </c>
      <c r="B656" s="783" t="s">
        <v>3267</v>
      </c>
      <c r="C656" s="784">
        <v>1.6799999999999998E-5</v>
      </c>
      <c r="D656" s="784">
        <v>1.7600000000000001E-5</v>
      </c>
      <c r="E656" s="815">
        <v>13382</v>
      </c>
      <c r="F656" s="818">
        <v>37353</v>
      </c>
      <c r="G656" s="785">
        <v>25666</v>
      </c>
      <c r="H656" s="785"/>
      <c r="I656" s="786">
        <v>1479</v>
      </c>
      <c r="J656" s="787">
        <v>6232</v>
      </c>
      <c r="K656" s="786">
        <v>3665</v>
      </c>
      <c r="L656" s="785">
        <v>8739</v>
      </c>
      <c r="M656" s="785"/>
      <c r="N656" s="786">
        <v>727</v>
      </c>
      <c r="O656" s="786">
        <v>0</v>
      </c>
      <c r="P656" s="786">
        <v>0</v>
      </c>
      <c r="Q656" s="785">
        <v>0</v>
      </c>
      <c r="R656" s="785"/>
      <c r="S656" s="786">
        <v>8649</v>
      </c>
      <c r="T656" s="788">
        <v>3503</v>
      </c>
      <c r="U656" s="788">
        <f>12153-1</f>
        <v>12152</v>
      </c>
    </row>
    <row r="657" spans="1:21" x14ac:dyDescent="0.25">
      <c r="A657" s="782">
        <v>97311</v>
      </c>
      <c r="B657" s="783" t="s">
        <v>3268</v>
      </c>
      <c r="C657" s="784">
        <v>9.1799999999999998E-4</v>
      </c>
      <c r="D657" s="784">
        <v>9.5E-4</v>
      </c>
      <c r="E657" s="815">
        <v>407124</v>
      </c>
      <c r="F657" s="818">
        <v>2016218</v>
      </c>
      <c r="G657" s="785">
        <v>1402450</v>
      </c>
      <c r="H657" s="785"/>
      <c r="I657" s="786">
        <v>80794</v>
      </c>
      <c r="J657" s="787">
        <v>340516</v>
      </c>
      <c r="K657" s="786">
        <v>200289</v>
      </c>
      <c r="L657" s="785">
        <v>0</v>
      </c>
      <c r="M657" s="785"/>
      <c r="N657" s="786">
        <v>39699</v>
      </c>
      <c r="O657" s="786">
        <v>0</v>
      </c>
      <c r="P657" s="786">
        <v>0</v>
      </c>
      <c r="Q657" s="785">
        <v>96844</v>
      </c>
      <c r="R657" s="785"/>
      <c r="S657" s="786">
        <v>472627</v>
      </c>
      <c r="T657" s="788">
        <v>-42048</v>
      </c>
      <c r="U657" s="788">
        <v>430579</v>
      </c>
    </row>
    <row r="658" spans="1:21" x14ac:dyDescent="0.25">
      <c r="A658" s="782">
        <v>97401</v>
      </c>
      <c r="B658" s="783" t="s">
        <v>3269</v>
      </c>
      <c r="C658" s="784">
        <v>7.1303E-3</v>
      </c>
      <c r="D658" s="784">
        <v>6.9633000000000004E-3</v>
      </c>
      <c r="E658" s="815">
        <v>3322669</v>
      </c>
      <c r="F658" s="818">
        <v>14778455</v>
      </c>
      <c r="G658" s="785">
        <v>10893123</v>
      </c>
      <c r="H658" s="785"/>
      <c r="I658" s="786">
        <v>627545</v>
      </c>
      <c r="J658" s="787">
        <v>2644864</v>
      </c>
      <c r="K658" s="786">
        <v>1555689</v>
      </c>
      <c r="L658" s="785">
        <v>151378</v>
      </c>
      <c r="M658" s="785"/>
      <c r="N658" s="786">
        <v>308350</v>
      </c>
      <c r="O658" s="786">
        <v>0</v>
      </c>
      <c r="P658" s="786">
        <v>0</v>
      </c>
      <c r="Q658" s="785">
        <v>83194</v>
      </c>
      <c r="R658" s="785"/>
      <c r="S658" s="786">
        <v>3670992</v>
      </c>
      <c r="T658" s="788">
        <v>-21617</v>
      </c>
      <c r="U658" s="788">
        <v>3649375</v>
      </c>
    </row>
    <row r="659" spans="1:21" x14ac:dyDescent="0.25">
      <c r="A659" s="782">
        <v>97402</v>
      </c>
      <c r="B659" s="783" t="s">
        <v>3270</v>
      </c>
      <c r="C659" s="784">
        <v>4.8000000000000001E-5</v>
      </c>
      <c r="D659" s="784">
        <v>4.4700000000000002E-5</v>
      </c>
      <c r="E659" s="815">
        <v>25207</v>
      </c>
      <c r="F659" s="818">
        <v>94868</v>
      </c>
      <c r="G659" s="785">
        <v>73331</v>
      </c>
      <c r="H659" s="785"/>
      <c r="I659" s="786">
        <v>4225</v>
      </c>
      <c r="J659" s="787">
        <v>17804</v>
      </c>
      <c r="K659" s="786">
        <v>10473</v>
      </c>
      <c r="L659" s="785">
        <v>15704</v>
      </c>
      <c r="M659" s="785"/>
      <c r="N659" s="786">
        <v>2076</v>
      </c>
      <c r="O659" s="786">
        <v>0</v>
      </c>
      <c r="P659" s="786">
        <v>0</v>
      </c>
      <c r="Q659" s="785">
        <v>0</v>
      </c>
      <c r="R659" s="785"/>
      <c r="S659" s="786">
        <v>24713</v>
      </c>
      <c r="T659" s="788">
        <v>5283</v>
      </c>
      <c r="U659" s="788">
        <f>29995+1</f>
        <v>29996</v>
      </c>
    </row>
    <row r="660" spans="1:21" x14ac:dyDescent="0.25">
      <c r="A660" s="782">
        <v>97404</v>
      </c>
      <c r="B660" s="783" t="s">
        <v>3271</v>
      </c>
      <c r="C660" s="784">
        <v>2.1010000000000001E-4</v>
      </c>
      <c r="D660" s="784">
        <v>2.1049999999999999E-4</v>
      </c>
      <c r="E660" s="815">
        <v>84649</v>
      </c>
      <c r="F660" s="818">
        <v>446752</v>
      </c>
      <c r="G660" s="785">
        <v>320975</v>
      </c>
      <c r="H660" s="785"/>
      <c r="I660" s="786">
        <v>18491</v>
      </c>
      <c r="J660" s="787">
        <v>77933</v>
      </c>
      <c r="K660" s="786">
        <v>45840</v>
      </c>
      <c r="L660" s="785">
        <v>983</v>
      </c>
      <c r="M660" s="785"/>
      <c r="N660" s="786">
        <v>9086</v>
      </c>
      <c r="O660" s="786">
        <v>0</v>
      </c>
      <c r="P660" s="786">
        <v>0</v>
      </c>
      <c r="Q660" s="785">
        <v>21173</v>
      </c>
      <c r="R660" s="785"/>
      <c r="S660" s="786">
        <v>108169</v>
      </c>
      <c r="T660" s="788">
        <v>-6084</v>
      </c>
      <c r="U660" s="788">
        <f>102084+1</f>
        <v>102085</v>
      </c>
    </row>
    <row r="661" spans="1:21" x14ac:dyDescent="0.25">
      <c r="A661" s="782">
        <v>97405</v>
      </c>
      <c r="B661" s="783" t="s">
        <v>3272</v>
      </c>
      <c r="C661" s="784">
        <v>1.091E-4</v>
      </c>
      <c r="D661" s="784">
        <v>1.087E-4</v>
      </c>
      <c r="E661" s="815">
        <v>65706</v>
      </c>
      <c r="F661" s="818">
        <v>230698</v>
      </c>
      <c r="G661" s="785">
        <v>166675</v>
      </c>
      <c r="H661" s="785"/>
      <c r="I661" s="786">
        <v>9602</v>
      </c>
      <c r="J661" s="787">
        <v>40468</v>
      </c>
      <c r="K661" s="786">
        <v>23803</v>
      </c>
      <c r="L661" s="785">
        <v>26973</v>
      </c>
      <c r="M661" s="785"/>
      <c r="N661" s="786">
        <v>4718</v>
      </c>
      <c r="O661" s="786">
        <v>0</v>
      </c>
      <c r="P661" s="786">
        <v>0</v>
      </c>
      <c r="Q661" s="785">
        <v>4890</v>
      </c>
      <c r="R661" s="785"/>
      <c r="S661" s="786">
        <v>56169</v>
      </c>
      <c r="T661" s="788">
        <v>4747</v>
      </c>
      <c r="U661" s="788">
        <v>60916</v>
      </c>
    </row>
    <row r="662" spans="1:21" x14ac:dyDescent="0.25">
      <c r="A662" s="782">
        <v>97408</v>
      </c>
      <c r="B662" s="783" t="s">
        <v>3273</v>
      </c>
      <c r="C662" s="784">
        <v>4.4499999999999997E-5</v>
      </c>
      <c r="D662" s="784">
        <v>4.9299999999999999E-5</v>
      </c>
      <c r="E662" s="815">
        <v>27499</v>
      </c>
      <c r="F662" s="818">
        <v>104631</v>
      </c>
      <c r="G662" s="785">
        <v>67984</v>
      </c>
      <c r="H662" s="785"/>
      <c r="I662" s="786">
        <v>3916</v>
      </c>
      <c r="J662" s="787">
        <v>16507</v>
      </c>
      <c r="K662" s="786">
        <v>9709</v>
      </c>
      <c r="L662" s="785">
        <v>7648</v>
      </c>
      <c r="M662" s="785"/>
      <c r="N662" s="786">
        <v>1924</v>
      </c>
      <c r="O662" s="786">
        <v>0</v>
      </c>
      <c r="P662" s="786">
        <v>0</v>
      </c>
      <c r="Q662" s="785">
        <v>0</v>
      </c>
      <c r="R662" s="785"/>
      <c r="S662" s="786">
        <v>22911</v>
      </c>
      <c r="T662" s="788">
        <v>2984</v>
      </c>
      <c r="U662" s="788">
        <v>25895</v>
      </c>
    </row>
    <row r="663" spans="1:21" x14ac:dyDescent="0.25">
      <c r="A663" s="782">
        <v>97411</v>
      </c>
      <c r="B663" s="783" t="s">
        <v>3274</v>
      </c>
      <c r="C663" s="784">
        <v>6.6379000000000004E-3</v>
      </c>
      <c r="D663" s="784">
        <v>6.7269000000000001E-3</v>
      </c>
      <c r="E663" s="815">
        <v>2979173</v>
      </c>
      <c r="F663" s="818">
        <v>14276735</v>
      </c>
      <c r="G663" s="785">
        <v>10140873</v>
      </c>
      <c r="H663" s="785"/>
      <c r="I663" s="786">
        <v>584208</v>
      </c>
      <c r="J663" s="787">
        <v>2462217</v>
      </c>
      <c r="K663" s="786">
        <v>1448257</v>
      </c>
      <c r="L663" s="785">
        <v>0</v>
      </c>
      <c r="M663" s="785"/>
      <c r="N663" s="786">
        <v>287056</v>
      </c>
      <c r="O663" s="786">
        <v>0</v>
      </c>
      <c r="P663" s="786">
        <v>0</v>
      </c>
      <c r="Q663" s="785">
        <v>679489</v>
      </c>
      <c r="R663" s="785"/>
      <c r="S663" s="786">
        <v>3417483</v>
      </c>
      <c r="T663" s="788">
        <v>-317873</v>
      </c>
      <c r="U663" s="788">
        <v>3099610</v>
      </c>
    </row>
    <row r="664" spans="1:21" x14ac:dyDescent="0.25">
      <c r="A664" s="782">
        <v>97412</v>
      </c>
      <c r="B664" s="783" t="s">
        <v>3275</v>
      </c>
      <c r="C664" s="784">
        <v>4.5082000000000004E-3</v>
      </c>
      <c r="D664" s="784">
        <v>4.424E-3</v>
      </c>
      <c r="E664" s="815">
        <v>2155644</v>
      </c>
      <c r="F664" s="818">
        <v>9389210</v>
      </c>
      <c r="G664" s="785">
        <v>6887281</v>
      </c>
      <c r="H664" s="785"/>
      <c r="I664" s="786">
        <v>396771</v>
      </c>
      <c r="J664" s="787">
        <v>1672240</v>
      </c>
      <c r="K664" s="786">
        <v>983599</v>
      </c>
      <c r="L664" s="785">
        <v>229685</v>
      </c>
      <c r="M664" s="785"/>
      <c r="N664" s="786">
        <v>194957</v>
      </c>
      <c r="O664" s="786">
        <v>0</v>
      </c>
      <c r="P664" s="786">
        <v>0</v>
      </c>
      <c r="Q664" s="785">
        <v>0</v>
      </c>
      <c r="R664" s="785"/>
      <c r="S664" s="786">
        <v>2321020</v>
      </c>
      <c r="T664" s="788">
        <v>85525</v>
      </c>
      <c r="U664" s="788">
        <v>2406545</v>
      </c>
    </row>
    <row r="665" spans="1:21" x14ac:dyDescent="0.25">
      <c r="A665" s="782">
        <v>97413</v>
      </c>
      <c r="B665" s="783" t="s">
        <v>3276</v>
      </c>
      <c r="C665" s="784">
        <v>2.6570000000000001E-4</v>
      </c>
      <c r="D665" s="784">
        <v>2.7910000000000001E-4</v>
      </c>
      <c r="E665" s="815">
        <v>140809</v>
      </c>
      <c r="F665" s="818">
        <v>592344</v>
      </c>
      <c r="G665" s="785">
        <v>405916</v>
      </c>
      <c r="H665" s="785"/>
      <c r="I665" s="786">
        <v>23385</v>
      </c>
      <c r="J665" s="787">
        <v>98557</v>
      </c>
      <c r="K665" s="786">
        <v>57970</v>
      </c>
      <c r="L665" s="785">
        <v>7437</v>
      </c>
      <c r="M665" s="785"/>
      <c r="N665" s="786">
        <v>11490</v>
      </c>
      <c r="O665" s="786">
        <v>0</v>
      </c>
      <c r="P665" s="786">
        <v>0</v>
      </c>
      <c r="Q665" s="785">
        <v>5304</v>
      </c>
      <c r="R665" s="785"/>
      <c r="S665" s="786">
        <v>136794</v>
      </c>
      <c r="T665" s="788">
        <v>-2913</v>
      </c>
      <c r="U665" s="788">
        <v>133881</v>
      </c>
    </row>
    <row r="666" spans="1:21" x14ac:dyDescent="0.25">
      <c r="A666" s="782">
        <v>97421</v>
      </c>
      <c r="B666" s="783" t="s">
        <v>3277</v>
      </c>
      <c r="C666" s="784">
        <v>4.2890000000000002E-4</v>
      </c>
      <c r="D666" s="784">
        <v>4.1120000000000002E-4</v>
      </c>
      <c r="E666" s="815">
        <v>192261</v>
      </c>
      <c r="F666" s="818">
        <v>872704</v>
      </c>
      <c r="G666" s="785">
        <v>655240</v>
      </c>
      <c r="H666" s="785"/>
      <c r="I666" s="786">
        <v>37748</v>
      </c>
      <c r="J666" s="787">
        <v>159093</v>
      </c>
      <c r="K666" s="786">
        <v>93577</v>
      </c>
      <c r="L666" s="785">
        <v>8155</v>
      </c>
      <c r="M666" s="785"/>
      <c r="N666" s="786">
        <v>18548</v>
      </c>
      <c r="O666" s="786">
        <v>0</v>
      </c>
      <c r="P666" s="786">
        <v>0</v>
      </c>
      <c r="Q666" s="785">
        <v>24127</v>
      </c>
      <c r="R666" s="785"/>
      <c r="S666" s="786">
        <v>220817</v>
      </c>
      <c r="T666" s="788">
        <v>-14066</v>
      </c>
      <c r="U666" s="788">
        <v>206751</v>
      </c>
    </row>
    <row r="667" spans="1:21" x14ac:dyDescent="0.25">
      <c r="A667" s="782">
        <v>97423</v>
      </c>
      <c r="B667" s="783" t="s">
        <v>3278</v>
      </c>
      <c r="C667" s="784">
        <v>4.3600000000000003E-5</v>
      </c>
      <c r="D667" s="784">
        <v>4.5800000000000002E-5</v>
      </c>
      <c r="E667" s="815">
        <v>42976</v>
      </c>
      <c r="F667" s="818">
        <v>97203</v>
      </c>
      <c r="G667" s="785">
        <v>66609</v>
      </c>
      <c r="H667" s="785"/>
      <c r="I667" s="786">
        <v>3837</v>
      </c>
      <c r="J667" s="787">
        <v>16173</v>
      </c>
      <c r="K667" s="786">
        <v>9513</v>
      </c>
      <c r="L667" s="785">
        <v>35421</v>
      </c>
      <c r="M667" s="785"/>
      <c r="N667" s="786">
        <v>1885</v>
      </c>
      <c r="O667" s="786">
        <v>0</v>
      </c>
      <c r="P667" s="786">
        <v>0</v>
      </c>
      <c r="Q667" s="785">
        <v>0</v>
      </c>
      <c r="R667" s="785"/>
      <c r="S667" s="786">
        <v>22447</v>
      </c>
      <c r="T667" s="788">
        <v>12225</v>
      </c>
      <c r="U667" s="788">
        <v>34672</v>
      </c>
    </row>
    <row r="668" spans="1:21" x14ac:dyDescent="0.25">
      <c r="A668" s="782">
        <v>97431</v>
      </c>
      <c r="B668" s="783" t="s">
        <v>3279</v>
      </c>
      <c r="C668" s="784">
        <v>8.5599999999999994E-5</v>
      </c>
      <c r="D668" s="784">
        <v>8.5199999999999997E-5</v>
      </c>
      <c r="E668" s="815">
        <v>44546</v>
      </c>
      <c r="F668" s="818">
        <v>180823</v>
      </c>
      <c r="G668" s="785">
        <v>130773</v>
      </c>
      <c r="H668" s="785"/>
      <c r="I668" s="786">
        <v>7534</v>
      </c>
      <c r="J668" s="787">
        <v>31751</v>
      </c>
      <c r="K668" s="786">
        <v>18676</v>
      </c>
      <c r="L668" s="785">
        <v>6440</v>
      </c>
      <c r="M668" s="785"/>
      <c r="N668" s="786">
        <v>3702</v>
      </c>
      <c r="O668" s="786">
        <v>0</v>
      </c>
      <c r="P668" s="786">
        <v>0</v>
      </c>
      <c r="Q668" s="785">
        <v>0</v>
      </c>
      <c r="R668" s="785"/>
      <c r="S668" s="786">
        <v>44071</v>
      </c>
      <c r="T668" s="788">
        <v>2026</v>
      </c>
      <c r="U668" s="788">
        <v>46097</v>
      </c>
    </row>
    <row r="669" spans="1:21" x14ac:dyDescent="0.25">
      <c r="A669" s="782">
        <v>97441</v>
      </c>
      <c r="B669" s="783" t="s">
        <v>3280</v>
      </c>
      <c r="C669" s="784">
        <v>7.5799999999999999E-5</v>
      </c>
      <c r="D669" s="784">
        <v>7.0500000000000006E-5</v>
      </c>
      <c r="E669" s="815">
        <v>25244</v>
      </c>
      <c r="F669" s="818">
        <v>149625</v>
      </c>
      <c r="G669" s="785">
        <v>115801</v>
      </c>
      <c r="H669" s="785"/>
      <c r="I669" s="786">
        <v>6671</v>
      </c>
      <c r="J669" s="787">
        <v>28117</v>
      </c>
      <c r="K669" s="786">
        <v>16538</v>
      </c>
      <c r="L669" s="785">
        <v>202</v>
      </c>
      <c r="M669" s="785"/>
      <c r="N669" s="786">
        <v>3278</v>
      </c>
      <c r="O669" s="786">
        <v>0</v>
      </c>
      <c r="P669" s="786">
        <v>0</v>
      </c>
      <c r="Q669" s="785">
        <v>7671</v>
      </c>
      <c r="R669" s="785"/>
      <c r="S669" s="786">
        <v>39025</v>
      </c>
      <c r="T669" s="788">
        <v>-2235</v>
      </c>
      <c r="U669" s="788">
        <v>36790</v>
      </c>
    </row>
    <row r="670" spans="1:21" x14ac:dyDescent="0.25">
      <c r="A670" s="782">
        <v>97451</v>
      </c>
      <c r="B670" s="783" t="s">
        <v>3281</v>
      </c>
      <c r="C670" s="784">
        <v>5.5820000000000002E-4</v>
      </c>
      <c r="D670" s="784">
        <v>6.1039999999999998E-4</v>
      </c>
      <c r="E670" s="815">
        <v>245214</v>
      </c>
      <c r="F670" s="818">
        <v>1295473</v>
      </c>
      <c r="G670" s="785">
        <v>852775</v>
      </c>
      <c r="H670" s="785"/>
      <c r="I670" s="786">
        <v>49128</v>
      </c>
      <c r="J670" s="787">
        <v>207055</v>
      </c>
      <c r="K670" s="786">
        <v>121788</v>
      </c>
      <c r="L670" s="785">
        <v>19770</v>
      </c>
      <c r="M670" s="785"/>
      <c r="N670" s="786">
        <v>24139</v>
      </c>
      <c r="O670" s="786">
        <v>0</v>
      </c>
      <c r="P670" s="786">
        <v>0</v>
      </c>
      <c r="Q670" s="785">
        <v>47630</v>
      </c>
      <c r="R670" s="785"/>
      <c r="S670" s="786">
        <v>287386</v>
      </c>
      <c r="T670" s="788">
        <v>-2772</v>
      </c>
      <c r="U670" s="788">
        <v>284614</v>
      </c>
    </row>
    <row r="671" spans="1:21" x14ac:dyDescent="0.25">
      <c r="A671" s="782">
        <v>97461</v>
      </c>
      <c r="B671" s="783" t="s">
        <v>3282</v>
      </c>
      <c r="C671" s="784">
        <v>5.5650000000000003E-4</v>
      </c>
      <c r="D671" s="784">
        <v>5.1869999999999998E-4</v>
      </c>
      <c r="E671" s="815">
        <v>228350</v>
      </c>
      <c r="F671" s="818">
        <v>1100855</v>
      </c>
      <c r="G671" s="785">
        <v>850178</v>
      </c>
      <c r="H671" s="785"/>
      <c r="I671" s="786">
        <v>48978</v>
      </c>
      <c r="J671" s="787">
        <v>206424</v>
      </c>
      <c r="K671" s="786">
        <v>121417</v>
      </c>
      <c r="L671" s="785">
        <v>5855</v>
      </c>
      <c r="M671" s="785"/>
      <c r="N671" s="786">
        <v>24066</v>
      </c>
      <c r="O671" s="786">
        <v>0</v>
      </c>
      <c r="P671" s="786">
        <v>0</v>
      </c>
      <c r="Q671" s="785">
        <v>31609</v>
      </c>
      <c r="R671" s="785"/>
      <c r="S671" s="786">
        <v>286511</v>
      </c>
      <c r="T671" s="788">
        <v>-11321</v>
      </c>
      <c r="U671" s="788">
        <v>275190</v>
      </c>
    </row>
    <row r="672" spans="1:21" x14ac:dyDescent="0.25">
      <c r="A672" s="782">
        <v>97463</v>
      </c>
      <c r="B672" s="783" t="s">
        <v>3283</v>
      </c>
      <c r="C672" s="784">
        <v>4.1100000000000003E-5</v>
      </c>
      <c r="D672" s="784">
        <v>5.0099999999999998E-5</v>
      </c>
      <c r="E672" s="815">
        <v>16312</v>
      </c>
      <c r="F672" s="818">
        <v>106329</v>
      </c>
      <c r="G672" s="785">
        <v>62789</v>
      </c>
      <c r="H672" s="785"/>
      <c r="I672" s="786">
        <v>3617</v>
      </c>
      <c r="J672" s="787">
        <v>15246</v>
      </c>
      <c r="K672" s="786">
        <v>8967</v>
      </c>
      <c r="L672" s="785">
        <v>1420</v>
      </c>
      <c r="M672" s="785"/>
      <c r="N672" s="786">
        <v>1777</v>
      </c>
      <c r="O672" s="786">
        <v>0</v>
      </c>
      <c r="P672" s="786">
        <v>0</v>
      </c>
      <c r="Q672" s="785">
        <v>12499</v>
      </c>
      <c r="R672" s="785"/>
      <c r="S672" s="786">
        <v>21160</v>
      </c>
      <c r="T672" s="788">
        <v>-2447</v>
      </c>
      <c r="U672" s="788">
        <v>18713</v>
      </c>
    </row>
    <row r="673" spans="1:21" x14ac:dyDescent="0.25">
      <c r="A673" s="782">
        <v>97471</v>
      </c>
      <c r="B673" s="783" t="s">
        <v>3284</v>
      </c>
      <c r="C673" s="784">
        <v>1.22E-5</v>
      </c>
      <c r="D673" s="784">
        <v>1.27E-5</v>
      </c>
      <c r="E673" s="815">
        <v>10247</v>
      </c>
      <c r="F673" s="818">
        <v>26954</v>
      </c>
      <c r="G673" s="785">
        <v>18638</v>
      </c>
      <c r="H673" s="785"/>
      <c r="I673" s="786">
        <v>1074</v>
      </c>
      <c r="J673" s="787">
        <v>4526</v>
      </c>
      <c r="K673" s="786">
        <v>2662</v>
      </c>
      <c r="L673" s="785">
        <v>6770</v>
      </c>
      <c r="M673" s="785"/>
      <c r="N673" s="786">
        <v>528</v>
      </c>
      <c r="O673" s="786">
        <v>0</v>
      </c>
      <c r="P673" s="786">
        <v>0</v>
      </c>
      <c r="Q673" s="785">
        <v>0</v>
      </c>
      <c r="R673" s="785"/>
      <c r="S673" s="786">
        <v>6281</v>
      </c>
      <c r="T673" s="788">
        <v>2621</v>
      </c>
      <c r="U673" s="788">
        <v>8902</v>
      </c>
    </row>
    <row r="674" spans="1:21" x14ac:dyDescent="0.25">
      <c r="A674" s="782">
        <v>97481</v>
      </c>
      <c r="B674" s="783" t="s">
        <v>3285</v>
      </c>
      <c r="C674" s="784">
        <v>9.9000000000000001E-6</v>
      </c>
      <c r="D674" s="784">
        <v>1.63E-5</v>
      </c>
      <c r="E674" s="815">
        <v>6015</v>
      </c>
      <c r="F674" s="818">
        <v>34594</v>
      </c>
      <c r="G674" s="785">
        <v>15124</v>
      </c>
      <c r="H674" s="785"/>
      <c r="I674" s="786">
        <v>871</v>
      </c>
      <c r="J674" s="787">
        <v>3672</v>
      </c>
      <c r="K674" s="786">
        <v>2160</v>
      </c>
      <c r="L674" s="785">
        <v>3592</v>
      </c>
      <c r="M674" s="785"/>
      <c r="N674" s="786">
        <v>428</v>
      </c>
      <c r="O674" s="786">
        <v>0</v>
      </c>
      <c r="P674" s="786">
        <v>0</v>
      </c>
      <c r="Q674" s="785">
        <v>3115</v>
      </c>
      <c r="R674" s="785"/>
      <c r="S674" s="786">
        <v>5097</v>
      </c>
      <c r="T674" s="788">
        <v>1594</v>
      </c>
      <c r="U674" s="788">
        <v>6691</v>
      </c>
    </row>
    <row r="675" spans="1:21" x14ac:dyDescent="0.25">
      <c r="A675" s="782">
        <v>97491</v>
      </c>
      <c r="B675" s="783" t="s">
        <v>3286</v>
      </c>
      <c r="C675" s="784">
        <v>0</v>
      </c>
      <c r="D675" s="784">
        <v>0</v>
      </c>
      <c r="E675" s="815">
        <v>0</v>
      </c>
      <c r="F675" s="818">
        <v>0</v>
      </c>
      <c r="G675" s="785">
        <v>0</v>
      </c>
      <c r="H675" s="785"/>
      <c r="I675" s="786">
        <v>0</v>
      </c>
      <c r="J675" s="787">
        <v>0</v>
      </c>
      <c r="K675" s="786">
        <v>0</v>
      </c>
      <c r="L675" s="785">
        <v>0</v>
      </c>
      <c r="M675" s="785"/>
      <c r="N675" s="786">
        <v>0</v>
      </c>
      <c r="O675" s="786">
        <v>0</v>
      </c>
      <c r="P675" s="786">
        <v>0</v>
      </c>
      <c r="Q675" s="785">
        <v>7849</v>
      </c>
      <c r="R675" s="785"/>
      <c r="S675" s="786">
        <v>0</v>
      </c>
      <c r="T675" s="788">
        <v>-4941</v>
      </c>
      <c r="U675" s="788">
        <v>-4941</v>
      </c>
    </row>
    <row r="676" spans="1:21" x14ac:dyDescent="0.25">
      <c r="A676" s="782">
        <v>97501</v>
      </c>
      <c r="B676" s="783" t="s">
        <v>3287</v>
      </c>
      <c r="C676" s="784">
        <v>1.1000999999999999E-3</v>
      </c>
      <c r="D676" s="784">
        <v>9.6730000000000004E-4</v>
      </c>
      <c r="E676" s="815">
        <v>517522</v>
      </c>
      <c r="F676" s="818">
        <v>2052935</v>
      </c>
      <c r="G676" s="785">
        <v>1680648</v>
      </c>
      <c r="H676" s="785"/>
      <c r="I676" s="786">
        <v>96821</v>
      </c>
      <c r="J676" s="787">
        <v>408064</v>
      </c>
      <c r="K676" s="786">
        <v>240020</v>
      </c>
      <c r="L676" s="785">
        <v>125050</v>
      </c>
      <c r="M676" s="785"/>
      <c r="N676" s="786">
        <v>47574</v>
      </c>
      <c r="O676" s="786">
        <v>0</v>
      </c>
      <c r="P676" s="786">
        <v>0</v>
      </c>
      <c r="Q676" s="785">
        <v>0</v>
      </c>
      <c r="R676" s="785"/>
      <c r="S676" s="786">
        <v>566380</v>
      </c>
      <c r="T676" s="788">
        <v>44629</v>
      </c>
      <c r="U676" s="788">
        <v>611009</v>
      </c>
    </row>
    <row r="677" spans="1:21" x14ac:dyDescent="0.25">
      <c r="A677" s="782">
        <v>97511</v>
      </c>
      <c r="B677" s="783" t="s">
        <v>3288</v>
      </c>
      <c r="C677" s="784">
        <v>2.3450000000000001E-4</v>
      </c>
      <c r="D677" s="784">
        <v>2.3220000000000001E-4</v>
      </c>
      <c r="E677" s="815">
        <v>112044</v>
      </c>
      <c r="F677" s="818">
        <v>492806</v>
      </c>
      <c r="G677" s="785">
        <v>358251</v>
      </c>
      <c r="H677" s="785"/>
      <c r="I677" s="786">
        <v>20639</v>
      </c>
      <c r="J677" s="787">
        <v>86984</v>
      </c>
      <c r="K677" s="786">
        <v>51163</v>
      </c>
      <c r="L677" s="785">
        <v>12835</v>
      </c>
      <c r="M677" s="785"/>
      <c r="N677" s="786">
        <v>10141</v>
      </c>
      <c r="O677" s="786">
        <v>0</v>
      </c>
      <c r="P677" s="786">
        <v>0</v>
      </c>
      <c r="Q677" s="785">
        <v>844</v>
      </c>
      <c r="R677" s="785"/>
      <c r="S677" s="786">
        <v>120731</v>
      </c>
      <c r="T677" s="788">
        <v>3795</v>
      </c>
      <c r="U677" s="788">
        <v>124526</v>
      </c>
    </row>
    <row r="678" spans="1:21" x14ac:dyDescent="0.25">
      <c r="A678" s="782">
        <v>97521</v>
      </c>
      <c r="B678" s="783" t="s">
        <v>3289</v>
      </c>
      <c r="C678" s="784">
        <v>1.2870000000000001E-4</v>
      </c>
      <c r="D678" s="784">
        <v>1.293E-4</v>
      </c>
      <c r="E678" s="815">
        <v>56688</v>
      </c>
      <c r="F678" s="818">
        <v>274418</v>
      </c>
      <c r="G678" s="785">
        <v>196618</v>
      </c>
      <c r="H678" s="785"/>
      <c r="I678" s="786">
        <v>11327</v>
      </c>
      <c r="J678" s="787">
        <v>47739</v>
      </c>
      <c r="K678" s="786">
        <v>28080</v>
      </c>
      <c r="L678" s="785">
        <v>2190</v>
      </c>
      <c r="M678" s="785"/>
      <c r="N678" s="786">
        <v>5566</v>
      </c>
      <c r="O678" s="786">
        <v>0</v>
      </c>
      <c r="P678" s="786">
        <v>0</v>
      </c>
      <c r="Q678" s="785">
        <v>14589</v>
      </c>
      <c r="R678" s="785"/>
      <c r="S678" s="786">
        <v>66260</v>
      </c>
      <c r="T678" s="788">
        <v>-3628</v>
      </c>
      <c r="U678" s="788">
        <v>62632</v>
      </c>
    </row>
    <row r="679" spans="1:21" x14ac:dyDescent="0.25">
      <c r="A679" s="782">
        <v>97531</v>
      </c>
      <c r="B679" s="783" t="s">
        <v>3290</v>
      </c>
      <c r="C679" s="784">
        <v>4.32E-5</v>
      </c>
      <c r="D679" s="784">
        <v>3.6300000000000001E-5</v>
      </c>
      <c r="E679" s="815">
        <v>25035</v>
      </c>
      <c r="F679" s="818">
        <v>77041</v>
      </c>
      <c r="G679" s="785">
        <v>65998</v>
      </c>
      <c r="H679" s="785"/>
      <c r="I679" s="786">
        <v>3802</v>
      </c>
      <c r="J679" s="787">
        <v>16025</v>
      </c>
      <c r="K679" s="786">
        <v>9425</v>
      </c>
      <c r="L679" s="785">
        <v>11185</v>
      </c>
      <c r="M679" s="785"/>
      <c r="N679" s="786">
        <v>1868</v>
      </c>
      <c r="O679" s="786">
        <v>0</v>
      </c>
      <c r="P679" s="786">
        <v>0</v>
      </c>
      <c r="Q679" s="785">
        <v>9052</v>
      </c>
      <c r="R679" s="785"/>
      <c r="S679" s="786">
        <v>22241</v>
      </c>
      <c r="T679" s="788">
        <v>-2508</v>
      </c>
      <c r="U679" s="788">
        <f>19734-1</f>
        <v>19733</v>
      </c>
    </row>
    <row r="680" spans="1:21" x14ac:dyDescent="0.25">
      <c r="A680" s="782">
        <v>97601</v>
      </c>
      <c r="B680" s="783" t="s">
        <v>3291</v>
      </c>
      <c r="C680" s="784">
        <v>5.1672000000000003E-3</v>
      </c>
      <c r="D680" s="784">
        <v>4.7808E-3</v>
      </c>
      <c r="E680" s="815">
        <v>2287000</v>
      </c>
      <c r="F680" s="818">
        <v>10146459</v>
      </c>
      <c r="G680" s="785">
        <v>7894050</v>
      </c>
      <c r="H680" s="785"/>
      <c r="I680" s="786">
        <v>454770</v>
      </c>
      <c r="J680" s="787">
        <v>1916685</v>
      </c>
      <c r="K680" s="786">
        <v>1127380</v>
      </c>
      <c r="L680" s="785">
        <v>190925</v>
      </c>
      <c r="M680" s="785"/>
      <c r="N680" s="786">
        <v>223456</v>
      </c>
      <c r="O680" s="786">
        <v>0</v>
      </c>
      <c r="P680" s="786">
        <v>0</v>
      </c>
      <c r="Q680" s="785">
        <v>91443</v>
      </c>
      <c r="R680" s="785"/>
      <c r="S680" s="786">
        <v>2660302</v>
      </c>
      <c r="T680" s="788">
        <v>1665</v>
      </c>
      <c r="U680" s="788">
        <v>2661967</v>
      </c>
    </row>
    <row r="681" spans="1:21" x14ac:dyDescent="0.25">
      <c r="A681" s="782">
        <v>97607</v>
      </c>
      <c r="B681" s="783" t="s">
        <v>3292</v>
      </c>
      <c r="C681" s="784">
        <v>2.3200000000000001E-5</v>
      </c>
      <c r="D681" s="784">
        <v>1.9199999999999999E-5</v>
      </c>
      <c r="E681" s="815">
        <v>17255</v>
      </c>
      <c r="F681" s="818">
        <v>40749</v>
      </c>
      <c r="G681" s="785">
        <v>35443</v>
      </c>
      <c r="H681" s="785"/>
      <c r="I681" s="786">
        <v>2042</v>
      </c>
      <c r="J681" s="787">
        <v>8605</v>
      </c>
      <c r="K681" s="786">
        <v>5062</v>
      </c>
      <c r="L681" s="785">
        <v>13349</v>
      </c>
      <c r="M681" s="785"/>
      <c r="N681" s="786">
        <v>1003</v>
      </c>
      <c r="O681" s="786">
        <v>0</v>
      </c>
      <c r="P681" s="786">
        <v>0</v>
      </c>
      <c r="Q681" s="785">
        <v>0</v>
      </c>
      <c r="R681" s="785"/>
      <c r="S681" s="786">
        <v>11944</v>
      </c>
      <c r="T681" s="788">
        <v>5427</v>
      </c>
      <c r="U681" s="788">
        <v>17371</v>
      </c>
    </row>
    <row r="682" spans="1:21" x14ac:dyDescent="0.25">
      <c r="A682" s="782">
        <v>97611</v>
      </c>
      <c r="B682" s="783" t="s">
        <v>3293</v>
      </c>
      <c r="C682" s="784">
        <v>2.4767999999999999E-3</v>
      </c>
      <c r="D682" s="784">
        <v>2.5750999999999999E-3</v>
      </c>
      <c r="E682" s="815">
        <v>1108488</v>
      </c>
      <c r="F682" s="818">
        <v>5465225</v>
      </c>
      <c r="G682" s="785">
        <v>3783864</v>
      </c>
      <c r="H682" s="785"/>
      <c r="I682" s="786">
        <v>217986</v>
      </c>
      <c r="J682" s="787">
        <v>918727</v>
      </c>
      <c r="K682" s="786">
        <v>540388</v>
      </c>
      <c r="L682" s="785">
        <v>0</v>
      </c>
      <c r="M682" s="785"/>
      <c r="N682" s="786">
        <v>107109</v>
      </c>
      <c r="O682" s="786">
        <v>0</v>
      </c>
      <c r="P682" s="786">
        <v>0</v>
      </c>
      <c r="Q682" s="785">
        <v>276084</v>
      </c>
      <c r="R682" s="785"/>
      <c r="S682" s="786">
        <v>1275166</v>
      </c>
      <c r="T682" s="788">
        <v>-116051</v>
      </c>
      <c r="U682" s="788">
        <v>1159115</v>
      </c>
    </row>
    <row r="683" spans="1:21" x14ac:dyDescent="0.25">
      <c r="A683" s="782">
        <v>97613</v>
      </c>
      <c r="B683" s="783" t="s">
        <v>3294</v>
      </c>
      <c r="C683" s="784">
        <v>1.1629999999999999E-4</v>
      </c>
      <c r="D683" s="784">
        <v>1.2459999999999999E-4</v>
      </c>
      <c r="E683" s="815">
        <v>60157</v>
      </c>
      <c r="F683" s="818">
        <v>264443</v>
      </c>
      <c r="G683" s="785">
        <v>177674</v>
      </c>
      <c r="H683" s="785"/>
      <c r="I683" s="786">
        <v>10236</v>
      </c>
      <c r="J683" s="787">
        <v>43140</v>
      </c>
      <c r="K683" s="786">
        <v>25374</v>
      </c>
      <c r="L683" s="785">
        <v>3969</v>
      </c>
      <c r="M683" s="785"/>
      <c r="N683" s="786">
        <v>5029</v>
      </c>
      <c r="O683" s="786">
        <v>0</v>
      </c>
      <c r="P683" s="786">
        <v>0</v>
      </c>
      <c r="Q683" s="785">
        <v>3579</v>
      </c>
      <c r="R683" s="785"/>
      <c r="S683" s="786">
        <v>59876</v>
      </c>
      <c r="T683" s="788">
        <v>-543</v>
      </c>
      <c r="U683" s="788">
        <f>59334-1</f>
        <v>59333</v>
      </c>
    </row>
    <row r="684" spans="1:21" x14ac:dyDescent="0.25">
      <c r="A684" s="782">
        <v>97621</v>
      </c>
      <c r="B684" s="783" t="s">
        <v>3295</v>
      </c>
      <c r="C684" s="784">
        <v>4.5179999999999998E-4</v>
      </c>
      <c r="D684" s="784">
        <v>4.7429999999999998E-4</v>
      </c>
      <c r="E684" s="815">
        <v>179047</v>
      </c>
      <c r="F684" s="818">
        <v>1006623</v>
      </c>
      <c r="G684" s="785">
        <v>690225</v>
      </c>
      <c r="H684" s="785"/>
      <c r="I684" s="786">
        <v>39763</v>
      </c>
      <c r="J684" s="787">
        <v>167588</v>
      </c>
      <c r="K684" s="786">
        <v>98574</v>
      </c>
      <c r="L684" s="785">
        <v>15836</v>
      </c>
      <c r="M684" s="785"/>
      <c r="N684" s="786">
        <v>19538</v>
      </c>
      <c r="O684" s="786">
        <v>0</v>
      </c>
      <c r="P684" s="786">
        <v>0</v>
      </c>
      <c r="Q684" s="785">
        <v>70017</v>
      </c>
      <c r="R684" s="785"/>
      <c r="S684" s="786">
        <v>232607</v>
      </c>
      <c r="T684" s="788">
        <v>-11992</v>
      </c>
      <c r="U684" s="788">
        <v>220615</v>
      </c>
    </row>
    <row r="685" spans="1:21" x14ac:dyDescent="0.25">
      <c r="A685" s="782">
        <v>97623</v>
      </c>
      <c r="B685" s="783" t="s">
        <v>3296</v>
      </c>
      <c r="C685" s="784">
        <v>2.9499999999999999E-5</v>
      </c>
      <c r="D685" s="784">
        <v>2.9200000000000002E-5</v>
      </c>
      <c r="E685" s="815">
        <v>11113</v>
      </c>
      <c r="F685" s="818">
        <v>61972</v>
      </c>
      <c r="G685" s="785">
        <v>45068</v>
      </c>
      <c r="H685" s="785"/>
      <c r="I685" s="786">
        <v>2596</v>
      </c>
      <c r="J685" s="787">
        <v>10942</v>
      </c>
      <c r="K685" s="786">
        <v>6436</v>
      </c>
      <c r="L685" s="785">
        <v>6505</v>
      </c>
      <c r="M685" s="785"/>
      <c r="N685" s="786">
        <v>1276</v>
      </c>
      <c r="O685" s="786">
        <v>0</v>
      </c>
      <c r="P685" s="786">
        <v>0</v>
      </c>
      <c r="Q685" s="785">
        <v>1742</v>
      </c>
      <c r="R685" s="785"/>
      <c r="S685" s="786">
        <v>15188</v>
      </c>
      <c r="T685" s="788">
        <v>3252</v>
      </c>
      <c r="U685" s="788">
        <v>18440</v>
      </c>
    </row>
    <row r="686" spans="1:21" x14ac:dyDescent="0.25">
      <c r="A686" s="782">
        <v>97627</v>
      </c>
      <c r="B686" s="783" t="s">
        <v>3297</v>
      </c>
      <c r="C686" s="784">
        <v>9.7000000000000003E-6</v>
      </c>
      <c r="D686" s="784">
        <v>1.0200000000000001E-5</v>
      </c>
      <c r="E686" s="815">
        <v>5008</v>
      </c>
      <c r="F686" s="818">
        <v>21648</v>
      </c>
      <c r="G686" s="785">
        <v>14819</v>
      </c>
      <c r="H686" s="785"/>
      <c r="I686" s="786">
        <v>854</v>
      </c>
      <c r="J686" s="787">
        <v>3599</v>
      </c>
      <c r="K686" s="786">
        <v>2116</v>
      </c>
      <c r="L686" s="785">
        <v>714</v>
      </c>
      <c r="M686" s="785"/>
      <c r="N686" s="786">
        <v>419</v>
      </c>
      <c r="O686" s="786">
        <v>0</v>
      </c>
      <c r="P686" s="786">
        <v>0</v>
      </c>
      <c r="Q686" s="785">
        <v>1008</v>
      </c>
      <c r="R686" s="785"/>
      <c r="S686" s="786">
        <v>4994</v>
      </c>
      <c r="T686" s="788">
        <v>-190</v>
      </c>
      <c r="U686" s="788">
        <v>4804</v>
      </c>
    </row>
    <row r="687" spans="1:21" x14ac:dyDescent="0.25">
      <c r="A687" s="782">
        <v>97631</v>
      </c>
      <c r="B687" s="783" t="s">
        <v>3298</v>
      </c>
      <c r="C687" s="784">
        <v>2.051E-4</v>
      </c>
      <c r="D687" s="784">
        <v>2.009E-4</v>
      </c>
      <c r="E687" s="815">
        <v>85999</v>
      </c>
      <c r="F687" s="818">
        <v>426377</v>
      </c>
      <c r="G687" s="785">
        <v>313336</v>
      </c>
      <c r="H687" s="785"/>
      <c r="I687" s="786">
        <v>18051</v>
      </c>
      <c r="J687" s="787">
        <v>76078</v>
      </c>
      <c r="K687" s="786">
        <v>44749</v>
      </c>
      <c r="L687" s="785">
        <v>9311</v>
      </c>
      <c r="M687" s="785"/>
      <c r="N687" s="786">
        <v>8870</v>
      </c>
      <c r="O687" s="786">
        <v>0</v>
      </c>
      <c r="P687" s="786">
        <v>0</v>
      </c>
      <c r="Q687" s="785">
        <v>3711</v>
      </c>
      <c r="R687" s="785"/>
      <c r="S687" s="786">
        <v>105595</v>
      </c>
      <c r="T687" s="788">
        <v>4564</v>
      </c>
      <c r="U687" s="788">
        <f>110158+1</f>
        <v>110159</v>
      </c>
    </row>
    <row r="688" spans="1:21" x14ac:dyDescent="0.25">
      <c r="A688" s="782">
        <v>97637</v>
      </c>
      <c r="B688" s="783" t="s">
        <v>3299</v>
      </c>
      <c r="C688" s="784">
        <v>4.3000000000000003E-6</v>
      </c>
      <c r="D688" s="784">
        <v>4.7999999999999998E-6</v>
      </c>
      <c r="E688" s="815">
        <v>3072</v>
      </c>
      <c r="F688" s="818">
        <v>10187</v>
      </c>
      <c r="G688" s="785">
        <v>6569</v>
      </c>
      <c r="H688" s="785"/>
      <c r="I688" s="786">
        <v>378</v>
      </c>
      <c r="J688" s="787">
        <v>1595</v>
      </c>
      <c r="K688" s="786">
        <v>938</v>
      </c>
      <c r="L688" s="785">
        <v>944</v>
      </c>
      <c r="M688" s="785"/>
      <c r="N688" s="786">
        <v>186</v>
      </c>
      <c r="O688" s="786">
        <v>0</v>
      </c>
      <c r="P688" s="786">
        <v>0</v>
      </c>
      <c r="Q688" s="785">
        <v>30</v>
      </c>
      <c r="R688" s="785"/>
      <c r="S688" s="786">
        <v>2214</v>
      </c>
      <c r="T688" s="788">
        <v>380</v>
      </c>
      <c r="U688" s="788">
        <v>2594</v>
      </c>
    </row>
    <row r="689" spans="1:21" x14ac:dyDescent="0.25">
      <c r="A689" s="782">
        <v>97641</v>
      </c>
      <c r="B689" s="783" t="s">
        <v>3300</v>
      </c>
      <c r="C689" s="784">
        <v>6.8899999999999994E-5</v>
      </c>
      <c r="D689" s="784">
        <v>6.9999999999999994E-5</v>
      </c>
      <c r="E689" s="815">
        <v>35027</v>
      </c>
      <c r="F689" s="818">
        <v>148563</v>
      </c>
      <c r="G689" s="785">
        <v>105260</v>
      </c>
      <c r="H689" s="785"/>
      <c r="I689" s="786">
        <v>6064</v>
      </c>
      <c r="J689" s="787">
        <v>25557</v>
      </c>
      <c r="K689" s="786">
        <v>15033</v>
      </c>
      <c r="L689" s="785">
        <v>13063</v>
      </c>
      <c r="M689" s="785"/>
      <c r="N689" s="786">
        <v>2980</v>
      </c>
      <c r="O689" s="786">
        <v>0</v>
      </c>
      <c r="P689" s="786">
        <v>0</v>
      </c>
      <c r="Q689" s="785">
        <v>2889</v>
      </c>
      <c r="R689" s="785"/>
      <c r="S689" s="786">
        <v>35473</v>
      </c>
      <c r="T689" s="788">
        <v>2041</v>
      </c>
      <c r="U689" s="788">
        <v>37514</v>
      </c>
    </row>
    <row r="690" spans="1:21" x14ac:dyDescent="0.25">
      <c r="A690" s="782">
        <v>97651</v>
      </c>
      <c r="B690" s="783" t="s">
        <v>3301</v>
      </c>
      <c r="C690" s="784">
        <v>5.1979999999999995E-4</v>
      </c>
      <c r="D690" s="784">
        <v>5.1579999999999996E-4</v>
      </c>
      <c r="E690" s="815">
        <v>222466</v>
      </c>
      <c r="F690" s="818">
        <v>1094700</v>
      </c>
      <c r="G690" s="785">
        <v>794110</v>
      </c>
      <c r="H690" s="785"/>
      <c r="I690" s="786">
        <v>45748</v>
      </c>
      <c r="J690" s="787">
        <v>192810</v>
      </c>
      <c r="K690" s="786">
        <v>113410</v>
      </c>
      <c r="L690" s="785">
        <v>2621</v>
      </c>
      <c r="M690" s="785"/>
      <c r="N690" s="786">
        <v>22479</v>
      </c>
      <c r="O690" s="786">
        <v>0</v>
      </c>
      <c r="P690" s="786">
        <v>0</v>
      </c>
      <c r="Q690" s="785">
        <v>43572</v>
      </c>
      <c r="R690" s="785"/>
      <c r="S690" s="786">
        <v>267616</v>
      </c>
      <c r="T690" s="788">
        <v>-19628</v>
      </c>
      <c r="U690" s="788">
        <v>247988</v>
      </c>
    </row>
    <row r="691" spans="1:21" x14ac:dyDescent="0.25">
      <c r="A691" s="782">
        <v>97661</v>
      </c>
      <c r="B691" s="783" t="s">
        <v>3302</v>
      </c>
      <c r="C691" s="784">
        <v>5.1600000000000001E-5</v>
      </c>
      <c r="D691" s="784">
        <v>4.3900000000000003E-5</v>
      </c>
      <c r="E691" s="815">
        <v>24366</v>
      </c>
      <c r="F691" s="818">
        <v>93171</v>
      </c>
      <c r="G691" s="785">
        <v>78831</v>
      </c>
      <c r="H691" s="785"/>
      <c r="I691" s="786">
        <v>4541</v>
      </c>
      <c r="J691" s="787">
        <v>19140</v>
      </c>
      <c r="K691" s="786">
        <v>11258</v>
      </c>
      <c r="L691" s="785">
        <v>13582</v>
      </c>
      <c r="M691" s="785"/>
      <c r="N691" s="786">
        <v>2231</v>
      </c>
      <c r="O691" s="786">
        <v>0</v>
      </c>
      <c r="P691" s="786">
        <v>0</v>
      </c>
      <c r="Q691" s="785">
        <v>1913</v>
      </c>
      <c r="R691" s="785"/>
      <c r="S691" s="786">
        <v>26566</v>
      </c>
      <c r="T691" s="788">
        <v>4861</v>
      </c>
      <c r="U691" s="788">
        <v>31427</v>
      </c>
    </row>
    <row r="692" spans="1:21" x14ac:dyDescent="0.25">
      <c r="A692" s="782">
        <v>97701</v>
      </c>
      <c r="B692" s="783" t="s">
        <v>3303</v>
      </c>
      <c r="C692" s="784">
        <v>2.4975000000000002E-3</v>
      </c>
      <c r="D692" s="784">
        <v>2.5081000000000001E-3</v>
      </c>
      <c r="E692" s="815">
        <v>1156152</v>
      </c>
      <c r="F692" s="818">
        <v>5323028</v>
      </c>
      <c r="G692" s="785">
        <v>3815488</v>
      </c>
      <c r="H692" s="785"/>
      <c r="I692" s="786">
        <v>219807</v>
      </c>
      <c r="J692" s="787">
        <v>926405</v>
      </c>
      <c r="K692" s="786">
        <v>544905</v>
      </c>
      <c r="L692" s="785">
        <v>22724</v>
      </c>
      <c r="M692" s="785"/>
      <c r="N692" s="786">
        <v>108004</v>
      </c>
      <c r="O692" s="786">
        <v>0</v>
      </c>
      <c r="P692" s="786">
        <v>0</v>
      </c>
      <c r="Q692" s="785">
        <v>8673</v>
      </c>
      <c r="R692" s="785"/>
      <c r="S692" s="786">
        <v>1285823</v>
      </c>
      <c r="T692" s="788">
        <v>670</v>
      </c>
      <c r="U692" s="788">
        <v>1286493</v>
      </c>
    </row>
    <row r="693" spans="1:21" x14ac:dyDescent="0.25">
      <c r="A693" s="782">
        <v>97705</v>
      </c>
      <c r="B693" s="783" t="s">
        <v>3304</v>
      </c>
      <c r="C693" s="784">
        <v>4.7700000000000001E-5</v>
      </c>
      <c r="D693" s="784">
        <v>6.41E-5</v>
      </c>
      <c r="E693" s="815">
        <v>22209</v>
      </c>
      <c r="F693" s="818">
        <v>136042</v>
      </c>
      <c r="G693" s="785">
        <v>72872</v>
      </c>
      <c r="H693" s="785"/>
      <c r="I693" s="786">
        <v>4198</v>
      </c>
      <c r="J693" s="787">
        <v>17694</v>
      </c>
      <c r="K693" s="786">
        <v>10407</v>
      </c>
      <c r="L693" s="785">
        <v>5558</v>
      </c>
      <c r="M693" s="785"/>
      <c r="N693" s="786">
        <v>2063</v>
      </c>
      <c r="O693" s="786">
        <v>0</v>
      </c>
      <c r="P693" s="786">
        <v>0</v>
      </c>
      <c r="Q693" s="785">
        <v>13023</v>
      </c>
      <c r="R693" s="785"/>
      <c r="S693" s="786">
        <v>24558</v>
      </c>
      <c r="T693" s="788">
        <v>105</v>
      </c>
      <c r="U693" s="788">
        <v>24663</v>
      </c>
    </row>
    <row r="694" spans="1:21" x14ac:dyDescent="0.25">
      <c r="A694" s="782">
        <v>97711</v>
      </c>
      <c r="B694" s="783" t="s">
        <v>3305</v>
      </c>
      <c r="C694" s="784">
        <v>9.0879999999999997E-4</v>
      </c>
      <c r="D694" s="784">
        <v>9.3789999999999998E-4</v>
      </c>
      <c r="E694" s="815">
        <v>424324</v>
      </c>
      <c r="F694" s="818">
        <v>1990538</v>
      </c>
      <c r="G694" s="785">
        <v>1388395</v>
      </c>
      <c r="H694" s="785"/>
      <c r="I694" s="786">
        <v>79984</v>
      </c>
      <c r="J694" s="787">
        <v>337104</v>
      </c>
      <c r="K694" s="786">
        <v>198282</v>
      </c>
      <c r="L694" s="785">
        <v>9966</v>
      </c>
      <c r="M694" s="785"/>
      <c r="N694" s="786">
        <v>39301</v>
      </c>
      <c r="O694" s="786">
        <v>0</v>
      </c>
      <c r="P694" s="786">
        <v>0</v>
      </c>
      <c r="Q694" s="785">
        <v>31902</v>
      </c>
      <c r="R694" s="785"/>
      <c r="S694" s="786">
        <v>467890</v>
      </c>
      <c r="T694" s="788">
        <v>-1258</v>
      </c>
      <c r="U694" s="788">
        <v>466632</v>
      </c>
    </row>
    <row r="695" spans="1:21" x14ac:dyDescent="0.25">
      <c r="A695" s="782">
        <v>97713</v>
      </c>
      <c r="B695" s="783" t="s">
        <v>3306</v>
      </c>
      <c r="C695" s="784">
        <v>4.1199999999999999E-5</v>
      </c>
      <c r="D695" s="784">
        <v>5.3699999999999997E-5</v>
      </c>
      <c r="E695" s="815">
        <v>17328</v>
      </c>
      <c r="F695" s="818">
        <v>113969</v>
      </c>
      <c r="G695" s="785">
        <v>62942</v>
      </c>
      <c r="H695" s="785"/>
      <c r="I695" s="786">
        <v>3626</v>
      </c>
      <c r="J695" s="787">
        <v>15283</v>
      </c>
      <c r="K695" s="786">
        <v>8989</v>
      </c>
      <c r="L695" s="785">
        <v>927</v>
      </c>
      <c r="M695" s="785"/>
      <c r="N695" s="786">
        <v>1782</v>
      </c>
      <c r="O695" s="786">
        <v>0</v>
      </c>
      <c r="P695" s="786">
        <v>0</v>
      </c>
      <c r="Q695" s="785">
        <v>16932</v>
      </c>
      <c r="R695" s="785"/>
      <c r="S695" s="786">
        <v>21212</v>
      </c>
      <c r="T695" s="788">
        <v>-4802</v>
      </c>
      <c r="U695" s="788">
        <v>16410</v>
      </c>
    </row>
    <row r="696" spans="1:21" x14ac:dyDescent="0.25">
      <c r="A696" s="782">
        <v>97717</v>
      </c>
      <c r="B696" s="783" t="s">
        <v>3307</v>
      </c>
      <c r="C696" s="784">
        <v>4.6999999999999999E-6</v>
      </c>
      <c r="D696" s="784">
        <v>7.5000000000000002E-6</v>
      </c>
      <c r="E696" s="815">
        <v>2478</v>
      </c>
      <c r="F696" s="818">
        <v>15918</v>
      </c>
      <c r="G696" s="785">
        <v>7180</v>
      </c>
      <c r="H696" s="785"/>
      <c r="I696" s="786">
        <v>414</v>
      </c>
      <c r="J696" s="787">
        <v>1743</v>
      </c>
      <c r="K696" s="786">
        <v>1025</v>
      </c>
      <c r="L696" s="785">
        <v>1078</v>
      </c>
      <c r="M696" s="785"/>
      <c r="N696" s="786">
        <v>203</v>
      </c>
      <c r="O696" s="786">
        <v>0</v>
      </c>
      <c r="P696" s="786">
        <v>0</v>
      </c>
      <c r="Q696" s="785">
        <v>3394</v>
      </c>
      <c r="R696" s="785"/>
      <c r="S696" s="786">
        <v>2420</v>
      </c>
      <c r="T696" s="788">
        <v>-1550</v>
      </c>
      <c r="U696" s="788">
        <f>869+1</f>
        <v>870</v>
      </c>
    </row>
    <row r="697" spans="1:21" x14ac:dyDescent="0.25">
      <c r="A697" s="782">
        <v>97721</v>
      </c>
      <c r="B697" s="783" t="s">
        <v>3308</v>
      </c>
      <c r="C697" s="784">
        <v>5.6599999999999999E-4</v>
      </c>
      <c r="D697" s="784">
        <v>5.7249999999999998E-4</v>
      </c>
      <c r="E697" s="815">
        <v>255785</v>
      </c>
      <c r="F697" s="818">
        <v>1215037</v>
      </c>
      <c r="G697" s="785">
        <v>864691</v>
      </c>
      <c r="H697" s="785"/>
      <c r="I697" s="786">
        <v>49814</v>
      </c>
      <c r="J697" s="787">
        <v>209948</v>
      </c>
      <c r="K697" s="786">
        <v>123490</v>
      </c>
      <c r="L697" s="785">
        <v>13608</v>
      </c>
      <c r="M697" s="785"/>
      <c r="N697" s="786">
        <v>24477</v>
      </c>
      <c r="O697" s="786">
        <v>0</v>
      </c>
      <c r="P697" s="786">
        <v>0</v>
      </c>
      <c r="Q697" s="785">
        <v>31303</v>
      </c>
      <c r="R697" s="785"/>
      <c r="S697" s="786">
        <v>291402</v>
      </c>
      <c r="T697" s="788">
        <v>-9026</v>
      </c>
      <c r="U697" s="788">
        <v>282376</v>
      </c>
    </row>
    <row r="698" spans="1:21" x14ac:dyDescent="0.25">
      <c r="A698" s="782">
        <v>97727</v>
      </c>
      <c r="B698" s="783" t="s">
        <v>3309</v>
      </c>
      <c r="C698" s="784">
        <v>2.27E-5</v>
      </c>
      <c r="D698" s="784">
        <v>2.37E-5</v>
      </c>
      <c r="E698" s="815">
        <v>10992</v>
      </c>
      <c r="F698" s="818">
        <v>50299</v>
      </c>
      <c r="G698" s="785">
        <v>34679</v>
      </c>
      <c r="H698" s="785"/>
      <c r="I698" s="786">
        <v>1998</v>
      </c>
      <c r="J698" s="787">
        <v>8420</v>
      </c>
      <c r="K698" s="786">
        <v>4953</v>
      </c>
      <c r="L698" s="785">
        <v>0</v>
      </c>
      <c r="M698" s="785"/>
      <c r="N698" s="786">
        <v>982</v>
      </c>
      <c r="O698" s="786">
        <v>0</v>
      </c>
      <c r="P698" s="786">
        <v>0</v>
      </c>
      <c r="Q698" s="785">
        <v>2260</v>
      </c>
      <c r="R698" s="785"/>
      <c r="S698" s="786">
        <v>11687</v>
      </c>
      <c r="T698" s="788">
        <v>-1260</v>
      </c>
      <c r="U698" s="788">
        <v>10427</v>
      </c>
    </row>
    <row r="699" spans="1:21" x14ac:dyDescent="0.25">
      <c r="A699" s="782">
        <v>97731</v>
      </c>
      <c r="B699" s="783" t="s">
        <v>3310</v>
      </c>
      <c r="C699" s="784">
        <v>3.5500000000000002E-5</v>
      </c>
      <c r="D699" s="784">
        <v>3.7100000000000001E-5</v>
      </c>
      <c r="E699" s="815">
        <v>18460</v>
      </c>
      <c r="F699" s="818">
        <v>78739</v>
      </c>
      <c r="G699" s="785">
        <v>54234</v>
      </c>
      <c r="H699" s="785"/>
      <c r="I699" s="786">
        <v>3124</v>
      </c>
      <c r="J699" s="787">
        <v>13168</v>
      </c>
      <c r="K699" s="786">
        <v>7745</v>
      </c>
      <c r="L699" s="785">
        <v>6361</v>
      </c>
      <c r="M699" s="785"/>
      <c r="N699" s="786">
        <v>1535</v>
      </c>
      <c r="O699" s="786">
        <v>0</v>
      </c>
      <c r="P699" s="786">
        <v>0</v>
      </c>
      <c r="Q699" s="785">
        <v>0</v>
      </c>
      <c r="R699" s="785"/>
      <c r="S699" s="786">
        <v>18277</v>
      </c>
      <c r="T699" s="788">
        <v>2961</v>
      </c>
      <c r="U699" s="788">
        <v>21238</v>
      </c>
    </row>
    <row r="700" spans="1:21" x14ac:dyDescent="0.25">
      <c r="A700" s="782">
        <v>97801</v>
      </c>
      <c r="B700" s="783" t="s">
        <v>3673</v>
      </c>
      <c r="C700" s="784">
        <v>6.9303000000000003E-3</v>
      </c>
      <c r="D700" s="784">
        <v>7.3343000000000002E-3</v>
      </c>
      <c r="E700" s="815">
        <v>3179609</v>
      </c>
      <c r="F700" s="818">
        <v>0</v>
      </c>
      <c r="G700" s="785">
        <v>10587579</v>
      </c>
      <c r="H700" s="785"/>
      <c r="I700" s="786">
        <v>609943</v>
      </c>
      <c r="J700" s="787">
        <v>2570677</v>
      </c>
      <c r="K700" s="786">
        <v>1512053</v>
      </c>
      <c r="L700" s="785">
        <v>27764</v>
      </c>
      <c r="M700" s="785"/>
      <c r="N700" s="786">
        <v>299701</v>
      </c>
      <c r="O700" s="786">
        <v>0</v>
      </c>
      <c r="P700" s="786">
        <v>0</v>
      </c>
      <c r="Q700" s="785">
        <v>406805</v>
      </c>
      <c r="R700" s="785"/>
      <c r="S700" s="786">
        <v>3568023</v>
      </c>
      <c r="T700" s="788">
        <v>-97576</v>
      </c>
      <c r="U700" s="788">
        <v>3470447</v>
      </c>
    </row>
    <row r="701" spans="1:21" x14ac:dyDescent="0.25">
      <c r="A701" s="782">
        <v>97802</v>
      </c>
      <c r="B701" s="783" t="s">
        <v>3312</v>
      </c>
      <c r="C701" s="784">
        <v>1.5300000000000001E-4</v>
      </c>
      <c r="D701" s="784">
        <v>1.8120000000000001E-4</v>
      </c>
      <c r="E701" s="815">
        <v>76715</v>
      </c>
      <c r="F701" s="818">
        <v>384567</v>
      </c>
      <c r="G701" s="785">
        <v>233742</v>
      </c>
      <c r="H701" s="785"/>
      <c r="I701" s="786">
        <v>13466</v>
      </c>
      <c r="J701" s="787">
        <v>56753</v>
      </c>
      <c r="K701" s="786">
        <v>33382</v>
      </c>
      <c r="L701" s="785">
        <v>9696</v>
      </c>
      <c r="M701" s="785"/>
      <c r="N701" s="786">
        <v>6616</v>
      </c>
      <c r="O701" s="786">
        <v>0</v>
      </c>
      <c r="P701" s="786">
        <v>0</v>
      </c>
      <c r="Q701" s="785">
        <v>28235</v>
      </c>
      <c r="R701" s="785"/>
      <c r="S701" s="786">
        <v>78771</v>
      </c>
      <c r="T701" s="788">
        <v>-1176</v>
      </c>
      <c r="U701" s="788">
        <v>77595</v>
      </c>
    </row>
    <row r="702" spans="1:21" x14ac:dyDescent="0.25">
      <c r="A702" s="782">
        <v>97803</v>
      </c>
      <c r="B702" s="783" t="s">
        <v>3313</v>
      </c>
      <c r="C702" s="784">
        <v>7.5300000000000001E-5</v>
      </c>
      <c r="D702" s="784">
        <v>7.9099999999999998E-5</v>
      </c>
      <c r="E702" s="815">
        <v>38231</v>
      </c>
      <c r="F702" s="818">
        <v>167877</v>
      </c>
      <c r="G702" s="785">
        <v>115038</v>
      </c>
      <c r="H702" s="785"/>
      <c r="I702" s="786">
        <v>6627</v>
      </c>
      <c r="J702" s="787">
        <v>27931</v>
      </c>
      <c r="K702" s="786">
        <v>16429</v>
      </c>
      <c r="L702" s="785">
        <v>5581</v>
      </c>
      <c r="M702" s="785"/>
      <c r="N702" s="786">
        <v>3256</v>
      </c>
      <c r="O702" s="786">
        <v>0</v>
      </c>
      <c r="P702" s="786">
        <v>0</v>
      </c>
      <c r="Q702" s="785">
        <v>1522</v>
      </c>
      <c r="R702" s="785"/>
      <c r="S702" s="786">
        <v>38768</v>
      </c>
      <c r="T702" s="788">
        <v>3424</v>
      </c>
      <c r="U702" s="788">
        <v>42192</v>
      </c>
    </row>
    <row r="703" spans="1:21" x14ac:dyDescent="0.25">
      <c r="A703" s="782">
        <v>97805</v>
      </c>
      <c r="B703" s="783" t="s">
        <v>3314</v>
      </c>
      <c r="C703" s="784">
        <v>7.9400000000000006E-5</v>
      </c>
      <c r="D703" s="784">
        <v>8.2600000000000002E-5</v>
      </c>
      <c r="E703" s="815">
        <v>39471</v>
      </c>
      <c r="F703" s="818">
        <v>175305</v>
      </c>
      <c r="G703" s="785">
        <v>121301</v>
      </c>
      <c r="H703" s="785"/>
      <c r="I703" s="786">
        <v>6988</v>
      </c>
      <c r="J703" s="787">
        <v>29452</v>
      </c>
      <c r="K703" s="786">
        <v>17323</v>
      </c>
      <c r="L703" s="785">
        <v>9711</v>
      </c>
      <c r="M703" s="785"/>
      <c r="N703" s="786">
        <v>3434</v>
      </c>
      <c r="O703" s="786">
        <v>0</v>
      </c>
      <c r="P703" s="786">
        <v>0</v>
      </c>
      <c r="Q703" s="785">
        <v>226</v>
      </c>
      <c r="R703" s="785"/>
      <c r="S703" s="786">
        <v>40879</v>
      </c>
      <c r="T703" s="788">
        <v>3824</v>
      </c>
      <c r="U703" s="788">
        <v>44703</v>
      </c>
    </row>
    <row r="704" spans="1:21" x14ac:dyDescent="0.25">
      <c r="A704" s="782">
        <v>97811</v>
      </c>
      <c r="B704" s="783" t="s">
        <v>3315</v>
      </c>
      <c r="C704" s="784">
        <v>2.4172E-3</v>
      </c>
      <c r="D704" s="784">
        <v>2.4088E-3</v>
      </c>
      <c r="E704" s="815">
        <v>1101270</v>
      </c>
      <c r="F704" s="818">
        <v>5112281</v>
      </c>
      <c r="G704" s="785">
        <v>3692812</v>
      </c>
      <c r="H704" s="785"/>
      <c r="I704" s="786">
        <v>212740</v>
      </c>
      <c r="J704" s="787">
        <v>896619</v>
      </c>
      <c r="K704" s="786">
        <v>527385</v>
      </c>
      <c r="L704" s="785">
        <v>0</v>
      </c>
      <c r="M704" s="785"/>
      <c r="N704" s="786">
        <v>104532</v>
      </c>
      <c r="O704" s="786">
        <v>0</v>
      </c>
      <c r="P704" s="786">
        <v>0</v>
      </c>
      <c r="Q704" s="785">
        <v>164062</v>
      </c>
      <c r="R704" s="785"/>
      <c r="S704" s="786">
        <v>1244481</v>
      </c>
      <c r="T704" s="788">
        <v>-73272</v>
      </c>
      <c r="U704" s="788">
        <v>1171209</v>
      </c>
    </row>
    <row r="705" spans="1:21" x14ac:dyDescent="0.25">
      <c r="A705" s="782">
        <v>97817</v>
      </c>
      <c r="B705" s="783" t="s">
        <v>3316</v>
      </c>
      <c r="C705" s="784">
        <v>2.2200000000000001E-5</v>
      </c>
      <c r="D705" s="784">
        <v>3.9999999999999998E-6</v>
      </c>
      <c r="E705" s="815">
        <v>14127</v>
      </c>
      <c r="F705" s="818">
        <v>8489</v>
      </c>
      <c r="G705" s="785">
        <v>33915</v>
      </c>
      <c r="H705" s="785"/>
      <c r="I705" s="786">
        <v>1954</v>
      </c>
      <c r="J705" s="787">
        <v>8235</v>
      </c>
      <c r="K705" s="786">
        <v>4844</v>
      </c>
      <c r="L705" s="785">
        <v>18101</v>
      </c>
      <c r="M705" s="785"/>
      <c r="N705" s="786">
        <v>960</v>
      </c>
      <c r="O705" s="786">
        <v>0</v>
      </c>
      <c r="P705" s="786">
        <v>0</v>
      </c>
      <c r="Q705" s="785">
        <v>2418</v>
      </c>
      <c r="R705" s="785"/>
      <c r="S705" s="786">
        <v>11430</v>
      </c>
      <c r="T705" s="788">
        <v>3916</v>
      </c>
      <c r="U705" s="788">
        <f>15345+1</f>
        <v>15346</v>
      </c>
    </row>
    <row r="706" spans="1:21" x14ac:dyDescent="0.25">
      <c r="A706" s="782">
        <v>97818</v>
      </c>
      <c r="B706" s="783" t="s">
        <v>3317</v>
      </c>
      <c r="C706" s="784">
        <v>2.1999999999999999E-5</v>
      </c>
      <c r="D706" s="784">
        <v>2.12E-5</v>
      </c>
      <c r="E706" s="815">
        <v>9809</v>
      </c>
      <c r="F706" s="818">
        <v>44994</v>
      </c>
      <c r="G706" s="785">
        <v>33610</v>
      </c>
      <c r="H706" s="785"/>
      <c r="I706" s="786">
        <v>1936</v>
      </c>
      <c r="J706" s="787">
        <v>8160</v>
      </c>
      <c r="K706" s="786">
        <v>4800</v>
      </c>
      <c r="L706" s="785">
        <v>6200</v>
      </c>
      <c r="M706" s="785"/>
      <c r="N706" s="786">
        <v>951</v>
      </c>
      <c r="O706" s="786">
        <v>0</v>
      </c>
      <c r="P706" s="786">
        <v>0</v>
      </c>
      <c r="Q706" s="785">
        <v>2136</v>
      </c>
      <c r="R706" s="785"/>
      <c r="S706" s="786">
        <v>11327</v>
      </c>
      <c r="T706" s="788">
        <v>134</v>
      </c>
      <c r="U706" s="788">
        <v>11461</v>
      </c>
    </row>
    <row r="707" spans="1:21" x14ac:dyDescent="0.25">
      <c r="A707" s="782">
        <v>97821</v>
      </c>
      <c r="B707" s="783" t="s">
        <v>3318</v>
      </c>
      <c r="C707" s="784">
        <v>1.126E-4</v>
      </c>
      <c r="D707" s="784">
        <v>1.1620000000000001E-4</v>
      </c>
      <c r="E707" s="815">
        <v>61404</v>
      </c>
      <c r="F707" s="818">
        <v>246615</v>
      </c>
      <c r="G707" s="785">
        <v>172022</v>
      </c>
      <c r="H707" s="785"/>
      <c r="I707" s="786">
        <v>9910</v>
      </c>
      <c r="J707" s="787">
        <v>41767</v>
      </c>
      <c r="K707" s="786">
        <v>24567</v>
      </c>
      <c r="L707" s="785">
        <v>5355</v>
      </c>
      <c r="M707" s="785"/>
      <c r="N707" s="786">
        <v>4869</v>
      </c>
      <c r="O707" s="786">
        <v>0</v>
      </c>
      <c r="P707" s="786">
        <v>0</v>
      </c>
      <c r="Q707" s="785">
        <v>16228</v>
      </c>
      <c r="R707" s="785"/>
      <c r="S707" s="786">
        <v>57971</v>
      </c>
      <c r="T707" s="788">
        <v>-9342</v>
      </c>
      <c r="U707" s="788">
        <f>48630-1</f>
        <v>48629</v>
      </c>
    </row>
    <row r="708" spans="1:21" x14ac:dyDescent="0.25">
      <c r="A708" s="782">
        <v>97823</v>
      </c>
      <c r="B708" s="783" t="s">
        <v>3319</v>
      </c>
      <c r="C708" s="784">
        <v>2.3300000000000001E-5</v>
      </c>
      <c r="D708" s="784">
        <v>2.4600000000000002E-5</v>
      </c>
      <c r="E708" s="815">
        <v>13092</v>
      </c>
      <c r="F708" s="818">
        <v>52209</v>
      </c>
      <c r="G708" s="785">
        <v>35596</v>
      </c>
      <c r="H708" s="785"/>
      <c r="I708" s="786">
        <v>2051</v>
      </c>
      <c r="J708" s="787">
        <v>8642</v>
      </c>
      <c r="K708" s="786">
        <v>5084</v>
      </c>
      <c r="L708" s="785">
        <v>1711</v>
      </c>
      <c r="M708" s="785"/>
      <c r="N708" s="786">
        <v>1008</v>
      </c>
      <c r="O708" s="786">
        <v>0</v>
      </c>
      <c r="P708" s="786">
        <v>0</v>
      </c>
      <c r="Q708" s="785">
        <v>591</v>
      </c>
      <c r="R708" s="785"/>
      <c r="S708" s="786">
        <v>11996</v>
      </c>
      <c r="T708" s="788">
        <v>-77</v>
      </c>
      <c r="U708" s="788">
        <v>11919</v>
      </c>
    </row>
    <row r="709" spans="1:21" x14ac:dyDescent="0.25">
      <c r="A709" s="782">
        <v>97831</v>
      </c>
      <c r="B709" s="783" t="s">
        <v>3320</v>
      </c>
      <c r="C709" s="784">
        <v>1.7009999999999999E-4</v>
      </c>
      <c r="D709" s="784">
        <v>1.482E-4</v>
      </c>
      <c r="E709" s="815">
        <v>78813</v>
      </c>
      <c r="F709" s="818">
        <v>314530</v>
      </c>
      <c r="G709" s="785">
        <v>259866</v>
      </c>
      <c r="H709" s="785"/>
      <c r="I709" s="786">
        <v>14971</v>
      </c>
      <c r="J709" s="787">
        <v>63096</v>
      </c>
      <c r="K709" s="786">
        <v>37112</v>
      </c>
      <c r="L709" s="785">
        <v>15261</v>
      </c>
      <c r="M709" s="785"/>
      <c r="N709" s="786">
        <v>7356</v>
      </c>
      <c r="O709" s="786">
        <v>0</v>
      </c>
      <c r="P709" s="786">
        <v>0</v>
      </c>
      <c r="Q709" s="785">
        <v>8418</v>
      </c>
      <c r="R709" s="785"/>
      <c r="S709" s="786">
        <v>87575</v>
      </c>
      <c r="T709" s="788">
        <v>-2075</v>
      </c>
      <c r="U709" s="788">
        <v>85500</v>
      </c>
    </row>
    <row r="710" spans="1:21" x14ac:dyDescent="0.25">
      <c r="A710" s="782">
        <v>97837</v>
      </c>
      <c r="B710" s="783" t="s">
        <v>3321</v>
      </c>
      <c r="C710" s="784">
        <v>1.0200000000000001E-5</v>
      </c>
      <c r="D710" s="784">
        <v>8.8000000000000004E-6</v>
      </c>
      <c r="E710" s="815">
        <v>6053</v>
      </c>
      <c r="F710" s="818">
        <v>18677</v>
      </c>
      <c r="G710" s="785">
        <v>15583</v>
      </c>
      <c r="H710" s="785"/>
      <c r="I710" s="786">
        <v>898</v>
      </c>
      <c r="J710" s="787">
        <v>3784</v>
      </c>
      <c r="K710" s="786">
        <v>2225</v>
      </c>
      <c r="L710" s="785">
        <v>3302</v>
      </c>
      <c r="M710" s="785"/>
      <c r="N710" s="786">
        <v>441</v>
      </c>
      <c r="O710" s="786">
        <v>0</v>
      </c>
      <c r="P710" s="786">
        <v>0</v>
      </c>
      <c r="Q710" s="785">
        <v>214</v>
      </c>
      <c r="R710" s="785"/>
      <c r="S710" s="786">
        <v>5251</v>
      </c>
      <c r="T710" s="788">
        <v>1260</v>
      </c>
      <c r="U710" s="788">
        <v>6511</v>
      </c>
    </row>
    <row r="711" spans="1:21" x14ac:dyDescent="0.25">
      <c r="A711" s="782">
        <v>97840</v>
      </c>
      <c r="B711" s="783" t="s">
        <v>3322</v>
      </c>
      <c r="C711" s="784">
        <v>1.3190000000000001E-4</v>
      </c>
      <c r="D711" s="784">
        <v>1.403E-4</v>
      </c>
      <c r="E711" s="815">
        <v>107784</v>
      </c>
      <c r="F711" s="818">
        <v>297764</v>
      </c>
      <c r="G711" s="785">
        <v>201507</v>
      </c>
      <c r="H711" s="785"/>
      <c r="I711" s="786">
        <v>11609</v>
      </c>
      <c r="J711" s="787">
        <v>48926</v>
      </c>
      <c r="K711" s="786">
        <v>28778</v>
      </c>
      <c r="L711" s="785">
        <v>76227</v>
      </c>
      <c r="M711" s="785"/>
      <c r="N711" s="786">
        <v>5704</v>
      </c>
      <c r="O711" s="786">
        <v>0</v>
      </c>
      <c r="P711" s="786">
        <v>0</v>
      </c>
      <c r="Q711" s="785">
        <v>964</v>
      </c>
      <c r="R711" s="785"/>
      <c r="S711" s="786">
        <v>67908</v>
      </c>
      <c r="T711" s="788">
        <v>27073</v>
      </c>
      <c r="U711" s="788">
        <v>94981</v>
      </c>
    </row>
    <row r="712" spans="1:21" x14ac:dyDescent="0.25">
      <c r="A712" s="782">
        <v>97841</v>
      </c>
      <c r="B712" s="783" t="s">
        <v>3323</v>
      </c>
      <c r="C712" s="784">
        <v>1.31E-5</v>
      </c>
      <c r="D712" s="784">
        <v>1.45E-5</v>
      </c>
      <c r="E712" s="815">
        <v>6425</v>
      </c>
      <c r="F712" s="818">
        <v>30774</v>
      </c>
      <c r="G712" s="785">
        <v>20013</v>
      </c>
      <c r="H712" s="785"/>
      <c r="I712" s="786">
        <v>1153</v>
      </c>
      <c r="J712" s="787">
        <v>4859</v>
      </c>
      <c r="K712" s="786">
        <v>2858</v>
      </c>
      <c r="L712" s="785">
        <v>410</v>
      </c>
      <c r="M712" s="785"/>
      <c r="N712" s="786">
        <v>567</v>
      </c>
      <c r="O712" s="786">
        <v>0</v>
      </c>
      <c r="P712" s="786">
        <v>0</v>
      </c>
      <c r="Q712" s="785">
        <v>4768</v>
      </c>
      <c r="R712" s="785"/>
      <c r="S712" s="786">
        <v>6744</v>
      </c>
      <c r="T712" s="788">
        <v>-3859</v>
      </c>
      <c r="U712" s="788">
        <v>2885</v>
      </c>
    </row>
    <row r="713" spans="1:21" x14ac:dyDescent="0.25">
      <c r="A713" s="782">
        <v>97847</v>
      </c>
      <c r="B713" s="783" t="s">
        <v>3324</v>
      </c>
      <c r="C713" s="784">
        <v>2.0999999999999998E-6</v>
      </c>
      <c r="D713" s="784">
        <v>2.2000000000000001E-6</v>
      </c>
      <c r="E713" s="815">
        <v>2259</v>
      </c>
      <c r="F713" s="818">
        <v>4669</v>
      </c>
      <c r="G713" s="785">
        <v>3208</v>
      </c>
      <c r="H713" s="785"/>
      <c r="I713" s="786">
        <v>185</v>
      </c>
      <c r="J713" s="787">
        <v>779</v>
      </c>
      <c r="K713" s="786">
        <v>458</v>
      </c>
      <c r="L713" s="785">
        <v>1433</v>
      </c>
      <c r="M713" s="785"/>
      <c r="N713" s="786">
        <v>91</v>
      </c>
      <c r="O713" s="786">
        <v>0</v>
      </c>
      <c r="P713" s="786">
        <v>0</v>
      </c>
      <c r="Q713" s="785">
        <v>72</v>
      </c>
      <c r="R713" s="785"/>
      <c r="S713" s="786">
        <v>1081</v>
      </c>
      <c r="T713" s="788">
        <v>355</v>
      </c>
      <c r="U713" s="788">
        <v>1436</v>
      </c>
    </row>
    <row r="714" spans="1:21" x14ac:dyDescent="0.25">
      <c r="A714" s="782">
        <v>97851</v>
      </c>
      <c r="B714" s="783" t="s">
        <v>3325</v>
      </c>
      <c r="C714" s="784">
        <v>2.7799999999999998E-4</v>
      </c>
      <c r="D714" s="784">
        <v>2.7460000000000001E-4</v>
      </c>
      <c r="E714" s="815">
        <v>116408</v>
      </c>
      <c r="F714" s="818">
        <v>582793</v>
      </c>
      <c r="G714" s="785">
        <v>424707</v>
      </c>
      <c r="H714" s="785"/>
      <c r="I714" s="786">
        <v>24467</v>
      </c>
      <c r="J714" s="787">
        <v>103120</v>
      </c>
      <c r="K714" s="786">
        <v>60654</v>
      </c>
      <c r="L714" s="785">
        <v>1448</v>
      </c>
      <c r="M714" s="785"/>
      <c r="N714" s="786">
        <v>12022</v>
      </c>
      <c r="O714" s="786">
        <v>0</v>
      </c>
      <c r="P714" s="786">
        <v>0</v>
      </c>
      <c r="Q714" s="785">
        <v>12710</v>
      </c>
      <c r="R714" s="785"/>
      <c r="S714" s="786">
        <v>143127</v>
      </c>
      <c r="T714" s="788">
        <v>-2512</v>
      </c>
      <c r="U714" s="788">
        <v>140615</v>
      </c>
    </row>
    <row r="715" spans="1:21" x14ac:dyDescent="0.25">
      <c r="A715" s="782">
        <v>97853</v>
      </c>
      <c r="B715" s="783" t="s">
        <v>3326</v>
      </c>
      <c r="C715" s="784">
        <v>1.0289999999999999E-4</v>
      </c>
      <c r="D715" s="784">
        <v>9.1600000000000004E-5</v>
      </c>
      <c r="E715" s="815">
        <v>44043</v>
      </c>
      <c r="F715" s="818">
        <v>194406</v>
      </c>
      <c r="G715" s="785">
        <v>157203</v>
      </c>
      <c r="H715" s="785"/>
      <c r="I715" s="786">
        <v>9056</v>
      </c>
      <c r="J715" s="787">
        <v>38169</v>
      </c>
      <c r="K715" s="786">
        <v>22451</v>
      </c>
      <c r="L715" s="785">
        <v>8759</v>
      </c>
      <c r="M715" s="785"/>
      <c r="N715" s="786">
        <v>4450</v>
      </c>
      <c r="O715" s="786">
        <v>0</v>
      </c>
      <c r="P715" s="786">
        <v>0</v>
      </c>
      <c r="Q715" s="785">
        <v>9750</v>
      </c>
      <c r="R715" s="785"/>
      <c r="S715" s="786">
        <v>52977</v>
      </c>
      <c r="T715" s="788">
        <v>429</v>
      </c>
      <c r="U715" s="788">
        <f>53407-1</f>
        <v>53406</v>
      </c>
    </row>
    <row r="716" spans="1:21" x14ac:dyDescent="0.25">
      <c r="A716" s="782">
        <v>97861</v>
      </c>
      <c r="B716" s="783" t="s">
        <v>3327</v>
      </c>
      <c r="C716" s="784">
        <v>6.7000000000000002E-5</v>
      </c>
      <c r="D716" s="784">
        <v>6.8499999999999998E-5</v>
      </c>
      <c r="E716" s="815">
        <v>27517</v>
      </c>
      <c r="F716" s="818">
        <v>145380</v>
      </c>
      <c r="G716" s="785">
        <v>102357</v>
      </c>
      <c r="H716" s="785"/>
      <c r="I716" s="786">
        <v>5897</v>
      </c>
      <c r="J716" s="787">
        <v>24852</v>
      </c>
      <c r="K716" s="786">
        <v>14618</v>
      </c>
      <c r="L716" s="785">
        <v>1771</v>
      </c>
      <c r="M716" s="785"/>
      <c r="N716" s="786">
        <v>2897</v>
      </c>
      <c r="O716" s="786">
        <v>0</v>
      </c>
      <c r="P716" s="786">
        <v>0</v>
      </c>
      <c r="Q716" s="785">
        <v>7954</v>
      </c>
      <c r="R716" s="785"/>
      <c r="S716" s="786">
        <v>34495</v>
      </c>
      <c r="T716" s="788">
        <v>-3725</v>
      </c>
      <c r="U716" s="788">
        <f>30769+1</f>
        <v>30770</v>
      </c>
    </row>
    <row r="717" spans="1:21" x14ac:dyDescent="0.25">
      <c r="A717" s="782">
        <v>97871</v>
      </c>
      <c r="B717" s="783" t="s">
        <v>3328</v>
      </c>
      <c r="C717" s="784">
        <v>2.9930000000000001E-4</v>
      </c>
      <c r="D717" s="784">
        <v>3.1500000000000001E-4</v>
      </c>
      <c r="E717" s="815">
        <v>273654</v>
      </c>
      <c r="F717" s="818">
        <v>668536</v>
      </c>
      <c r="G717" s="785">
        <v>457247</v>
      </c>
      <c r="H717" s="785"/>
      <c r="I717" s="786">
        <v>26342</v>
      </c>
      <c r="J717" s="787">
        <v>111020</v>
      </c>
      <c r="K717" s="786">
        <v>65301</v>
      </c>
      <c r="L717" s="785">
        <v>217143</v>
      </c>
      <c r="M717" s="785"/>
      <c r="N717" s="786">
        <v>12943</v>
      </c>
      <c r="O717" s="786">
        <v>0</v>
      </c>
      <c r="P717" s="786">
        <v>0</v>
      </c>
      <c r="Q717" s="785">
        <v>0</v>
      </c>
      <c r="R717" s="785"/>
      <c r="S717" s="786">
        <v>154093</v>
      </c>
      <c r="T717" s="788">
        <v>79417</v>
      </c>
      <c r="U717" s="788">
        <f>233509+1</f>
        <v>233510</v>
      </c>
    </row>
    <row r="718" spans="1:21" x14ac:dyDescent="0.25">
      <c r="A718" s="782">
        <v>97877</v>
      </c>
      <c r="B718" s="783" t="s">
        <v>3329</v>
      </c>
      <c r="C718" s="784">
        <v>1.9E-6</v>
      </c>
      <c r="D718" s="784">
        <v>2.2000000000000001E-6</v>
      </c>
      <c r="E718" s="815">
        <v>2104</v>
      </c>
      <c r="F718" s="818">
        <v>4669</v>
      </c>
      <c r="G718" s="785">
        <v>2903</v>
      </c>
      <c r="H718" s="785"/>
      <c r="I718" s="786">
        <v>167</v>
      </c>
      <c r="J718" s="787">
        <v>705</v>
      </c>
      <c r="K718" s="786">
        <v>415</v>
      </c>
      <c r="L718" s="785">
        <v>1638</v>
      </c>
      <c r="M718" s="785"/>
      <c r="N718" s="786">
        <v>82</v>
      </c>
      <c r="O718" s="786">
        <v>0</v>
      </c>
      <c r="P718" s="786">
        <v>0</v>
      </c>
      <c r="Q718" s="785">
        <v>0</v>
      </c>
      <c r="R718" s="785"/>
      <c r="S718" s="786">
        <v>978</v>
      </c>
      <c r="T718" s="788">
        <v>648</v>
      </c>
      <c r="U718" s="788">
        <f>1627-1</f>
        <v>1626</v>
      </c>
    </row>
    <row r="719" spans="1:21" x14ac:dyDescent="0.25">
      <c r="A719" s="782">
        <v>97901</v>
      </c>
      <c r="B719" s="783" t="s">
        <v>3330</v>
      </c>
      <c r="C719" s="784">
        <v>4.2658000000000001E-3</v>
      </c>
      <c r="D719" s="784">
        <v>4.3616999999999996E-3</v>
      </c>
      <c r="E719" s="815">
        <v>2091024</v>
      </c>
      <c r="F719" s="818">
        <v>9256989</v>
      </c>
      <c r="G719" s="785">
        <v>6516961</v>
      </c>
      <c r="H719" s="785"/>
      <c r="I719" s="786">
        <v>375437</v>
      </c>
      <c r="J719" s="787">
        <v>1582326</v>
      </c>
      <c r="K719" s="786">
        <v>930712</v>
      </c>
      <c r="L719" s="785">
        <v>88360</v>
      </c>
      <c r="M719" s="785"/>
      <c r="N719" s="786">
        <v>184475</v>
      </c>
      <c r="O719" s="786">
        <v>0</v>
      </c>
      <c r="P719" s="786">
        <v>0</v>
      </c>
      <c r="Q719" s="785">
        <v>14865</v>
      </c>
      <c r="R719" s="785"/>
      <c r="S719" s="786">
        <v>2196222</v>
      </c>
      <c r="T719" s="788">
        <v>35112</v>
      </c>
      <c r="U719" s="788">
        <v>2231334</v>
      </c>
    </row>
    <row r="720" spans="1:21" x14ac:dyDescent="0.25">
      <c r="A720" s="782">
        <v>97911</v>
      </c>
      <c r="B720" s="783" t="s">
        <v>3331</v>
      </c>
      <c r="C720" s="784">
        <v>1.3005E-3</v>
      </c>
      <c r="D720" s="784">
        <v>1.3190000000000001E-3</v>
      </c>
      <c r="E720" s="815">
        <v>613265</v>
      </c>
      <c r="F720" s="818">
        <v>2799360</v>
      </c>
      <c r="G720" s="785">
        <v>1986804</v>
      </c>
      <c r="H720" s="785"/>
      <c r="I720" s="786">
        <v>114458</v>
      </c>
      <c r="J720" s="787">
        <v>482398</v>
      </c>
      <c r="K720" s="786">
        <v>283743</v>
      </c>
      <c r="L720" s="785">
        <v>31167</v>
      </c>
      <c r="M720" s="785"/>
      <c r="N720" s="786">
        <v>56240</v>
      </c>
      <c r="O720" s="786">
        <v>0</v>
      </c>
      <c r="P720" s="786">
        <v>0</v>
      </c>
      <c r="Q720" s="785">
        <v>28435</v>
      </c>
      <c r="R720" s="785"/>
      <c r="S720" s="786">
        <v>669555</v>
      </c>
      <c r="T720" s="788">
        <v>10548</v>
      </c>
      <c r="U720" s="788">
        <v>680103</v>
      </c>
    </row>
    <row r="721" spans="1:21" x14ac:dyDescent="0.25">
      <c r="A721" s="782">
        <v>97913</v>
      </c>
      <c r="B721" s="783" t="s">
        <v>3332</v>
      </c>
      <c r="C721" s="784">
        <v>3.5899999999999998E-5</v>
      </c>
      <c r="D721" s="784">
        <v>3.7400000000000001E-5</v>
      </c>
      <c r="E721" s="815">
        <v>27559</v>
      </c>
      <c r="F721" s="818">
        <v>79375</v>
      </c>
      <c r="G721" s="785">
        <v>54845</v>
      </c>
      <c r="H721" s="785"/>
      <c r="I721" s="786">
        <v>3160</v>
      </c>
      <c r="J721" s="787">
        <v>13317</v>
      </c>
      <c r="K721" s="786">
        <v>7833</v>
      </c>
      <c r="L721" s="785">
        <v>15616</v>
      </c>
      <c r="M721" s="785"/>
      <c r="N721" s="786">
        <v>1552</v>
      </c>
      <c r="O721" s="786">
        <v>0</v>
      </c>
      <c r="P721" s="786">
        <v>0</v>
      </c>
      <c r="Q721" s="785">
        <v>0</v>
      </c>
      <c r="R721" s="785"/>
      <c r="S721" s="786">
        <v>18483</v>
      </c>
      <c r="T721" s="788">
        <v>5369</v>
      </c>
      <c r="U721" s="788">
        <f>23851+1</f>
        <v>23852</v>
      </c>
    </row>
    <row r="722" spans="1:21" x14ac:dyDescent="0.25">
      <c r="A722" s="782">
        <v>97917</v>
      </c>
      <c r="B722" s="783" t="s">
        <v>3333</v>
      </c>
      <c r="C722" s="784">
        <v>2.0999999999999999E-5</v>
      </c>
      <c r="D722" s="784">
        <v>1.98E-5</v>
      </c>
      <c r="E722" s="815">
        <v>13419</v>
      </c>
      <c r="F722" s="818">
        <v>42022</v>
      </c>
      <c r="G722" s="785">
        <v>32082</v>
      </c>
      <c r="H722" s="785"/>
      <c r="I722" s="786">
        <v>1848</v>
      </c>
      <c r="J722" s="787">
        <v>7790</v>
      </c>
      <c r="K722" s="786">
        <v>4582</v>
      </c>
      <c r="L722" s="785">
        <v>7811</v>
      </c>
      <c r="M722" s="785"/>
      <c r="N722" s="786">
        <v>908</v>
      </c>
      <c r="O722" s="786">
        <v>0</v>
      </c>
      <c r="P722" s="786">
        <v>0</v>
      </c>
      <c r="Q722" s="785">
        <v>0</v>
      </c>
      <c r="R722" s="785"/>
      <c r="S722" s="786">
        <v>10812</v>
      </c>
      <c r="T722" s="788">
        <v>3168</v>
      </c>
      <c r="U722" s="788">
        <f>13979+1</f>
        <v>13980</v>
      </c>
    </row>
    <row r="723" spans="1:21" x14ac:dyDescent="0.25">
      <c r="A723" s="782">
        <v>97921</v>
      </c>
      <c r="B723" s="783" t="s">
        <v>3334</v>
      </c>
      <c r="C723" s="784">
        <v>2.1699999999999999E-4</v>
      </c>
      <c r="D723" s="784">
        <v>2.2169999999999999E-4</v>
      </c>
      <c r="E723" s="815">
        <v>103163</v>
      </c>
      <c r="F723" s="818">
        <v>470522</v>
      </c>
      <c r="G723" s="785">
        <v>331516</v>
      </c>
      <c r="H723" s="785"/>
      <c r="I723" s="786">
        <v>19098</v>
      </c>
      <c r="J723" s="787">
        <v>80493</v>
      </c>
      <c r="K723" s="786">
        <v>47345</v>
      </c>
      <c r="L723" s="785">
        <v>11562</v>
      </c>
      <c r="M723" s="785"/>
      <c r="N723" s="786">
        <v>9384</v>
      </c>
      <c r="O723" s="786">
        <v>0</v>
      </c>
      <c r="P723" s="786">
        <v>0</v>
      </c>
      <c r="Q723" s="785">
        <v>5992</v>
      </c>
      <c r="R723" s="785"/>
      <c r="S723" s="786">
        <v>111721</v>
      </c>
      <c r="T723" s="788">
        <v>3241</v>
      </c>
      <c r="U723" s="788">
        <v>114962</v>
      </c>
    </row>
    <row r="724" spans="1:21" x14ac:dyDescent="0.25">
      <c r="A724" s="782">
        <v>97931</v>
      </c>
      <c r="B724" s="783" t="s">
        <v>3335</v>
      </c>
      <c r="C724" s="784">
        <v>7.0199999999999999E-5</v>
      </c>
      <c r="D724" s="784">
        <v>6.1600000000000007E-5</v>
      </c>
      <c r="E724" s="815">
        <v>31939</v>
      </c>
      <c r="F724" s="818">
        <v>130736</v>
      </c>
      <c r="G724" s="785">
        <v>107246</v>
      </c>
      <c r="H724" s="785"/>
      <c r="I724" s="786">
        <v>6178</v>
      </c>
      <c r="J724" s="787">
        <v>26039</v>
      </c>
      <c r="K724" s="786">
        <v>15316</v>
      </c>
      <c r="L724" s="785">
        <v>18162</v>
      </c>
      <c r="M724" s="785"/>
      <c r="N724" s="786">
        <v>3036</v>
      </c>
      <c r="O724" s="786">
        <v>0</v>
      </c>
      <c r="P724" s="786">
        <v>0</v>
      </c>
      <c r="Q724" s="785">
        <v>7492</v>
      </c>
      <c r="R724" s="785"/>
      <c r="S724" s="786">
        <v>36142</v>
      </c>
      <c r="T724" s="788">
        <v>2117</v>
      </c>
      <c r="U724" s="788">
        <v>38259</v>
      </c>
    </row>
    <row r="725" spans="1:21" x14ac:dyDescent="0.25">
      <c r="A725" s="782">
        <v>97941</v>
      </c>
      <c r="B725" s="783" t="s">
        <v>3336</v>
      </c>
      <c r="C725" s="784">
        <v>2.0479999999999999E-4</v>
      </c>
      <c r="D725" s="784">
        <v>2.3330000000000001E-4</v>
      </c>
      <c r="E725" s="815">
        <v>106970</v>
      </c>
      <c r="F725" s="818">
        <v>495141</v>
      </c>
      <c r="G725" s="785">
        <v>312878</v>
      </c>
      <c r="H725" s="785"/>
      <c r="I725" s="786">
        <v>18025</v>
      </c>
      <c r="J725" s="787">
        <v>75967</v>
      </c>
      <c r="K725" s="786">
        <v>44683</v>
      </c>
      <c r="L725" s="785">
        <v>17999</v>
      </c>
      <c r="M725" s="785"/>
      <c r="N725" s="786">
        <v>8857</v>
      </c>
      <c r="O725" s="786">
        <v>0</v>
      </c>
      <c r="P725" s="786">
        <v>0</v>
      </c>
      <c r="Q725" s="785">
        <v>8897</v>
      </c>
      <c r="R725" s="785"/>
      <c r="S725" s="786">
        <v>105440</v>
      </c>
      <c r="T725" s="788">
        <v>7001</v>
      </c>
      <c r="U725" s="788">
        <v>112441</v>
      </c>
    </row>
    <row r="726" spans="1:21" x14ac:dyDescent="0.25">
      <c r="A726" s="782">
        <v>97947</v>
      </c>
      <c r="B726" s="783" t="s">
        <v>3337</v>
      </c>
      <c r="C726" s="784">
        <v>1.3900000000000001E-5</v>
      </c>
      <c r="D726" s="784">
        <v>1.5500000000000001E-5</v>
      </c>
      <c r="E726" s="815">
        <v>11471</v>
      </c>
      <c r="F726" s="818">
        <v>32896</v>
      </c>
      <c r="G726" s="785">
        <v>21235</v>
      </c>
      <c r="H726" s="785"/>
      <c r="I726" s="786">
        <v>1223</v>
      </c>
      <c r="J726" s="787">
        <v>5156</v>
      </c>
      <c r="K726" s="786">
        <v>3033</v>
      </c>
      <c r="L726" s="785">
        <v>9518</v>
      </c>
      <c r="M726" s="785"/>
      <c r="N726" s="786">
        <v>601</v>
      </c>
      <c r="O726" s="786">
        <v>0</v>
      </c>
      <c r="P726" s="786">
        <v>0</v>
      </c>
      <c r="Q726" s="785">
        <v>306</v>
      </c>
      <c r="R726" s="785"/>
      <c r="S726" s="786">
        <v>7156</v>
      </c>
      <c r="T726" s="788">
        <v>3116</v>
      </c>
      <c r="U726" s="788">
        <v>10272</v>
      </c>
    </row>
    <row r="727" spans="1:21" x14ac:dyDescent="0.25">
      <c r="A727" s="782">
        <v>97948</v>
      </c>
      <c r="B727" s="783" t="s">
        <v>3338</v>
      </c>
      <c r="C727" s="784">
        <v>2.2099999999999998E-5</v>
      </c>
      <c r="D727" s="784">
        <v>3.5200000000000002E-5</v>
      </c>
      <c r="E727" s="815">
        <v>10840</v>
      </c>
      <c r="F727" s="818">
        <v>74706</v>
      </c>
      <c r="G727" s="785">
        <v>33763</v>
      </c>
      <c r="H727" s="785"/>
      <c r="I727" s="786">
        <v>1945</v>
      </c>
      <c r="J727" s="787">
        <v>8198</v>
      </c>
      <c r="K727" s="786">
        <v>4822</v>
      </c>
      <c r="L727" s="785">
        <v>1909</v>
      </c>
      <c r="M727" s="785"/>
      <c r="N727" s="786">
        <v>956</v>
      </c>
      <c r="O727" s="786">
        <v>0</v>
      </c>
      <c r="P727" s="786">
        <v>0</v>
      </c>
      <c r="Q727" s="785">
        <v>8330</v>
      </c>
      <c r="R727" s="785"/>
      <c r="S727" s="786">
        <v>11378</v>
      </c>
      <c r="T727" s="788">
        <v>-972</v>
      </c>
      <c r="U727" s="788">
        <v>10406</v>
      </c>
    </row>
    <row r="728" spans="1:21" x14ac:dyDescent="0.25">
      <c r="A728" s="782">
        <v>97951</v>
      </c>
      <c r="B728" s="783" t="s">
        <v>3339</v>
      </c>
      <c r="C728" s="784">
        <v>1.2440999999999999E-3</v>
      </c>
      <c r="D728" s="784">
        <v>1.2497000000000001E-3</v>
      </c>
      <c r="E728" s="815">
        <v>597832</v>
      </c>
      <c r="F728" s="818">
        <v>2652282</v>
      </c>
      <c r="G728" s="785">
        <v>1900640</v>
      </c>
      <c r="H728" s="785"/>
      <c r="I728" s="786">
        <v>109494</v>
      </c>
      <c r="J728" s="787">
        <v>461477</v>
      </c>
      <c r="K728" s="786">
        <v>271438</v>
      </c>
      <c r="L728" s="785">
        <v>31864</v>
      </c>
      <c r="M728" s="785"/>
      <c r="N728" s="786">
        <v>53801</v>
      </c>
      <c r="O728" s="786">
        <v>0</v>
      </c>
      <c r="P728" s="786">
        <v>0</v>
      </c>
      <c r="Q728" s="785">
        <v>7067</v>
      </c>
      <c r="R728" s="785"/>
      <c r="S728" s="786">
        <v>640517</v>
      </c>
      <c r="T728" s="788">
        <v>4295</v>
      </c>
      <c r="U728" s="788">
        <f>644813-1</f>
        <v>644812</v>
      </c>
    </row>
    <row r="729" spans="1:21" x14ac:dyDescent="0.25">
      <c r="A729" s="782">
        <v>97957</v>
      </c>
      <c r="B729" s="783" t="s">
        <v>3340</v>
      </c>
      <c r="C729" s="784">
        <v>1.8700000000000001E-5</v>
      </c>
      <c r="D729" s="784">
        <v>1.9599999999999999E-5</v>
      </c>
      <c r="E729" s="815">
        <v>12857</v>
      </c>
      <c r="F729" s="818">
        <v>41598</v>
      </c>
      <c r="G729" s="785">
        <v>28568</v>
      </c>
      <c r="H729" s="785"/>
      <c r="I729" s="786">
        <v>1646</v>
      </c>
      <c r="J729" s="787">
        <v>6936</v>
      </c>
      <c r="K729" s="786">
        <v>4080</v>
      </c>
      <c r="L729" s="785">
        <v>4456</v>
      </c>
      <c r="M729" s="785"/>
      <c r="N729" s="786">
        <v>809</v>
      </c>
      <c r="O729" s="786">
        <v>0</v>
      </c>
      <c r="P729" s="786">
        <v>0</v>
      </c>
      <c r="Q729" s="785">
        <v>1123</v>
      </c>
      <c r="R729" s="785"/>
      <c r="S729" s="786">
        <v>9628</v>
      </c>
      <c r="T729" s="788">
        <v>620</v>
      </c>
      <c r="U729" s="788">
        <f>10247+1</f>
        <v>10248</v>
      </c>
    </row>
    <row r="730" spans="1:21" x14ac:dyDescent="0.25">
      <c r="A730" s="782">
        <v>98001</v>
      </c>
      <c r="B730" s="783" t="s">
        <v>3341</v>
      </c>
      <c r="C730" s="784">
        <v>5.1148000000000001E-3</v>
      </c>
      <c r="D730" s="784">
        <v>4.9659999999999999E-3</v>
      </c>
      <c r="E730" s="815">
        <v>2367016</v>
      </c>
      <c r="F730" s="818">
        <v>10539516</v>
      </c>
      <c r="G730" s="785">
        <v>7813998</v>
      </c>
      <c r="H730" s="785"/>
      <c r="I730" s="786">
        <v>450159</v>
      </c>
      <c r="J730" s="787">
        <v>1897248</v>
      </c>
      <c r="K730" s="786">
        <v>1115947</v>
      </c>
      <c r="L730" s="785">
        <v>181889</v>
      </c>
      <c r="M730" s="785"/>
      <c r="N730" s="786">
        <v>221190</v>
      </c>
      <c r="O730" s="786">
        <v>0</v>
      </c>
      <c r="P730" s="786">
        <v>0</v>
      </c>
      <c r="Q730" s="785">
        <v>0</v>
      </c>
      <c r="R730" s="785"/>
      <c r="S730" s="786">
        <v>2633324</v>
      </c>
      <c r="T730" s="788">
        <v>81305</v>
      </c>
      <c r="U730" s="788">
        <v>2714629</v>
      </c>
    </row>
    <row r="731" spans="1:21" x14ac:dyDescent="0.25">
      <c r="A731" s="782">
        <v>98002</v>
      </c>
      <c r="B731" s="783" t="s">
        <v>3342</v>
      </c>
      <c r="C731" s="784">
        <v>6.7000000000000002E-6</v>
      </c>
      <c r="D731" s="784">
        <v>7.3000000000000004E-6</v>
      </c>
      <c r="E731" s="815">
        <v>4126</v>
      </c>
      <c r="F731" s="818">
        <v>15493</v>
      </c>
      <c r="G731" s="785">
        <v>10236</v>
      </c>
      <c r="H731" s="785"/>
      <c r="I731" s="786">
        <v>590</v>
      </c>
      <c r="J731" s="787">
        <v>2485</v>
      </c>
      <c r="K731" s="786">
        <v>1462</v>
      </c>
      <c r="L731" s="785">
        <v>1007</v>
      </c>
      <c r="M731" s="785"/>
      <c r="N731" s="786">
        <v>290</v>
      </c>
      <c r="O731" s="786">
        <v>0</v>
      </c>
      <c r="P731" s="786">
        <v>0</v>
      </c>
      <c r="Q731" s="785">
        <v>6492</v>
      </c>
      <c r="R731" s="785"/>
      <c r="S731" s="786">
        <v>3449</v>
      </c>
      <c r="T731" s="788">
        <v>-6219</v>
      </c>
      <c r="U731" s="788">
        <v>-2770</v>
      </c>
    </row>
    <row r="732" spans="1:21" x14ac:dyDescent="0.25">
      <c r="A732" s="782">
        <v>98003</v>
      </c>
      <c r="B732" s="783" t="s">
        <v>3343</v>
      </c>
      <c r="C732" s="784">
        <v>7.9599999999999997E-5</v>
      </c>
      <c r="D732" s="784">
        <v>8.1600000000000005E-5</v>
      </c>
      <c r="E732" s="815">
        <v>70274</v>
      </c>
      <c r="F732" s="818">
        <v>173183</v>
      </c>
      <c r="G732" s="785">
        <v>121607</v>
      </c>
      <c r="H732" s="785"/>
      <c r="I732" s="786">
        <v>7006</v>
      </c>
      <c r="J732" s="787">
        <v>29526</v>
      </c>
      <c r="K732" s="786">
        <v>17367</v>
      </c>
      <c r="L732" s="785">
        <v>54986</v>
      </c>
      <c r="M732" s="785"/>
      <c r="N732" s="786">
        <v>3442</v>
      </c>
      <c r="O732" s="786">
        <v>0</v>
      </c>
      <c r="P732" s="786">
        <v>0</v>
      </c>
      <c r="Q732" s="785">
        <v>0</v>
      </c>
      <c r="R732" s="785"/>
      <c r="S732" s="786">
        <v>40982</v>
      </c>
      <c r="T732" s="788">
        <v>18634</v>
      </c>
      <c r="U732" s="788">
        <v>59616</v>
      </c>
    </row>
    <row r="733" spans="1:21" x14ac:dyDescent="0.25">
      <c r="A733" s="782">
        <v>98004</v>
      </c>
      <c r="B733" s="783" t="s">
        <v>3344</v>
      </c>
      <c r="C733" s="784">
        <v>1.182E-4</v>
      </c>
      <c r="D733" s="784">
        <v>1.209E-4</v>
      </c>
      <c r="E733" s="815">
        <v>78050</v>
      </c>
      <c r="F733" s="818">
        <v>256590</v>
      </c>
      <c r="G733" s="785">
        <v>180577</v>
      </c>
      <c r="H733" s="785"/>
      <c r="I733" s="786">
        <v>10403</v>
      </c>
      <c r="J733" s="787">
        <v>43844</v>
      </c>
      <c r="K733" s="786">
        <v>25789</v>
      </c>
      <c r="L733" s="785">
        <v>36575</v>
      </c>
      <c r="M733" s="785"/>
      <c r="N733" s="786">
        <v>5112</v>
      </c>
      <c r="O733" s="786">
        <v>0</v>
      </c>
      <c r="P733" s="786">
        <v>0</v>
      </c>
      <c r="Q733" s="785">
        <v>0</v>
      </c>
      <c r="R733" s="785"/>
      <c r="S733" s="786">
        <v>60855</v>
      </c>
      <c r="T733" s="788">
        <v>14190</v>
      </c>
      <c r="U733" s="788">
        <f>75044+1</f>
        <v>75045</v>
      </c>
    </row>
    <row r="734" spans="1:21" x14ac:dyDescent="0.25">
      <c r="A734" s="782">
        <v>98008</v>
      </c>
      <c r="B734" s="783" t="s">
        <v>3345</v>
      </c>
      <c r="C734" s="784">
        <v>7.9999999999999996E-6</v>
      </c>
      <c r="D734" s="784">
        <v>7.7999999999999999E-6</v>
      </c>
      <c r="E734" s="815">
        <v>3537</v>
      </c>
      <c r="F734" s="818">
        <v>16554</v>
      </c>
      <c r="G734" s="785">
        <v>12222</v>
      </c>
      <c r="H734" s="785"/>
      <c r="I734" s="786">
        <v>704</v>
      </c>
      <c r="J734" s="787">
        <v>2967</v>
      </c>
      <c r="K734" s="786">
        <v>1745</v>
      </c>
      <c r="L734" s="785">
        <v>25</v>
      </c>
      <c r="M734" s="785"/>
      <c r="N734" s="786">
        <v>346</v>
      </c>
      <c r="O734" s="786">
        <v>0</v>
      </c>
      <c r="P734" s="786">
        <v>0</v>
      </c>
      <c r="Q734" s="785">
        <v>804</v>
      </c>
      <c r="R734" s="785"/>
      <c r="S734" s="786">
        <v>4119</v>
      </c>
      <c r="T734" s="788">
        <v>-490</v>
      </c>
      <c r="U734" s="788">
        <v>3629</v>
      </c>
    </row>
    <row r="735" spans="1:21" x14ac:dyDescent="0.25">
      <c r="A735" s="782">
        <v>98011</v>
      </c>
      <c r="B735" s="783" t="s">
        <v>3346</v>
      </c>
      <c r="C735" s="784">
        <v>3.1578999999999999E-3</v>
      </c>
      <c r="D735" s="784">
        <v>3.1795E-3</v>
      </c>
      <c r="E735" s="815">
        <v>1430082</v>
      </c>
      <c r="F735" s="818">
        <v>6747964</v>
      </c>
      <c r="G735" s="785">
        <v>4824396</v>
      </c>
      <c r="H735" s="785"/>
      <c r="I735" s="786">
        <v>277930</v>
      </c>
      <c r="J735" s="787">
        <v>1171370</v>
      </c>
      <c r="K735" s="786">
        <v>688991</v>
      </c>
      <c r="L735" s="785">
        <v>0</v>
      </c>
      <c r="M735" s="785"/>
      <c r="N735" s="786">
        <v>136563</v>
      </c>
      <c r="O735" s="786">
        <v>0</v>
      </c>
      <c r="P735" s="786">
        <v>0</v>
      </c>
      <c r="Q735" s="785">
        <v>315025</v>
      </c>
      <c r="R735" s="785"/>
      <c r="S735" s="786">
        <v>1625826</v>
      </c>
      <c r="T735" s="788">
        <v>-146862</v>
      </c>
      <c r="U735" s="788">
        <v>1478964</v>
      </c>
    </row>
    <row r="736" spans="1:21" x14ac:dyDescent="0.25">
      <c r="A736" s="782">
        <v>98013</v>
      </c>
      <c r="B736" s="783" t="s">
        <v>3347</v>
      </c>
      <c r="C736" s="784">
        <v>1.415E-4</v>
      </c>
      <c r="D736" s="784">
        <v>1.426E-4</v>
      </c>
      <c r="E736" s="815">
        <v>138521</v>
      </c>
      <c r="F736" s="818">
        <v>302645</v>
      </c>
      <c r="G736" s="785">
        <v>216173</v>
      </c>
      <c r="H736" s="785"/>
      <c r="I736" s="786">
        <v>12454</v>
      </c>
      <c r="J736" s="787">
        <v>52487</v>
      </c>
      <c r="K736" s="786">
        <v>30872</v>
      </c>
      <c r="L736" s="785">
        <v>126104</v>
      </c>
      <c r="M736" s="785"/>
      <c r="N736" s="786">
        <v>6119</v>
      </c>
      <c r="O736" s="786">
        <v>0</v>
      </c>
      <c r="P736" s="786">
        <v>0</v>
      </c>
      <c r="Q736" s="785">
        <v>2073</v>
      </c>
      <c r="R736" s="785"/>
      <c r="S736" s="786">
        <v>72850</v>
      </c>
      <c r="T736" s="788">
        <v>41784</v>
      </c>
      <c r="U736" s="788">
        <f>114635-1</f>
        <v>114634</v>
      </c>
    </row>
    <row r="737" spans="1:21" x14ac:dyDescent="0.25">
      <c r="A737" s="782">
        <v>98021</v>
      </c>
      <c r="B737" s="783" t="s">
        <v>3348</v>
      </c>
      <c r="C737" s="784">
        <v>8.6199999999999995E-5</v>
      </c>
      <c r="D737" s="784">
        <v>7.5099999999999996E-5</v>
      </c>
      <c r="E737" s="815">
        <v>28536</v>
      </c>
      <c r="F737" s="818">
        <v>159387</v>
      </c>
      <c r="G737" s="785">
        <v>131690</v>
      </c>
      <c r="H737" s="785"/>
      <c r="I737" s="786">
        <v>7587</v>
      </c>
      <c r="J737" s="787">
        <v>31975</v>
      </c>
      <c r="K737" s="786">
        <v>18807</v>
      </c>
      <c r="L737" s="785">
        <v>13468</v>
      </c>
      <c r="M737" s="785"/>
      <c r="N737" s="786">
        <v>3728</v>
      </c>
      <c r="O737" s="786">
        <v>0</v>
      </c>
      <c r="P737" s="786">
        <v>0</v>
      </c>
      <c r="Q737" s="785">
        <v>2708</v>
      </c>
      <c r="R737" s="785"/>
      <c r="S737" s="786">
        <v>44380</v>
      </c>
      <c r="T737" s="788">
        <v>6479</v>
      </c>
      <c r="U737" s="788">
        <v>50859</v>
      </c>
    </row>
    <row r="738" spans="1:21" x14ac:dyDescent="0.25">
      <c r="A738" s="782">
        <v>98023</v>
      </c>
      <c r="B738" s="783" t="s">
        <v>3349</v>
      </c>
      <c r="C738" s="784">
        <v>1.43E-5</v>
      </c>
      <c r="D738" s="784">
        <v>1.45E-5</v>
      </c>
      <c r="E738" s="815">
        <v>6869</v>
      </c>
      <c r="F738" s="818">
        <v>30774</v>
      </c>
      <c r="G738" s="785">
        <v>21846</v>
      </c>
      <c r="H738" s="785"/>
      <c r="I738" s="786">
        <v>1259</v>
      </c>
      <c r="J738" s="787">
        <v>5305</v>
      </c>
      <c r="K738" s="786">
        <v>3120</v>
      </c>
      <c r="L738" s="785">
        <v>109</v>
      </c>
      <c r="M738" s="785"/>
      <c r="N738" s="786">
        <v>618</v>
      </c>
      <c r="O738" s="786">
        <v>0</v>
      </c>
      <c r="P738" s="786">
        <v>0</v>
      </c>
      <c r="Q738" s="785">
        <v>5220</v>
      </c>
      <c r="R738" s="785"/>
      <c r="S738" s="786">
        <v>7362</v>
      </c>
      <c r="T738" s="788">
        <v>-2611</v>
      </c>
      <c r="U738" s="788">
        <v>4751</v>
      </c>
    </row>
    <row r="739" spans="1:21" x14ac:dyDescent="0.25">
      <c r="A739" s="782">
        <v>98031</v>
      </c>
      <c r="B739" s="783" t="s">
        <v>3350</v>
      </c>
      <c r="C739" s="784">
        <v>1.537E-4</v>
      </c>
      <c r="D739" s="784">
        <v>1.5530000000000001E-4</v>
      </c>
      <c r="E739" s="815">
        <v>67740</v>
      </c>
      <c r="F739" s="818">
        <v>329599</v>
      </c>
      <c r="G739" s="785">
        <v>234811</v>
      </c>
      <c r="H739" s="785"/>
      <c r="I739" s="786">
        <v>13527</v>
      </c>
      <c r="J739" s="787">
        <v>57012</v>
      </c>
      <c r="K739" s="786">
        <v>33534</v>
      </c>
      <c r="L739" s="785">
        <v>4651</v>
      </c>
      <c r="M739" s="785"/>
      <c r="N739" s="786">
        <v>6647</v>
      </c>
      <c r="O739" s="786">
        <v>0</v>
      </c>
      <c r="P739" s="786">
        <v>0</v>
      </c>
      <c r="Q739" s="785">
        <v>9184</v>
      </c>
      <c r="R739" s="785"/>
      <c r="S739" s="786">
        <v>79132</v>
      </c>
      <c r="T739" s="788">
        <v>-1401</v>
      </c>
      <c r="U739" s="788">
        <f>77730+1</f>
        <v>77731</v>
      </c>
    </row>
    <row r="740" spans="1:21" x14ac:dyDescent="0.25">
      <c r="A740" s="782">
        <v>98041</v>
      </c>
      <c r="B740" s="783" t="s">
        <v>3351</v>
      </c>
      <c r="C740" s="784">
        <v>1.9230000000000001E-4</v>
      </c>
      <c r="D740" s="784">
        <v>1.6559999999999999E-4</v>
      </c>
      <c r="E740" s="815">
        <v>80474</v>
      </c>
      <c r="F740" s="818">
        <v>351459</v>
      </c>
      <c r="G740" s="785">
        <v>293781</v>
      </c>
      <c r="H740" s="785"/>
      <c r="I740" s="786">
        <v>16925</v>
      </c>
      <c r="J740" s="787">
        <v>71330</v>
      </c>
      <c r="K740" s="786">
        <v>41956</v>
      </c>
      <c r="L740" s="785">
        <v>17154</v>
      </c>
      <c r="M740" s="785"/>
      <c r="N740" s="786">
        <v>8316</v>
      </c>
      <c r="O740" s="786">
        <v>0</v>
      </c>
      <c r="P740" s="786">
        <v>0</v>
      </c>
      <c r="Q740" s="785">
        <v>5779</v>
      </c>
      <c r="R740" s="785"/>
      <c r="S740" s="786">
        <v>99005</v>
      </c>
      <c r="T740" s="788">
        <v>943</v>
      </c>
      <c r="U740" s="788">
        <v>99948</v>
      </c>
    </row>
    <row r="741" spans="1:21" x14ac:dyDescent="0.25">
      <c r="A741" s="782">
        <v>98051</v>
      </c>
      <c r="B741" s="783" t="s">
        <v>3352</v>
      </c>
      <c r="C741" s="784">
        <v>2.8019999999999998E-4</v>
      </c>
      <c r="D741" s="784">
        <v>3.0019999999999998E-4</v>
      </c>
      <c r="E741" s="815">
        <v>136145</v>
      </c>
      <c r="F741" s="818">
        <v>637125</v>
      </c>
      <c r="G741" s="785">
        <v>428068</v>
      </c>
      <c r="H741" s="785"/>
      <c r="I741" s="786">
        <v>24661</v>
      </c>
      <c r="J741" s="787">
        <v>103936</v>
      </c>
      <c r="K741" s="786">
        <v>61134</v>
      </c>
      <c r="L741" s="785">
        <v>21691</v>
      </c>
      <c r="M741" s="785"/>
      <c r="N741" s="786">
        <v>12117</v>
      </c>
      <c r="O741" s="786">
        <v>0</v>
      </c>
      <c r="P741" s="786">
        <v>0</v>
      </c>
      <c r="Q741" s="785">
        <v>7516</v>
      </c>
      <c r="R741" s="785"/>
      <c r="S741" s="786">
        <v>144259</v>
      </c>
      <c r="T741" s="788">
        <v>7566</v>
      </c>
      <c r="U741" s="788">
        <v>151825</v>
      </c>
    </row>
    <row r="742" spans="1:21" x14ac:dyDescent="0.25">
      <c r="A742" s="782">
        <v>98061</v>
      </c>
      <c r="B742" s="783" t="s">
        <v>3353</v>
      </c>
      <c r="C742" s="784">
        <v>1.0670000000000001E-4</v>
      </c>
      <c r="D742" s="784">
        <v>9.9099999999999996E-5</v>
      </c>
      <c r="E742" s="815">
        <v>47390</v>
      </c>
      <c r="F742" s="818">
        <v>210323</v>
      </c>
      <c r="G742" s="785">
        <v>163008</v>
      </c>
      <c r="H742" s="785"/>
      <c r="I742" s="786">
        <v>9391</v>
      </c>
      <c r="J742" s="787">
        <v>39579</v>
      </c>
      <c r="K742" s="786">
        <v>23280</v>
      </c>
      <c r="L742" s="785">
        <v>3820</v>
      </c>
      <c r="M742" s="785"/>
      <c r="N742" s="786">
        <v>4614</v>
      </c>
      <c r="O742" s="786">
        <v>0</v>
      </c>
      <c r="P742" s="786">
        <v>0</v>
      </c>
      <c r="Q742" s="785">
        <v>17433</v>
      </c>
      <c r="R742" s="785"/>
      <c r="S742" s="786">
        <v>54934</v>
      </c>
      <c r="T742" s="788">
        <v>-6260</v>
      </c>
      <c r="U742" s="788">
        <v>48674</v>
      </c>
    </row>
    <row r="743" spans="1:21" x14ac:dyDescent="0.25">
      <c r="A743" s="782">
        <v>98071</v>
      </c>
      <c r="B743" s="783" t="s">
        <v>3354</v>
      </c>
      <c r="C743" s="784">
        <v>4.0099999999999999E-5</v>
      </c>
      <c r="D743" s="784">
        <v>3.4400000000000003E-5</v>
      </c>
      <c r="E743" s="815">
        <v>28233</v>
      </c>
      <c r="F743" s="818">
        <v>73008</v>
      </c>
      <c r="G743" s="785">
        <v>61262</v>
      </c>
      <c r="H743" s="785"/>
      <c r="I743" s="786">
        <v>3529</v>
      </c>
      <c r="J743" s="787">
        <v>14874</v>
      </c>
      <c r="K743" s="786">
        <v>8749</v>
      </c>
      <c r="L743" s="785">
        <v>18505</v>
      </c>
      <c r="M743" s="785"/>
      <c r="N743" s="786">
        <v>1734</v>
      </c>
      <c r="O743" s="786">
        <v>0</v>
      </c>
      <c r="P743" s="786">
        <v>0</v>
      </c>
      <c r="Q743" s="785">
        <v>1200</v>
      </c>
      <c r="R743" s="785"/>
      <c r="S743" s="786">
        <v>20645</v>
      </c>
      <c r="T743" s="788">
        <v>4654</v>
      </c>
      <c r="U743" s="788">
        <v>25299</v>
      </c>
    </row>
    <row r="744" spans="1:21" x14ac:dyDescent="0.25">
      <c r="A744" s="782">
        <v>98081</v>
      </c>
      <c r="B744" s="783" t="s">
        <v>3355</v>
      </c>
      <c r="C744" s="784">
        <v>1.8300000000000001E-5</v>
      </c>
      <c r="D744" s="784">
        <v>1.9400000000000001E-5</v>
      </c>
      <c r="E744" s="815">
        <v>7556</v>
      </c>
      <c r="F744" s="818">
        <v>41173</v>
      </c>
      <c r="G744" s="785">
        <v>27957</v>
      </c>
      <c r="H744" s="785"/>
      <c r="I744" s="786">
        <v>1611</v>
      </c>
      <c r="J744" s="787">
        <v>6788</v>
      </c>
      <c r="K744" s="786">
        <v>3993</v>
      </c>
      <c r="L744" s="785">
        <v>0</v>
      </c>
      <c r="M744" s="785"/>
      <c r="N744" s="786">
        <v>791</v>
      </c>
      <c r="O744" s="786">
        <v>0</v>
      </c>
      <c r="P744" s="786">
        <v>0</v>
      </c>
      <c r="Q744" s="785">
        <v>4207</v>
      </c>
      <c r="R744" s="785"/>
      <c r="S744" s="786">
        <v>9422</v>
      </c>
      <c r="T744" s="788">
        <v>-1896</v>
      </c>
      <c r="U744" s="788">
        <v>7526</v>
      </c>
    </row>
    <row r="745" spans="1:21" x14ac:dyDescent="0.25">
      <c r="A745" s="782">
        <v>98091</v>
      </c>
      <c r="B745" s="783" t="s">
        <v>3356</v>
      </c>
      <c r="C745" s="784">
        <v>4.7500000000000003E-5</v>
      </c>
      <c r="D745" s="784">
        <v>5.0899999999999997E-5</v>
      </c>
      <c r="E745" s="815">
        <v>25241</v>
      </c>
      <c r="F745" s="818">
        <v>108027</v>
      </c>
      <c r="G745" s="785">
        <v>72567</v>
      </c>
      <c r="H745" s="785"/>
      <c r="I745" s="786">
        <v>4181</v>
      </c>
      <c r="J745" s="787">
        <v>17619</v>
      </c>
      <c r="K745" s="786">
        <v>10364</v>
      </c>
      <c r="L745" s="785">
        <v>1261</v>
      </c>
      <c r="M745" s="785"/>
      <c r="N745" s="786">
        <v>2054</v>
      </c>
      <c r="O745" s="786">
        <v>0</v>
      </c>
      <c r="P745" s="786">
        <v>0</v>
      </c>
      <c r="Q745" s="785">
        <v>807</v>
      </c>
      <c r="R745" s="785"/>
      <c r="S745" s="786">
        <v>24455</v>
      </c>
      <c r="T745" s="788">
        <v>-295</v>
      </c>
      <c r="U745" s="788">
        <v>24160</v>
      </c>
    </row>
    <row r="746" spans="1:21" x14ac:dyDescent="0.25">
      <c r="A746" s="782">
        <v>98101</v>
      </c>
      <c r="B746" s="783" t="s">
        <v>3357</v>
      </c>
      <c r="C746" s="784">
        <v>2.8706999999999999E-3</v>
      </c>
      <c r="D746" s="784">
        <v>2.7642999999999999E-3</v>
      </c>
      <c r="E746" s="815">
        <v>1210234</v>
      </c>
      <c r="F746" s="818">
        <v>5866771</v>
      </c>
      <c r="G746" s="785">
        <v>4385634</v>
      </c>
      <c r="H746" s="785"/>
      <c r="I746" s="786">
        <v>252653</v>
      </c>
      <c r="J746" s="787">
        <v>1064838</v>
      </c>
      <c r="K746" s="786">
        <v>626329</v>
      </c>
      <c r="L746" s="785">
        <v>37308</v>
      </c>
      <c r="M746" s="785"/>
      <c r="N746" s="786">
        <v>124143</v>
      </c>
      <c r="O746" s="786">
        <v>0</v>
      </c>
      <c r="P746" s="786">
        <v>0</v>
      </c>
      <c r="Q746" s="785">
        <v>32438</v>
      </c>
      <c r="R746" s="785"/>
      <c r="S746" s="786">
        <v>1477963</v>
      </c>
      <c r="T746" s="788">
        <v>14286</v>
      </c>
      <c r="U746" s="788">
        <f>1492248+1</f>
        <v>1492249</v>
      </c>
    </row>
    <row r="747" spans="1:21" x14ac:dyDescent="0.25">
      <c r="A747" s="782">
        <v>98102</v>
      </c>
      <c r="B747" s="783" t="s">
        <v>3358</v>
      </c>
      <c r="C747" s="784">
        <v>1.5809999999999999E-4</v>
      </c>
      <c r="D747" s="784">
        <v>1.683E-4</v>
      </c>
      <c r="E747" s="815">
        <v>71621</v>
      </c>
      <c r="F747" s="818">
        <v>357189</v>
      </c>
      <c r="G747" s="785">
        <v>241533</v>
      </c>
      <c r="H747" s="785"/>
      <c r="I747" s="786">
        <v>13915</v>
      </c>
      <c r="J747" s="787">
        <v>58644</v>
      </c>
      <c r="K747" s="786">
        <v>34494</v>
      </c>
      <c r="L747" s="785">
        <v>0</v>
      </c>
      <c r="M747" s="785"/>
      <c r="N747" s="786">
        <v>6837</v>
      </c>
      <c r="O747" s="786">
        <v>0</v>
      </c>
      <c r="P747" s="786">
        <v>0</v>
      </c>
      <c r="Q747" s="785">
        <v>14329</v>
      </c>
      <c r="R747" s="785"/>
      <c r="S747" s="786">
        <v>81397</v>
      </c>
      <c r="T747" s="788">
        <v>-5584</v>
      </c>
      <c r="U747" s="788">
        <v>75813</v>
      </c>
    </row>
    <row r="748" spans="1:21" x14ac:dyDescent="0.25">
      <c r="A748" s="782">
        <v>98103</v>
      </c>
      <c r="B748" s="783" t="s">
        <v>3359</v>
      </c>
      <c r="C748" s="784">
        <v>5.4410000000000005E-4</v>
      </c>
      <c r="D748" s="784">
        <v>5.3600000000000002E-4</v>
      </c>
      <c r="E748" s="815">
        <v>255161</v>
      </c>
      <c r="F748" s="818">
        <v>1137572</v>
      </c>
      <c r="G748" s="785">
        <v>831234</v>
      </c>
      <c r="H748" s="785"/>
      <c r="I748" s="786">
        <v>47887</v>
      </c>
      <c r="J748" s="787">
        <v>201824</v>
      </c>
      <c r="K748" s="786">
        <v>118712</v>
      </c>
      <c r="L748" s="785">
        <v>9730</v>
      </c>
      <c r="M748" s="785"/>
      <c r="N748" s="786">
        <v>23530</v>
      </c>
      <c r="O748" s="786">
        <v>0</v>
      </c>
      <c r="P748" s="786">
        <v>0</v>
      </c>
      <c r="Q748" s="785">
        <v>27055</v>
      </c>
      <c r="R748" s="785"/>
      <c r="S748" s="786">
        <v>280127</v>
      </c>
      <c r="T748" s="788">
        <v>-17051</v>
      </c>
      <c r="U748" s="788">
        <v>263076</v>
      </c>
    </row>
    <row r="749" spans="1:21" x14ac:dyDescent="0.25">
      <c r="A749" s="782">
        <v>98107</v>
      </c>
      <c r="B749" s="783" t="s">
        <v>3360</v>
      </c>
      <c r="C749" s="784">
        <v>1.08E-5</v>
      </c>
      <c r="D749" s="784">
        <v>1.08E-5</v>
      </c>
      <c r="E749" s="815">
        <v>9242</v>
      </c>
      <c r="F749" s="818">
        <v>22921</v>
      </c>
      <c r="G749" s="785">
        <v>16499</v>
      </c>
      <c r="H749" s="785"/>
      <c r="I749" s="786">
        <v>951</v>
      </c>
      <c r="J749" s="787">
        <v>4006</v>
      </c>
      <c r="K749" s="786">
        <v>2356</v>
      </c>
      <c r="L749" s="785">
        <v>8237</v>
      </c>
      <c r="M749" s="785"/>
      <c r="N749" s="786">
        <v>467</v>
      </c>
      <c r="O749" s="786">
        <v>0</v>
      </c>
      <c r="P749" s="786">
        <v>0</v>
      </c>
      <c r="Q749" s="785">
        <v>0</v>
      </c>
      <c r="R749" s="785"/>
      <c r="S749" s="786">
        <v>5560</v>
      </c>
      <c r="T749" s="788">
        <v>3467</v>
      </c>
      <c r="U749" s="788">
        <v>9027</v>
      </c>
    </row>
    <row r="750" spans="1:21" x14ac:dyDescent="0.25">
      <c r="A750" s="782">
        <v>98109</v>
      </c>
      <c r="B750" s="783" t="s">
        <v>3361</v>
      </c>
      <c r="C750" s="784">
        <v>1.573E-4</v>
      </c>
      <c r="D750" s="784">
        <v>1.4660000000000001E-4</v>
      </c>
      <c r="E750" s="815">
        <v>76016</v>
      </c>
      <c r="F750" s="818">
        <v>311134</v>
      </c>
      <c r="G750" s="785">
        <v>240311</v>
      </c>
      <c r="H750" s="785"/>
      <c r="I750" s="786">
        <v>13844</v>
      </c>
      <c r="J750" s="787">
        <v>58348</v>
      </c>
      <c r="K750" s="786">
        <v>34320</v>
      </c>
      <c r="L750" s="785">
        <v>12163</v>
      </c>
      <c r="M750" s="785"/>
      <c r="N750" s="786">
        <v>6802</v>
      </c>
      <c r="O750" s="786">
        <v>0</v>
      </c>
      <c r="P750" s="786">
        <v>0</v>
      </c>
      <c r="Q750" s="785">
        <v>24551</v>
      </c>
      <c r="R750" s="785"/>
      <c r="S750" s="786">
        <v>80985</v>
      </c>
      <c r="T750" s="788">
        <v>-7590</v>
      </c>
      <c r="U750" s="788">
        <v>73395</v>
      </c>
    </row>
    <row r="751" spans="1:21" x14ac:dyDescent="0.25">
      <c r="A751" s="782">
        <v>98111</v>
      </c>
      <c r="B751" s="783" t="s">
        <v>3362</v>
      </c>
      <c r="C751" s="784">
        <v>1.0143000000000001E-3</v>
      </c>
      <c r="D751" s="784">
        <v>1.0191E-3</v>
      </c>
      <c r="E751" s="815">
        <v>432530</v>
      </c>
      <c r="F751" s="818">
        <v>2162872</v>
      </c>
      <c r="G751" s="785">
        <v>1549569</v>
      </c>
      <c r="H751" s="785"/>
      <c r="I751" s="786">
        <v>89270</v>
      </c>
      <c r="J751" s="787">
        <v>376238</v>
      </c>
      <c r="K751" s="786">
        <v>221300</v>
      </c>
      <c r="L751" s="785">
        <v>0</v>
      </c>
      <c r="M751" s="785"/>
      <c r="N751" s="786">
        <v>43863</v>
      </c>
      <c r="O751" s="786">
        <v>0</v>
      </c>
      <c r="P751" s="786">
        <v>0</v>
      </c>
      <c r="Q751" s="785">
        <v>66610</v>
      </c>
      <c r="R751" s="785"/>
      <c r="S751" s="786">
        <v>522206</v>
      </c>
      <c r="T751" s="788">
        <v>-21506</v>
      </c>
      <c r="U751" s="788">
        <v>500700</v>
      </c>
    </row>
    <row r="752" spans="1:21" x14ac:dyDescent="0.25">
      <c r="A752" s="782">
        <v>98113</v>
      </c>
      <c r="B752" s="783" t="s">
        <v>3363</v>
      </c>
      <c r="C752" s="784">
        <v>4.6199999999999998E-5</v>
      </c>
      <c r="D752" s="784">
        <v>3.8999999999999999E-5</v>
      </c>
      <c r="E752" s="815">
        <v>23492</v>
      </c>
      <c r="F752" s="818">
        <v>82771</v>
      </c>
      <c r="G752" s="785">
        <v>70581</v>
      </c>
      <c r="H752" s="785"/>
      <c r="I752" s="786">
        <v>4066</v>
      </c>
      <c r="J752" s="787">
        <v>17137</v>
      </c>
      <c r="K752" s="786">
        <v>10080</v>
      </c>
      <c r="L752" s="785">
        <v>11739</v>
      </c>
      <c r="M752" s="785"/>
      <c r="N752" s="786">
        <v>1998</v>
      </c>
      <c r="O752" s="786">
        <v>0</v>
      </c>
      <c r="P752" s="786">
        <v>0</v>
      </c>
      <c r="Q752" s="785">
        <v>0</v>
      </c>
      <c r="R752" s="785"/>
      <c r="S752" s="786">
        <v>23786</v>
      </c>
      <c r="T752" s="788">
        <v>4647</v>
      </c>
      <c r="U752" s="788">
        <f>28432+1</f>
        <v>28433</v>
      </c>
    </row>
    <row r="753" spans="1:21" x14ac:dyDescent="0.25">
      <c r="A753" s="782">
        <v>98121</v>
      </c>
      <c r="B753" s="783" t="s">
        <v>3364</v>
      </c>
      <c r="C753" s="784">
        <v>2.0100000000000001E-4</v>
      </c>
      <c r="D753" s="784">
        <v>2.2910000000000001E-4</v>
      </c>
      <c r="E753" s="815">
        <v>89370</v>
      </c>
      <c r="F753" s="818">
        <v>486227</v>
      </c>
      <c r="G753" s="785">
        <v>307072</v>
      </c>
      <c r="H753" s="785"/>
      <c r="I753" s="786">
        <v>17690</v>
      </c>
      <c r="J753" s="787">
        <v>74558</v>
      </c>
      <c r="K753" s="786">
        <v>43854</v>
      </c>
      <c r="L753" s="785">
        <v>2134</v>
      </c>
      <c r="M753" s="785"/>
      <c r="N753" s="786">
        <v>8692</v>
      </c>
      <c r="O753" s="786">
        <v>0</v>
      </c>
      <c r="P753" s="786">
        <v>0</v>
      </c>
      <c r="Q753" s="785">
        <v>25239</v>
      </c>
      <c r="R753" s="785"/>
      <c r="S753" s="786">
        <v>103484</v>
      </c>
      <c r="T753" s="788">
        <v>-5712</v>
      </c>
      <c r="U753" s="788">
        <f>97771+1</f>
        <v>97772</v>
      </c>
    </row>
    <row r="754" spans="1:21" x14ac:dyDescent="0.25">
      <c r="A754" s="782">
        <v>98131</v>
      </c>
      <c r="B754" s="783" t="s">
        <v>3365</v>
      </c>
      <c r="C754" s="784">
        <v>2.5230000000000001E-4</v>
      </c>
      <c r="D754" s="784">
        <v>2.9569999999999998E-4</v>
      </c>
      <c r="E754" s="815">
        <v>119697</v>
      </c>
      <c r="F754" s="818">
        <v>627574</v>
      </c>
      <c r="G754" s="785">
        <v>385445</v>
      </c>
      <c r="H754" s="785"/>
      <c r="I754" s="786">
        <v>22205</v>
      </c>
      <c r="J754" s="787">
        <v>93586</v>
      </c>
      <c r="K754" s="786">
        <v>55047</v>
      </c>
      <c r="L754" s="785">
        <v>0</v>
      </c>
      <c r="M754" s="785"/>
      <c r="N754" s="786">
        <v>10911</v>
      </c>
      <c r="O754" s="786">
        <v>0</v>
      </c>
      <c r="P754" s="786">
        <v>0</v>
      </c>
      <c r="Q754" s="785">
        <v>53749</v>
      </c>
      <c r="R754" s="785"/>
      <c r="S754" s="786">
        <v>129895</v>
      </c>
      <c r="T754" s="788">
        <v>-23653</v>
      </c>
      <c r="U754" s="788">
        <v>106242</v>
      </c>
    </row>
    <row r="755" spans="1:21" x14ac:dyDescent="0.25">
      <c r="A755" s="782">
        <v>98141</v>
      </c>
      <c r="B755" s="783" t="s">
        <v>3366</v>
      </c>
      <c r="C755" s="784">
        <v>3.0360000000000001E-4</v>
      </c>
      <c r="D755" s="784">
        <v>2.9030000000000001E-4</v>
      </c>
      <c r="E755" s="815">
        <v>133558</v>
      </c>
      <c r="F755" s="818">
        <v>616114</v>
      </c>
      <c r="G755" s="785">
        <v>463817</v>
      </c>
      <c r="H755" s="785"/>
      <c r="I755" s="786">
        <v>26720</v>
      </c>
      <c r="J755" s="787">
        <v>112616</v>
      </c>
      <c r="K755" s="786">
        <v>66239</v>
      </c>
      <c r="L755" s="785">
        <v>5226</v>
      </c>
      <c r="M755" s="785"/>
      <c r="N755" s="786">
        <v>13129</v>
      </c>
      <c r="O755" s="786">
        <v>0</v>
      </c>
      <c r="P755" s="786">
        <v>0</v>
      </c>
      <c r="Q755" s="785">
        <v>22375</v>
      </c>
      <c r="R755" s="785"/>
      <c r="S755" s="786">
        <v>156307</v>
      </c>
      <c r="T755" s="788">
        <v>-11630</v>
      </c>
      <c r="U755" s="788">
        <v>144677</v>
      </c>
    </row>
    <row r="756" spans="1:21" x14ac:dyDescent="0.25">
      <c r="A756" s="782">
        <v>98147</v>
      </c>
      <c r="B756" s="783" t="s">
        <v>3367</v>
      </c>
      <c r="C756" s="784">
        <v>1.29E-5</v>
      </c>
      <c r="D756" s="784">
        <v>1.29E-5</v>
      </c>
      <c r="E756" s="815">
        <v>9893</v>
      </c>
      <c r="F756" s="818">
        <v>27378</v>
      </c>
      <c r="G756" s="785">
        <v>19708</v>
      </c>
      <c r="H756" s="785"/>
      <c r="I756" s="786">
        <v>1135</v>
      </c>
      <c r="J756" s="787">
        <v>4785</v>
      </c>
      <c r="K756" s="786">
        <v>2815</v>
      </c>
      <c r="L756" s="785">
        <v>8231</v>
      </c>
      <c r="M756" s="785"/>
      <c r="N756" s="786">
        <v>558</v>
      </c>
      <c r="O756" s="786">
        <v>0</v>
      </c>
      <c r="P756" s="786">
        <v>0</v>
      </c>
      <c r="Q756" s="785">
        <v>0</v>
      </c>
      <c r="R756" s="785"/>
      <c r="S756" s="786">
        <v>6641</v>
      </c>
      <c r="T756" s="788">
        <v>3295</v>
      </c>
      <c r="U756" s="788">
        <f>9937-1</f>
        <v>9936</v>
      </c>
    </row>
    <row r="757" spans="1:21" x14ac:dyDescent="0.25">
      <c r="A757" s="782">
        <v>98161</v>
      </c>
      <c r="B757" s="783" t="s">
        <v>3368</v>
      </c>
      <c r="C757" s="784">
        <v>7.3000000000000004E-6</v>
      </c>
      <c r="D757" s="784">
        <v>7.4000000000000003E-6</v>
      </c>
      <c r="E757" s="815">
        <v>5046</v>
      </c>
      <c r="F757" s="818">
        <v>15705</v>
      </c>
      <c r="G757" s="785">
        <v>11152</v>
      </c>
      <c r="H757" s="785"/>
      <c r="I757" s="786">
        <v>642</v>
      </c>
      <c r="J757" s="787">
        <v>2708</v>
      </c>
      <c r="K757" s="786">
        <v>1593</v>
      </c>
      <c r="L757" s="785">
        <v>2689</v>
      </c>
      <c r="M757" s="785"/>
      <c r="N757" s="786">
        <v>316</v>
      </c>
      <c r="O757" s="786">
        <v>0</v>
      </c>
      <c r="P757" s="786">
        <v>0</v>
      </c>
      <c r="Q757" s="785">
        <v>0</v>
      </c>
      <c r="R757" s="785"/>
      <c r="S757" s="786">
        <v>3758</v>
      </c>
      <c r="T757" s="788">
        <v>1075</v>
      </c>
      <c r="U757" s="788">
        <v>4833</v>
      </c>
    </row>
    <row r="758" spans="1:21" x14ac:dyDescent="0.25">
      <c r="A758" s="782">
        <v>98201</v>
      </c>
      <c r="B758" s="783" t="s">
        <v>3369</v>
      </c>
      <c r="C758" s="784">
        <v>3.1664000000000002E-3</v>
      </c>
      <c r="D758" s="784">
        <v>3.0368999999999999E-3</v>
      </c>
      <c r="E758" s="815">
        <v>1424604</v>
      </c>
      <c r="F758" s="818">
        <v>6445319</v>
      </c>
      <c r="G758" s="785">
        <v>4837382</v>
      </c>
      <c r="H758" s="785"/>
      <c r="I758" s="786">
        <v>278678</v>
      </c>
      <c r="J758" s="787">
        <v>1174522</v>
      </c>
      <c r="K758" s="786">
        <v>690845</v>
      </c>
      <c r="L758" s="785">
        <v>63594</v>
      </c>
      <c r="M758" s="785"/>
      <c r="N758" s="786">
        <v>136931</v>
      </c>
      <c r="O758" s="786">
        <v>0</v>
      </c>
      <c r="P758" s="786">
        <v>0</v>
      </c>
      <c r="Q758" s="785">
        <v>39608</v>
      </c>
      <c r="R758" s="785"/>
      <c r="S758" s="786">
        <v>1630202</v>
      </c>
      <c r="T758" s="788">
        <v>-5370</v>
      </c>
      <c r="U758" s="788">
        <v>1624832</v>
      </c>
    </row>
    <row r="759" spans="1:21" x14ac:dyDescent="0.25">
      <c r="A759" s="782">
        <v>98205</v>
      </c>
      <c r="B759" s="783" t="s">
        <v>3370</v>
      </c>
      <c r="C759" s="784">
        <v>4.6799999999999999E-5</v>
      </c>
      <c r="D759" s="784">
        <v>5.13E-5</v>
      </c>
      <c r="E759" s="815">
        <v>23505</v>
      </c>
      <c r="F759" s="818">
        <v>108876</v>
      </c>
      <c r="G759" s="785">
        <v>71497</v>
      </c>
      <c r="H759" s="785"/>
      <c r="I759" s="786">
        <v>4119</v>
      </c>
      <c r="J759" s="787">
        <v>17359</v>
      </c>
      <c r="K759" s="786">
        <v>10211</v>
      </c>
      <c r="L759" s="785">
        <v>1985</v>
      </c>
      <c r="M759" s="785"/>
      <c r="N759" s="786">
        <v>2024</v>
      </c>
      <c r="O759" s="786">
        <v>0</v>
      </c>
      <c r="P759" s="786">
        <v>0</v>
      </c>
      <c r="Q759" s="785">
        <v>2510</v>
      </c>
      <c r="R759" s="785"/>
      <c r="S759" s="786">
        <v>24095</v>
      </c>
      <c r="T759" s="788">
        <v>-141</v>
      </c>
      <c r="U759" s="788">
        <f>23953+1</f>
        <v>23954</v>
      </c>
    </row>
    <row r="760" spans="1:21" x14ac:dyDescent="0.25">
      <c r="A760" s="782">
        <v>98211</v>
      </c>
      <c r="B760" s="783" t="s">
        <v>3371</v>
      </c>
      <c r="C760" s="784">
        <v>8.6689999999999998E-4</v>
      </c>
      <c r="D760" s="784">
        <v>9.1609999999999999E-4</v>
      </c>
      <c r="E760" s="815">
        <v>365218</v>
      </c>
      <c r="F760" s="818">
        <v>1944271</v>
      </c>
      <c r="G760" s="785">
        <v>1324383</v>
      </c>
      <c r="H760" s="785"/>
      <c r="I760" s="786">
        <v>76297</v>
      </c>
      <c r="J760" s="787">
        <v>321561</v>
      </c>
      <c r="K760" s="786">
        <v>189140</v>
      </c>
      <c r="L760" s="785">
        <v>0</v>
      </c>
      <c r="M760" s="785"/>
      <c r="N760" s="786">
        <v>37489</v>
      </c>
      <c r="O760" s="786">
        <v>0</v>
      </c>
      <c r="P760" s="786">
        <v>0</v>
      </c>
      <c r="Q760" s="785">
        <v>136830</v>
      </c>
      <c r="R760" s="785"/>
      <c r="S760" s="786">
        <v>446318</v>
      </c>
      <c r="T760" s="788">
        <v>-50136</v>
      </c>
      <c r="U760" s="788">
        <v>396182</v>
      </c>
    </row>
    <row r="761" spans="1:21" x14ac:dyDescent="0.25">
      <c r="A761" s="782">
        <v>98218</v>
      </c>
      <c r="B761" s="783" t="s">
        <v>3372</v>
      </c>
      <c r="C761" s="784">
        <v>1.3200000000000001E-5</v>
      </c>
      <c r="D761" s="784">
        <v>1.0200000000000001E-5</v>
      </c>
      <c r="E761" s="815">
        <v>5829</v>
      </c>
      <c r="F761" s="818">
        <v>21648</v>
      </c>
      <c r="G761" s="785">
        <v>20166</v>
      </c>
      <c r="H761" s="785"/>
      <c r="I761" s="786">
        <v>1162</v>
      </c>
      <c r="J761" s="787">
        <v>4896</v>
      </c>
      <c r="K761" s="786">
        <v>2880</v>
      </c>
      <c r="L761" s="785">
        <v>1827</v>
      </c>
      <c r="M761" s="785"/>
      <c r="N761" s="786">
        <v>571</v>
      </c>
      <c r="O761" s="786">
        <v>0</v>
      </c>
      <c r="P761" s="786">
        <v>0</v>
      </c>
      <c r="Q761" s="785">
        <v>1072</v>
      </c>
      <c r="R761" s="785"/>
      <c r="S761" s="786">
        <v>6796</v>
      </c>
      <c r="T761" s="788">
        <v>-336</v>
      </c>
      <c r="U761" s="788">
        <v>6460</v>
      </c>
    </row>
    <row r="762" spans="1:21" x14ac:dyDescent="0.25">
      <c r="A762" s="782">
        <v>98221</v>
      </c>
      <c r="B762" s="783" t="s">
        <v>3373</v>
      </c>
      <c r="C762" s="784">
        <v>1.8899999999999999E-5</v>
      </c>
      <c r="D762" s="784">
        <v>1.6799999999999998E-5</v>
      </c>
      <c r="E762" s="815">
        <v>9739</v>
      </c>
      <c r="F762" s="818">
        <v>35655</v>
      </c>
      <c r="G762" s="785">
        <v>28874</v>
      </c>
      <c r="H762" s="785"/>
      <c r="I762" s="786">
        <v>1663</v>
      </c>
      <c r="J762" s="787">
        <v>7011</v>
      </c>
      <c r="K762" s="786">
        <v>4124</v>
      </c>
      <c r="L762" s="785">
        <v>4593</v>
      </c>
      <c r="M762" s="785"/>
      <c r="N762" s="786">
        <v>817</v>
      </c>
      <c r="O762" s="786">
        <v>0</v>
      </c>
      <c r="P762" s="786">
        <v>0</v>
      </c>
      <c r="Q762" s="785">
        <v>0</v>
      </c>
      <c r="R762" s="785"/>
      <c r="S762" s="786">
        <v>9731</v>
      </c>
      <c r="T762" s="788">
        <v>1469</v>
      </c>
      <c r="U762" s="788">
        <v>11200</v>
      </c>
    </row>
    <row r="763" spans="1:21" x14ac:dyDescent="0.25">
      <c r="A763" s="782">
        <v>98231</v>
      </c>
      <c r="B763" s="783" t="s">
        <v>3374</v>
      </c>
      <c r="C763" s="784">
        <v>2.2799999999999999E-5</v>
      </c>
      <c r="D763" s="784">
        <v>3.1999999999999999E-5</v>
      </c>
      <c r="E763" s="815">
        <v>11487</v>
      </c>
      <c r="F763" s="818">
        <v>67915</v>
      </c>
      <c r="G763" s="785">
        <v>34832</v>
      </c>
      <c r="H763" s="785"/>
      <c r="I763" s="786">
        <v>2007</v>
      </c>
      <c r="J763" s="787">
        <v>8457</v>
      </c>
      <c r="K763" s="786">
        <v>4975</v>
      </c>
      <c r="L763" s="785">
        <v>1705</v>
      </c>
      <c r="M763" s="785"/>
      <c r="N763" s="786">
        <v>986</v>
      </c>
      <c r="O763" s="786">
        <v>0</v>
      </c>
      <c r="P763" s="786">
        <v>0</v>
      </c>
      <c r="Q763" s="785">
        <v>9632</v>
      </c>
      <c r="R763" s="785"/>
      <c r="S763" s="786">
        <v>11738</v>
      </c>
      <c r="T763" s="788">
        <v>-3592</v>
      </c>
      <c r="U763" s="788">
        <v>8146</v>
      </c>
    </row>
    <row r="764" spans="1:21" x14ac:dyDescent="0.25">
      <c r="A764" s="782">
        <v>98237</v>
      </c>
      <c r="B764" s="783" t="s">
        <v>3375</v>
      </c>
      <c r="C764" s="784">
        <v>5.9000000000000003E-6</v>
      </c>
      <c r="D764" s="784">
        <v>2.7E-6</v>
      </c>
      <c r="E764" s="815">
        <v>4385</v>
      </c>
      <c r="F764" s="818">
        <v>5730</v>
      </c>
      <c r="G764" s="785">
        <v>9014</v>
      </c>
      <c r="H764" s="785"/>
      <c r="I764" s="786">
        <v>519</v>
      </c>
      <c r="J764" s="787">
        <v>2188</v>
      </c>
      <c r="K764" s="786">
        <v>1287</v>
      </c>
      <c r="L764" s="785">
        <v>5034</v>
      </c>
      <c r="M764" s="785"/>
      <c r="N764" s="786">
        <v>255</v>
      </c>
      <c r="O764" s="786">
        <v>0</v>
      </c>
      <c r="P764" s="786">
        <v>0</v>
      </c>
      <c r="Q764" s="785">
        <v>0</v>
      </c>
      <c r="R764" s="785"/>
      <c r="S764" s="786">
        <v>3038</v>
      </c>
      <c r="T764" s="788">
        <v>1666</v>
      </c>
      <c r="U764" s="788">
        <v>4704</v>
      </c>
    </row>
    <row r="765" spans="1:21" x14ac:dyDescent="0.25">
      <c r="A765" s="782">
        <v>98241</v>
      </c>
      <c r="B765" s="783" t="s">
        <v>3376</v>
      </c>
      <c r="C765" s="784">
        <v>1.5099999999999999E-5</v>
      </c>
      <c r="D765" s="784">
        <v>1.98E-5</v>
      </c>
      <c r="E765" s="815">
        <v>8388</v>
      </c>
      <c r="F765" s="818">
        <v>42022</v>
      </c>
      <c r="G765" s="785">
        <v>23069</v>
      </c>
      <c r="H765" s="785"/>
      <c r="I765" s="786">
        <v>1329</v>
      </c>
      <c r="J765" s="787">
        <v>5602</v>
      </c>
      <c r="K765" s="786">
        <v>3295</v>
      </c>
      <c r="L765" s="785">
        <v>5512</v>
      </c>
      <c r="M765" s="785"/>
      <c r="N765" s="786">
        <v>653</v>
      </c>
      <c r="O765" s="786">
        <v>0</v>
      </c>
      <c r="P765" s="786">
        <v>0</v>
      </c>
      <c r="Q765" s="785">
        <v>2200</v>
      </c>
      <c r="R765" s="785"/>
      <c r="S765" s="786">
        <v>7774</v>
      </c>
      <c r="T765" s="788">
        <v>2564</v>
      </c>
      <c r="U765" s="788">
        <f>10339-1</f>
        <v>10338</v>
      </c>
    </row>
    <row r="766" spans="1:21" x14ac:dyDescent="0.25">
      <c r="A766" s="782">
        <v>98251</v>
      </c>
      <c r="B766" s="783" t="s">
        <v>3377</v>
      </c>
      <c r="C766" s="784">
        <v>3.0000000000000001E-6</v>
      </c>
      <c r="D766" s="784">
        <v>3.1E-6</v>
      </c>
      <c r="E766" s="815">
        <v>2206</v>
      </c>
      <c r="F766" s="818">
        <v>6579</v>
      </c>
      <c r="G766" s="785">
        <v>4583</v>
      </c>
      <c r="H766" s="785"/>
      <c r="I766" s="786">
        <v>264</v>
      </c>
      <c r="J766" s="787">
        <v>1113</v>
      </c>
      <c r="K766" s="786">
        <v>655</v>
      </c>
      <c r="L766" s="785">
        <v>1375</v>
      </c>
      <c r="M766" s="785"/>
      <c r="N766" s="786">
        <v>130</v>
      </c>
      <c r="O766" s="786">
        <v>0</v>
      </c>
      <c r="P766" s="786">
        <v>0</v>
      </c>
      <c r="Q766" s="785">
        <v>0</v>
      </c>
      <c r="R766" s="785"/>
      <c r="S766" s="786">
        <v>1545</v>
      </c>
      <c r="T766" s="788">
        <v>561</v>
      </c>
      <c r="U766" s="788">
        <v>2106</v>
      </c>
    </row>
    <row r="767" spans="1:21" x14ac:dyDescent="0.25">
      <c r="A767" s="782">
        <v>98261</v>
      </c>
      <c r="B767" s="783" t="s">
        <v>3378</v>
      </c>
      <c r="C767" s="784">
        <v>3.3200000000000001E-5</v>
      </c>
      <c r="D767" s="784">
        <v>2.97E-5</v>
      </c>
      <c r="E767" s="815">
        <v>16865</v>
      </c>
      <c r="F767" s="818">
        <v>63033</v>
      </c>
      <c r="G767" s="785">
        <v>50720</v>
      </c>
      <c r="H767" s="785"/>
      <c r="I767" s="786">
        <v>2922</v>
      </c>
      <c r="J767" s="787">
        <v>12315</v>
      </c>
      <c r="K767" s="786">
        <v>7244</v>
      </c>
      <c r="L767" s="785">
        <v>6546</v>
      </c>
      <c r="M767" s="785"/>
      <c r="N767" s="786">
        <v>1436</v>
      </c>
      <c r="O767" s="786">
        <v>0</v>
      </c>
      <c r="P767" s="786">
        <v>0</v>
      </c>
      <c r="Q767" s="785">
        <v>4922</v>
      </c>
      <c r="R767" s="785"/>
      <c r="S767" s="786">
        <v>17093</v>
      </c>
      <c r="T767" s="788">
        <v>793</v>
      </c>
      <c r="U767" s="788">
        <v>17886</v>
      </c>
    </row>
    <row r="768" spans="1:21" x14ac:dyDescent="0.25">
      <c r="A768" s="782">
        <v>98271</v>
      </c>
      <c r="B768" s="783" t="s">
        <v>3379</v>
      </c>
      <c r="C768" s="784">
        <v>5.1000000000000003E-6</v>
      </c>
      <c r="D768" s="784">
        <v>4.5000000000000001E-6</v>
      </c>
      <c r="E768" s="815">
        <v>2676</v>
      </c>
      <c r="F768" s="818">
        <v>9551</v>
      </c>
      <c r="G768" s="785">
        <v>7791</v>
      </c>
      <c r="H768" s="785"/>
      <c r="I768" s="786">
        <v>449</v>
      </c>
      <c r="J768" s="787">
        <v>1891</v>
      </c>
      <c r="K768" s="786">
        <v>1113</v>
      </c>
      <c r="L768" s="785">
        <v>3229</v>
      </c>
      <c r="M768" s="785"/>
      <c r="N768" s="786">
        <v>221</v>
      </c>
      <c r="O768" s="786">
        <v>0</v>
      </c>
      <c r="P768" s="786">
        <v>0</v>
      </c>
      <c r="Q768" s="785">
        <v>0</v>
      </c>
      <c r="R768" s="785"/>
      <c r="S768" s="786">
        <v>2626</v>
      </c>
      <c r="T768" s="788">
        <v>1560</v>
      </c>
      <c r="U768" s="788">
        <f>4185+1</f>
        <v>4186</v>
      </c>
    </row>
    <row r="769" spans="1:21" x14ac:dyDescent="0.25">
      <c r="A769" s="782">
        <v>98301</v>
      </c>
      <c r="B769" s="783" t="s">
        <v>3380</v>
      </c>
      <c r="C769" s="784">
        <v>1.7542E-3</v>
      </c>
      <c r="D769" s="784">
        <v>1.7776999999999999E-3</v>
      </c>
      <c r="E769" s="815">
        <v>825878</v>
      </c>
      <c r="F769" s="818">
        <v>3772875</v>
      </c>
      <c r="G769" s="785">
        <v>2679932</v>
      </c>
      <c r="H769" s="785"/>
      <c r="I769" s="786">
        <v>154389</v>
      </c>
      <c r="J769" s="787">
        <v>650690</v>
      </c>
      <c r="K769" s="786">
        <v>382731</v>
      </c>
      <c r="L769" s="785">
        <v>51704</v>
      </c>
      <c r="M769" s="785"/>
      <c r="N769" s="786">
        <v>75860</v>
      </c>
      <c r="O769" s="786">
        <v>0</v>
      </c>
      <c r="P769" s="786">
        <v>0</v>
      </c>
      <c r="Q769" s="785">
        <v>7816</v>
      </c>
      <c r="R769" s="785"/>
      <c r="S769" s="786">
        <v>903139</v>
      </c>
      <c r="T769" s="788">
        <v>17344</v>
      </c>
      <c r="U769" s="788">
        <v>920483</v>
      </c>
    </row>
    <row r="770" spans="1:21" x14ac:dyDescent="0.25">
      <c r="A770" s="782">
        <v>98304</v>
      </c>
      <c r="B770" s="783" t="s">
        <v>3381</v>
      </c>
      <c r="C770" s="784">
        <v>2.0999999999999999E-5</v>
      </c>
      <c r="D770" s="784">
        <v>2.2900000000000001E-5</v>
      </c>
      <c r="E770" s="815">
        <v>12751</v>
      </c>
      <c r="F770" s="818">
        <v>48601</v>
      </c>
      <c r="G770" s="785">
        <v>32082</v>
      </c>
      <c r="H770" s="785"/>
      <c r="I770" s="786">
        <v>1848</v>
      </c>
      <c r="J770" s="787">
        <v>7790</v>
      </c>
      <c r="K770" s="786">
        <v>4582</v>
      </c>
      <c r="L770" s="785">
        <v>2290</v>
      </c>
      <c r="M770" s="785"/>
      <c r="N770" s="786">
        <v>908</v>
      </c>
      <c r="O770" s="786">
        <v>0</v>
      </c>
      <c r="P770" s="786">
        <v>0</v>
      </c>
      <c r="Q770" s="785">
        <v>0</v>
      </c>
      <c r="R770" s="785"/>
      <c r="S770" s="786">
        <v>10812</v>
      </c>
      <c r="T770" s="788">
        <v>818</v>
      </c>
      <c r="U770" s="788">
        <f>11629+1</f>
        <v>11630</v>
      </c>
    </row>
    <row r="771" spans="1:21" x14ac:dyDescent="0.25">
      <c r="A771" s="782">
        <v>98308</v>
      </c>
      <c r="B771" s="783" t="s">
        <v>3382</v>
      </c>
      <c r="C771" s="784">
        <v>2.37E-5</v>
      </c>
      <c r="D771" s="784">
        <v>2.55E-5</v>
      </c>
      <c r="E771" s="815">
        <v>15363</v>
      </c>
      <c r="F771" s="818">
        <v>54120</v>
      </c>
      <c r="G771" s="785">
        <v>36207</v>
      </c>
      <c r="H771" s="785"/>
      <c r="I771" s="786">
        <v>2086</v>
      </c>
      <c r="J771" s="787">
        <v>8791</v>
      </c>
      <c r="K771" s="786">
        <v>5171</v>
      </c>
      <c r="L771" s="785">
        <v>7272</v>
      </c>
      <c r="M771" s="785"/>
      <c r="N771" s="786">
        <v>1025</v>
      </c>
      <c r="O771" s="786">
        <v>0</v>
      </c>
      <c r="P771" s="786">
        <v>0</v>
      </c>
      <c r="Q771" s="785">
        <v>0</v>
      </c>
      <c r="R771" s="785"/>
      <c r="S771" s="786">
        <v>12202</v>
      </c>
      <c r="T771" s="788">
        <v>3390</v>
      </c>
      <c r="U771" s="788">
        <v>15592</v>
      </c>
    </row>
    <row r="772" spans="1:21" x14ac:dyDescent="0.25">
      <c r="A772" s="782">
        <v>98311</v>
      </c>
      <c r="B772" s="783" t="s">
        <v>3383</v>
      </c>
      <c r="C772" s="784">
        <v>1.1536000000000001E-3</v>
      </c>
      <c r="D772" s="784">
        <v>1.1441999999999999E-3</v>
      </c>
      <c r="E772" s="815">
        <v>462217</v>
      </c>
      <c r="F772" s="818">
        <v>2428376</v>
      </c>
      <c r="G772" s="785">
        <v>1762381</v>
      </c>
      <c r="H772" s="785"/>
      <c r="I772" s="786">
        <v>101529</v>
      </c>
      <c r="J772" s="787">
        <v>427908</v>
      </c>
      <c r="K772" s="786">
        <v>251692</v>
      </c>
      <c r="L772" s="785">
        <v>12653</v>
      </c>
      <c r="M772" s="785"/>
      <c r="N772" s="786">
        <v>49887</v>
      </c>
      <c r="O772" s="786">
        <v>0</v>
      </c>
      <c r="P772" s="786">
        <v>0</v>
      </c>
      <c r="Q772" s="785">
        <v>98661</v>
      </c>
      <c r="R772" s="785"/>
      <c r="S772" s="786">
        <v>593924</v>
      </c>
      <c r="T772" s="788">
        <v>-18424</v>
      </c>
      <c r="U772" s="788">
        <f>575501-1</f>
        <v>575500</v>
      </c>
    </row>
    <row r="773" spans="1:21" x14ac:dyDescent="0.25">
      <c r="A773" s="782">
        <v>98313</v>
      </c>
      <c r="B773" s="783" t="s">
        <v>3384</v>
      </c>
      <c r="C773" s="784">
        <v>2.3560000000000001E-4</v>
      </c>
      <c r="D773" s="784">
        <v>2.4240000000000001E-4</v>
      </c>
      <c r="E773" s="815">
        <v>259158</v>
      </c>
      <c r="F773" s="818">
        <v>514454</v>
      </c>
      <c r="G773" s="785">
        <v>359932</v>
      </c>
      <c r="H773" s="785"/>
      <c r="I773" s="786">
        <v>20735</v>
      </c>
      <c r="J773" s="787">
        <v>87392</v>
      </c>
      <c r="K773" s="786">
        <v>51403</v>
      </c>
      <c r="L773" s="785">
        <v>233571</v>
      </c>
      <c r="M773" s="785"/>
      <c r="N773" s="786">
        <v>10189</v>
      </c>
      <c r="O773" s="786">
        <v>0</v>
      </c>
      <c r="P773" s="786">
        <v>0</v>
      </c>
      <c r="Q773" s="785">
        <v>59</v>
      </c>
      <c r="R773" s="785"/>
      <c r="S773" s="786">
        <v>121297</v>
      </c>
      <c r="T773" s="788">
        <v>77966</v>
      </c>
      <c r="U773" s="788">
        <v>199263</v>
      </c>
    </row>
    <row r="774" spans="1:21" x14ac:dyDescent="0.25">
      <c r="A774" s="782">
        <v>98321</v>
      </c>
      <c r="B774" s="783" t="s">
        <v>3385</v>
      </c>
      <c r="C774" s="784">
        <v>2.05E-5</v>
      </c>
      <c r="D774" s="784">
        <v>2.1399999999999998E-5</v>
      </c>
      <c r="E774" s="815">
        <v>10270</v>
      </c>
      <c r="F774" s="818">
        <v>45418</v>
      </c>
      <c r="G774" s="785">
        <v>31318</v>
      </c>
      <c r="H774" s="785"/>
      <c r="I774" s="786">
        <v>1804</v>
      </c>
      <c r="J774" s="787">
        <v>7604</v>
      </c>
      <c r="K774" s="786">
        <v>4473</v>
      </c>
      <c r="L774" s="785">
        <v>1639</v>
      </c>
      <c r="M774" s="785"/>
      <c r="N774" s="786">
        <v>887</v>
      </c>
      <c r="O774" s="786">
        <v>0</v>
      </c>
      <c r="P774" s="786">
        <v>0</v>
      </c>
      <c r="Q774" s="785">
        <v>3066</v>
      </c>
      <c r="R774" s="785"/>
      <c r="S774" s="786">
        <v>10554</v>
      </c>
      <c r="T774" s="788">
        <v>472</v>
      </c>
      <c r="U774" s="788">
        <v>11026</v>
      </c>
    </row>
    <row r="775" spans="1:21" x14ac:dyDescent="0.25">
      <c r="A775" s="782">
        <v>98331</v>
      </c>
      <c r="B775" s="783" t="s">
        <v>3386</v>
      </c>
      <c r="C775" s="784">
        <v>9.7999999999999993E-6</v>
      </c>
      <c r="D775" s="784">
        <v>1.03E-5</v>
      </c>
      <c r="E775" s="815">
        <v>6281</v>
      </c>
      <c r="F775" s="818">
        <v>21860</v>
      </c>
      <c r="G775" s="785">
        <v>14972</v>
      </c>
      <c r="H775" s="785"/>
      <c r="I775" s="786">
        <v>863</v>
      </c>
      <c r="J775" s="787">
        <v>3635</v>
      </c>
      <c r="K775" s="786">
        <v>2138</v>
      </c>
      <c r="L775" s="785">
        <v>3035</v>
      </c>
      <c r="M775" s="785"/>
      <c r="N775" s="786">
        <v>424</v>
      </c>
      <c r="O775" s="786">
        <v>0</v>
      </c>
      <c r="P775" s="786">
        <v>0</v>
      </c>
      <c r="Q775" s="785">
        <v>132</v>
      </c>
      <c r="R775" s="785"/>
      <c r="S775" s="786">
        <v>5045</v>
      </c>
      <c r="T775" s="788">
        <v>972</v>
      </c>
      <c r="U775" s="788">
        <f>6018-1</f>
        <v>6017</v>
      </c>
    </row>
    <row r="776" spans="1:21" x14ac:dyDescent="0.25">
      <c r="A776" s="782">
        <v>98401</v>
      </c>
      <c r="B776" s="783" t="s">
        <v>3387</v>
      </c>
      <c r="C776" s="784">
        <v>2.7655000000000002E-3</v>
      </c>
      <c r="D776" s="784">
        <v>2.7567999999999998E-3</v>
      </c>
      <c r="E776" s="815">
        <v>1399311</v>
      </c>
      <c r="F776" s="818">
        <v>5850853</v>
      </c>
      <c r="G776" s="785">
        <v>4224918</v>
      </c>
      <c r="H776" s="785"/>
      <c r="I776" s="786">
        <v>243394</v>
      </c>
      <c r="J776" s="787">
        <v>1025815</v>
      </c>
      <c r="K776" s="786">
        <v>603377</v>
      </c>
      <c r="L776" s="785">
        <v>168129</v>
      </c>
      <c r="M776" s="785"/>
      <c r="N776" s="786">
        <v>119594</v>
      </c>
      <c r="O776" s="786">
        <v>0</v>
      </c>
      <c r="P776" s="786">
        <v>0</v>
      </c>
      <c r="Q776" s="785">
        <v>6292</v>
      </c>
      <c r="R776" s="785"/>
      <c r="S776" s="786">
        <v>1423801</v>
      </c>
      <c r="T776" s="788">
        <v>58759</v>
      </c>
      <c r="U776" s="788">
        <v>1482560</v>
      </c>
    </row>
    <row r="777" spans="1:21" x14ac:dyDescent="0.25">
      <c r="A777" s="782">
        <v>98404</v>
      </c>
      <c r="B777" s="783" t="s">
        <v>3674</v>
      </c>
      <c r="C777" s="784">
        <v>1.52E-5</v>
      </c>
      <c r="D777" s="784">
        <v>0</v>
      </c>
      <c r="E777" s="815">
        <v>5852</v>
      </c>
      <c r="F777" s="818">
        <v>0</v>
      </c>
      <c r="G777" s="785">
        <v>23221</v>
      </c>
      <c r="H777" s="785"/>
      <c r="I777" s="786">
        <v>1338</v>
      </c>
      <c r="J777" s="787">
        <v>5638</v>
      </c>
      <c r="K777" s="786">
        <v>3316</v>
      </c>
      <c r="L777" s="785">
        <v>9290</v>
      </c>
      <c r="M777" s="785"/>
      <c r="N777" s="786">
        <v>657</v>
      </c>
      <c r="O777" s="786">
        <v>0</v>
      </c>
      <c r="P777" s="786">
        <v>0</v>
      </c>
      <c r="Q777" s="785">
        <v>0</v>
      </c>
      <c r="R777" s="785"/>
      <c r="S777" s="786">
        <v>7826</v>
      </c>
      <c r="T777" s="788">
        <v>2323</v>
      </c>
      <c r="U777" s="788">
        <f>10148+1</f>
        <v>10149</v>
      </c>
    </row>
    <row r="778" spans="1:21" x14ac:dyDescent="0.25">
      <c r="A778" s="782">
        <v>98411</v>
      </c>
      <c r="B778" s="783" t="s">
        <v>3388</v>
      </c>
      <c r="C778" s="784">
        <v>1.9816E-3</v>
      </c>
      <c r="D778" s="784">
        <v>2.0076999999999998E-3</v>
      </c>
      <c r="E778" s="815">
        <v>869964</v>
      </c>
      <c r="F778" s="818">
        <v>4261012</v>
      </c>
      <c r="G778" s="785">
        <v>3027336</v>
      </c>
      <c r="H778" s="785"/>
      <c r="I778" s="786">
        <v>174403</v>
      </c>
      <c r="J778" s="787">
        <v>735040</v>
      </c>
      <c r="K778" s="786">
        <v>432345</v>
      </c>
      <c r="L778" s="785">
        <v>3986</v>
      </c>
      <c r="M778" s="785"/>
      <c r="N778" s="786">
        <v>85694</v>
      </c>
      <c r="O778" s="786">
        <v>0</v>
      </c>
      <c r="P778" s="786">
        <v>0</v>
      </c>
      <c r="Q778" s="785">
        <v>73699</v>
      </c>
      <c r="R778" s="785"/>
      <c r="S778" s="786">
        <v>1020215</v>
      </c>
      <c r="T778" s="788">
        <v>-19116</v>
      </c>
      <c r="U778" s="788">
        <v>1001099</v>
      </c>
    </row>
    <row r="779" spans="1:21" x14ac:dyDescent="0.25">
      <c r="A779" s="782">
        <v>98414</v>
      </c>
      <c r="B779" s="783" t="s">
        <v>2628</v>
      </c>
      <c r="C779" s="789">
        <f>0.00283%+0.00102%</f>
        <v>3.8500000000000001E-5</v>
      </c>
      <c r="D779" s="784">
        <v>4.3600000000000003E-5</v>
      </c>
      <c r="E779" s="815">
        <v>7367</v>
      </c>
      <c r="F779" s="818">
        <v>0</v>
      </c>
      <c r="G779" s="785">
        <f>43235+15583</f>
        <v>58818</v>
      </c>
      <c r="H779" s="785"/>
      <c r="I779" s="786">
        <f>2491+898</f>
        <v>3389</v>
      </c>
      <c r="J779" s="787">
        <v>14282</v>
      </c>
      <c r="K779" s="786">
        <f>6174+2225</f>
        <v>8399</v>
      </c>
      <c r="L779" s="785">
        <v>14474</v>
      </c>
      <c r="M779" s="785"/>
      <c r="N779" s="786">
        <f>1224+441</f>
        <v>1665</v>
      </c>
      <c r="O779" s="786">
        <v>0</v>
      </c>
      <c r="P779" s="786">
        <v>0</v>
      </c>
      <c r="Q779" s="785">
        <f>0+24505</f>
        <v>24505</v>
      </c>
      <c r="R779" s="785"/>
      <c r="S779" s="786">
        <f>14570+5251</f>
        <v>19821</v>
      </c>
      <c r="T779" s="788">
        <f>3619-7460</f>
        <v>-3841</v>
      </c>
      <c r="U779" s="788">
        <f>18189-2209</f>
        <v>15980</v>
      </c>
    </row>
    <row r="780" spans="1:21" x14ac:dyDescent="0.25">
      <c r="A780" s="782">
        <v>98417</v>
      </c>
      <c r="B780" s="783" t="s">
        <v>3389</v>
      </c>
      <c r="C780" s="784">
        <v>2.2900000000000001E-5</v>
      </c>
      <c r="D780" s="784">
        <v>2.4899999999999999E-5</v>
      </c>
      <c r="E780" s="815">
        <v>14126</v>
      </c>
      <c r="F780" s="818">
        <v>0</v>
      </c>
      <c r="G780" s="785">
        <v>34985</v>
      </c>
      <c r="H780" s="785"/>
      <c r="I780" s="786">
        <v>2015</v>
      </c>
      <c r="J780" s="787">
        <v>8494</v>
      </c>
      <c r="K780" s="786">
        <v>4996</v>
      </c>
      <c r="L780" s="785">
        <v>2511</v>
      </c>
      <c r="M780" s="785"/>
      <c r="N780" s="786">
        <v>990</v>
      </c>
      <c r="O780" s="786">
        <v>0</v>
      </c>
      <c r="P780" s="786">
        <v>0</v>
      </c>
      <c r="Q780" s="785">
        <v>424</v>
      </c>
      <c r="R780" s="785"/>
      <c r="S780" s="786">
        <v>11790</v>
      </c>
      <c r="T780" s="788">
        <v>315</v>
      </c>
      <c r="U780" s="788">
        <v>12105</v>
      </c>
    </row>
    <row r="781" spans="1:21" x14ac:dyDescent="0.25">
      <c r="A781" s="782">
        <v>98421</v>
      </c>
      <c r="B781" s="783" t="s">
        <v>3390</v>
      </c>
      <c r="C781" s="784">
        <v>8.2700000000000004E-5</v>
      </c>
      <c r="D781" s="784">
        <v>1.0840000000000001E-4</v>
      </c>
      <c r="E781" s="815">
        <v>44396</v>
      </c>
      <c r="F781" s="818">
        <v>0</v>
      </c>
      <c r="G781" s="785">
        <v>126343</v>
      </c>
      <c r="H781" s="785"/>
      <c r="I781" s="786">
        <v>7279</v>
      </c>
      <c r="J781" s="787">
        <v>30676</v>
      </c>
      <c r="K781" s="786">
        <v>18043</v>
      </c>
      <c r="L781" s="785">
        <v>5132</v>
      </c>
      <c r="M781" s="785"/>
      <c r="N781" s="786">
        <v>3576</v>
      </c>
      <c r="O781" s="786">
        <v>0</v>
      </c>
      <c r="P781" s="786">
        <v>0</v>
      </c>
      <c r="Q781" s="785">
        <v>12725</v>
      </c>
      <c r="R781" s="785"/>
      <c r="S781" s="786">
        <v>42578</v>
      </c>
      <c r="T781" s="788">
        <v>-911</v>
      </c>
      <c r="U781" s="788">
        <v>41667</v>
      </c>
    </row>
    <row r="782" spans="1:21" x14ac:dyDescent="0.25">
      <c r="A782" s="782">
        <v>98427</v>
      </c>
      <c r="B782" s="783" t="s">
        <v>3391</v>
      </c>
      <c r="C782" s="784">
        <v>3.9999999999999998E-6</v>
      </c>
      <c r="D782" s="784">
        <v>4.6E-6</v>
      </c>
      <c r="E782" s="815">
        <v>3231</v>
      </c>
      <c r="F782" s="818">
        <v>0</v>
      </c>
      <c r="G782" s="785">
        <v>6111</v>
      </c>
      <c r="H782" s="785"/>
      <c r="I782" s="786">
        <v>352</v>
      </c>
      <c r="J782" s="787">
        <v>1484</v>
      </c>
      <c r="K782" s="786">
        <v>873</v>
      </c>
      <c r="L782" s="785">
        <v>1351</v>
      </c>
      <c r="M782" s="785"/>
      <c r="N782" s="786">
        <v>173</v>
      </c>
      <c r="O782" s="786">
        <v>0</v>
      </c>
      <c r="P782" s="786">
        <v>0</v>
      </c>
      <c r="Q782" s="785">
        <v>0</v>
      </c>
      <c r="R782" s="785"/>
      <c r="S782" s="786">
        <v>2059</v>
      </c>
      <c r="T782" s="788">
        <v>487</v>
      </c>
      <c r="U782" s="788">
        <f>2547-1</f>
        <v>2546</v>
      </c>
    </row>
    <row r="783" spans="1:21" x14ac:dyDescent="0.25">
      <c r="A783" s="782">
        <v>98431</v>
      </c>
      <c r="B783" s="783" t="s">
        <v>3392</v>
      </c>
      <c r="C783" s="784">
        <v>2.0589999999999999E-4</v>
      </c>
      <c r="D783" s="784">
        <v>2.0010000000000001E-4</v>
      </c>
      <c r="E783" s="815">
        <v>78482</v>
      </c>
      <c r="F783" s="818">
        <v>0</v>
      </c>
      <c r="G783" s="785">
        <v>314558</v>
      </c>
      <c r="H783" s="785"/>
      <c r="I783" s="786">
        <v>18121</v>
      </c>
      <c r="J783" s="787">
        <v>76375</v>
      </c>
      <c r="K783" s="786">
        <v>44923</v>
      </c>
      <c r="L783" s="785">
        <v>1246</v>
      </c>
      <c r="M783" s="785"/>
      <c r="N783" s="786">
        <v>8904</v>
      </c>
      <c r="O783" s="786">
        <v>0</v>
      </c>
      <c r="P783" s="786">
        <v>0</v>
      </c>
      <c r="Q783" s="785">
        <v>24844</v>
      </c>
      <c r="R783" s="785"/>
      <c r="S783" s="786">
        <v>106006</v>
      </c>
      <c r="T783" s="788">
        <v>-7635</v>
      </c>
      <c r="U783" s="788">
        <f>98372-1</f>
        <v>98371</v>
      </c>
    </row>
    <row r="784" spans="1:21" x14ac:dyDescent="0.25">
      <c r="A784" s="782">
        <v>98441</v>
      </c>
      <c r="B784" s="783" t="s">
        <v>3393</v>
      </c>
      <c r="C784" s="784">
        <v>8.2700000000000004E-5</v>
      </c>
      <c r="D784" s="784">
        <v>9.1000000000000003E-5</v>
      </c>
      <c r="E784" s="815">
        <v>35572</v>
      </c>
      <c r="F784" s="818">
        <v>0</v>
      </c>
      <c r="G784" s="785">
        <v>126343</v>
      </c>
      <c r="H784" s="785"/>
      <c r="I784" s="786">
        <v>7279</v>
      </c>
      <c r="J784" s="787">
        <v>30676</v>
      </c>
      <c r="K784" s="786">
        <v>18043</v>
      </c>
      <c r="L784" s="785">
        <v>570</v>
      </c>
      <c r="M784" s="785"/>
      <c r="N784" s="786">
        <v>3576</v>
      </c>
      <c r="O784" s="786">
        <v>0</v>
      </c>
      <c r="P784" s="786">
        <v>0</v>
      </c>
      <c r="Q784" s="785">
        <v>22406</v>
      </c>
      <c r="R784" s="785"/>
      <c r="S784" s="786">
        <v>42578</v>
      </c>
      <c r="T784" s="788">
        <v>-8026</v>
      </c>
      <c r="U784" s="788">
        <v>34552</v>
      </c>
    </row>
    <row r="785" spans="1:21" x14ac:dyDescent="0.25">
      <c r="A785" s="782">
        <v>98451</v>
      </c>
      <c r="B785" s="783" t="s">
        <v>3394</v>
      </c>
      <c r="C785" s="784">
        <v>5.7000000000000003E-5</v>
      </c>
      <c r="D785" s="784">
        <v>5.6199999999999997E-5</v>
      </c>
      <c r="E785" s="815">
        <v>26132</v>
      </c>
      <c r="F785" s="818">
        <v>0</v>
      </c>
      <c r="G785" s="785">
        <v>87080</v>
      </c>
      <c r="H785" s="785"/>
      <c r="I785" s="786">
        <v>5017</v>
      </c>
      <c r="J785" s="787">
        <v>21143</v>
      </c>
      <c r="K785" s="786">
        <v>12436</v>
      </c>
      <c r="L785" s="785">
        <v>508</v>
      </c>
      <c r="M785" s="785"/>
      <c r="N785" s="786">
        <v>2465</v>
      </c>
      <c r="O785" s="786">
        <v>0</v>
      </c>
      <c r="P785" s="786">
        <v>0</v>
      </c>
      <c r="Q785" s="785">
        <v>1478</v>
      </c>
      <c r="R785" s="785"/>
      <c r="S785" s="786">
        <v>29346</v>
      </c>
      <c r="T785" s="788">
        <v>-530</v>
      </c>
      <c r="U785" s="788">
        <v>28816</v>
      </c>
    </row>
    <row r="786" spans="1:21" x14ac:dyDescent="0.25">
      <c r="A786" s="782">
        <v>98481</v>
      </c>
      <c r="B786" s="783" t="s">
        <v>3395</v>
      </c>
      <c r="C786" s="784">
        <v>6.3899999999999995E-5</v>
      </c>
      <c r="D786" s="784">
        <v>6.7700000000000006E-5</v>
      </c>
      <c r="E786" s="815">
        <v>27198</v>
      </c>
      <c r="F786" s="818">
        <v>0</v>
      </c>
      <c r="G786" s="785">
        <v>97621</v>
      </c>
      <c r="H786" s="785"/>
      <c r="I786" s="786">
        <v>5624</v>
      </c>
      <c r="J786" s="787">
        <v>23703</v>
      </c>
      <c r="K786" s="786">
        <v>13942</v>
      </c>
      <c r="L786" s="785">
        <v>1545</v>
      </c>
      <c r="M786" s="785"/>
      <c r="N786" s="786">
        <v>2763</v>
      </c>
      <c r="O786" s="786">
        <v>0</v>
      </c>
      <c r="P786" s="786">
        <v>0</v>
      </c>
      <c r="Q786" s="785">
        <v>5772</v>
      </c>
      <c r="R786" s="785"/>
      <c r="S786" s="786">
        <v>32899</v>
      </c>
      <c r="T786" s="788">
        <v>-35</v>
      </c>
      <c r="U786" s="788">
        <f>32863+1</f>
        <v>32864</v>
      </c>
    </row>
    <row r="787" spans="1:21" x14ac:dyDescent="0.25">
      <c r="A787" s="782">
        <v>98501</v>
      </c>
      <c r="B787" s="783" t="s">
        <v>3396</v>
      </c>
      <c r="C787" s="784">
        <v>1.6022E-3</v>
      </c>
      <c r="D787" s="784">
        <v>1.5690999999999999E-3</v>
      </c>
      <c r="E787" s="815">
        <v>760833</v>
      </c>
      <c r="F787" s="818">
        <v>0</v>
      </c>
      <c r="G787" s="785">
        <v>2447718</v>
      </c>
      <c r="H787" s="785"/>
      <c r="I787" s="786">
        <v>141011</v>
      </c>
      <c r="J787" s="787">
        <v>594309</v>
      </c>
      <c r="K787" s="786">
        <v>349568</v>
      </c>
      <c r="L787" s="785">
        <v>75098</v>
      </c>
      <c r="M787" s="785"/>
      <c r="N787" s="786">
        <v>69287</v>
      </c>
      <c r="O787" s="786">
        <v>0</v>
      </c>
      <c r="P787" s="786">
        <v>0</v>
      </c>
      <c r="Q787" s="785">
        <v>2932</v>
      </c>
      <c r="R787" s="785"/>
      <c r="S787" s="786">
        <v>824883</v>
      </c>
      <c r="T787" s="788">
        <v>19182</v>
      </c>
      <c r="U787" s="788">
        <v>844065</v>
      </c>
    </row>
    <row r="788" spans="1:21" x14ac:dyDescent="0.25">
      <c r="A788" s="782">
        <v>98511</v>
      </c>
      <c r="B788" s="783" t="s">
        <v>3397</v>
      </c>
      <c r="C788" s="784">
        <v>4.8000000000000001E-5</v>
      </c>
      <c r="D788" s="784">
        <v>4.5800000000000002E-5</v>
      </c>
      <c r="E788" s="815">
        <v>23435</v>
      </c>
      <c r="F788" s="818">
        <v>0</v>
      </c>
      <c r="G788" s="785">
        <v>73331</v>
      </c>
      <c r="H788" s="785"/>
      <c r="I788" s="786">
        <v>4225</v>
      </c>
      <c r="J788" s="787">
        <v>17804</v>
      </c>
      <c r="K788" s="786">
        <v>10473</v>
      </c>
      <c r="L788" s="785">
        <v>5918</v>
      </c>
      <c r="M788" s="785"/>
      <c r="N788" s="786">
        <v>2076</v>
      </c>
      <c r="O788" s="786">
        <v>0</v>
      </c>
      <c r="P788" s="786">
        <v>0</v>
      </c>
      <c r="Q788" s="785">
        <v>11919</v>
      </c>
      <c r="R788" s="785"/>
      <c r="S788" s="786">
        <v>24713</v>
      </c>
      <c r="T788" s="788">
        <v>-9378</v>
      </c>
      <c r="U788" s="788">
        <f>15334+1</f>
        <v>15335</v>
      </c>
    </row>
    <row r="789" spans="1:21" x14ac:dyDescent="0.25">
      <c r="A789" s="782">
        <v>98517</v>
      </c>
      <c r="B789" s="783" t="s">
        <v>3398</v>
      </c>
      <c r="C789" s="784">
        <v>2.3E-6</v>
      </c>
      <c r="D789" s="784">
        <v>2.6000000000000001E-6</v>
      </c>
      <c r="E789" s="815">
        <v>2484</v>
      </c>
      <c r="F789" s="818">
        <v>0</v>
      </c>
      <c r="G789" s="785">
        <v>3514</v>
      </c>
      <c r="H789" s="785"/>
      <c r="I789" s="786">
        <v>202</v>
      </c>
      <c r="J789" s="787">
        <v>854</v>
      </c>
      <c r="K789" s="786">
        <v>502</v>
      </c>
      <c r="L789" s="785">
        <v>1623</v>
      </c>
      <c r="M789" s="785"/>
      <c r="N789" s="786">
        <v>99</v>
      </c>
      <c r="O789" s="786">
        <v>0</v>
      </c>
      <c r="P789" s="786">
        <v>0</v>
      </c>
      <c r="Q789" s="785">
        <v>0</v>
      </c>
      <c r="R789" s="785"/>
      <c r="S789" s="786">
        <v>1184</v>
      </c>
      <c r="T789" s="788">
        <v>589</v>
      </c>
      <c r="U789" s="788">
        <v>1773</v>
      </c>
    </row>
    <row r="790" spans="1:21" x14ac:dyDescent="0.25">
      <c r="A790" s="782">
        <v>98521</v>
      </c>
      <c r="B790" s="783" t="s">
        <v>3399</v>
      </c>
      <c r="C790" s="784">
        <v>6.6180000000000004E-4</v>
      </c>
      <c r="D790" s="784">
        <v>5.7059999999999999E-4</v>
      </c>
      <c r="E790" s="815">
        <v>270882</v>
      </c>
      <c r="F790" s="818">
        <v>0</v>
      </c>
      <c r="G790" s="785">
        <v>1011047</v>
      </c>
      <c r="H790" s="785"/>
      <c r="I790" s="786">
        <v>58246</v>
      </c>
      <c r="J790" s="787">
        <v>245484</v>
      </c>
      <c r="K790" s="786">
        <v>144392</v>
      </c>
      <c r="L790" s="785">
        <v>34795</v>
      </c>
      <c r="M790" s="785"/>
      <c r="N790" s="786">
        <v>28620</v>
      </c>
      <c r="O790" s="786">
        <v>0</v>
      </c>
      <c r="P790" s="786">
        <v>0</v>
      </c>
      <c r="Q790" s="785">
        <v>43967</v>
      </c>
      <c r="R790" s="785"/>
      <c r="S790" s="786">
        <v>340724</v>
      </c>
      <c r="T790" s="788">
        <v>-10201</v>
      </c>
      <c r="U790" s="788">
        <v>330523</v>
      </c>
    </row>
    <row r="791" spans="1:21" x14ac:dyDescent="0.25">
      <c r="A791" s="782">
        <v>98601</v>
      </c>
      <c r="B791" s="783" t="s">
        <v>3400</v>
      </c>
      <c r="C791" s="784">
        <v>3.4148E-3</v>
      </c>
      <c r="D791" s="784">
        <v>3.5065999999999999E-3</v>
      </c>
      <c r="E791" s="815">
        <v>1494584</v>
      </c>
      <c r="F791" s="818">
        <v>0</v>
      </c>
      <c r="G791" s="785">
        <v>5216869</v>
      </c>
      <c r="H791" s="785"/>
      <c r="I791" s="786">
        <v>300540</v>
      </c>
      <c r="J791" s="787">
        <v>1266662</v>
      </c>
      <c r="K791" s="786">
        <v>745041</v>
      </c>
      <c r="L791" s="785">
        <v>0</v>
      </c>
      <c r="M791" s="785"/>
      <c r="N791" s="786">
        <v>147673</v>
      </c>
      <c r="O791" s="786">
        <v>0</v>
      </c>
      <c r="P791" s="786">
        <v>0</v>
      </c>
      <c r="Q791" s="785">
        <v>216693</v>
      </c>
      <c r="R791" s="785"/>
      <c r="S791" s="786">
        <v>1758089</v>
      </c>
      <c r="T791" s="788">
        <v>-93549</v>
      </c>
      <c r="U791" s="788">
        <v>1664540</v>
      </c>
    </row>
    <row r="792" spans="1:21" x14ac:dyDescent="0.25">
      <c r="A792" s="782">
        <v>98604</v>
      </c>
      <c r="B792" s="783" t="s">
        <v>3401</v>
      </c>
      <c r="C792" s="784">
        <v>1.34E-5</v>
      </c>
      <c r="D792" s="784">
        <v>1.59E-5</v>
      </c>
      <c r="E792" s="815">
        <v>7588</v>
      </c>
      <c r="F792" s="818">
        <v>0</v>
      </c>
      <c r="G792" s="785">
        <v>20471</v>
      </c>
      <c r="H792" s="785"/>
      <c r="I792" s="786">
        <v>1179</v>
      </c>
      <c r="J792" s="787">
        <v>4970</v>
      </c>
      <c r="K792" s="786">
        <v>2924</v>
      </c>
      <c r="L792" s="785">
        <f>5979+2967</f>
        <v>8946</v>
      </c>
      <c r="M792" s="785"/>
      <c r="N792" s="786">
        <v>579</v>
      </c>
      <c r="O792" s="786">
        <v>0</v>
      </c>
      <c r="P792" s="786">
        <v>0</v>
      </c>
      <c r="Q792" s="785">
        <f>527+4977</f>
        <v>5504</v>
      </c>
      <c r="R792" s="785"/>
      <c r="S792" s="786">
        <v>6899</v>
      </c>
      <c r="T792" s="788">
        <f>1959+178</f>
        <v>2137</v>
      </c>
      <c r="U792" s="788">
        <f>8857+1+178</f>
        <v>9036</v>
      </c>
    </row>
    <row r="793" spans="1:21" x14ac:dyDescent="0.25">
      <c r="A793" s="782">
        <v>98607</v>
      </c>
      <c r="B793" s="783" t="s">
        <v>3402</v>
      </c>
      <c r="C793" s="784">
        <v>5.9000000000000003E-6</v>
      </c>
      <c r="D793" s="784">
        <v>5.9000000000000003E-6</v>
      </c>
      <c r="E793" s="815">
        <v>2774</v>
      </c>
      <c r="F793" s="818">
        <v>0</v>
      </c>
      <c r="G793" s="785">
        <v>9014</v>
      </c>
      <c r="H793" s="785"/>
      <c r="I793" s="786">
        <v>519</v>
      </c>
      <c r="J793" s="787">
        <v>2188</v>
      </c>
      <c r="K793" s="786">
        <v>1287</v>
      </c>
      <c r="L793" s="785">
        <v>52</v>
      </c>
      <c r="M793" s="785"/>
      <c r="N793" s="786">
        <v>255</v>
      </c>
      <c r="O793" s="786">
        <v>0</v>
      </c>
      <c r="P793" s="786">
        <v>0</v>
      </c>
      <c r="Q793" s="785">
        <v>1474</v>
      </c>
      <c r="R793" s="785"/>
      <c r="S793" s="786">
        <v>3038</v>
      </c>
      <c r="T793" s="788">
        <v>-861</v>
      </c>
      <c r="U793" s="788">
        <v>2177</v>
      </c>
    </row>
    <row r="794" spans="1:21" x14ac:dyDescent="0.25">
      <c r="A794" s="782">
        <v>98608</v>
      </c>
      <c r="B794" s="783" t="s">
        <v>3403</v>
      </c>
      <c r="C794" s="784">
        <v>4.9200000000000003E-5</v>
      </c>
      <c r="D794" s="784">
        <v>4.2299999999999998E-5</v>
      </c>
      <c r="E794" s="815">
        <v>20059</v>
      </c>
      <c r="F794" s="818">
        <v>0</v>
      </c>
      <c r="G794" s="785">
        <v>75164</v>
      </c>
      <c r="H794" s="785"/>
      <c r="I794" s="786">
        <v>4330</v>
      </c>
      <c r="J794" s="787">
        <v>18250</v>
      </c>
      <c r="K794" s="786">
        <v>10734</v>
      </c>
      <c r="L794" s="785">
        <v>6529</v>
      </c>
      <c r="M794" s="785"/>
      <c r="N794" s="786">
        <v>2128</v>
      </c>
      <c r="O794" s="786">
        <v>0</v>
      </c>
      <c r="P794" s="786">
        <v>0</v>
      </c>
      <c r="Q794" s="785">
        <v>5369</v>
      </c>
      <c r="R794" s="785"/>
      <c r="S794" s="786">
        <v>25330</v>
      </c>
      <c r="T794" s="788">
        <v>1217</v>
      </c>
      <c r="U794" s="788">
        <v>26547</v>
      </c>
    </row>
    <row r="795" spans="1:21" x14ac:dyDescent="0.25">
      <c r="A795" s="782">
        <v>98611</v>
      </c>
      <c r="B795" s="783" t="s">
        <v>3404</v>
      </c>
      <c r="C795" s="784">
        <v>8.6899999999999998E-5</v>
      </c>
      <c r="D795" s="784">
        <v>8.6700000000000007E-5</v>
      </c>
      <c r="E795" s="815">
        <v>49931</v>
      </c>
      <c r="F795" s="818">
        <v>0</v>
      </c>
      <c r="G795" s="785">
        <v>132759</v>
      </c>
      <c r="H795" s="785"/>
      <c r="I795" s="786">
        <v>7648</v>
      </c>
      <c r="J795" s="787">
        <v>32235</v>
      </c>
      <c r="K795" s="786">
        <v>18960</v>
      </c>
      <c r="L795" s="785">
        <v>10690</v>
      </c>
      <c r="M795" s="785"/>
      <c r="N795" s="786">
        <v>3758</v>
      </c>
      <c r="O795" s="786">
        <v>0</v>
      </c>
      <c r="P795" s="786">
        <v>0</v>
      </c>
      <c r="Q795" s="785">
        <v>9519</v>
      </c>
      <c r="R795" s="785"/>
      <c r="S795" s="786">
        <v>44740</v>
      </c>
      <c r="T795" s="788">
        <v>910</v>
      </c>
      <c r="U795" s="788">
        <f>45649+1</f>
        <v>45650</v>
      </c>
    </row>
    <row r="796" spans="1:21" x14ac:dyDescent="0.25">
      <c r="A796" s="782">
        <v>98621</v>
      </c>
      <c r="B796" s="783" t="s">
        <v>3405</v>
      </c>
      <c r="C796" s="784">
        <v>1.314E-4</v>
      </c>
      <c r="D796" s="784">
        <v>1.3239999999999999E-4</v>
      </c>
      <c r="E796" s="815">
        <v>55891</v>
      </c>
      <c r="F796" s="818">
        <v>0</v>
      </c>
      <c r="G796" s="785">
        <v>200743</v>
      </c>
      <c r="H796" s="785"/>
      <c r="I796" s="786">
        <v>11565</v>
      </c>
      <c r="J796" s="787">
        <v>48740</v>
      </c>
      <c r="K796" s="786">
        <v>28669</v>
      </c>
      <c r="L796" s="785">
        <v>473</v>
      </c>
      <c r="M796" s="785"/>
      <c r="N796" s="786">
        <v>5682</v>
      </c>
      <c r="O796" s="786">
        <v>0</v>
      </c>
      <c r="P796" s="786">
        <v>0</v>
      </c>
      <c r="Q796" s="785">
        <v>10727</v>
      </c>
      <c r="R796" s="785"/>
      <c r="S796" s="786">
        <v>67651</v>
      </c>
      <c r="T796" s="788">
        <v>-3535</v>
      </c>
      <c r="U796" s="788">
        <f>64115+1</f>
        <v>64116</v>
      </c>
    </row>
    <row r="797" spans="1:21" x14ac:dyDescent="0.25">
      <c r="A797" s="782">
        <v>98627</v>
      </c>
      <c r="B797" s="783" t="s">
        <v>3406</v>
      </c>
      <c r="C797" s="784">
        <v>8.6999999999999997E-6</v>
      </c>
      <c r="D797" s="784">
        <v>9.3999999999999998E-6</v>
      </c>
      <c r="E797" s="815">
        <v>3354</v>
      </c>
      <c r="F797" s="818">
        <v>0</v>
      </c>
      <c r="G797" s="785">
        <v>13291</v>
      </c>
      <c r="H797" s="785"/>
      <c r="I797" s="786">
        <v>766</v>
      </c>
      <c r="J797" s="787">
        <v>3227</v>
      </c>
      <c r="K797" s="786">
        <v>1898</v>
      </c>
      <c r="L797" s="785">
        <v>316</v>
      </c>
      <c r="M797" s="785"/>
      <c r="N797" s="786">
        <v>376</v>
      </c>
      <c r="O797" s="786">
        <v>0</v>
      </c>
      <c r="P797" s="786">
        <v>0</v>
      </c>
      <c r="Q797" s="785">
        <v>1098</v>
      </c>
      <c r="R797" s="785"/>
      <c r="S797" s="786">
        <v>4479</v>
      </c>
      <c r="T797" s="788">
        <v>-220</v>
      </c>
      <c r="U797" s="788">
        <v>4259</v>
      </c>
    </row>
    <row r="798" spans="1:21" x14ac:dyDescent="0.25">
      <c r="A798" s="782">
        <v>98631</v>
      </c>
      <c r="B798" s="783" t="s">
        <v>3407</v>
      </c>
      <c r="C798" s="784">
        <v>1.0051999999999999E-3</v>
      </c>
      <c r="D798" s="784">
        <v>1.0415000000000001E-3</v>
      </c>
      <c r="E798" s="815">
        <v>466623</v>
      </c>
      <c r="F798" s="818">
        <v>0</v>
      </c>
      <c r="G798" s="785">
        <v>1535667</v>
      </c>
      <c r="H798" s="785"/>
      <c r="I798" s="786">
        <v>88469</v>
      </c>
      <c r="J798" s="787">
        <v>372862</v>
      </c>
      <c r="K798" s="786">
        <v>219315</v>
      </c>
      <c r="L798" s="785">
        <v>0</v>
      </c>
      <c r="M798" s="785"/>
      <c r="N798" s="786">
        <v>43470</v>
      </c>
      <c r="O798" s="786">
        <v>0</v>
      </c>
      <c r="P798" s="786">
        <v>0</v>
      </c>
      <c r="Q798" s="785">
        <v>102113</v>
      </c>
      <c r="R798" s="785"/>
      <c r="S798" s="786">
        <v>517521</v>
      </c>
      <c r="T798" s="788">
        <v>-41744</v>
      </c>
      <c r="U798" s="788">
        <v>475777</v>
      </c>
    </row>
    <row r="799" spans="1:21" x14ac:dyDescent="0.25">
      <c r="A799" s="782">
        <v>98637</v>
      </c>
      <c r="B799" s="783" t="s">
        <v>3408</v>
      </c>
      <c r="C799" s="784">
        <v>2.0800000000000001E-5</v>
      </c>
      <c r="D799" s="784">
        <v>2.2200000000000001E-5</v>
      </c>
      <c r="E799" s="815">
        <v>15729</v>
      </c>
      <c r="F799" s="818">
        <v>0</v>
      </c>
      <c r="G799" s="785">
        <v>31777</v>
      </c>
      <c r="H799" s="785"/>
      <c r="I799" s="786">
        <v>1831</v>
      </c>
      <c r="J799" s="787">
        <v>7715</v>
      </c>
      <c r="K799" s="786">
        <v>4538</v>
      </c>
      <c r="L799" s="785">
        <v>8386</v>
      </c>
      <c r="M799" s="785"/>
      <c r="N799" s="786">
        <v>899</v>
      </c>
      <c r="O799" s="786">
        <v>0</v>
      </c>
      <c r="P799" s="786">
        <v>0</v>
      </c>
      <c r="Q799" s="785">
        <v>0</v>
      </c>
      <c r="R799" s="785"/>
      <c r="S799" s="786">
        <v>10709</v>
      </c>
      <c r="T799" s="788">
        <v>3206</v>
      </c>
      <c r="U799" s="788">
        <f>13914+1</f>
        <v>13915</v>
      </c>
    </row>
    <row r="800" spans="1:21" x14ac:dyDescent="0.25">
      <c r="A800" s="782">
        <v>98641</v>
      </c>
      <c r="B800" s="783" t="s">
        <v>3409</v>
      </c>
      <c r="C800" s="784">
        <v>2.965E-4</v>
      </c>
      <c r="D800" s="784">
        <v>3.0019999999999998E-4</v>
      </c>
      <c r="E800" s="815">
        <v>140670</v>
      </c>
      <c r="F800" s="818">
        <v>0</v>
      </c>
      <c r="G800" s="785">
        <v>452970</v>
      </c>
      <c r="H800" s="785"/>
      <c r="I800" s="786">
        <v>26095</v>
      </c>
      <c r="J800" s="787">
        <v>109981</v>
      </c>
      <c r="K800" s="786">
        <v>64690</v>
      </c>
      <c r="L800" s="785">
        <v>3407</v>
      </c>
      <c r="M800" s="785"/>
      <c r="N800" s="786">
        <v>12822</v>
      </c>
      <c r="O800" s="786">
        <v>0</v>
      </c>
      <c r="P800" s="786">
        <v>0</v>
      </c>
      <c r="Q800" s="785">
        <v>7840</v>
      </c>
      <c r="R800" s="785"/>
      <c r="S800" s="786">
        <v>152651</v>
      </c>
      <c r="T800" s="788">
        <v>-183</v>
      </c>
      <c r="U800" s="788">
        <v>152468</v>
      </c>
    </row>
    <row r="801" spans="1:21" x14ac:dyDescent="0.25">
      <c r="A801" s="782">
        <v>98701</v>
      </c>
      <c r="B801" s="783" t="s">
        <v>3411</v>
      </c>
      <c r="C801" s="784">
        <v>1.1333999999999999E-3</v>
      </c>
      <c r="D801" s="784">
        <v>1.1793000000000001E-3</v>
      </c>
      <c r="E801" s="815">
        <v>514113</v>
      </c>
      <c r="F801" s="818">
        <v>2502870</v>
      </c>
      <c r="G801" s="785">
        <v>1731521</v>
      </c>
      <c r="H801" s="785"/>
      <c r="I801" s="786">
        <v>99752</v>
      </c>
      <c r="J801" s="787">
        <v>420415</v>
      </c>
      <c r="K801" s="786">
        <v>247285</v>
      </c>
      <c r="L801" s="785">
        <v>3431</v>
      </c>
      <c r="M801" s="785"/>
      <c r="N801" s="786">
        <v>49014</v>
      </c>
      <c r="O801" s="786">
        <v>0</v>
      </c>
      <c r="P801" s="786">
        <v>0</v>
      </c>
      <c r="Q801" s="785">
        <v>66380</v>
      </c>
      <c r="R801" s="785"/>
      <c r="S801" s="786">
        <v>583524</v>
      </c>
      <c r="T801" s="788">
        <v>-25976</v>
      </c>
      <c r="U801" s="788">
        <v>557548</v>
      </c>
    </row>
    <row r="802" spans="1:21" x14ac:dyDescent="0.25">
      <c r="A802" s="782">
        <v>98711</v>
      </c>
      <c r="B802" s="783" t="s">
        <v>3412</v>
      </c>
      <c r="C802" s="784">
        <v>1.8369999999999999E-4</v>
      </c>
      <c r="D802" s="784">
        <v>1.8039999999999999E-4</v>
      </c>
      <c r="E802" s="815">
        <v>70342</v>
      </c>
      <c r="F802" s="818">
        <v>382869</v>
      </c>
      <c r="G802" s="785">
        <v>280643</v>
      </c>
      <c r="H802" s="785"/>
      <c r="I802" s="786">
        <v>16168</v>
      </c>
      <c r="J802" s="787">
        <v>68140</v>
      </c>
      <c r="K802" s="786">
        <v>40080</v>
      </c>
      <c r="L802" s="785">
        <v>1238</v>
      </c>
      <c r="M802" s="785"/>
      <c r="N802" s="786">
        <v>7944</v>
      </c>
      <c r="O802" s="786">
        <v>0</v>
      </c>
      <c r="P802" s="786">
        <v>0</v>
      </c>
      <c r="Q802" s="785">
        <v>16374</v>
      </c>
      <c r="R802" s="785"/>
      <c r="S802" s="786">
        <v>94577</v>
      </c>
      <c r="T802" s="788">
        <v>-4053</v>
      </c>
      <c r="U802" s="788">
        <v>90524</v>
      </c>
    </row>
    <row r="803" spans="1:21" x14ac:dyDescent="0.25">
      <c r="A803" s="782">
        <v>98717</v>
      </c>
      <c r="B803" s="783" t="s">
        <v>3413</v>
      </c>
      <c r="C803" s="784">
        <v>2.1100000000000001E-5</v>
      </c>
      <c r="D803" s="784">
        <v>1.8600000000000001E-5</v>
      </c>
      <c r="E803" s="815">
        <v>8759</v>
      </c>
      <c r="F803" s="818">
        <v>39475</v>
      </c>
      <c r="G803" s="785">
        <v>32235</v>
      </c>
      <c r="H803" s="785"/>
      <c r="I803" s="786">
        <v>1857</v>
      </c>
      <c r="J803" s="787">
        <v>7827</v>
      </c>
      <c r="K803" s="786">
        <v>4604</v>
      </c>
      <c r="L803" s="785">
        <v>1439</v>
      </c>
      <c r="M803" s="785"/>
      <c r="N803" s="786">
        <v>912</v>
      </c>
      <c r="O803" s="786">
        <v>0</v>
      </c>
      <c r="P803" s="786">
        <v>0</v>
      </c>
      <c r="Q803" s="785">
        <v>534</v>
      </c>
      <c r="R803" s="785"/>
      <c r="S803" s="786">
        <v>10863</v>
      </c>
      <c r="T803" s="788">
        <v>247</v>
      </c>
      <c r="U803" s="788">
        <v>11110</v>
      </c>
    </row>
    <row r="804" spans="1:21" x14ac:dyDescent="0.25">
      <c r="A804" s="782">
        <v>98801</v>
      </c>
      <c r="B804" s="783" t="s">
        <v>3414</v>
      </c>
      <c r="C804" s="784">
        <v>2.2859E-3</v>
      </c>
      <c r="D804" s="784">
        <v>2.1771999999999998E-3</v>
      </c>
      <c r="E804" s="815">
        <v>1067051</v>
      </c>
      <c r="F804" s="818">
        <v>4620748</v>
      </c>
      <c r="G804" s="785">
        <v>3492222</v>
      </c>
      <c r="H804" s="785"/>
      <c r="I804" s="786">
        <v>201184</v>
      </c>
      <c r="J804" s="787">
        <v>847916</v>
      </c>
      <c r="K804" s="786">
        <v>498738</v>
      </c>
      <c r="L804" s="785">
        <v>146068</v>
      </c>
      <c r="M804" s="785"/>
      <c r="N804" s="786">
        <v>98854</v>
      </c>
      <c r="O804" s="786">
        <v>0</v>
      </c>
      <c r="P804" s="786">
        <v>0</v>
      </c>
      <c r="Q804" s="785">
        <v>0</v>
      </c>
      <c r="R804" s="785"/>
      <c r="S804" s="786">
        <v>1176882</v>
      </c>
      <c r="T804" s="788">
        <v>55567</v>
      </c>
      <c r="U804" s="788">
        <v>1232449</v>
      </c>
    </row>
    <row r="805" spans="1:21" x14ac:dyDescent="0.25">
      <c r="A805" s="782">
        <v>98811</v>
      </c>
      <c r="B805" s="783" t="s">
        <v>3415</v>
      </c>
      <c r="C805" s="784">
        <v>6.5160000000000001E-4</v>
      </c>
      <c r="D805" s="784">
        <v>7.1120000000000005E-4</v>
      </c>
      <c r="E805" s="815">
        <v>323262</v>
      </c>
      <c r="F805" s="818">
        <v>1509405</v>
      </c>
      <c r="G805" s="785">
        <v>995464</v>
      </c>
      <c r="H805" s="785"/>
      <c r="I805" s="786">
        <v>57348</v>
      </c>
      <c r="J805" s="787">
        <v>241700</v>
      </c>
      <c r="K805" s="786">
        <v>142166</v>
      </c>
      <c r="L805" s="785">
        <v>16975</v>
      </c>
      <c r="M805" s="785"/>
      <c r="N805" s="786">
        <v>28178</v>
      </c>
      <c r="O805" s="786">
        <v>0</v>
      </c>
      <c r="P805" s="786">
        <v>0</v>
      </c>
      <c r="Q805" s="785">
        <v>46894</v>
      </c>
      <c r="R805" s="785"/>
      <c r="S805" s="786">
        <v>335472</v>
      </c>
      <c r="T805" s="788">
        <v>-312</v>
      </c>
      <c r="U805" s="788">
        <f>335161-1</f>
        <v>335160</v>
      </c>
    </row>
    <row r="806" spans="1:21" x14ac:dyDescent="0.25">
      <c r="A806" s="782">
        <v>98817</v>
      </c>
      <c r="B806" s="783" t="s">
        <v>3416</v>
      </c>
      <c r="C806" s="784">
        <v>2.5199999999999999E-5</v>
      </c>
      <c r="D806" s="784">
        <v>2.34E-5</v>
      </c>
      <c r="E806" s="815">
        <v>14663</v>
      </c>
      <c r="F806" s="818">
        <v>49663</v>
      </c>
      <c r="G806" s="785">
        <v>38499</v>
      </c>
      <c r="H806" s="785"/>
      <c r="I806" s="786">
        <v>2218</v>
      </c>
      <c r="J806" s="787">
        <v>9347</v>
      </c>
      <c r="K806" s="786">
        <v>5498</v>
      </c>
      <c r="L806" s="785">
        <v>3862</v>
      </c>
      <c r="M806" s="785"/>
      <c r="N806" s="786">
        <v>1090</v>
      </c>
      <c r="O806" s="786">
        <v>0</v>
      </c>
      <c r="P806" s="786">
        <v>0</v>
      </c>
      <c r="Q806" s="785">
        <v>2179</v>
      </c>
      <c r="R806" s="785"/>
      <c r="S806" s="786">
        <v>12974</v>
      </c>
      <c r="T806" s="788">
        <v>-1216</v>
      </c>
      <c r="U806" s="788">
        <v>11758</v>
      </c>
    </row>
    <row r="807" spans="1:21" x14ac:dyDescent="0.25">
      <c r="A807" s="782">
        <v>98901</v>
      </c>
      <c r="B807" s="783" t="s">
        <v>3417</v>
      </c>
      <c r="C807" s="784">
        <v>3.5050000000000001E-4</v>
      </c>
      <c r="D807" s="784">
        <v>3.392E-4</v>
      </c>
      <c r="E807" s="815">
        <v>159126</v>
      </c>
      <c r="F807" s="818">
        <v>719896</v>
      </c>
      <c r="G807" s="785">
        <v>535467</v>
      </c>
      <c r="H807" s="785"/>
      <c r="I807" s="786">
        <v>30848</v>
      </c>
      <c r="J807" s="787">
        <v>130012</v>
      </c>
      <c r="K807" s="786">
        <v>76472</v>
      </c>
      <c r="L807" s="785">
        <v>7505</v>
      </c>
      <c r="M807" s="785"/>
      <c r="N807" s="786">
        <v>15157</v>
      </c>
      <c r="O807" s="786">
        <v>0</v>
      </c>
      <c r="P807" s="786">
        <v>0</v>
      </c>
      <c r="Q807" s="785">
        <v>2530</v>
      </c>
      <c r="R807" s="785"/>
      <c r="S807" s="786">
        <v>180453</v>
      </c>
      <c r="T807" s="788">
        <v>975</v>
      </c>
      <c r="U807" s="788">
        <v>181428</v>
      </c>
    </row>
    <row r="808" spans="1:21" x14ac:dyDescent="0.25">
      <c r="A808" s="782">
        <v>98904</v>
      </c>
      <c r="B808" s="783" t="s">
        <v>3418</v>
      </c>
      <c r="C808" s="784">
        <v>2.7999999999999999E-6</v>
      </c>
      <c r="D808" s="784">
        <v>5.2000000000000002E-6</v>
      </c>
      <c r="E808" s="815">
        <v>1608</v>
      </c>
      <c r="F808" s="818">
        <v>11036</v>
      </c>
      <c r="G808" s="785">
        <v>4278</v>
      </c>
      <c r="H808" s="785"/>
      <c r="I808" s="786">
        <v>246</v>
      </c>
      <c r="J808" s="787">
        <v>1039</v>
      </c>
      <c r="K808" s="786">
        <v>611</v>
      </c>
      <c r="L808" s="785">
        <v>365</v>
      </c>
      <c r="M808" s="785"/>
      <c r="N808" s="786">
        <v>121</v>
      </c>
      <c r="O808" s="786">
        <v>0</v>
      </c>
      <c r="P808" s="786">
        <v>0</v>
      </c>
      <c r="Q808" s="785">
        <v>1887</v>
      </c>
      <c r="R808" s="785"/>
      <c r="S808" s="786">
        <v>1442</v>
      </c>
      <c r="T808" s="788">
        <v>-315</v>
      </c>
      <c r="U808" s="788">
        <f>1126+1</f>
        <v>1127</v>
      </c>
    </row>
    <row r="809" spans="1:21" x14ac:dyDescent="0.25">
      <c r="A809" s="782">
        <v>98911</v>
      </c>
      <c r="B809" s="783" t="s">
        <v>3419</v>
      </c>
      <c r="C809" s="784">
        <v>2.7900000000000001E-5</v>
      </c>
      <c r="D809" s="784">
        <v>2.8600000000000001E-5</v>
      </c>
      <c r="E809" s="815">
        <v>17945</v>
      </c>
      <c r="F809" s="818">
        <v>60699</v>
      </c>
      <c r="G809" s="785">
        <v>42623</v>
      </c>
      <c r="H809" s="785"/>
      <c r="I809" s="786">
        <v>2456</v>
      </c>
      <c r="J809" s="787">
        <v>10349</v>
      </c>
      <c r="K809" s="786">
        <v>6087</v>
      </c>
      <c r="L809" s="785">
        <v>12780</v>
      </c>
      <c r="M809" s="785"/>
      <c r="N809" s="786">
        <v>1207</v>
      </c>
      <c r="O809" s="786">
        <v>0</v>
      </c>
      <c r="P809" s="786">
        <v>0</v>
      </c>
      <c r="Q809" s="785">
        <v>0</v>
      </c>
      <c r="R809" s="785"/>
      <c r="S809" s="786">
        <v>14364</v>
      </c>
      <c r="T809" s="788">
        <v>5565</v>
      </c>
      <c r="U809" s="788">
        <v>19929</v>
      </c>
    </row>
    <row r="810" spans="1:21" x14ac:dyDescent="0.25">
      <c r="A810" s="782">
        <v>99001</v>
      </c>
      <c r="B810" s="783" t="s">
        <v>3420</v>
      </c>
      <c r="C810" s="784">
        <v>8.0949000000000004E-3</v>
      </c>
      <c r="D810" s="784">
        <v>7.8098999999999998E-3</v>
      </c>
      <c r="E810" s="815">
        <v>3574723</v>
      </c>
      <c r="F810" s="818">
        <v>16575224</v>
      </c>
      <c r="G810" s="785">
        <v>12366765</v>
      </c>
      <c r="H810" s="785"/>
      <c r="I810" s="786">
        <v>712440</v>
      </c>
      <c r="J810" s="787">
        <v>3002666</v>
      </c>
      <c r="K810" s="786">
        <v>1766145</v>
      </c>
      <c r="L810" s="785">
        <v>355732</v>
      </c>
      <c r="M810" s="785"/>
      <c r="N810" s="786">
        <v>350064</v>
      </c>
      <c r="O810" s="786">
        <v>0</v>
      </c>
      <c r="P810" s="786">
        <v>0</v>
      </c>
      <c r="Q810" s="785">
        <v>0</v>
      </c>
      <c r="R810" s="785"/>
      <c r="S810" s="786">
        <v>4167611</v>
      </c>
      <c r="T810" s="788">
        <v>186049</v>
      </c>
      <c r="U810" s="788">
        <v>4353660</v>
      </c>
    </row>
    <row r="811" spans="1:21" x14ac:dyDescent="0.25">
      <c r="A811" s="782">
        <v>99011</v>
      </c>
      <c r="B811" s="783" t="s">
        <v>3421</v>
      </c>
      <c r="C811" s="784">
        <v>3.8736999999999999E-3</v>
      </c>
      <c r="D811" s="784">
        <v>3.9039000000000001E-3</v>
      </c>
      <c r="E811" s="815">
        <v>1767797</v>
      </c>
      <c r="F811" s="818">
        <v>8285384</v>
      </c>
      <c r="G811" s="785">
        <v>5917941</v>
      </c>
      <c r="H811" s="785"/>
      <c r="I811" s="786">
        <v>340928</v>
      </c>
      <c r="J811" s="787">
        <v>1436883</v>
      </c>
      <c r="K811" s="786">
        <v>845164</v>
      </c>
      <c r="L811" s="785">
        <v>0</v>
      </c>
      <c r="M811" s="785"/>
      <c r="N811" s="786">
        <v>167518</v>
      </c>
      <c r="O811" s="786">
        <v>0</v>
      </c>
      <c r="P811" s="786">
        <v>0</v>
      </c>
      <c r="Q811" s="785">
        <v>396289</v>
      </c>
      <c r="R811" s="785"/>
      <c r="S811" s="786">
        <v>1994351</v>
      </c>
      <c r="T811" s="788">
        <v>-212974</v>
      </c>
      <c r="U811" s="788">
        <v>1781377</v>
      </c>
    </row>
    <row r="812" spans="1:21" x14ac:dyDescent="0.25">
      <c r="A812" s="782">
        <v>99013</v>
      </c>
      <c r="B812" s="783" t="s">
        <v>3422</v>
      </c>
      <c r="C812" s="784">
        <v>5.5999999999999999E-5</v>
      </c>
      <c r="D812" s="784">
        <v>6.02E-5</v>
      </c>
      <c r="E812" s="815">
        <v>27133</v>
      </c>
      <c r="F812" s="818">
        <v>127765</v>
      </c>
      <c r="G812" s="785">
        <v>85552</v>
      </c>
      <c r="H812" s="785"/>
      <c r="I812" s="786">
        <v>4929</v>
      </c>
      <c r="J812" s="787">
        <v>20773</v>
      </c>
      <c r="K812" s="786">
        <v>12218</v>
      </c>
      <c r="L812" s="785">
        <v>10</v>
      </c>
      <c r="M812" s="785"/>
      <c r="N812" s="786">
        <v>2422</v>
      </c>
      <c r="O812" s="786">
        <v>0</v>
      </c>
      <c r="P812" s="786">
        <v>0</v>
      </c>
      <c r="Q812" s="785">
        <v>8046</v>
      </c>
      <c r="R812" s="785"/>
      <c r="S812" s="786">
        <v>28831</v>
      </c>
      <c r="T812" s="788">
        <v>-2790</v>
      </c>
      <c r="U812" s="788">
        <f>26042-1</f>
        <v>26041</v>
      </c>
    </row>
    <row r="813" spans="1:21" x14ac:dyDescent="0.25">
      <c r="A813" s="782">
        <v>99014</v>
      </c>
      <c r="B813" s="783" t="s">
        <v>3423</v>
      </c>
      <c r="C813" s="784">
        <v>2.0100000000000001E-5</v>
      </c>
      <c r="D813" s="784">
        <v>2.4199999999999999E-5</v>
      </c>
      <c r="E813" s="815">
        <v>13999</v>
      </c>
      <c r="F813" s="818">
        <v>51361</v>
      </c>
      <c r="G813" s="785">
        <v>30707</v>
      </c>
      <c r="H813" s="785"/>
      <c r="I813" s="786">
        <v>1769</v>
      </c>
      <c r="J813" s="787">
        <v>7456</v>
      </c>
      <c r="K813" s="786">
        <v>4385</v>
      </c>
      <c r="L813" s="785">
        <v>12703</v>
      </c>
      <c r="M813" s="785"/>
      <c r="N813" s="786">
        <v>869</v>
      </c>
      <c r="O813" s="786">
        <v>0</v>
      </c>
      <c r="P813" s="786">
        <v>0</v>
      </c>
      <c r="Q813" s="785">
        <v>0</v>
      </c>
      <c r="R813" s="785"/>
      <c r="S813" s="786">
        <v>10348</v>
      </c>
      <c r="T813" s="788">
        <v>4335</v>
      </c>
      <c r="U813" s="788">
        <v>14683</v>
      </c>
    </row>
    <row r="814" spans="1:21" x14ac:dyDescent="0.25">
      <c r="A814" s="782">
        <v>99017</v>
      </c>
      <c r="B814" s="783" t="s">
        <v>3424</v>
      </c>
      <c r="C814" s="784">
        <v>5.13E-5</v>
      </c>
      <c r="D814" s="784">
        <v>4.6999999999999997E-5</v>
      </c>
      <c r="E814" s="815">
        <v>25055</v>
      </c>
      <c r="F814" s="818">
        <v>99750</v>
      </c>
      <c r="G814" s="785">
        <v>78372</v>
      </c>
      <c r="H814" s="785"/>
      <c r="I814" s="786">
        <v>4515</v>
      </c>
      <c r="J814" s="787">
        <v>19029</v>
      </c>
      <c r="K814" s="786">
        <v>11193</v>
      </c>
      <c r="L814" s="785">
        <v>8072</v>
      </c>
      <c r="M814" s="785"/>
      <c r="N814" s="786">
        <v>2218</v>
      </c>
      <c r="O814" s="786">
        <v>0</v>
      </c>
      <c r="P814" s="786">
        <v>0</v>
      </c>
      <c r="Q814" s="785">
        <v>3306</v>
      </c>
      <c r="R814" s="785"/>
      <c r="S814" s="786">
        <v>26411</v>
      </c>
      <c r="T814" s="788">
        <v>-629</v>
      </c>
      <c r="U814" s="788">
        <v>25782</v>
      </c>
    </row>
    <row r="815" spans="1:21" x14ac:dyDescent="0.25">
      <c r="A815" s="782">
        <v>99021</v>
      </c>
      <c r="B815" s="783" t="s">
        <v>3425</v>
      </c>
      <c r="C815" s="784">
        <v>1.5249999999999999E-4</v>
      </c>
      <c r="D815" s="784">
        <v>1.3420000000000001E-4</v>
      </c>
      <c r="E815" s="815">
        <v>64601</v>
      </c>
      <c r="F815" s="818">
        <v>284817</v>
      </c>
      <c r="G815" s="785">
        <v>232978</v>
      </c>
      <c r="H815" s="785"/>
      <c r="I815" s="786">
        <v>13422</v>
      </c>
      <c r="J815" s="787">
        <v>56568</v>
      </c>
      <c r="K815" s="786">
        <v>33272</v>
      </c>
      <c r="L815" s="785">
        <v>11565</v>
      </c>
      <c r="M815" s="785"/>
      <c r="N815" s="786">
        <v>6595</v>
      </c>
      <c r="O815" s="786">
        <v>0</v>
      </c>
      <c r="P815" s="786">
        <v>0</v>
      </c>
      <c r="Q815" s="785">
        <v>728</v>
      </c>
      <c r="R815" s="785"/>
      <c r="S815" s="786">
        <v>78514</v>
      </c>
      <c r="T815" s="788">
        <v>3978</v>
      </c>
      <c r="U815" s="788">
        <f>82491+1</f>
        <v>82492</v>
      </c>
    </row>
    <row r="816" spans="1:21" x14ac:dyDescent="0.25">
      <c r="A816" s="782">
        <v>99022</v>
      </c>
      <c r="B816" s="783" t="s">
        <v>1935</v>
      </c>
      <c r="C816" s="784">
        <v>1.08E-5</v>
      </c>
      <c r="D816" s="784">
        <v>1.1800000000000001E-5</v>
      </c>
      <c r="E816" s="815">
        <v>11386</v>
      </c>
      <c r="F816" s="818">
        <v>25044</v>
      </c>
      <c r="G816" s="785">
        <v>16499</v>
      </c>
      <c r="H816" s="785"/>
      <c r="I816" s="786">
        <v>951</v>
      </c>
      <c r="J816" s="787">
        <v>4006</v>
      </c>
      <c r="K816" s="786">
        <v>2356</v>
      </c>
      <c r="L816" s="785">
        <v>8944</v>
      </c>
      <c r="M816" s="785"/>
      <c r="N816" s="786">
        <v>467</v>
      </c>
      <c r="O816" s="786">
        <v>0</v>
      </c>
      <c r="P816" s="786">
        <v>0</v>
      </c>
      <c r="Q816" s="785">
        <v>132</v>
      </c>
      <c r="R816" s="785"/>
      <c r="S816" s="786">
        <v>5560</v>
      </c>
      <c r="T816" s="788">
        <v>2896</v>
      </c>
      <c r="U816" s="788">
        <v>8456</v>
      </c>
    </row>
    <row r="817" spans="1:21" x14ac:dyDescent="0.25">
      <c r="A817" s="782">
        <v>99031</v>
      </c>
      <c r="B817" s="783" t="s">
        <v>3426</v>
      </c>
      <c r="C817" s="784">
        <v>1.518E-4</v>
      </c>
      <c r="D817" s="784">
        <v>1.5970000000000001E-4</v>
      </c>
      <c r="E817" s="815">
        <v>59833</v>
      </c>
      <c r="F817" s="818">
        <v>338937</v>
      </c>
      <c r="G817" s="785">
        <v>231908</v>
      </c>
      <c r="H817" s="785"/>
      <c r="I817" s="786">
        <v>13360</v>
      </c>
      <c r="J817" s="787">
        <v>56308</v>
      </c>
      <c r="K817" s="786">
        <v>33120</v>
      </c>
      <c r="L817" s="785">
        <v>2845</v>
      </c>
      <c r="M817" s="785"/>
      <c r="N817" s="786">
        <v>6565</v>
      </c>
      <c r="O817" s="786">
        <v>0</v>
      </c>
      <c r="P817" s="786">
        <v>0</v>
      </c>
      <c r="Q817" s="785">
        <v>23907</v>
      </c>
      <c r="R817" s="785"/>
      <c r="S817" s="786">
        <v>78153</v>
      </c>
      <c r="T817" s="788">
        <v>-11727</v>
      </c>
      <c r="U817" s="788">
        <v>66426</v>
      </c>
    </row>
    <row r="818" spans="1:21" x14ac:dyDescent="0.25">
      <c r="A818" s="782">
        <v>99041</v>
      </c>
      <c r="B818" s="783" t="s">
        <v>3427</v>
      </c>
      <c r="C818" s="784">
        <v>6.3500000000000004E-4</v>
      </c>
      <c r="D818" s="784">
        <v>5.6289999999999997E-4</v>
      </c>
      <c r="E818" s="815">
        <v>254000</v>
      </c>
      <c r="F818" s="818">
        <v>1194662</v>
      </c>
      <c r="G818" s="785">
        <v>970104</v>
      </c>
      <c r="H818" s="785"/>
      <c r="I818" s="786">
        <v>55887</v>
      </c>
      <c r="J818" s="787">
        <v>235543</v>
      </c>
      <c r="K818" s="786">
        <v>138544</v>
      </c>
      <c r="L818" s="785">
        <v>52920</v>
      </c>
      <c r="M818" s="785"/>
      <c r="N818" s="786">
        <v>27461</v>
      </c>
      <c r="O818" s="786">
        <v>0</v>
      </c>
      <c r="P818" s="786">
        <v>0</v>
      </c>
      <c r="Q818" s="785">
        <v>0</v>
      </c>
      <c r="R818" s="785"/>
      <c r="S818" s="786">
        <v>326926</v>
      </c>
      <c r="T818" s="788">
        <v>28997</v>
      </c>
      <c r="U818" s="788">
        <v>355923</v>
      </c>
    </row>
    <row r="819" spans="1:21" x14ac:dyDescent="0.25">
      <c r="A819" s="782">
        <v>99047</v>
      </c>
      <c r="B819" s="783" t="s">
        <v>3428</v>
      </c>
      <c r="C819" s="784">
        <v>1.42E-5</v>
      </c>
      <c r="D819" s="784">
        <v>9.2E-6</v>
      </c>
      <c r="E819" s="815">
        <v>7761</v>
      </c>
      <c r="F819" s="818">
        <v>19525</v>
      </c>
      <c r="G819" s="785">
        <v>21694</v>
      </c>
      <c r="H819" s="785"/>
      <c r="I819" s="786">
        <v>1250</v>
      </c>
      <c r="J819" s="787">
        <v>5267</v>
      </c>
      <c r="K819" s="786">
        <v>3098</v>
      </c>
      <c r="L819" s="785">
        <v>6410</v>
      </c>
      <c r="M819" s="785"/>
      <c r="N819" s="786">
        <v>614</v>
      </c>
      <c r="O819" s="786">
        <v>0</v>
      </c>
      <c r="P819" s="786">
        <v>0</v>
      </c>
      <c r="Q819" s="785">
        <v>0</v>
      </c>
      <c r="R819" s="785"/>
      <c r="S819" s="786">
        <v>7311</v>
      </c>
      <c r="T819" s="788">
        <v>2345</v>
      </c>
      <c r="U819" s="788">
        <f>9655+1</f>
        <v>9656</v>
      </c>
    </row>
    <row r="820" spans="1:21" x14ac:dyDescent="0.25">
      <c r="A820" s="782">
        <v>99051</v>
      </c>
      <c r="B820" s="783" t="s">
        <v>3429</v>
      </c>
      <c r="C820" s="784">
        <v>3.5359999999999998E-4</v>
      </c>
      <c r="D820" s="784">
        <v>3.3349999999999997E-4</v>
      </c>
      <c r="E820" s="815">
        <v>142317</v>
      </c>
      <c r="F820" s="818">
        <v>707799</v>
      </c>
      <c r="G820" s="785">
        <v>540203</v>
      </c>
      <c r="H820" s="785"/>
      <c r="I820" s="786">
        <v>31121</v>
      </c>
      <c r="J820" s="787">
        <v>131162</v>
      </c>
      <c r="K820" s="786">
        <v>77148</v>
      </c>
      <c r="L820" s="785">
        <v>11433</v>
      </c>
      <c r="M820" s="785"/>
      <c r="N820" s="786">
        <v>15291</v>
      </c>
      <c r="O820" s="786">
        <v>0</v>
      </c>
      <c r="P820" s="786">
        <v>0</v>
      </c>
      <c r="Q820" s="785">
        <v>2536</v>
      </c>
      <c r="R820" s="785"/>
      <c r="S820" s="786">
        <v>182049</v>
      </c>
      <c r="T820" s="788">
        <v>4776</v>
      </c>
      <c r="U820" s="788">
        <f>186824+1</f>
        <v>186825</v>
      </c>
    </row>
    <row r="821" spans="1:21" x14ac:dyDescent="0.25">
      <c r="A821" s="782">
        <v>99061</v>
      </c>
      <c r="B821" s="783" t="s">
        <v>3430</v>
      </c>
      <c r="C821" s="784">
        <v>8.1000000000000004E-6</v>
      </c>
      <c r="D821" s="784">
        <v>8.3999999999999992E-6</v>
      </c>
      <c r="E821" s="815">
        <v>7897</v>
      </c>
      <c r="F821" s="818">
        <v>17828</v>
      </c>
      <c r="G821" s="785">
        <v>12375</v>
      </c>
      <c r="H821" s="785"/>
      <c r="I821" s="786">
        <v>713</v>
      </c>
      <c r="J821" s="787">
        <v>3005</v>
      </c>
      <c r="K821" s="786">
        <v>1767</v>
      </c>
      <c r="L821" s="785">
        <v>7276</v>
      </c>
      <c r="M821" s="785"/>
      <c r="N821" s="786">
        <v>350</v>
      </c>
      <c r="O821" s="786">
        <v>0</v>
      </c>
      <c r="P821" s="786">
        <v>0</v>
      </c>
      <c r="Q821" s="785">
        <v>0</v>
      </c>
      <c r="R821" s="785"/>
      <c r="S821" s="786">
        <v>4170</v>
      </c>
      <c r="T821" s="788">
        <v>2674</v>
      </c>
      <c r="U821" s="788">
        <v>6844</v>
      </c>
    </row>
    <row r="822" spans="1:21" x14ac:dyDescent="0.25">
      <c r="A822" s="782">
        <v>99071</v>
      </c>
      <c r="B822" s="783" t="s">
        <v>3431</v>
      </c>
      <c r="C822" s="784">
        <v>3.04E-5</v>
      </c>
      <c r="D822" s="784">
        <v>3.0499999999999999E-5</v>
      </c>
      <c r="E822" s="815">
        <v>15062</v>
      </c>
      <c r="F822" s="818">
        <v>64731</v>
      </c>
      <c r="G822" s="785">
        <v>46443</v>
      </c>
      <c r="H822" s="785"/>
      <c r="I822" s="786">
        <v>2676</v>
      </c>
      <c r="J822" s="787">
        <v>11277</v>
      </c>
      <c r="K822" s="786">
        <v>6633</v>
      </c>
      <c r="L822" s="785">
        <v>818</v>
      </c>
      <c r="M822" s="785"/>
      <c r="N822" s="786">
        <v>1315</v>
      </c>
      <c r="O822" s="786">
        <v>0</v>
      </c>
      <c r="P822" s="786">
        <v>0</v>
      </c>
      <c r="Q822" s="785">
        <v>2093</v>
      </c>
      <c r="R822" s="785"/>
      <c r="S822" s="786">
        <v>15651</v>
      </c>
      <c r="T822" s="788">
        <v>-1107</v>
      </c>
      <c r="U822" s="788">
        <v>14544</v>
      </c>
    </row>
    <row r="823" spans="1:21" x14ac:dyDescent="0.25">
      <c r="A823" s="782">
        <v>99081</v>
      </c>
      <c r="B823" s="783" t="s">
        <v>3432</v>
      </c>
      <c r="C823" s="784">
        <v>1.1E-5</v>
      </c>
      <c r="D823" s="784">
        <v>2.9600000000000001E-5</v>
      </c>
      <c r="E823" s="815">
        <v>10195</v>
      </c>
      <c r="F823" s="818">
        <v>62821</v>
      </c>
      <c r="G823" s="785">
        <v>16805</v>
      </c>
      <c r="H823" s="785"/>
      <c r="I823" s="786">
        <v>968</v>
      </c>
      <c r="J823" s="787">
        <v>4081</v>
      </c>
      <c r="K823" s="786">
        <v>2400</v>
      </c>
      <c r="L823" s="785">
        <v>3587</v>
      </c>
      <c r="M823" s="785"/>
      <c r="N823" s="786">
        <v>476</v>
      </c>
      <c r="O823" s="786">
        <v>0</v>
      </c>
      <c r="P823" s="786">
        <v>0</v>
      </c>
      <c r="Q823" s="785">
        <v>13215</v>
      </c>
      <c r="R823" s="785"/>
      <c r="S823" s="786">
        <v>5663</v>
      </c>
      <c r="T823" s="788">
        <v>-2898</v>
      </c>
      <c r="U823" s="788">
        <f>2766-1</f>
        <v>2765</v>
      </c>
    </row>
    <row r="824" spans="1:21" x14ac:dyDescent="0.25">
      <c r="A824" s="782">
        <v>99091</v>
      </c>
      <c r="B824" s="783" t="s">
        <v>3433</v>
      </c>
      <c r="C824" s="784">
        <v>3.9999999999999998E-6</v>
      </c>
      <c r="D824" s="784">
        <v>4.1999999999999996E-6</v>
      </c>
      <c r="E824" s="815">
        <v>4831</v>
      </c>
      <c r="F824" s="818">
        <v>8914</v>
      </c>
      <c r="G824" s="785">
        <v>6111</v>
      </c>
      <c r="H824" s="785"/>
      <c r="I824" s="786">
        <v>352</v>
      </c>
      <c r="J824" s="787">
        <v>1484</v>
      </c>
      <c r="K824" s="786">
        <v>873</v>
      </c>
      <c r="L824" s="785">
        <v>4105</v>
      </c>
      <c r="M824" s="785"/>
      <c r="N824" s="786">
        <v>173</v>
      </c>
      <c r="O824" s="786">
        <v>0</v>
      </c>
      <c r="P824" s="786">
        <v>0</v>
      </c>
      <c r="Q824" s="785">
        <v>3232</v>
      </c>
      <c r="R824" s="785"/>
      <c r="S824" s="786">
        <v>2059</v>
      </c>
      <c r="T824" s="788">
        <v>-1926</v>
      </c>
      <c r="U824" s="788">
        <f>134-1</f>
        <v>133</v>
      </c>
    </row>
    <row r="825" spans="1:21" x14ac:dyDescent="0.25">
      <c r="A825" s="782">
        <v>99101</v>
      </c>
      <c r="B825" s="783" t="s">
        <v>3434</v>
      </c>
      <c r="C825" s="784">
        <v>2.1724000000000001E-3</v>
      </c>
      <c r="D825" s="784">
        <v>2.0087999999999998E-3</v>
      </c>
      <c r="E825" s="815">
        <v>914274</v>
      </c>
      <c r="F825" s="818">
        <v>4263347</v>
      </c>
      <c r="G825" s="785">
        <v>3318825</v>
      </c>
      <c r="H825" s="785"/>
      <c r="I825" s="786">
        <v>191195</v>
      </c>
      <c r="J825" s="787">
        <v>805815</v>
      </c>
      <c r="K825" s="786">
        <v>473974</v>
      </c>
      <c r="L825" s="785">
        <v>48335</v>
      </c>
      <c r="M825" s="785"/>
      <c r="N825" s="786">
        <v>93945</v>
      </c>
      <c r="O825" s="786">
        <v>0</v>
      </c>
      <c r="P825" s="786">
        <v>0</v>
      </c>
      <c r="Q825" s="785">
        <v>44900</v>
      </c>
      <c r="R825" s="785"/>
      <c r="S825" s="786">
        <v>1118447</v>
      </c>
      <c r="T825" s="788">
        <v>-14151</v>
      </c>
      <c r="U825" s="788">
        <v>1104296</v>
      </c>
    </row>
    <row r="826" spans="1:21" x14ac:dyDescent="0.25">
      <c r="A826" s="782">
        <v>99104</v>
      </c>
      <c r="B826" s="783" t="s">
        <v>3435</v>
      </c>
      <c r="C826" s="784">
        <v>3.3500000000000001E-5</v>
      </c>
      <c r="D826" s="784">
        <v>3.4799999999999999E-5</v>
      </c>
      <c r="E826" s="815">
        <v>22874</v>
      </c>
      <c r="F826" s="818">
        <v>73857</v>
      </c>
      <c r="G826" s="785">
        <v>51179</v>
      </c>
      <c r="H826" s="785"/>
      <c r="I826" s="786">
        <v>2948</v>
      </c>
      <c r="J826" s="787">
        <v>12426</v>
      </c>
      <c r="K826" s="786">
        <v>7309</v>
      </c>
      <c r="L826" s="785">
        <v>15217</v>
      </c>
      <c r="M826" s="785"/>
      <c r="N826" s="786">
        <v>1449</v>
      </c>
      <c r="O826" s="786">
        <v>0</v>
      </c>
      <c r="P826" s="786">
        <v>0</v>
      </c>
      <c r="Q826" s="785">
        <v>0</v>
      </c>
      <c r="R826" s="785"/>
      <c r="S826" s="786">
        <v>17247</v>
      </c>
      <c r="T826" s="788">
        <v>6167</v>
      </c>
      <c r="U826" s="788">
        <f>23415-1</f>
        <v>23414</v>
      </c>
    </row>
    <row r="827" spans="1:21" x14ac:dyDescent="0.25">
      <c r="A827" s="782">
        <v>99109</v>
      </c>
      <c r="B827" s="783" t="s">
        <v>3436</v>
      </c>
      <c r="C827" s="784">
        <v>1.2339999999999999E-4</v>
      </c>
      <c r="D827" s="784">
        <v>1.1849999999999999E-4</v>
      </c>
      <c r="E827" s="815">
        <v>56338</v>
      </c>
      <c r="F827" s="818">
        <v>251497</v>
      </c>
      <c r="G827" s="785">
        <v>188521</v>
      </c>
      <c r="H827" s="785"/>
      <c r="I827" s="786">
        <v>10861</v>
      </c>
      <c r="J827" s="787">
        <v>45773</v>
      </c>
      <c r="K827" s="786">
        <v>26923</v>
      </c>
      <c r="L827" s="785">
        <v>6454</v>
      </c>
      <c r="M827" s="785"/>
      <c r="N827" s="786">
        <v>5336</v>
      </c>
      <c r="O827" s="786">
        <v>0</v>
      </c>
      <c r="P827" s="786">
        <v>0</v>
      </c>
      <c r="Q827" s="785">
        <v>14208</v>
      </c>
      <c r="R827" s="785"/>
      <c r="S827" s="786">
        <v>63532</v>
      </c>
      <c r="T827" s="788">
        <v>-5391</v>
      </c>
      <c r="U827" s="788">
        <f>58140+1</f>
        <v>58141</v>
      </c>
    </row>
    <row r="828" spans="1:21" x14ac:dyDescent="0.25">
      <c r="A828" s="782">
        <v>99110</v>
      </c>
      <c r="B828" s="783" t="s">
        <v>3437</v>
      </c>
      <c r="C828" s="784">
        <v>1.7670000000000001E-4</v>
      </c>
      <c r="D828" s="784">
        <v>1.8369999999999999E-4</v>
      </c>
      <c r="E828" s="815">
        <v>119963</v>
      </c>
      <c r="F828" s="818">
        <v>389873</v>
      </c>
      <c r="G828" s="785">
        <v>269949</v>
      </c>
      <c r="H828" s="785"/>
      <c r="I828" s="786">
        <v>15552</v>
      </c>
      <c r="J828" s="787">
        <v>65544</v>
      </c>
      <c r="K828" s="786">
        <v>38552</v>
      </c>
      <c r="L828" s="785">
        <v>69046</v>
      </c>
      <c r="M828" s="785"/>
      <c r="N828" s="786">
        <v>7641</v>
      </c>
      <c r="O828" s="786">
        <v>0</v>
      </c>
      <c r="P828" s="786">
        <v>0</v>
      </c>
      <c r="Q828" s="785">
        <v>0</v>
      </c>
      <c r="R828" s="785"/>
      <c r="S828" s="786">
        <v>90973</v>
      </c>
      <c r="T828" s="788">
        <v>27602</v>
      </c>
      <c r="U828" s="788">
        <v>118575</v>
      </c>
    </row>
    <row r="829" spans="1:21" x14ac:dyDescent="0.25">
      <c r="A829" s="782">
        <v>99111</v>
      </c>
      <c r="B829" s="783" t="s">
        <v>3438</v>
      </c>
      <c r="C829" s="784">
        <v>1.2618E-3</v>
      </c>
      <c r="D829" s="784">
        <v>1.2757000000000001E-3</v>
      </c>
      <c r="E829" s="815">
        <v>543583</v>
      </c>
      <c r="F829" s="818">
        <v>2707463</v>
      </c>
      <c r="G829" s="785">
        <v>1927681</v>
      </c>
      <c r="H829" s="785"/>
      <c r="I829" s="786">
        <v>111052</v>
      </c>
      <c r="J829" s="787">
        <v>468043</v>
      </c>
      <c r="K829" s="786">
        <v>275300</v>
      </c>
      <c r="L829" s="785">
        <v>0</v>
      </c>
      <c r="M829" s="785"/>
      <c r="N829" s="786">
        <v>54567</v>
      </c>
      <c r="O829" s="786">
        <v>0</v>
      </c>
      <c r="P829" s="786">
        <v>0</v>
      </c>
      <c r="Q829" s="785">
        <v>143900</v>
      </c>
      <c r="R829" s="785"/>
      <c r="S829" s="786">
        <v>649630</v>
      </c>
      <c r="T829" s="788">
        <v>-68554</v>
      </c>
      <c r="U829" s="788">
        <v>581076</v>
      </c>
    </row>
    <row r="830" spans="1:21" x14ac:dyDescent="0.25">
      <c r="A830" s="782">
        <v>99201</v>
      </c>
      <c r="B830" s="783" t="s">
        <v>3439</v>
      </c>
      <c r="C830" s="784">
        <v>3.3297199999999999E-2</v>
      </c>
      <c r="D830" s="784">
        <v>3.22145E-2</v>
      </c>
      <c r="E830" s="815">
        <v>15084487</v>
      </c>
      <c r="F830" s="818">
        <v>68369961</v>
      </c>
      <c r="G830" s="785">
        <v>50868898</v>
      </c>
      <c r="H830" s="785"/>
      <c r="I830" s="786">
        <v>2930520</v>
      </c>
      <c r="J830" s="787">
        <v>12351030</v>
      </c>
      <c r="K830" s="786">
        <v>7264783</v>
      </c>
      <c r="L830" s="785">
        <v>1320745</v>
      </c>
      <c r="M830" s="785"/>
      <c r="N830" s="786">
        <v>1439937</v>
      </c>
      <c r="O830" s="786">
        <v>0</v>
      </c>
      <c r="P830" s="786">
        <v>0</v>
      </c>
      <c r="Q830" s="785">
        <v>241517</v>
      </c>
      <c r="R830" s="785"/>
      <c r="S830" s="786">
        <v>17142864</v>
      </c>
      <c r="T830" s="788">
        <v>242815</v>
      </c>
      <c r="U830" s="788">
        <v>17385679</v>
      </c>
    </row>
    <row r="831" spans="1:21" x14ac:dyDescent="0.25">
      <c r="A831" s="782">
        <v>99202</v>
      </c>
      <c r="B831" s="783" t="s">
        <v>3440</v>
      </c>
      <c r="C831" s="784">
        <v>2.5855000000000001E-3</v>
      </c>
      <c r="D831" s="784">
        <v>2.5138000000000001E-3</v>
      </c>
      <c r="E831" s="815">
        <v>1072068</v>
      </c>
      <c r="F831" s="818">
        <v>5335126</v>
      </c>
      <c r="G831" s="785">
        <v>3949928</v>
      </c>
      <c r="H831" s="785"/>
      <c r="I831" s="786">
        <v>227552</v>
      </c>
      <c r="J831" s="787">
        <v>959048</v>
      </c>
      <c r="K831" s="786">
        <v>564104</v>
      </c>
      <c r="L831" s="785">
        <v>0</v>
      </c>
      <c r="M831" s="785"/>
      <c r="N831" s="786">
        <v>111810</v>
      </c>
      <c r="O831" s="786">
        <v>0</v>
      </c>
      <c r="P831" s="786">
        <v>0</v>
      </c>
      <c r="Q831" s="785">
        <v>184130</v>
      </c>
      <c r="R831" s="785"/>
      <c r="S831" s="786">
        <v>1331129</v>
      </c>
      <c r="T831" s="788">
        <v>-73084</v>
      </c>
      <c r="U831" s="788">
        <v>1258045</v>
      </c>
    </row>
    <row r="832" spans="1:21" x14ac:dyDescent="0.25">
      <c r="A832" s="782">
        <v>99203</v>
      </c>
      <c r="B832" s="783" t="s">
        <v>3441</v>
      </c>
      <c r="C832" s="784">
        <v>3.0410000000000002E-4</v>
      </c>
      <c r="D832" s="784">
        <v>3.1990000000000002E-4</v>
      </c>
      <c r="E832" s="815">
        <v>126936</v>
      </c>
      <c r="F832" s="818">
        <v>678935</v>
      </c>
      <c r="G832" s="785">
        <v>464581</v>
      </c>
      <c r="H832" s="785"/>
      <c r="I832" s="786">
        <v>26764</v>
      </c>
      <c r="J832" s="787">
        <v>112801</v>
      </c>
      <c r="K832" s="786">
        <v>66349</v>
      </c>
      <c r="L832" s="785">
        <v>24433</v>
      </c>
      <c r="M832" s="785"/>
      <c r="N832" s="786">
        <v>13151</v>
      </c>
      <c r="O832" s="786">
        <v>0</v>
      </c>
      <c r="P832" s="786">
        <v>0</v>
      </c>
      <c r="Q832" s="785">
        <v>20730</v>
      </c>
      <c r="R832" s="785"/>
      <c r="S832" s="786">
        <v>156564</v>
      </c>
      <c r="T832" s="788">
        <v>11213</v>
      </c>
      <c r="U832" s="788">
        <v>167777</v>
      </c>
    </row>
    <row r="833" spans="1:21" x14ac:dyDescent="0.25">
      <c r="A833" s="782">
        <v>99204</v>
      </c>
      <c r="B833" s="783" t="s">
        <v>3442</v>
      </c>
      <c r="C833" s="784">
        <v>8.3549999999999998E-4</v>
      </c>
      <c r="D833" s="784">
        <v>7.4910000000000005E-4</v>
      </c>
      <c r="E833" s="815">
        <v>375261</v>
      </c>
      <c r="F833" s="818">
        <v>1589841</v>
      </c>
      <c r="G833" s="785">
        <v>1276413</v>
      </c>
      <c r="H833" s="785"/>
      <c r="I833" s="786">
        <v>73533</v>
      </c>
      <c r="J833" s="787">
        <v>309914</v>
      </c>
      <c r="K833" s="786">
        <v>182289</v>
      </c>
      <c r="L833" s="785">
        <v>108607</v>
      </c>
      <c r="M833" s="785"/>
      <c r="N833" s="786">
        <v>36131</v>
      </c>
      <c r="O833" s="786">
        <v>0</v>
      </c>
      <c r="P833" s="786">
        <v>0</v>
      </c>
      <c r="Q833" s="785">
        <v>0</v>
      </c>
      <c r="R833" s="785"/>
      <c r="S833" s="786">
        <v>430152</v>
      </c>
      <c r="T833" s="788">
        <v>37657</v>
      </c>
      <c r="U833" s="788">
        <v>467809</v>
      </c>
    </row>
    <row r="834" spans="1:21" x14ac:dyDescent="0.25">
      <c r="A834" s="782">
        <v>99206</v>
      </c>
      <c r="B834" s="783" t="s">
        <v>3443</v>
      </c>
      <c r="C834" s="784">
        <v>1.6957999999999999E-3</v>
      </c>
      <c r="D834" s="784">
        <v>1.6665E-3</v>
      </c>
      <c r="E834" s="815">
        <v>1210225</v>
      </c>
      <c r="F834" s="818">
        <v>3536871</v>
      </c>
      <c r="G834" s="785">
        <v>2590713</v>
      </c>
      <c r="H834" s="785"/>
      <c r="I834" s="786">
        <v>149249</v>
      </c>
      <c r="J834" s="787">
        <v>629028</v>
      </c>
      <c r="K834" s="786">
        <v>369990</v>
      </c>
      <c r="L834" s="785">
        <v>641271</v>
      </c>
      <c r="M834" s="785"/>
      <c r="N834" s="786">
        <v>73335</v>
      </c>
      <c r="O834" s="786">
        <v>0</v>
      </c>
      <c r="P834" s="786">
        <v>0</v>
      </c>
      <c r="Q834" s="785">
        <v>6741</v>
      </c>
      <c r="R834" s="785"/>
      <c r="S834" s="786">
        <v>873072</v>
      </c>
      <c r="T834" s="788">
        <v>209066</v>
      </c>
      <c r="U834" s="788">
        <f>1082139-1</f>
        <v>1082138</v>
      </c>
    </row>
    <row r="835" spans="1:21" x14ac:dyDescent="0.25">
      <c r="A835" s="782">
        <v>99207</v>
      </c>
      <c r="B835" s="783" t="s">
        <v>3675</v>
      </c>
      <c r="C835" s="784">
        <v>1.3329999999999999E-4</v>
      </c>
      <c r="D835" s="784">
        <v>1.3430000000000001E-4</v>
      </c>
      <c r="E835" s="815">
        <v>175075</v>
      </c>
      <c r="F835" s="818">
        <v>0</v>
      </c>
      <c r="G835" s="785">
        <v>203645</v>
      </c>
      <c r="H835" s="785"/>
      <c r="I835" s="786">
        <v>11732</v>
      </c>
      <c r="J835" s="787">
        <v>49445</v>
      </c>
      <c r="K835" s="786">
        <v>29083</v>
      </c>
      <c r="L835" s="785">
        <v>145724</v>
      </c>
      <c r="M835" s="785"/>
      <c r="N835" s="786">
        <v>5765</v>
      </c>
      <c r="O835" s="786">
        <v>0</v>
      </c>
      <c r="P835" s="786">
        <v>0</v>
      </c>
      <c r="Q835" s="785">
        <v>0</v>
      </c>
      <c r="R835" s="785"/>
      <c r="S835" s="786">
        <v>68629</v>
      </c>
      <c r="T835" s="788">
        <v>46901</v>
      </c>
      <c r="U835" s="788">
        <v>115530</v>
      </c>
    </row>
    <row r="836" spans="1:21" x14ac:dyDescent="0.25">
      <c r="A836" s="782">
        <v>99208</v>
      </c>
      <c r="B836" s="783" t="s">
        <v>3445</v>
      </c>
      <c r="C836" s="784">
        <v>1.4569999999999999E-4</v>
      </c>
      <c r="D836" s="784">
        <v>1.3669999999999999E-4</v>
      </c>
      <c r="E836" s="815">
        <v>57804</v>
      </c>
      <c r="F836" s="818">
        <v>290123</v>
      </c>
      <c r="G836" s="785">
        <v>222589</v>
      </c>
      <c r="H836" s="785"/>
      <c r="I836" s="786">
        <v>12823</v>
      </c>
      <c r="J836" s="787">
        <v>54045</v>
      </c>
      <c r="K836" s="786">
        <v>31789</v>
      </c>
      <c r="L836" s="785">
        <v>0</v>
      </c>
      <c r="M836" s="785"/>
      <c r="N836" s="786">
        <v>6301</v>
      </c>
      <c r="O836" s="786">
        <v>0</v>
      </c>
      <c r="P836" s="786">
        <v>0</v>
      </c>
      <c r="Q836" s="785">
        <v>38521</v>
      </c>
      <c r="R836" s="785"/>
      <c r="S836" s="786">
        <v>75013</v>
      </c>
      <c r="T836" s="788">
        <v>-20543</v>
      </c>
      <c r="U836" s="788">
        <v>54470</v>
      </c>
    </row>
    <row r="837" spans="1:21" x14ac:dyDescent="0.25">
      <c r="A837" s="782">
        <v>99210</v>
      </c>
      <c r="B837" s="783" t="s">
        <v>3446</v>
      </c>
      <c r="C837" s="784">
        <v>1.5943999999999999E-3</v>
      </c>
      <c r="D837" s="784">
        <v>1.5945E-3</v>
      </c>
      <c r="E837" s="815">
        <v>789521</v>
      </c>
      <c r="F837" s="818">
        <v>3384063</v>
      </c>
      <c r="G837" s="785">
        <v>2435802</v>
      </c>
      <c r="H837" s="785"/>
      <c r="I837" s="786">
        <v>140325</v>
      </c>
      <c r="J837" s="787">
        <v>591415</v>
      </c>
      <c r="K837" s="786">
        <v>347866</v>
      </c>
      <c r="L837" s="785">
        <v>99237</v>
      </c>
      <c r="M837" s="785"/>
      <c r="N837" s="786">
        <v>68950</v>
      </c>
      <c r="O837" s="786">
        <v>0</v>
      </c>
      <c r="P837" s="786">
        <v>0</v>
      </c>
      <c r="Q837" s="785">
        <v>0</v>
      </c>
      <c r="R837" s="785"/>
      <c r="S837" s="786">
        <v>820867</v>
      </c>
      <c r="T837" s="788">
        <v>39106</v>
      </c>
      <c r="U837" s="788">
        <f>859974-1</f>
        <v>859973</v>
      </c>
    </row>
    <row r="838" spans="1:21" x14ac:dyDescent="0.25">
      <c r="A838" s="782">
        <v>99211</v>
      </c>
      <c r="B838" s="783" t="s">
        <v>3447</v>
      </c>
      <c r="C838" s="784">
        <v>3.7100599999999997E-2</v>
      </c>
      <c r="D838" s="784">
        <v>3.8233999999999997E-2</v>
      </c>
      <c r="E838" s="815">
        <v>16957539</v>
      </c>
      <c r="F838" s="818">
        <v>81145356</v>
      </c>
      <c r="G838" s="785">
        <v>56679440</v>
      </c>
      <c r="H838" s="785"/>
      <c r="I838" s="786">
        <v>3265261</v>
      </c>
      <c r="J838" s="787">
        <v>13761837</v>
      </c>
      <c r="K838" s="786">
        <v>8094609</v>
      </c>
      <c r="L838" s="785">
        <v>0</v>
      </c>
      <c r="M838" s="785"/>
      <c r="N838" s="786">
        <v>1604415</v>
      </c>
      <c r="O838" s="786">
        <v>0</v>
      </c>
      <c r="P838" s="786">
        <v>0</v>
      </c>
      <c r="Q838" s="785">
        <v>1838947</v>
      </c>
      <c r="R838" s="785"/>
      <c r="S838" s="786">
        <v>19101021</v>
      </c>
      <c r="T838" s="788">
        <v>-724653</v>
      </c>
      <c r="U838" s="788">
        <f>18376369-1</f>
        <v>18376368</v>
      </c>
    </row>
    <row r="839" spans="1:21" x14ac:dyDescent="0.25">
      <c r="A839" s="782">
        <v>99212</v>
      </c>
      <c r="B839" s="783" t="s">
        <v>3448</v>
      </c>
      <c r="C839" s="784">
        <v>8.14E-5</v>
      </c>
      <c r="D839" s="784">
        <v>7.4400000000000006E-5</v>
      </c>
      <c r="E839" s="815">
        <v>31805</v>
      </c>
      <c r="F839" s="818">
        <v>157902</v>
      </c>
      <c r="G839" s="785">
        <v>124357</v>
      </c>
      <c r="H839" s="785"/>
      <c r="I839" s="786">
        <v>7164</v>
      </c>
      <c r="J839" s="787">
        <v>30194</v>
      </c>
      <c r="K839" s="786">
        <v>17760</v>
      </c>
      <c r="L839" s="785">
        <v>242</v>
      </c>
      <c r="M839" s="785"/>
      <c r="N839" s="786">
        <v>3520</v>
      </c>
      <c r="O839" s="786">
        <v>0</v>
      </c>
      <c r="P839" s="786">
        <v>0</v>
      </c>
      <c r="Q839" s="785">
        <v>34044</v>
      </c>
      <c r="R839" s="785"/>
      <c r="S839" s="786">
        <v>41908</v>
      </c>
      <c r="T839" s="788">
        <v>-15261</v>
      </c>
      <c r="U839" s="788">
        <v>26647</v>
      </c>
    </row>
    <row r="840" spans="1:21" x14ac:dyDescent="0.25">
      <c r="A840" s="782">
        <v>99213</v>
      </c>
      <c r="B840" s="783" t="s">
        <v>3449</v>
      </c>
      <c r="C840" s="784">
        <v>7.5159999999999995E-4</v>
      </c>
      <c r="D840" s="784">
        <v>8.0730000000000005E-4</v>
      </c>
      <c r="E840" s="815">
        <v>353817</v>
      </c>
      <c r="F840" s="818">
        <v>1713361</v>
      </c>
      <c r="G840" s="785">
        <v>1148237</v>
      </c>
      <c r="H840" s="785"/>
      <c r="I840" s="786">
        <v>66149</v>
      </c>
      <c r="J840" s="787">
        <v>278793</v>
      </c>
      <c r="K840" s="786">
        <v>163984</v>
      </c>
      <c r="L840" s="785">
        <v>6057</v>
      </c>
      <c r="M840" s="785"/>
      <c r="N840" s="786">
        <v>32503</v>
      </c>
      <c r="O840" s="786">
        <v>0</v>
      </c>
      <c r="P840" s="786">
        <v>0</v>
      </c>
      <c r="Q840" s="785">
        <v>45468</v>
      </c>
      <c r="R840" s="785"/>
      <c r="S840" s="786">
        <v>386957</v>
      </c>
      <c r="T840" s="788">
        <v>-10310</v>
      </c>
      <c r="U840" s="788">
        <f>376646+1</f>
        <v>376647</v>
      </c>
    </row>
    <row r="841" spans="1:21" x14ac:dyDescent="0.25">
      <c r="A841" s="782">
        <v>99218</v>
      </c>
      <c r="B841" s="783" t="s">
        <v>3450</v>
      </c>
      <c r="C841" s="784">
        <v>3.1162E-3</v>
      </c>
      <c r="D841" s="784">
        <v>3.1227999999999998E-3</v>
      </c>
      <c r="E841" s="815">
        <v>1493014</v>
      </c>
      <c r="F841" s="818">
        <v>6627628</v>
      </c>
      <c r="G841" s="785">
        <v>4760690</v>
      </c>
      <c r="H841" s="785"/>
      <c r="I841" s="786">
        <v>274260</v>
      </c>
      <c r="J841" s="787">
        <v>1155902</v>
      </c>
      <c r="K841" s="786">
        <v>679893</v>
      </c>
      <c r="L841" s="785">
        <v>179789</v>
      </c>
      <c r="M841" s="785"/>
      <c r="N841" s="786">
        <v>134760</v>
      </c>
      <c r="O841" s="786">
        <v>0</v>
      </c>
      <c r="P841" s="786">
        <v>0</v>
      </c>
      <c r="Q841" s="785">
        <v>0</v>
      </c>
      <c r="R841" s="785"/>
      <c r="S841" s="786">
        <v>1604357</v>
      </c>
      <c r="T841" s="788">
        <v>66860</v>
      </c>
      <c r="U841" s="788">
        <v>1671217</v>
      </c>
    </row>
    <row r="842" spans="1:21" x14ac:dyDescent="0.25">
      <c r="A842" s="782">
        <v>99221</v>
      </c>
      <c r="B842" s="783" t="s">
        <v>3451</v>
      </c>
      <c r="C842" s="784">
        <v>1.27709E-2</v>
      </c>
      <c r="D842" s="784">
        <v>1.3092700000000001E-2</v>
      </c>
      <c r="E842" s="815">
        <v>5876509</v>
      </c>
      <c r="F842" s="818">
        <v>27787095</v>
      </c>
      <c r="G842" s="785">
        <v>19510398</v>
      </c>
      <c r="H842" s="785"/>
      <c r="I842" s="786">
        <v>1123980</v>
      </c>
      <c r="J842" s="787">
        <v>4737148</v>
      </c>
      <c r="K842" s="786">
        <v>2786355</v>
      </c>
      <c r="L842" s="785">
        <v>0</v>
      </c>
      <c r="M842" s="785"/>
      <c r="N842" s="786">
        <v>552278</v>
      </c>
      <c r="O842" s="786">
        <v>0</v>
      </c>
      <c r="P842" s="786">
        <v>0</v>
      </c>
      <c r="Q842" s="785">
        <v>687802</v>
      </c>
      <c r="R842" s="785"/>
      <c r="S842" s="786">
        <v>6575021</v>
      </c>
      <c r="T842" s="788">
        <v>-271922</v>
      </c>
      <c r="U842" s="788">
        <v>6303099</v>
      </c>
    </row>
    <row r="843" spans="1:21" x14ac:dyDescent="0.25">
      <c r="A843" s="782">
        <v>99222</v>
      </c>
      <c r="B843" s="783" t="s">
        <v>3452</v>
      </c>
      <c r="C843" s="784">
        <v>3.9100000000000002E-5</v>
      </c>
      <c r="D843" s="784">
        <v>4.0099999999999999E-5</v>
      </c>
      <c r="E843" s="815">
        <v>15446</v>
      </c>
      <c r="F843" s="818">
        <v>85106</v>
      </c>
      <c r="G843" s="785">
        <v>59734</v>
      </c>
      <c r="H843" s="785"/>
      <c r="I843" s="786">
        <v>3441</v>
      </c>
      <c r="J843" s="787">
        <v>14504</v>
      </c>
      <c r="K843" s="786">
        <v>8531</v>
      </c>
      <c r="L843" s="785">
        <v>2307</v>
      </c>
      <c r="M843" s="785"/>
      <c r="N843" s="786">
        <v>1691</v>
      </c>
      <c r="O843" s="786">
        <v>0</v>
      </c>
      <c r="P843" s="786">
        <v>0</v>
      </c>
      <c r="Q843" s="785">
        <v>3585</v>
      </c>
      <c r="R843" s="785"/>
      <c r="S843" s="786">
        <v>20130</v>
      </c>
      <c r="T843" s="788">
        <v>281</v>
      </c>
      <c r="U843" s="788">
        <v>20411</v>
      </c>
    </row>
    <row r="844" spans="1:21" x14ac:dyDescent="0.25">
      <c r="A844" s="782">
        <v>99231</v>
      </c>
      <c r="B844" s="783" t="s">
        <v>3453</v>
      </c>
      <c r="C844" s="784">
        <v>3.7179999999999998E-4</v>
      </c>
      <c r="D844" s="784">
        <v>3.7869999999999999E-4</v>
      </c>
      <c r="E844" s="815">
        <v>156904</v>
      </c>
      <c r="F844" s="818">
        <v>803728</v>
      </c>
      <c r="G844" s="785">
        <v>568007</v>
      </c>
      <c r="H844" s="785"/>
      <c r="I844" s="786">
        <v>32722</v>
      </c>
      <c r="J844" s="787">
        <v>137913</v>
      </c>
      <c r="K844" s="786">
        <v>81119</v>
      </c>
      <c r="L844" s="785">
        <v>0</v>
      </c>
      <c r="M844" s="785"/>
      <c r="N844" s="786">
        <v>16078</v>
      </c>
      <c r="O844" s="786">
        <v>0</v>
      </c>
      <c r="P844" s="786">
        <v>0</v>
      </c>
      <c r="Q844" s="785">
        <v>31773</v>
      </c>
      <c r="R844" s="785"/>
      <c r="S844" s="786">
        <v>191419</v>
      </c>
      <c r="T844" s="788">
        <v>-14995</v>
      </c>
      <c r="U844" s="788">
        <v>176424</v>
      </c>
    </row>
    <row r="845" spans="1:21" x14ac:dyDescent="0.25">
      <c r="A845" s="782">
        <v>99241</v>
      </c>
      <c r="B845" s="783" t="s">
        <v>3454</v>
      </c>
      <c r="C845" s="784">
        <v>5.5329999999999995E-4</v>
      </c>
      <c r="D845" s="784">
        <v>5.6039999999999996E-4</v>
      </c>
      <c r="E845" s="815">
        <v>226042</v>
      </c>
      <c r="F845" s="818">
        <v>1189357</v>
      </c>
      <c r="G845" s="785">
        <v>845289</v>
      </c>
      <c r="H845" s="785"/>
      <c r="I845" s="786">
        <v>48696</v>
      </c>
      <c r="J845" s="787">
        <v>205238</v>
      </c>
      <c r="K845" s="786">
        <v>120719</v>
      </c>
      <c r="L845" s="785">
        <v>0</v>
      </c>
      <c r="M845" s="785"/>
      <c r="N845" s="786">
        <v>23927</v>
      </c>
      <c r="O845" s="786">
        <v>0</v>
      </c>
      <c r="P845" s="786">
        <v>0</v>
      </c>
      <c r="Q845" s="785">
        <v>103885</v>
      </c>
      <c r="R845" s="785"/>
      <c r="S845" s="786">
        <v>284863</v>
      </c>
      <c r="T845" s="788">
        <v>-52289</v>
      </c>
      <c r="U845" s="788">
        <f>232575-1</f>
        <v>232574</v>
      </c>
    </row>
    <row r="846" spans="1:21" x14ac:dyDescent="0.25">
      <c r="A846" s="782">
        <v>99251</v>
      </c>
      <c r="B846" s="783" t="s">
        <v>3455</v>
      </c>
      <c r="C846" s="784">
        <v>1.6069000000000001E-3</v>
      </c>
      <c r="D846" s="784">
        <v>1.6521000000000001E-3</v>
      </c>
      <c r="E846" s="815">
        <v>745408</v>
      </c>
      <c r="F846" s="818">
        <v>3506310</v>
      </c>
      <c r="G846" s="785">
        <v>2454898</v>
      </c>
      <c r="H846" s="785"/>
      <c r="I846" s="786">
        <v>141425</v>
      </c>
      <c r="J846" s="787">
        <v>596053</v>
      </c>
      <c r="K846" s="786">
        <v>350593</v>
      </c>
      <c r="L846" s="785">
        <v>2758</v>
      </c>
      <c r="M846" s="785"/>
      <c r="N846" s="786">
        <v>69490</v>
      </c>
      <c r="O846" s="786">
        <v>0</v>
      </c>
      <c r="P846" s="786">
        <v>0</v>
      </c>
      <c r="Q846" s="785">
        <v>31200</v>
      </c>
      <c r="R846" s="785"/>
      <c r="S846" s="786">
        <v>827303</v>
      </c>
      <c r="T846" s="788">
        <v>-11932</v>
      </c>
      <c r="U846" s="788">
        <v>815371</v>
      </c>
    </row>
    <row r="847" spans="1:21" x14ac:dyDescent="0.25">
      <c r="A847" s="782">
        <v>99252</v>
      </c>
      <c r="B847" s="783" t="s">
        <v>3456</v>
      </c>
      <c r="C847" s="784">
        <v>6.1269999999999999E-4</v>
      </c>
      <c r="D847" s="784">
        <v>5.8279999999999996E-4</v>
      </c>
      <c r="E847" s="815">
        <v>212386</v>
      </c>
      <c r="F847" s="818">
        <v>1236897</v>
      </c>
      <c r="G847" s="785">
        <v>936036</v>
      </c>
      <c r="H847" s="785"/>
      <c r="I847" s="786">
        <v>53924</v>
      </c>
      <c r="J847" s="787">
        <v>227271</v>
      </c>
      <c r="K847" s="786">
        <v>133679</v>
      </c>
      <c r="L847" s="785">
        <v>0</v>
      </c>
      <c r="M847" s="785"/>
      <c r="N847" s="786">
        <v>26496</v>
      </c>
      <c r="O847" s="786">
        <v>0</v>
      </c>
      <c r="P847" s="786">
        <v>0</v>
      </c>
      <c r="Q847" s="785">
        <v>202059</v>
      </c>
      <c r="R847" s="785"/>
      <c r="S847" s="786">
        <v>315445</v>
      </c>
      <c r="T847" s="788">
        <v>-85968</v>
      </c>
      <c r="U847" s="788">
        <v>229477</v>
      </c>
    </row>
    <row r="848" spans="1:21" x14ac:dyDescent="0.25">
      <c r="A848" s="782">
        <v>99261</v>
      </c>
      <c r="B848" s="783" t="s">
        <v>3457</v>
      </c>
      <c r="C848" s="784">
        <v>1.9938E-3</v>
      </c>
      <c r="D848" s="784">
        <v>1.9145E-3</v>
      </c>
      <c r="E848" s="815">
        <v>808835</v>
      </c>
      <c r="F848" s="818">
        <v>4063210</v>
      </c>
      <c r="G848" s="785">
        <v>3045974</v>
      </c>
      <c r="H848" s="785"/>
      <c r="I848" s="786">
        <v>175476</v>
      </c>
      <c r="J848" s="787">
        <v>739566</v>
      </c>
      <c r="K848" s="786">
        <v>435007</v>
      </c>
      <c r="L848" s="785">
        <v>0</v>
      </c>
      <c r="M848" s="785"/>
      <c r="N848" s="786">
        <v>86222</v>
      </c>
      <c r="O848" s="786">
        <v>0</v>
      </c>
      <c r="P848" s="786">
        <v>0</v>
      </c>
      <c r="Q848" s="785">
        <v>148472</v>
      </c>
      <c r="R848" s="785"/>
      <c r="S848" s="786">
        <v>1026496</v>
      </c>
      <c r="T848" s="788">
        <v>-69364</v>
      </c>
      <c r="U848" s="788">
        <v>957132</v>
      </c>
    </row>
    <row r="849" spans="1:21" x14ac:dyDescent="0.25">
      <c r="A849" s="782">
        <v>99271</v>
      </c>
      <c r="B849" s="783" t="s">
        <v>3458</v>
      </c>
      <c r="C849" s="784">
        <v>4.0137000000000003E-3</v>
      </c>
      <c r="D849" s="784">
        <v>3.9248E-3</v>
      </c>
      <c r="E849" s="815">
        <v>1751675</v>
      </c>
      <c r="F849" s="818">
        <v>8329740</v>
      </c>
      <c r="G849" s="785">
        <v>6131822</v>
      </c>
      <c r="H849" s="785"/>
      <c r="I849" s="786">
        <v>353250</v>
      </c>
      <c r="J849" s="787">
        <v>1488814</v>
      </c>
      <c r="K849" s="786">
        <v>875709</v>
      </c>
      <c r="L849" s="785">
        <v>0</v>
      </c>
      <c r="M849" s="785"/>
      <c r="N849" s="786">
        <v>173572</v>
      </c>
      <c r="O849" s="786">
        <v>0</v>
      </c>
      <c r="P849" s="786">
        <v>0</v>
      </c>
      <c r="Q849" s="785">
        <v>122792</v>
      </c>
      <c r="R849" s="785"/>
      <c r="S849" s="786">
        <v>2066429</v>
      </c>
      <c r="T849" s="788">
        <v>-45302</v>
      </c>
      <c r="U849" s="788">
        <v>2021127</v>
      </c>
    </row>
    <row r="850" spans="1:21" x14ac:dyDescent="0.25">
      <c r="A850" s="782">
        <v>99281</v>
      </c>
      <c r="B850" s="783" t="s">
        <v>3459</v>
      </c>
      <c r="C850" s="784">
        <v>2.2918999999999999E-3</v>
      </c>
      <c r="D850" s="784">
        <v>2.2824E-3</v>
      </c>
      <c r="E850" s="815">
        <v>984780</v>
      </c>
      <c r="F850" s="818">
        <v>4844017</v>
      </c>
      <c r="G850" s="785">
        <v>3501388</v>
      </c>
      <c r="H850" s="785"/>
      <c r="I850" s="786">
        <v>201712</v>
      </c>
      <c r="J850" s="787">
        <v>850141</v>
      </c>
      <c r="K850" s="786">
        <v>500047</v>
      </c>
      <c r="L850" s="785">
        <v>6743</v>
      </c>
      <c r="M850" s="785"/>
      <c r="N850" s="786">
        <v>99113</v>
      </c>
      <c r="O850" s="786">
        <v>0</v>
      </c>
      <c r="P850" s="786">
        <v>0</v>
      </c>
      <c r="Q850" s="785">
        <v>128585</v>
      </c>
      <c r="R850" s="785"/>
      <c r="S850" s="786">
        <v>1179971</v>
      </c>
      <c r="T850" s="788">
        <v>-37280</v>
      </c>
      <c r="U850" s="788">
        <v>1142691</v>
      </c>
    </row>
    <row r="851" spans="1:21" x14ac:dyDescent="0.25">
      <c r="A851" s="782">
        <v>99291</v>
      </c>
      <c r="B851" s="783" t="s">
        <v>3460</v>
      </c>
      <c r="C851" s="784">
        <v>7.3499999999999998E-4</v>
      </c>
      <c r="D851" s="784">
        <v>7.7260000000000002E-4</v>
      </c>
      <c r="E851" s="815">
        <v>299576</v>
      </c>
      <c r="F851" s="818">
        <v>1639716</v>
      </c>
      <c r="G851" s="785">
        <v>1122876</v>
      </c>
      <c r="H851" s="785"/>
      <c r="I851" s="786">
        <v>64688</v>
      </c>
      <c r="J851" s="787">
        <v>272636</v>
      </c>
      <c r="K851" s="786">
        <v>160362</v>
      </c>
      <c r="L851" s="785">
        <v>0</v>
      </c>
      <c r="M851" s="785"/>
      <c r="N851" s="786">
        <v>31785</v>
      </c>
      <c r="O851" s="786">
        <v>0</v>
      </c>
      <c r="P851" s="786">
        <v>0</v>
      </c>
      <c r="Q851" s="785">
        <v>137813</v>
      </c>
      <c r="R851" s="785"/>
      <c r="S851" s="786">
        <v>378410</v>
      </c>
      <c r="T851" s="788">
        <v>-55575</v>
      </c>
      <c r="U851" s="788">
        <v>322835</v>
      </c>
    </row>
    <row r="852" spans="1:21" x14ac:dyDescent="0.25">
      <c r="A852" s="782">
        <v>99301</v>
      </c>
      <c r="B852" s="783" t="s">
        <v>3461</v>
      </c>
      <c r="C852" s="784">
        <v>1.7879E-3</v>
      </c>
      <c r="D852" s="784">
        <v>1.8458000000000001E-3</v>
      </c>
      <c r="E852" s="815">
        <v>788880</v>
      </c>
      <c r="F852" s="818">
        <v>3917406</v>
      </c>
      <c r="G852" s="785">
        <v>2731416</v>
      </c>
      <c r="H852" s="785"/>
      <c r="I852" s="786">
        <v>157355</v>
      </c>
      <c r="J852" s="787">
        <v>663191</v>
      </c>
      <c r="K852" s="786">
        <v>390084</v>
      </c>
      <c r="L852" s="785">
        <v>67408</v>
      </c>
      <c r="M852" s="785"/>
      <c r="N852" s="786">
        <v>77318</v>
      </c>
      <c r="O852" s="786">
        <v>0</v>
      </c>
      <c r="P852" s="786">
        <v>0</v>
      </c>
      <c r="Q852" s="785">
        <v>65062</v>
      </c>
      <c r="R852" s="785"/>
      <c r="S852" s="786">
        <v>920490</v>
      </c>
      <c r="T852" s="788">
        <v>38686</v>
      </c>
      <c r="U852" s="788">
        <f>959175+1</f>
        <v>959176</v>
      </c>
    </row>
    <row r="853" spans="1:21" x14ac:dyDescent="0.25">
      <c r="A853" s="782">
        <v>99304</v>
      </c>
      <c r="B853" s="783" t="s">
        <v>3462</v>
      </c>
      <c r="C853" s="784">
        <v>9.2E-6</v>
      </c>
      <c r="D853" s="784">
        <v>9.9000000000000001E-6</v>
      </c>
      <c r="E853" s="815">
        <v>7554</v>
      </c>
      <c r="F853" s="818">
        <v>21011</v>
      </c>
      <c r="G853" s="785">
        <v>14055</v>
      </c>
      <c r="H853" s="785"/>
      <c r="I853" s="786">
        <v>810</v>
      </c>
      <c r="J853" s="787">
        <v>3412</v>
      </c>
      <c r="K853" s="786">
        <v>2007</v>
      </c>
      <c r="L853" s="785">
        <v>4659</v>
      </c>
      <c r="M853" s="785"/>
      <c r="N853" s="786">
        <v>398</v>
      </c>
      <c r="O853" s="786">
        <v>0</v>
      </c>
      <c r="P853" s="786">
        <v>0</v>
      </c>
      <c r="Q853" s="785">
        <v>248</v>
      </c>
      <c r="R853" s="785"/>
      <c r="S853" s="786">
        <v>4737</v>
      </c>
      <c r="T853" s="788">
        <v>1371</v>
      </c>
      <c r="U853" s="788">
        <f>6107+1</f>
        <v>6108</v>
      </c>
    </row>
    <row r="854" spans="1:21" x14ac:dyDescent="0.25">
      <c r="A854" s="782">
        <v>99311</v>
      </c>
      <c r="B854" s="783" t="s">
        <v>3463</v>
      </c>
      <c r="C854" s="784">
        <v>5.4299999999999998E-5</v>
      </c>
      <c r="D854" s="784">
        <v>5.7599999999999997E-5</v>
      </c>
      <c r="E854" s="815">
        <v>25361</v>
      </c>
      <c r="F854" s="818">
        <v>122246</v>
      </c>
      <c r="G854" s="785">
        <v>82955</v>
      </c>
      <c r="H854" s="785"/>
      <c r="I854" s="786">
        <v>4779</v>
      </c>
      <c r="J854" s="787">
        <v>20142</v>
      </c>
      <c r="K854" s="786">
        <v>11847</v>
      </c>
      <c r="L854" s="785">
        <v>0</v>
      </c>
      <c r="M854" s="785"/>
      <c r="N854" s="786">
        <v>2348</v>
      </c>
      <c r="O854" s="786">
        <v>0</v>
      </c>
      <c r="P854" s="786">
        <v>0</v>
      </c>
      <c r="Q854" s="785">
        <v>6758</v>
      </c>
      <c r="R854" s="785"/>
      <c r="S854" s="786">
        <v>27956</v>
      </c>
      <c r="T854" s="788">
        <v>-3216</v>
      </c>
      <c r="U854" s="788">
        <v>24740</v>
      </c>
    </row>
    <row r="855" spans="1:21" x14ac:dyDescent="0.25">
      <c r="A855" s="782">
        <v>99321</v>
      </c>
      <c r="B855" s="783" t="s">
        <v>3464</v>
      </c>
      <c r="C855" s="784">
        <v>1.1E-4</v>
      </c>
      <c r="D855" s="784">
        <v>1.1909999999999999E-4</v>
      </c>
      <c r="E855" s="815">
        <v>98498</v>
      </c>
      <c r="F855" s="818">
        <v>252770</v>
      </c>
      <c r="G855" s="785">
        <v>168050</v>
      </c>
      <c r="H855" s="785"/>
      <c r="I855" s="786">
        <v>9681</v>
      </c>
      <c r="J855" s="787">
        <v>40803</v>
      </c>
      <c r="K855" s="786">
        <v>24000</v>
      </c>
      <c r="L855" s="785">
        <v>96146</v>
      </c>
      <c r="M855" s="785"/>
      <c r="N855" s="786">
        <v>4757</v>
      </c>
      <c r="O855" s="786">
        <v>0</v>
      </c>
      <c r="P855" s="786">
        <v>0</v>
      </c>
      <c r="Q855" s="785">
        <v>0</v>
      </c>
      <c r="R855" s="785"/>
      <c r="S855" s="786">
        <v>56633</v>
      </c>
      <c r="T855" s="788">
        <v>41980</v>
      </c>
      <c r="U855" s="788">
        <v>98613</v>
      </c>
    </row>
    <row r="856" spans="1:21" x14ac:dyDescent="0.25">
      <c r="A856" s="782">
        <v>99401</v>
      </c>
      <c r="B856" s="783" t="s">
        <v>3465</v>
      </c>
      <c r="C856" s="784">
        <v>9.2389999999999996E-4</v>
      </c>
      <c r="D856" s="784">
        <v>9.3869999999999999E-4</v>
      </c>
      <c r="E856" s="815">
        <v>414565</v>
      </c>
      <c r="F856" s="818">
        <v>1992236</v>
      </c>
      <c r="G856" s="785">
        <v>1411463</v>
      </c>
      <c r="H856" s="785"/>
      <c r="I856" s="786">
        <v>81313</v>
      </c>
      <c r="J856" s="787">
        <v>342705</v>
      </c>
      <c r="K856" s="786">
        <v>201577</v>
      </c>
      <c r="L856" s="785">
        <v>34240</v>
      </c>
      <c r="M856" s="785"/>
      <c r="N856" s="786">
        <v>39954</v>
      </c>
      <c r="O856" s="786">
        <v>0</v>
      </c>
      <c r="P856" s="786">
        <v>0</v>
      </c>
      <c r="Q856" s="785">
        <v>17589</v>
      </c>
      <c r="R856" s="785"/>
      <c r="S856" s="786">
        <v>475664</v>
      </c>
      <c r="T856" s="788">
        <v>22297</v>
      </c>
      <c r="U856" s="788">
        <v>497961</v>
      </c>
    </row>
    <row r="857" spans="1:21" x14ac:dyDescent="0.25">
      <c r="A857" s="782">
        <v>99404</v>
      </c>
      <c r="B857" s="783" t="s">
        <v>3466</v>
      </c>
      <c r="C857" s="784">
        <v>9.3999999999999998E-6</v>
      </c>
      <c r="D857" s="784">
        <v>9.5999999999999996E-6</v>
      </c>
      <c r="E857" s="815">
        <v>5393</v>
      </c>
      <c r="F857" s="818">
        <v>20374</v>
      </c>
      <c r="G857" s="785">
        <v>14361</v>
      </c>
      <c r="H857" s="785"/>
      <c r="I857" s="786">
        <v>827</v>
      </c>
      <c r="J857" s="787">
        <v>3487</v>
      </c>
      <c r="K857" s="786">
        <v>2051</v>
      </c>
      <c r="L857" s="785">
        <v>1334</v>
      </c>
      <c r="M857" s="785"/>
      <c r="N857" s="786">
        <v>407</v>
      </c>
      <c r="O857" s="786">
        <v>0</v>
      </c>
      <c r="P857" s="786">
        <v>0</v>
      </c>
      <c r="Q857" s="785">
        <v>0</v>
      </c>
      <c r="R857" s="785"/>
      <c r="S857" s="786">
        <v>4840</v>
      </c>
      <c r="T857" s="788">
        <v>466</v>
      </c>
      <c r="U857" s="788">
        <v>5306</v>
      </c>
    </row>
    <row r="858" spans="1:21" x14ac:dyDescent="0.25">
      <c r="A858" s="782">
        <v>99405</v>
      </c>
      <c r="B858" s="783" t="s">
        <v>3467</v>
      </c>
      <c r="C858" s="784">
        <v>6.2700000000000006E-5</v>
      </c>
      <c r="D858" s="784">
        <v>5.8100000000000003E-5</v>
      </c>
      <c r="E858" s="815">
        <v>37798</v>
      </c>
      <c r="F858" s="818">
        <v>123308</v>
      </c>
      <c r="G858" s="785">
        <v>95788</v>
      </c>
      <c r="H858" s="785"/>
      <c r="I858" s="786">
        <v>5518</v>
      </c>
      <c r="J858" s="787">
        <v>23258</v>
      </c>
      <c r="K858" s="786">
        <v>13680</v>
      </c>
      <c r="L858" s="785">
        <v>18380</v>
      </c>
      <c r="M858" s="785"/>
      <c r="N858" s="786">
        <v>2711</v>
      </c>
      <c r="O858" s="786">
        <v>0</v>
      </c>
      <c r="P858" s="786">
        <v>0</v>
      </c>
      <c r="Q858" s="785">
        <v>336</v>
      </c>
      <c r="R858" s="785"/>
      <c r="S858" s="786">
        <v>32281</v>
      </c>
      <c r="T858" s="788">
        <v>6084</v>
      </c>
      <c r="U858" s="788">
        <f>38364+1</f>
        <v>38365</v>
      </c>
    </row>
    <row r="859" spans="1:21" x14ac:dyDescent="0.25">
      <c r="A859" s="782">
        <v>99411</v>
      </c>
      <c r="B859" s="783" t="s">
        <v>3468</v>
      </c>
      <c r="C859" s="784">
        <v>1.583E-4</v>
      </c>
      <c r="D859" s="784">
        <v>1.2510000000000001E-4</v>
      </c>
      <c r="E859" s="815">
        <v>75833</v>
      </c>
      <c r="F859" s="818">
        <v>265504</v>
      </c>
      <c r="G859" s="785">
        <v>241839</v>
      </c>
      <c r="H859" s="785"/>
      <c r="I859" s="786">
        <v>13932</v>
      </c>
      <c r="J859" s="787">
        <v>58719</v>
      </c>
      <c r="K859" s="786">
        <v>34538</v>
      </c>
      <c r="L859" s="785">
        <v>41924</v>
      </c>
      <c r="M859" s="785"/>
      <c r="N859" s="786">
        <v>6846</v>
      </c>
      <c r="O859" s="786">
        <v>0</v>
      </c>
      <c r="P859" s="786">
        <v>0</v>
      </c>
      <c r="Q859" s="785">
        <v>4400</v>
      </c>
      <c r="R859" s="785"/>
      <c r="S859" s="786">
        <v>81500</v>
      </c>
      <c r="T859" s="788">
        <v>8626</v>
      </c>
      <c r="U859" s="788">
        <v>90126</v>
      </c>
    </row>
    <row r="860" spans="1:21" x14ac:dyDescent="0.25">
      <c r="A860" s="782">
        <v>99413</v>
      </c>
      <c r="B860" s="783" t="s">
        <v>3469</v>
      </c>
      <c r="C860" s="784">
        <v>3.1099999999999997E-5</v>
      </c>
      <c r="D860" s="784">
        <v>2.76E-5</v>
      </c>
      <c r="E860" s="815">
        <v>18530</v>
      </c>
      <c r="F860" s="818">
        <v>58576</v>
      </c>
      <c r="G860" s="785">
        <v>47512</v>
      </c>
      <c r="H860" s="785"/>
      <c r="I860" s="786">
        <v>2737</v>
      </c>
      <c r="J860" s="787">
        <v>11536</v>
      </c>
      <c r="K860" s="786">
        <v>6785</v>
      </c>
      <c r="L860" s="785">
        <v>5754</v>
      </c>
      <c r="M860" s="785"/>
      <c r="N860" s="786">
        <v>1345</v>
      </c>
      <c r="O860" s="786">
        <v>0</v>
      </c>
      <c r="P860" s="786">
        <v>0</v>
      </c>
      <c r="Q860" s="785">
        <v>3024</v>
      </c>
      <c r="R860" s="785"/>
      <c r="S860" s="786">
        <v>16012</v>
      </c>
      <c r="T860" s="788">
        <v>202</v>
      </c>
      <c r="U860" s="788">
        <v>16214</v>
      </c>
    </row>
    <row r="861" spans="1:21" x14ac:dyDescent="0.25">
      <c r="A861" s="782">
        <v>99421</v>
      </c>
      <c r="B861" s="783" t="s">
        <v>3470</v>
      </c>
      <c r="C861" s="784">
        <v>1.04E-5</v>
      </c>
      <c r="D861" s="784">
        <v>1.5E-5</v>
      </c>
      <c r="E861" s="815">
        <v>6211</v>
      </c>
      <c r="F861" s="818">
        <v>31835</v>
      </c>
      <c r="G861" s="785">
        <v>15888</v>
      </c>
      <c r="H861" s="785"/>
      <c r="I861" s="786">
        <v>915</v>
      </c>
      <c r="J861" s="787">
        <v>3858</v>
      </c>
      <c r="K861" s="786">
        <v>2269</v>
      </c>
      <c r="L861" s="785">
        <v>764</v>
      </c>
      <c r="M861" s="785"/>
      <c r="N861" s="786">
        <v>450</v>
      </c>
      <c r="O861" s="786">
        <v>0</v>
      </c>
      <c r="P861" s="786">
        <v>0</v>
      </c>
      <c r="Q861" s="785">
        <v>5440</v>
      </c>
      <c r="R861" s="785"/>
      <c r="S861" s="786">
        <v>5354</v>
      </c>
      <c r="T861" s="788">
        <v>-1116</v>
      </c>
      <c r="U861" s="788">
        <v>4238</v>
      </c>
    </row>
    <row r="862" spans="1:21" x14ac:dyDescent="0.25">
      <c r="A862" s="782">
        <v>99431</v>
      </c>
      <c r="B862" s="783" t="s">
        <v>3471</v>
      </c>
      <c r="C862" s="784">
        <v>2.2200000000000001E-5</v>
      </c>
      <c r="D862" s="784">
        <v>2.16E-5</v>
      </c>
      <c r="E862" s="815">
        <v>7581</v>
      </c>
      <c r="F862" s="818">
        <v>45842</v>
      </c>
      <c r="G862" s="785">
        <v>33915</v>
      </c>
      <c r="H862" s="785"/>
      <c r="I862" s="786">
        <v>1954</v>
      </c>
      <c r="J862" s="787">
        <v>8235</v>
      </c>
      <c r="K862" s="786">
        <v>4844</v>
      </c>
      <c r="L862" s="785">
        <v>1071</v>
      </c>
      <c r="M862" s="785"/>
      <c r="N862" s="786">
        <v>960</v>
      </c>
      <c r="O862" s="786">
        <v>0</v>
      </c>
      <c r="P862" s="786">
        <v>0</v>
      </c>
      <c r="Q862" s="785">
        <v>3001</v>
      </c>
      <c r="R862" s="785"/>
      <c r="S862" s="786">
        <v>11430</v>
      </c>
      <c r="T862" s="788">
        <v>119</v>
      </c>
      <c r="U862" s="788">
        <v>11549</v>
      </c>
    </row>
    <row r="863" spans="1:21" x14ac:dyDescent="0.25">
      <c r="A863" s="782">
        <v>99501</v>
      </c>
      <c r="B863" s="783" t="s">
        <v>3472</v>
      </c>
      <c r="C863" s="784">
        <v>1.6785000000000001E-3</v>
      </c>
      <c r="D863" s="784">
        <v>1.7390000000000001E-3</v>
      </c>
      <c r="E863" s="815">
        <v>794395</v>
      </c>
      <c r="F863" s="818">
        <v>3690741</v>
      </c>
      <c r="G863" s="785">
        <v>2564283</v>
      </c>
      <c r="H863" s="785"/>
      <c r="I863" s="786">
        <v>147726</v>
      </c>
      <c r="J863" s="787">
        <v>622611</v>
      </c>
      <c r="K863" s="786">
        <v>366215</v>
      </c>
      <c r="L863" s="785">
        <v>3764</v>
      </c>
      <c r="M863" s="785"/>
      <c r="N863" s="786">
        <v>72587</v>
      </c>
      <c r="O863" s="786">
        <v>0</v>
      </c>
      <c r="P863" s="786">
        <v>0</v>
      </c>
      <c r="Q863" s="785">
        <v>21505</v>
      </c>
      <c r="R863" s="785"/>
      <c r="S863" s="786">
        <v>864166</v>
      </c>
      <c r="T863" s="788">
        <v>-3415</v>
      </c>
      <c r="U863" s="788">
        <f>860750+1</f>
        <v>860751</v>
      </c>
    </row>
    <row r="864" spans="1:21" x14ac:dyDescent="0.25">
      <c r="A864" s="782">
        <v>99502</v>
      </c>
      <c r="B864" s="783" t="s">
        <v>3473</v>
      </c>
      <c r="C864" s="784">
        <v>1.373E-4</v>
      </c>
      <c r="D864" s="784">
        <v>1.3779999999999999E-4</v>
      </c>
      <c r="E864" s="815">
        <v>65831</v>
      </c>
      <c r="F864" s="818">
        <v>292458</v>
      </c>
      <c r="G864" s="785">
        <v>209756</v>
      </c>
      <c r="H864" s="785"/>
      <c r="I864" s="786">
        <v>12084</v>
      </c>
      <c r="J864" s="787">
        <v>50929</v>
      </c>
      <c r="K864" s="786">
        <v>29956</v>
      </c>
      <c r="L864" s="785">
        <v>21393</v>
      </c>
      <c r="M864" s="785"/>
      <c r="N864" s="786">
        <v>5938</v>
      </c>
      <c r="O864" s="786">
        <v>0</v>
      </c>
      <c r="P864" s="786">
        <v>0</v>
      </c>
      <c r="Q864" s="785">
        <v>71</v>
      </c>
      <c r="R864" s="785"/>
      <c r="S864" s="786">
        <v>70688</v>
      </c>
      <c r="T864" s="788">
        <v>9456</v>
      </c>
      <c r="U864" s="788">
        <v>80144</v>
      </c>
    </row>
    <row r="865" spans="1:21" x14ac:dyDescent="0.25">
      <c r="A865" s="782">
        <v>99508</v>
      </c>
      <c r="B865" s="783" t="s">
        <v>3474</v>
      </c>
      <c r="C865" s="784">
        <v>2.2099999999999998E-5</v>
      </c>
      <c r="D865" s="784">
        <v>2.1699999999999999E-5</v>
      </c>
      <c r="E865" s="815">
        <v>9857</v>
      </c>
      <c r="F865" s="818">
        <v>46055</v>
      </c>
      <c r="G865" s="785">
        <v>33763</v>
      </c>
      <c r="H865" s="785"/>
      <c r="I865" s="786">
        <v>1945</v>
      </c>
      <c r="J865" s="787">
        <v>8198</v>
      </c>
      <c r="K865" s="786">
        <v>4822</v>
      </c>
      <c r="L865" s="785">
        <v>37</v>
      </c>
      <c r="M865" s="785"/>
      <c r="N865" s="786">
        <v>956</v>
      </c>
      <c r="O865" s="786">
        <v>0</v>
      </c>
      <c r="P865" s="786">
        <v>0</v>
      </c>
      <c r="Q865" s="785">
        <v>1571</v>
      </c>
      <c r="R865" s="785"/>
      <c r="S865" s="786">
        <v>11378</v>
      </c>
      <c r="T865" s="788">
        <v>-984</v>
      </c>
      <c r="U865" s="788">
        <v>10394</v>
      </c>
    </row>
    <row r="866" spans="1:21" x14ac:dyDescent="0.25">
      <c r="A866" s="782">
        <v>99509</v>
      </c>
      <c r="B866" s="783" t="s">
        <v>3475</v>
      </c>
      <c r="C866" s="784">
        <v>2.76E-5</v>
      </c>
      <c r="D866" s="784">
        <v>2.8900000000000001E-5</v>
      </c>
      <c r="E866" s="815">
        <v>11410</v>
      </c>
      <c r="F866" s="818">
        <v>61335</v>
      </c>
      <c r="G866" s="785">
        <v>42165</v>
      </c>
      <c r="H866" s="785"/>
      <c r="I866" s="786">
        <v>2429</v>
      </c>
      <c r="J866" s="787">
        <v>10238</v>
      </c>
      <c r="K866" s="786">
        <v>6022</v>
      </c>
      <c r="L866" s="785">
        <v>0</v>
      </c>
      <c r="M866" s="785"/>
      <c r="N866" s="786">
        <v>1194</v>
      </c>
      <c r="O866" s="786">
        <v>0</v>
      </c>
      <c r="P866" s="786">
        <v>0</v>
      </c>
      <c r="Q866" s="785">
        <v>6512</v>
      </c>
      <c r="R866" s="785"/>
      <c r="S866" s="786">
        <v>14210</v>
      </c>
      <c r="T866" s="788">
        <v>-4301</v>
      </c>
      <c r="U866" s="788">
        <v>9909</v>
      </c>
    </row>
    <row r="867" spans="1:21" x14ac:dyDescent="0.25">
      <c r="A867" s="782">
        <v>99511</v>
      </c>
      <c r="B867" s="783" t="s">
        <v>3476</v>
      </c>
      <c r="C867" s="784">
        <v>1.4048999999999999E-3</v>
      </c>
      <c r="D867" s="784">
        <v>1.3638000000000001E-3</v>
      </c>
      <c r="E867" s="815">
        <v>579707</v>
      </c>
      <c r="F867" s="818">
        <v>2894440</v>
      </c>
      <c r="G867" s="785">
        <v>2146298</v>
      </c>
      <c r="H867" s="785"/>
      <c r="I867" s="786">
        <v>123647</v>
      </c>
      <c r="J867" s="787">
        <v>521124</v>
      </c>
      <c r="K867" s="786">
        <v>306521</v>
      </c>
      <c r="L867" s="785">
        <v>4500</v>
      </c>
      <c r="M867" s="785"/>
      <c r="N867" s="786">
        <v>60755</v>
      </c>
      <c r="O867" s="786">
        <v>0</v>
      </c>
      <c r="P867" s="786">
        <v>0</v>
      </c>
      <c r="Q867" s="785">
        <v>85381</v>
      </c>
      <c r="R867" s="785"/>
      <c r="S867" s="786">
        <v>723304</v>
      </c>
      <c r="T867" s="788">
        <v>-30654</v>
      </c>
      <c r="U867" s="788">
        <v>692650</v>
      </c>
    </row>
    <row r="868" spans="1:21" x14ac:dyDescent="0.25">
      <c r="A868" s="782">
        <v>99521</v>
      </c>
      <c r="B868" s="783" t="s">
        <v>3477</v>
      </c>
      <c r="C868" s="784">
        <v>4.2700000000000002E-4</v>
      </c>
      <c r="D868" s="784">
        <v>4.0180000000000001E-4</v>
      </c>
      <c r="E868" s="815">
        <v>176536</v>
      </c>
      <c r="F868" s="818">
        <v>852754</v>
      </c>
      <c r="G868" s="785">
        <v>652338</v>
      </c>
      <c r="H868" s="785"/>
      <c r="I868" s="786">
        <v>37581</v>
      </c>
      <c r="J868" s="787">
        <v>158389</v>
      </c>
      <c r="K868" s="786">
        <v>93163</v>
      </c>
      <c r="L868" s="785">
        <v>2015</v>
      </c>
      <c r="M868" s="785"/>
      <c r="N868" s="786">
        <v>18466</v>
      </c>
      <c r="O868" s="786">
        <v>0</v>
      </c>
      <c r="P868" s="786">
        <v>0</v>
      </c>
      <c r="Q868" s="785">
        <v>15563</v>
      </c>
      <c r="R868" s="785"/>
      <c r="S868" s="786">
        <v>219838</v>
      </c>
      <c r="T868" s="788">
        <v>-5081</v>
      </c>
      <c r="U868" s="788">
        <v>214757</v>
      </c>
    </row>
    <row r="869" spans="1:21" x14ac:dyDescent="0.25">
      <c r="A869" s="782">
        <v>99527</v>
      </c>
      <c r="B869" s="783" t="s">
        <v>3478</v>
      </c>
      <c r="C869" s="784">
        <v>1.19E-5</v>
      </c>
      <c r="D869" s="784">
        <v>1.2099999999999999E-5</v>
      </c>
      <c r="E869" s="815">
        <v>5941</v>
      </c>
      <c r="F869" s="818">
        <v>25680</v>
      </c>
      <c r="G869" s="785">
        <v>18180</v>
      </c>
      <c r="H869" s="785"/>
      <c r="I869" s="786">
        <v>1047</v>
      </c>
      <c r="J869" s="787">
        <v>4414</v>
      </c>
      <c r="K869" s="786">
        <v>2596</v>
      </c>
      <c r="L869" s="785">
        <v>1124</v>
      </c>
      <c r="M869" s="785"/>
      <c r="N869" s="786">
        <v>515</v>
      </c>
      <c r="O869" s="786">
        <v>0</v>
      </c>
      <c r="P869" s="786">
        <v>0</v>
      </c>
      <c r="Q869" s="785">
        <v>0</v>
      </c>
      <c r="R869" s="785"/>
      <c r="S869" s="786">
        <v>6127</v>
      </c>
      <c r="T869" s="788">
        <v>591</v>
      </c>
      <c r="U869" s="788">
        <v>6718</v>
      </c>
    </row>
    <row r="870" spans="1:21" x14ac:dyDescent="0.25">
      <c r="A870" s="782">
        <v>99531</v>
      </c>
      <c r="B870" s="783" t="s">
        <v>3479</v>
      </c>
      <c r="C870" s="784">
        <v>9.3499999999999996E-5</v>
      </c>
      <c r="D870" s="784">
        <v>8.7600000000000002E-5</v>
      </c>
      <c r="E870" s="815">
        <v>72390</v>
      </c>
      <c r="F870" s="818">
        <v>185917</v>
      </c>
      <c r="G870" s="785">
        <v>142842</v>
      </c>
      <c r="H870" s="785"/>
      <c r="I870" s="786">
        <v>8229</v>
      </c>
      <c r="J870" s="787">
        <v>34683</v>
      </c>
      <c r="K870" s="786">
        <v>20400</v>
      </c>
      <c r="L870" s="785">
        <v>55453</v>
      </c>
      <c r="M870" s="785"/>
      <c r="N870" s="786">
        <v>4043</v>
      </c>
      <c r="O870" s="786">
        <v>0</v>
      </c>
      <c r="P870" s="786">
        <v>0</v>
      </c>
      <c r="Q870" s="785">
        <v>0</v>
      </c>
      <c r="R870" s="785"/>
      <c r="S870" s="786">
        <v>48138</v>
      </c>
      <c r="T870" s="788">
        <v>18721</v>
      </c>
      <c r="U870" s="788">
        <v>66859</v>
      </c>
    </row>
    <row r="871" spans="1:21" x14ac:dyDescent="0.25">
      <c r="A871" s="782">
        <v>99601</v>
      </c>
      <c r="B871" s="783" t="s">
        <v>3480</v>
      </c>
      <c r="C871" s="784">
        <v>5.7812000000000002E-3</v>
      </c>
      <c r="D871" s="784">
        <v>5.2824999999999999E-3</v>
      </c>
      <c r="E871" s="815">
        <v>2548954</v>
      </c>
      <c r="F871" s="818">
        <v>11211235</v>
      </c>
      <c r="G871" s="785">
        <v>8832072</v>
      </c>
      <c r="H871" s="785"/>
      <c r="I871" s="786">
        <v>508809</v>
      </c>
      <c r="J871" s="787">
        <v>2144438</v>
      </c>
      <c r="K871" s="786">
        <v>1261342</v>
      </c>
      <c r="L871" s="785">
        <v>289372</v>
      </c>
      <c r="M871" s="785"/>
      <c r="N871" s="786">
        <v>250008</v>
      </c>
      <c r="O871" s="786">
        <v>0</v>
      </c>
      <c r="P871" s="786">
        <v>0</v>
      </c>
      <c r="Q871" s="785">
        <v>73071</v>
      </c>
      <c r="R871" s="785"/>
      <c r="S871" s="786">
        <v>2976416</v>
      </c>
      <c r="T871" s="788">
        <v>55175</v>
      </c>
      <c r="U871" s="788">
        <f>3031592-1</f>
        <v>3031591</v>
      </c>
    </row>
    <row r="872" spans="1:21" x14ac:dyDescent="0.25">
      <c r="A872" s="782">
        <v>99602</v>
      </c>
      <c r="B872" s="783" t="s">
        <v>3481</v>
      </c>
      <c r="C872" s="784">
        <v>6.19E-5</v>
      </c>
      <c r="D872" s="784">
        <v>5.1700000000000003E-5</v>
      </c>
      <c r="E872" s="815">
        <v>28151</v>
      </c>
      <c r="F872" s="818">
        <v>109725</v>
      </c>
      <c r="G872" s="785">
        <v>94566</v>
      </c>
      <c r="H872" s="785"/>
      <c r="I872" s="786">
        <v>5448</v>
      </c>
      <c r="J872" s="787">
        <v>22961</v>
      </c>
      <c r="K872" s="786">
        <v>13505</v>
      </c>
      <c r="L872" s="785">
        <v>10306</v>
      </c>
      <c r="M872" s="785"/>
      <c r="N872" s="786">
        <v>2677</v>
      </c>
      <c r="O872" s="786">
        <v>0</v>
      </c>
      <c r="P872" s="786">
        <v>0</v>
      </c>
      <c r="Q872" s="785">
        <v>2067</v>
      </c>
      <c r="R872" s="785"/>
      <c r="S872" s="786">
        <v>31869</v>
      </c>
      <c r="T872" s="788">
        <v>1298</v>
      </c>
      <c r="U872" s="788">
        <v>33167</v>
      </c>
    </row>
    <row r="873" spans="1:21" x14ac:dyDescent="0.25">
      <c r="A873" s="782">
        <v>99603</v>
      </c>
      <c r="B873" s="783" t="s">
        <v>3482</v>
      </c>
      <c r="C873" s="784">
        <v>1.615E-4</v>
      </c>
      <c r="D873" s="784">
        <v>1.4219999999999999E-4</v>
      </c>
      <c r="E873" s="815">
        <v>87237</v>
      </c>
      <c r="F873" s="818">
        <v>301796</v>
      </c>
      <c r="G873" s="785">
        <v>246727</v>
      </c>
      <c r="H873" s="785"/>
      <c r="I873" s="786">
        <v>14214</v>
      </c>
      <c r="J873" s="787">
        <v>59905</v>
      </c>
      <c r="K873" s="786">
        <v>35236</v>
      </c>
      <c r="L873" s="785">
        <v>95435</v>
      </c>
      <c r="M873" s="785"/>
      <c r="N873" s="786">
        <v>6984</v>
      </c>
      <c r="O873" s="786">
        <v>0</v>
      </c>
      <c r="P873" s="786">
        <v>0</v>
      </c>
      <c r="Q873" s="785">
        <v>0</v>
      </c>
      <c r="R873" s="785"/>
      <c r="S873" s="786">
        <v>83147</v>
      </c>
      <c r="T873" s="788">
        <v>37380</v>
      </c>
      <c r="U873" s="788">
        <v>120527</v>
      </c>
    </row>
    <row r="874" spans="1:21" x14ac:dyDescent="0.25">
      <c r="A874" s="782">
        <v>99604</v>
      </c>
      <c r="B874" s="783" t="s">
        <v>3483</v>
      </c>
      <c r="C874" s="784">
        <v>1.009E-4</v>
      </c>
      <c r="D874" s="784">
        <v>9.6899999999999997E-5</v>
      </c>
      <c r="E874" s="815">
        <v>52378</v>
      </c>
      <c r="F874" s="818">
        <v>205654</v>
      </c>
      <c r="G874" s="785">
        <v>154147</v>
      </c>
      <c r="H874" s="785"/>
      <c r="I874" s="786">
        <v>8880</v>
      </c>
      <c r="J874" s="787">
        <v>37427</v>
      </c>
      <c r="K874" s="786">
        <v>22014</v>
      </c>
      <c r="L874" s="785">
        <v>20530</v>
      </c>
      <c r="M874" s="785"/>
      <c r="N874" s="786">
        <v>4363</v>
      </c>
      <c r="O874" s="786">
        <v>0</v>
      </c>
      <c r="P874" s="786">
        <v>0</v>
      </c>
      <c r="Q874" s="785">
        <v>0</v>
      </c>
      <c r="R874" s="785"/>
      <c r="S874" s="786">
        <v>51948</v>
      </c>
      <c r="T874" s="788">
        <v>9479</v>
      </c>
      <c r="U874" s="788">
        <v>61427</v>
      </c>
    </row>
    <row r="875" spans="1:21" x14ac:dyDescent="0.25">
      <c r="A875" s="782">
        <v>99609</v>
      </c>
      <c r="B875" s="783" t="s">
        <v>3484</v>
      </c>
      <c r="C875" s="784">
        <v>1.52E-5</v>
      </c>
      <c r="D875" s="784">
        <v>2.0999999999999999E-5</v>
      </c>
      <c r="E875" s="815">
        <v>9935</v>
      </c>
      <c r="F875" s="818">
        <v>44569</v>
      </c>
      <c r="G875" s="785">
        <v>23221</v>
      </c>
      <c r="H875" s="785"/>
      <c r="I875" s="786">
        <v>1338</v>
      </c>
      <c r="J875" s="787">
        <v>5638</v>
      </c>
      <c r="K875" s="786">
        <v>3316</v>
      </c>
      <c r="L875" s="785">
        <v>3555</v>
      </c>
      <c r="M875" s="785"/>
      <c r="N875" s="786">
        <v>657</v>
      </c>
      <c r="O875" s="786">
        <v>0</v>
      </c>
      <c r="P875" s="786">
        <v>0</v>
      </c>
      <c r="Q875" s="785">
        <v>1523</v>
      </c>
      <c r="R875" s="785"/>
      <c r="S875" s="786">
        <v>7826</v>
      </c>
      <c r="T875" s="788">
        <v>1693</v>
      </c>
      <c r="U875" s="788">
        <v>9519</v>
      </c>
    </row>
    <row r="876" spans="1:21" x14ac:dyDescent="0.25">
      <c r="A876" s="782">
        <v>99610</v>
      </c>
      <c r="B876" s="783" t="s">
        <v>3485</v>
      </c>
      <c r="C876" s="784">
        <v>1.9440000000000001E-4</v>
      </c>
      <c r="D876" s="784">
        <v>1.9440000000000001E-4</v>
      </c>
      <c r="E876" s="815">
        <v>85100</v>
      </c>
      <c r="F876" s="818">
        <v>412582</v>
      </c>
      <c r="G876" s="785">
        <v>296989</v>
      </c>
      <c r="H876" s="785"/>
      <c r="I876" s="786">
        <v>17109</v>
      </c>
      <c r="J876" s="787">
        <v>72109</v>
      </c>
      <c r="K876" s="786">
        <v>42414</v>
      </c>
      <c r="L876" s="785">
        <v>2712</v>
      </c>
      <c r="M876" s="785"/>
      <c r="N876" s="786">
        <v>8407</v>
      </c>
      <c r="O876" s="786">
        <v>0</v>
      </c>
      <c r="P876" s="786">
        <v>0</v>
      </c>
      <c r="Q876" s="785">
        <v>4164</v>
      </c>
      <c r="R876" s="785"/>
      <c r="S876" s="786">
        <v>100086</v>
      </c>
      <c r="T876" s="788">
        <v>576</v>
      </c>
      <c r="U876" s="788">
        <v>100662</v>
      </c>
    </row>
    <row r="877" spans="1:21" x14ac:dyDescent="0.25">
      <c r="A877" s="782">
        <v>99611</v>
      </c>
      <c r="B877" s="783" t="s">
        <v>3486</v>
      </c>
      <c r="C877" s="784">
        <v>3.1959000000000002E-3</v>
      </c>
      <c r="D877" s="784">
        <v>3.1495999999999998E-3</v>
      </c>
      <c r="E877" s="815">
        <v>1474037</v>
      </c>
      <c r="F877" s="818">
        <v>6684506</v>
      </c>
      <c r="G877" s="785">
        <v>4882450</v>
      </c>
      <c r="H877" s="785"/>
      <c r="I877" s="786">
        <v>281274</v>
      </c>
      <c r="J877" s="787">
        <v>1185465</v>
      </c>
      <c r="K877" s="786">
        <v>697281</v>
      </c>
      <c r="L877" s="785">
        <v>36523</v>
      </c>
      <c r="M877" s="785"/>
      <c r="N877" s="786">
        <v>138207</v>
      </c>
      <c r="O877" s="786">
        <v>0</v>
      </c>
      <c r="P877" s="786">
        <v>0</v>
      </c>
      <c r="Q877" s="785">
        <v>197702</v>
      </c>
      <c r="R877" s="785"/>
      <c r="S877" s="786">
        <v>1645390</v>
      </c>
      <c r="T877" s="788">
        <v>-88518</v>
      </c>
      <c r="U877" s="788">
        <v>1556872</v>
      </c>
    </row>
    <row r="878" spans="1:21" x14ac:dyDescent="0.25">
      <c r="A878" s="782">
        <v>99613</v>
      </c>
      <c r="B878" s="783" t="s">
        <v>3487</v>
      </c>
      <c r="C878" s="784">
        <v>3.2909999999999998E-4</v>
      </c>
      <c r="D878" s="784">
        <v>3.369E-4</v>
      </c>
      <c r="E878" s="815">
        <v>310915</v>
      </c>
      <c r="F878" s="818">
        <v>715015</v>
      </c>
      <c r="G878" s="785">
        <v>502774</v>
      </c>
      <c r="H878" s="785"/>
      <c r="I878" s="786">
        <v>28964</v>
      </c>
      <c r="J878" s="787">
        <v>122074</v>
      </c>
      <c r="K878" s="786">
        <v>71803</v>
      </c>
      <c r="L878" s="785">
        <v>283917</v>
      </c>
      <c r="M878" s="785"/>
      <c r="N878" s="786">
        <v>14232</v>
      </c>
      <c r="O878" s="786">
        <v>0</v>
      </c>
      <c r="P878" s="786">
        <v>0</v>
      </c>
      <c r="Q878" s="785">
        <v>0</v>
      </c>
      <c r="R878" s="785"/>
      <c r="S878" s="786">
        <v>169435</v>
      </c>
      <c r="T878" s="788">
        <v>96572</v>
      </c>
      <c r="U878" s="788">
        <v>266007</v>
      </c>
    </row>
    <row r="879" spans="1:21" x14ac:dyDescent="0.25">
      <c r="A879" s="782">
        <v>99621</v>
      </c>
      <c r="B879" s="783" t="s">
        <v>3488</v>
      </c>
      <c r="C879" s="784">
        <v>3.7060000000000001E-4</v>
      </c>
      <c r="D879" s="784">
        <v>3.2850000000000002E-4</v>
      </c>
      <c r="E879" s="815">
        <v>166448</v>
      </c>
      <c r="F879" s="818">
        <v>697187</v>
      </c>
      <c r="G879" s="785">
        <v>566174</v>
      </c>
      <c r="H879" s="785"/>
      <c r="I879" s="786">
        <v>32617</v>
      </c>
      <c r="J879" s="787">
        <v>137468</v>
      </c>
      <c r="K879" s="786">
        <v>80858</v>
      </c>
      <c r="L879" s="785">
        <v>42182</v>
      </c>
      <c r="M879" s="785"/>
      <c r="N879" s="786">
        <v>16027</v>
      </c>
      <c r="O879" s="786">
        <v>0</v>
      </c>
      <c r="P879" s="786">
        <v>0</v>
      </c>
      <c r="Q879" s="785">
        <v>4670</v>
      </c>
      <c r="R879" s="785"/>
      <c r="S879" s="786">
        <v>190801</v>
      </c>
      <c r="T879" s="788">
        <v>12829</v>
      </c>
      <c r="U879" s="788">
        <v>203630</v>
      </c>
    </row>
    <row r="880" spans="1:21" x14ac:dyDescent="0.25">
      <c r="A880" s="782">
        <v>99623</v>
      </c>
      <c r="B880" s="783" t="s">
        <v>3489</v>
      </c>
      <c r="C880" s="784">
        <v>2.6400000000000001E-5</v>
      </c>
      <c r="D880" s="784">
        <v>2.9200000000000002E-5</v>
      </c>
      <c r="E880" s="815">
        <v>11103</v>
      </c>
      <c r="F880" s="818">
        <v>61972</v>
      </c>
      <c r="G880" s="785">
        <v>40332</v>
      </c>
      <c r="H880" s="785"/>
      <c r="I880" s="786">
        <v>2323</v>
      </c>
      <c r="J880" s="787">
        <v>9793</v>
      </c>
      <c r="K880" s="786">
        <v>5760</v>
      </c>
      <c r="L880" s="785">
        <v>2450</v>
      </c>
      <c r="M880" s="785"/>
      <c r="N880" s="786">
        <v>1142</v>
      </c>
      <c r="O880" s="786">
        <v>0</v>
      </c>
      <c r="P880" s="786">
        <v>0</v>
      </c>
      <c r="Q880" s="785">
        <v>2848</v>
      </c>
      <c r="R880" s="785"/>
      <c r="S880" s="786">
        <v>13592</v>
      </c>
      <c r="T880" s="788">
        <v>317</v>
      </c>
      <c r="U880" s="788">
        <f>13908+1</f>
        <v>13909</v>
      </c>
    </row>
    <row r="881" spans="1:21" x14ac:dyDescent="0.25">
      <c r="A881" s="782">
        <v>99631</v>
      </c>
      <c r="B881" s="783" t="s">
        <v>3490</v>
      </c>
      <c r="C881" s="784">
        <v>1.102E-4</v>
      </c>
      <c r="D881" s="784">
        <v>1.0340000000000001E-4</v>
      </c>
      <c r="E881" s="815">
        <v>46231</v>
      </c>
      <c r="F881" s="818">
        <v>219449</v>
      </c>
      <c r="G881" s="785">
        <v>168355</v>
      </c>
      <c r="H881" s="785"/>
      <c r="I881" s="786">
        <v>9699</v>
      </c>
      <c r="J881" s="787">
        <v>40877</v>
      </c>
      <c r="K881" s="786">
        <v>24043</v>
      </c>
      <c r="L881" s="785">
        <v>1071</v>
      </c>
      <c r="M881" s="785"/>
      <c r="N881" s="786">
        <v>4766</v>
      </c>
      <c r="O881" s="786">
        <v>0</v>
      </c>
      <c r="P881" s="786">
        <v>0</v>
      </c>
      <c r="Q881" s="785">
        <v>5159</v>
      </c>
      <c r="R881" s="785"/>
      <c r="S881" s="786">
        <v>56736</v>
      </c>
      <c r="T881" s="788">
        <v>-3954</v>
      </c>
      <c r="U881" s="788">
        <f>52781+1</f>
        <v>52782</v>
      </c>
    </row>
    <row r="882" spans="1:21" x14ac:dyDescent="0.25">
      <c r="A882" s="782">
        <v>99651</v>
      </c>
      <c r="B882" s="783" t="s">
        <v>3491</v>
      </c>
      <c r="C882" s="784">
        <v>6.7199999999999994E-5</v>
      </c>
      <c r="D882" s="784">
        <v>6.7100000000000005E-5</v>
      </c>
      <c r="E882" s="815">
        <v>30231</v>
      </c>
      <c r="F882" s="818">
        <v>142409</v>
      </c>
      <c r="G882" s="785">
        <v>102663</v>
      </c>
      <c r="H882" s="785"/>
      <c r="I882" s="786">
        <v>5914</v>
      </c>
      <c r="J882" s="787">
        <v>24927</v>
      </c>
      <c r="K882" s="786">
        <v>14662</v>
      </c>
      <c r="L882" s="785">
        <v>5944</v>
      </c>
      <c r="M882" s="785"/>
      <c r="N882" s="786">
        <v>2906</v>
      </c>
      <c r="O882" s="786">
        <v>0</v>
      </c>
      <c r="P882" s="786">
        <v>0</v>
      </c>
      <c r="Q882" s="785">
        <v>1841</v>
      </c>
      <c r="R882" s="785"/>
      <c r="S882" s="786">
        <v>34598</v>
      </c>
      <c r="T882" s="788">
        <v>1312</v>
      </c>
      <c r="U882" s="788">
        <v>35910</v>
      </c>
    </row>
    <row r="883" spans="1:21" x14ac:dyDescent="0.25">
      <c r="A883" s="782">
        <v>99661</v>
      </c>
      <c r="B883" s="783" t="s">
        <v>3492</v>
      </c>
      <c r="C883" s="784">
        <v>3.26E-5</v>
      </c>
      <c r="D883" s="784">
        <v>3.5500000000000002E-5</v>
      </c>
      <c r="E883" s="815">
        <v>34513</v>
      </c>
      <c r="F883" s="818">
        <v>75343</v>
      </c>
      <c r="G883" s="785">
        <v>49804</v>
      </c>
      <c r="H883" s="785"/>
      <c r="I883" s="786">
        <v>2869</v>
      </c>
      <c r="J883" s="787">
        <v>12092</v>
      </c>
      <c r="K883" s="786">
        <v>7113</v>
      </c>
      <c r="L883" s="785">
        <v>34726</v>
      </c>
      <c r="M883" s="785"/>
      <c r="N883" s="786">
        <v>1410</v>
      </c>
      <c r="O883" s="786">
        <v>0</v>
      </c>
      <c r="P883" s="786">
        <v>0</v>
      </c>
      <c r="Q883" s="785">
        <v>0</v>
      </c>
      <c r="R883" s="785"/>
      <c r="S883" s="786">
        <v>16784</v>
      </c>
      <c r="T883" s="788">
        <v>12838</v>
      </c>
      <c r="U883" s="788">
        <v>29622</v>
      </c>
    </row>
    <row r="884" spans="1:21" x14ac:dyDescent="0.25">
      <c r="A884" s="782">
        <v>99701</v>
      </c>
      <c r="B884" s="783" t="s">
        <v>3493</v>
      </c>
      <c r="C884" s="784">
        <v>2.9190000000000002E-3</v>
      </c>
      <c r="D884" s="784">
        <v>2.8774E-3</v>
      </c>
      <c r="E884" s="815">
        <v>1295371</v>
      </c>
      <c r="F884" s="818">
        <v>6106807</v>
      </c>
      <c r="G884" s="785">
        <v>4459423</v>
      </c>
      <c r="H884" s="785"/>
      <c r="I884" s="786">
        <v>256904</v>
      </c>
      <c r="J884" s="787">
        <v>1082754</v>
      </c>
      <c r="K884" s="786">
        <v>636867</v>
      </c>
      <c r="L884" s="785">
        <v>21162</v>
      </c>
      <c r="M884" s="785"/>
      <c r="N884" s="786">
        <v>126232</v>
      </c>
      <c r="O884" s="786">
        <v>0</v>
      </c>
      <c r="P884" s="786">
        <v>0</v>
      </c>
      <c r="Q884" s="785">
        <v>17651</v>
      </c>
      <c r="R884" s="785"/>
      <c r="S884" s="786">
        <v>1502830</v>
      </c>
      <c r="T884" s="788">
        <v>-1976</v>
      </c>
      <c r="U884" s="788">
        <f>1500853+1</f>
        <v>1500854</v>
      </c>
    </row>
    <row r="885" spans="1:21" x14ac:dyDescent="0.25">
      <c r="A885" s="782">
        <v>99705</v>
      </c>
      <c r="B885" s="783" t="s">
        <v>3494</v>
      </c>
      <c r="C885" s="784">
        <v>1.7229999999999999E-4</v>
      </c>
      <c r="D885" s="784">
        <v>1.7259999999999999E-4</v>
      </c>
      <c r="E885" s="815">
        <v>85451</v>
      </c>
      <c r="F885" s="818">
        <v>366315</v>
      </c>
      <c r="G885" s="785">
        <v>263227</v>
      </c>
      <c r="H885" s="785"/>
      <c r="I885" s="786">
        <v>15164</v>
      </c>
      <c r="J885" s="787">
        <v>63911</v>
      </c>
      <c r="K885" s="786">
        <v>37592</v>
      </c>
      <c r="L885" s="785">
        <v>10978</v>
      </c>
      <c r="M885" s="785"/>
      <c r="N885" s="786">
        <v>7451</v>
      </c>
      <c r="O885" s="786">
        <v>0</v>
      </c>
      <c r="P885" s="786">
        <v>0</v>
      </c>
      <c r="Q885" s="785">
        <v>544</v>
      </c>
      <c r="R885" s="785"/>
      <c r="S885" s="786">
        <v>88708</v>
      </c>
      <c r="T885" s="788">
        <v>5913</v>
      </c>
      <c r="U885" s="788">
        <v>94621</v>
      </c>
    </row>
    <row r="886" spans="1:21" x14ac:dyDescent="0.25">
      <c r="A886" s="782">
        <v>99711</v>
      </c>
      <c r="B886" s="783" t="s">
        <v>3495</v>
      </c>
      <c r="C886" s="784">
        <v>4.5459999999999999E-4</v>
      </c>
      <c r="D886" s="784">
        <v>4.3540000000000001E-4</v>
      </c>
      <c r="E886" s="815">
        <v>209494</v>
      </c>
      <c r="F886" s="818">
        <v>924065</v>
      </c>
      <c r="G886" s="785">
        <v>694503</v>
      </c>
      <c r="H886" s="785"/>
      <c r="I886" s="786">
        <v>40010</v>
      </c>
      <c r="J886" s="787">
        <v>168626</v>
      </c>
      <c r="K886" s="786">
        <v>99185</v>
      </c>
      <c r="L886" s="785">
        <v>14449</v>
      </c>
      <c r="M886" s="785"/>
      <c r="N886" s="786">
        <v>19659</v>
      </c>
      <c r="O886" s="786">
        <v>0</v>
      </c>
      <c r="P886" s="786">
        <v>0</v>
      </c>
      <c r="Q886" s="785">
        <v>10625</v>
      </c>
      <c r="R886" s="785"/>
      <c r="S886" s="786">
        <v>234048</v>
      </c>
      <c r="T886" s="788">
        <v>-1042</v>
      </c>
      <c r="U886" s="788">
        <v>233006</v>
      </c>
    </row>
    <row r="887" spans="1:21" x14ac:dyDescent="0.25">
      <c r="A887" s="782">
        <v>99717</v>
      </c>
      <c r="B887" s="783" t="s">
        <v>3496</v>
      </c>
      <c r="C887" s="784">
        <v>2.19E-5</v>
      </c>
      <c r="D887" s="784">
        <v>2.3200000000000001E-5</v>
      </c>
      <c r="E887" s="815">
        <v>8060</v>
      </c>
      <c r="F887" s="818">
        <v>49238</v>
      </c>
      <c r="G887" s="785">
        <v>33457</v>
      </c>
      <c r="H887" s="785"/>
      <c r="I887" s="786">
        <v>1927</v>
      </c>
      <c r="J887" s="787">
        <v>8123</v>
      </c>
      <c r="K887" s="786">
        <v>4778</v>
      </c>
      <c r="L887" s="785">
        <v>0</v>
      </c>
      <c r="M887" s="785"/>
      <c r="N887" s="786">
        <v>947</v>
      </c>
      <c r="O887" s="786">
        <v>0</v>
      </c>
      <c r="P887" s="786">
        <v>0</v>
      </c>
      <c r="Q887" s="785">
        <v>3936</v>
      </c>
      <c r="R887" s="785"/>
      <c r="S887" s="786">
        <v>11275</v>
      </c>
      <c r="T887" s="788">
        <v>-1270</v>
      </c>
      <c r="U887" s="788">
        <v>10005</v>
      </c>
    </row>
    <row r="888" spans="1:21" x14ac:dyDescent="0.25">
      <c r="A888" s="782">
        <v>99721</v>
      </c>
      <c r="B888" s="783" t="s">
        <v>3497</v>
      </c>
      <c r="C888" s="784">
        <v>5.7779999999999995E-4</v>
      </c>
      <c r="D888" s="784">
        <v>6.2449999999999995E-4</v>
      </c>
      <c r="E888" s="815">
        <v>252725</v>
      </c>
      <c r="F888" s="818">
        <v>1325398</v>
      </c>
      <c r="G888" s="785">
        <v>882718</v>
      </c>
      <c r="H888" s="785"/>
      <c r="I888" s="786">
        <v>50853</v>
      </c>
      <c r="J888" s="787">
        <v>214325</v>
      </c>
      <c r="K888" s="786">
        <v>126064</v>
      </c>
      <c r="L888" s="785">
        <v>0</v>
      </c>
      <c r="M888" s="785"/>
      <c r="N888" s="786">
        <v>24987</v>
      </c>
      <c r="O888" s="786">
        <v>0</v>
      </c>
      <c r="P888" s="786">
        <v>0</v>
      </c>
      <c r="Q888" s="785">
        <v>48789</v>
      </c>
      <c r="R888" s="785"/>
      <c r="S888" s="786">
        <v>297477</v>
      </c>
      <c r="T888" s="788">
        <v>-14223</v>
      </c>
      <c r="U888" s="788">
        <v>283254</v>
      </c>
    </row>
    <row r="889" spans="1:21" x14ac:dyDescent="0.25">
      <c r="A889" s="782">
        <v>99727</v>
      </c>
      <c r="B889" s="783" t="s">
        <v>3498</v>
      </c>
      <c r="C889" s="784">
        <v>2.3900000000000002E-5</v>
      </c>
      <c r="D889" s="784">
        <v>2.5299999999999998E-5</v>
      </c>
      <c r="E889" s="815">
        <v>46315</v>
      </c>
      <c r="F889" s="818">
        <v>53695</v>
      </c>
      <c r="G889" s="785">
        <v>36513</v>
      </c>
      <c r="H889" s="785"/>
      <c r="I889" s="786">
        <v>2103</v>
      </c>
      <c r="J889" s="787">
        <v>8865</v>
      </c>
      <c r="K889" s="786">
        <v>5215</v>
      </c>
      <c r="L889" s="785">
        <v>59484</v>
      </c>
      <c r="M889" s="785"/>
      <c r="N889" s="786">
        <v>1034</v>
      </c>
      <c r="O889" s="786">
        <v>0</v>
      </c>
      <c r="P889" s="786">
        <v>0</v>
      </c>
      <c r="Q889" s="785">
        <v>0</v>
      </c>
      <c r="R889" s="785"/>
      <c r="S889" s="786">
        <v>12305</v>
      </c>
      <c r="T889" s="788">
        <v>20983</v>
      </c>
      <c r="U889" s="788">
        <v>33288</v>
      </c>
    </row>
    <row r="890" spans="1:21" x14ac:dyDescent="0.25">
      <c r="A890" s="782">
        <v>99801</v>
      </c>
      <c r="B890" s="783" t="s">
        <v>3499</v>
      </c>
      <c r="C890" s="784">
        <v>5.1866000000000004E-3</v>
      </c>
      <c r="D890" s="784">
        <v>5.1954999999999996E-3</v>
      </c>
      <c r="E890" s="815">
        <v>2259452</v>
      </c>
      <c r="F890" s="818">
        <v>11026591</v>
      </c>
      <c r="G890" s="785">
        <v>7923688</v>
      </c>
      <c r="H890" s="785"/>
      <c r="I890" s="786">
        <v>456478</v>
      </c>
      <c r="J890" s="787">
        <v>1923881</v>
      </c>
      <c r="K890" s="786">
        <v>1131612</v>
      </c>
      <c r="L890" s="785">
        <v>17042</v>
      </c>
      <c r="M890" s="785"/>
      <c r="N890" s="786">
        <v>224295</v>
      </c>
      <c r="O890" s="786">
        <v>0</v>
      </c>
      <c r="P890" s="786">
        <v>0</v>
      </c>
      <c r="Q890" s="785">
        <v>150042</v>
      </c>
      <c r="R890" s="785"/>
      <c r="S890" s="786">
        <v>2670290</v>
      </c>
      <c r="T890" s="788">
        <v>-29556</v>
      </c>
      <c r="U890" s="788">
        <f>2640733+1</f>
        <v>2640734</v>
      </c>
    </row>
    <row r="891" spans="1:21" x14ac:dyDescent="0.25">
      <c r="A891" s="782">
        <v>99802</v>
      </c>
      <c r="B891" s="783" t="s">
        <v>3500</v>
      </c>
      <c r="C891" s="784">
        <v>6.0000000000000002E-6</v>
      </c>
      <c r="D891" s="784">
        <v>6.4999999999999996E-6</v>
      </c>
      <c r="E891" s="815">
        <v>4581</v>
      </c>
      <c r="F891" s="818">
        <v>13795</v>
      </c>
      <c r="G891" s="785">
        <v>9166</v>
      </c>
      <c r="H891" s="785"/>
      <c r="I891" s="786">
        <v>528</v>
      </c>
      <c r="J891" s="787">
        <v>2226</v>
      </c>
      <c r="K891" s="786">
        <v>1309</v>
      </c>
      <c r="L891" s="785">
        <v>1378</v>
      </c>
      <c r="M891" s="785"/>
      <c r="N891" s="786">
        <v>259</v>
      </c>
      <c r="O891" s="786">
        <v>0</v>
      </c>
      <c r="P891" s="786">
        <v>0</v>
      </c>
      <c r="Q891" s="785">
        <v>53</v>
      </c>
      <c r="R891" s="785"/>
      <c r="S891" s="786">
        <v>3089</v>
      </c>
      <c r="T891" s="788">
        <v>334</v>
      </c>
      <c r="U891" s="788">
        <v>3423</v>
      </c>
    </row>
    <row r="892" spans="1:21" x14ac:dyDescent="0.25">
      <c r="A892" s="782">
        <v>99804</v>
      </c>
      <c r="B892" s="783" t="s">
        <v>3501</v>
      </c>
      <c r="C892" s="784">
        <v>9.0500000000000004E-5</v>
      </c>
      <c r="D892" s="784">
        <v>8.6600000000000004E-5</v>
      </c>
      <c r="E892" s="815">
        <v>46756</v>
      </c>
      <c r="F892" s="818">
        <v>183794</v>
      </c>
      <c r="G892" s="785">
        <v>138259</v>
      </c>
      <c r="H892" s="785"/>
      <c r="I892" s="786">
        <v>7965</v>
      </c>
      <c r="J892" s="787">
        <v>33569</v>
      </c>
      <c r="K892" s="786">
        <v>19745</v>
      </c>
      <c r="L892" s="785">
        <v>13689</v>
      </c>
      <c r="M892" s="785"/>
      <c r="N892" s="786">
        <v>3914</v>
      </c>
      <c r="O892" s="786">
        <v>0</v>
      </c>
      <c r="P892" s="786">
        <v>0</v>
      </c>
      <c r="Q892" s="785">
        <v>0</v>
      </c>
      <c r="R892" s="785"/>
      <c r="S892" s="786">
        <v>46593</v>
      </c>
      <c r="T892" s="788">
        <v>4917</v>
      </c>
      <c r="U892" s="788">
        <v>51510</v>
      </c>
    </row>
    <row r="893" spans="1:21" x14ac:dyDescent="0.25">
      <c r="A893" s="782">
        <v>99811</v>
      </c>
      <c r="B893" s="783" t="s">
        <v>3502</v>
      </c>
      <c r="C893" s="784">
        <v>6.7026999999999998E-3</v>
      </c>
      <c r="D893" s="784">
        <v>6.8415000000000004E-3</v>
      </c>
      <c r="E893" s="815">
        <v>2884356</v>
      </c>
      <c r="F893" s="818">
        <v>14519955</v>
      </c>
      <c r="G893" s="785">
        <v>10239869</v>
      </c>
      <c r="H893" s="785"/>
      <c r="I893" s="786">
        <v>589911</v>
      </c>
      <c r="J893" s="787">
        <v>2486253</v>
      </c>
      <c r="K893" s="786">
        <v>1462395</v>
      </c>
      <c r="L893" s="785">
        <v>0</v>
      </c>
      <c r="M893" s="785"/>
      <c r="N893" s="786">
        <v>289858</v>
      </c>
      <c r="O893" s="786">
        <v>0</v>
      </c>
      <c r="P893" s="786">
        <v>0</v>
      </c>
      <c r="Q893" s="785">
        <v>598680</v>
      </c>
      <c r="R893" s="785"/>
      <c r="S893" s="786">
        <v>3450845</v>
      </c>
      <c r="T893" s="788">
        <v>-236953</v>
      </c>
      <c r="U893" s="788">
        <f>3213891+1</f>
        <v>3213892</v>
      </c>
    </row>
    <row r="894" spans="1:21" x14ac:dyDescent="0.25">
      <c r="A894" s="782">
        <v>99812</v>
      </c>
      <c r="B894" s="783" t="s">
        <v>3503</v>
      </c>
      <c r="C894" s="784">
        <v>2.2099999999999998E-5</v>
      </c>
      <c r="D894" s="784">
        <v>2.5599999999999999E-5</v>
      </c>
      <c r="E894" s="815">
        <v>20069</v>
      </c>
      <c r="F894" s="818">
        <v>54332</v>
      </c>
      <c r="G894" s="785">
        <v>33763</v>
      </c>
      <c r="H894" s="785"/>
      <c r="I894" s="786">
        <v>1945</v>
      </c>
      <c r="J894" s="787">
        <v>8198</v>
      </c>
      <c r="K894" s="786">
        <v>4822</v>
      </c>
      <c r="L894" s="785">
        <v>11652</v>
      </c>
      <c r="M894" s="785"/>
      <c r="N894" s="786">
        <v>956</v>
      </c>
      <c r="O894" s="786">
        <v>0</v>
      </c>
      <c r="P894" s="786">
        <v>0</v>
      </c>
      <c r="Q894" s="785">
        <v>0</v>
      </c>
      <c r="R894" s="785"/>
      <c r="S894" s="786">
        <v>11378</v>
      </c>
      <c r="T894" s="788">
        <v>4237</v>
      </c>
      <c r="U894" s="788">
        <v>15615</v>
      </c>
    </row>
    <row r="895" spans="1:21" x14ac:dyDescent="0.25">
      <c r="A895" s="782">
        <v>99818</v>
      </c>
      <c r="B895" s="783" t="s">
        <v>3504</v>
      </c>
      <c r="C895" s="784">
        <v>3.1600000000000002E-5</v>
      </c>
      <c r="D895" s="784">
        <v>3.7700000000000002E-5</v>
      </c>
      <c r="E895" s="815">
        <v>14370</v>
      </c>
      <c r="F895" s="818">
        <v>80012</v>
      </c>
      <c r="G895" s="785">
        <v>48276</v>
      </c>
      <c r="H895" s="785"/>
      <c r="I895" s="786">
        <v>2781</v>
      </c>
      <c r="J895" s="787">
        <v>11722</v>
      </c>
      <c r="K895" s="786">
        <v>6894</v>
      </c>
      <c r="L895" s="785">
        <v>3054</v>
      </c>
      <c r="M895" s="785"/>
      <c r="N895" s="786">
        <v>1367</v>
      </c>
      <c r="O895" s="786">
        <v>0</v>
      </c>
      <c r="P895" s="786">
        <v>0</v>
      </c>
      <c r="Q895" s="785">
        <v>6414</v>
      </c>
      <c r="R895" s="785"/>
      <c r="S895" s="786">
        <v>16269</v>
      </c>
      <c r="T895" s="788">
        <v>695</v>
      </c>
      <c r="U895" s="788">
        <v>16964</v>
      </c>
    </row>
    <row r="896" spans="1:21" x14ac:dyDescent="0.25">
      <c r="A896" s="782">
        <v>99821</v>
      </c>
      <c r="B896" s="783" t="s">
        <v>3505</v>
      </c>
      <c r="C896" s="784">
        <v>9.1100000000000005E-5</v>
      </c>
      <c r="D896" s="784">
        <v>8.2899999999999996E-5</v>
      </c>
      <c r="E896" s="815">
        <v>48801</v>
      </c>
      <c r="F896" s="818">
        <v>175942</v>
      </c>
      <c r="G896" s="785">
        <v>139176</v>
      </c>
      <c r="H896" s="785"/>
      <c r="I896" s="786">
        <v>8018</v>
      </c>
      <c r="J896" s="787">
        <v>33792</v>
      </c>
      <c r="K896" s="786">
        <v>19876</v>
      </c>
      <c r="L896" s="785">
        <v>21459</v>
      </c>
      <c r="M896" s="785"/>
      <c r="N896" s="786">
        <v>3940</v>
      </c>
      <c r="O896" s="786">
        <v>0</v>
      </c>
      <c r="P896" s="786">
        <v>0</v>
      </c>
      <c r="Q896" s="785">
        <v>555</v>
      </c>
      <c r="R896" s="785"/>
      <c r="S896" s="786">
        <v>46902</v>
      </c>
      <c r="T896" s="788">
        <v>9955</v>
      </c>
      <c r="U896" s="788">
        <v>56857</v>
      </c>
    </row>
    <row r="897" spans="1:21" x14ac:dyDescent="0.25">
      <c r="A897" s="782">
        <v>99831</v>
      </c>
      <c r="B897" s="783" t="s">
        <v>3506</v>
      </c>
      <c r="C897" s="784">
        <v>6.3299999999999994E-5</v>
      </c>
      <c r="D897" s="784">
        <v>5.5899999999999997E-5</v>
      </c>
      <c r="E897" s="815">
        <v>28274</v>
      </c>
      <c r="F897" s="818">
        <v>118639</v>
      </c>
      <c r="G897" s="785">
        <v>96705</v>
      </c>
      <c r="H897" s="785"/>
      <c r="I897" s="786">
        <v>5571</v>
      </c>
      <c r="J897" s="787">
        <v>23480</v>
      </c>
      <c r="K897" s="786">
        <v>13811</v>
      </c>
      <c r="L897" s="785">
        <v>7030</v>
      </c>
      <c r="M897" s="785"/>
      <c r="N897" s="786">
        <v>2737</v>
      </c>
      <c r="O897" s="786">
        <v>0</v>
      </c>
      <c r="P897" s="786">
        <v>0</v>
      </c>
      <c r="Q897" s="785">
        <v>564</v>
      </c>
      <c r="R897" s="785"/>
      <c r="S897" s="786">
        <v>32590</v>
      </c>
      <c r="T897" s="788">
        <v>1906</v>
      </c>
      <c r="U897" s="788">
        <f>34495+1</f>
        <v>34496</v>
      </c>
    </row>
    <row r="898" spans="1:21" x14ac:dyDescent="0.25">
      <c r="A898" s="782">
        <v>99841</v>
      </c>
      <c r="B898" s="783" t="s">
        <v>3507</v>
      </c>
      <c r="C898" s="784">
        <v>4.3399999999999998E-5</v>
      </c>
      <c r="D898" s="784">
        <v>4.6E-5</v>
      </c>
      <c r="E898" s="815">
        <v>19338</v>
      </c>
      <c r="F898" s="818">
        <v>97627</v>
      </c>
      <c r="G898" s="785">
        <v>66303</v>
      </c>
      <c r="H898" s="785"/>
      <c r="I898" s="786">
        <v>3820</v>
      </c>
      <c r="J898" s="787">
        <v>16098</v>
      </c>
      <c r="K898" s="786">
        <v>9469</v>
      </c>
      <c r="L898" s="785">
        <v>1271</v>
      </c>
      <c r="M898" s="785"/>
      <c r="N898" s="786">
        <v>1877</v>
      </c>
      <c r="O898" s="786">
        <v>0</v>
      </c>
      <c r="P898" s="786">
        <v>0</v>
      </c>
      <c r="Q898" s="785">
        <v>4060</v>
      </c>
      <c r="R898" s="785"/>
      <c r="S898" s="786">
        <v>22344</v>
      </c>
      <c r="T898" s="788">
        <v>-1214</v>
      </c>
      <c r="U898" s="788">
        <v>21130</v>
      </c>
    </row>
    <row r="899" spans="1:21" x14ac:dyDescent="0.25">
      <c r="A899" s="782">
        <v>99851</v>
      </c>
      <c r="B899" s="783" t="s">
        <v>3508</v>
      </c>
      <c r="C899" s="784">
        <v>2.23E-5</v>
      </c>
      <c r="D899" s="784">
        <v>2.1999999999999999E-5</v>
      </c>
      <c r="E899" s="815">
        <v>7302</v>
      </c>
      <c r="F899" s="818">
        <v>46691</v>
      </c>
      <c r="G899" s="785">
        <v>34068</v>
      </c>
      <c r="H899" s="785"/>
      <c r="I899" s="786">
        <v>1963</v>
      </c>
      <c r="J899" s="787">
        <v>8272</v>
      </c>
      <c r="K899" s="786">
        <v>4865</v>
      </c>
      <c r="L899" s="785">
        <v>142</v>
      </c>
      <c r="M899" s="785"/>
      <c r="N899" s="786">
        <v>964</v>
      </c>
      <c r="O899" s="786">
        <v>0</v>
      </c>
      <c r="P899" s="786">
        <v>0</v>
      </c>
      <c r="Q899" s="785">
        <v>3191</v>
      </c>
      <c r="R899" s="785"/>
      <c r="S899" s="786">
        <v>11481</v>
      </c>
      <c r="T899" s="788">
        <v>-847</v>
      </c>
      <c r="U899" s="788">
        <v>10634</v>
      </c>
    </row>
    <row r="900" spans="1:21" x14ac:dyDescent="0.25">
      <c r="A900" s="782">
        <v>99901</v>
      </c>
      <c r="B900" s="783" t="s">
        <v>3509</v>
      </c>
      <c r="C900" s="784">
        <v>1.6707E-3</v>
      </c>
      <c r="D900" s="784">
        <v>1.6371999999999999E-3</v>
      </c>
      <c r="E900" s="815">
        <v>760400</v>
      </c>
      <c r="F900" s="818">
        <v>3474687</v>
      </c>
      <c r="G900" s="785">
        <v>2552367</v>
      </c>
      <c r="H900" s="785"/>
      <c r="I900" s="786">
        <v>147040</v>
      </c>
      <c r="J900" s="787">
        <v>619718</v>
      </c>
      <c r="K900" s="786">
        <v>364513</v>
      </c>
      <c r="L900" s="785">
        <v>63407</v>
      </c>
      <c r="M900" s="785"/>
      <c r="N900" s="786">
        <v>72249</v>
      </c>
      <c r="O900" s="786">
        <v>0</v>
      </c>
      <c r="P900" s="786">
        <v>0</v>
      </c>
      <c r="Q900" s="785">
        <v>12021</v>
      </c>
      <c r="R900" s="785"/>
      <c r="S900" s="786">
        <v>860150</v>
      </c>
      <c r="T900" s="788">
        <v>13114</v>
      </c>
      <c r="U900" s="788">
        <v>873264</v>
      </c>
    </row>
    <row r="901" spans="1:21" x14ac:dyDescent="0.25">
      <c r="A901" s="782">
        <v>99911</v>
      </c>
      <c r="B901" s="783" t="s">
        <v>3510</v>
      </c>
      <c r="C901" s="784">
        <v>2.5980000000000003E-4</v>
      </c>
      <c r="D901" s="784">
        <v>2.5520000000000002E-4</v>
      </c>
      <c r="E901" s="815">
        <v>122066</v>
      </c>
      <c r="F901" s="818">
        <v>541620</v>
      </c>
      <c r="G901" s="785">
        <v>396902</v>
      </c>
      <c r="H901" s="785"/>
      <c r="I901" s="786">
        <v>22865</v>
      </c>
      <c r="J901" s="787">
        <v>96368</v>
      </c>
      <c r="K901" s="786">
        <v>56683</v>
      </c>
      <c r="L901" s="785">
        <v>7168</v>
      </c>
      <c r="M901" s="785"/>
      <c r="N901" s="786">
        <v>11235</v>
      </c>
      <c r="O901" s="786">
        <v>0</v>
      </c>
      <c r="P901" s="786">
        <v>0</v>
      </c>
      <c r="Q901" s="785">
        <v>12661</v>
      </c>
      <c r="R901" s="785"/>
      <c r="S901" s="786">
        <v>133756</v>
      </c>
      <c r="T901" s="788">
        <v>-5521</v>
      </c>
      <c r="U901" s="788">
        <v>128235</v>
      </c>
    </row>
    <row r="902" spans="1:21" x14ac:dyDescent="0.25">
      <c r="A902" s="782">
        <v>99921</v>
      </c>
      <c r="B902" s="783" t="s">
        <v>3511</v>
      </c>
      <c r="C902" s="784">
        <v>1.506E-4</v>
      </c>
      <c r="D902" s="784">
        <v>1.5129999999999999E-4</v>
      </c>
      <c r="E902" s="815">
        <v>65165</v>
      </c>
      <c r="F902" s="818">
        <v>321109</v>
      </c>
      <c r="G902" s="785">
        <v>230075</v>
      </c>
      <c r="H902" s="785"/>
      <c r="I902" s="786">
        <v>13254</v>
      </c>
      <c r="J902" s="787">
        <v>55863</v>
      </c>
      <c r="K902" s="786">
        <v>32858</v>
      </c>
      <c r="L902" s="785">
        <v>3258</v>
      </c>
      <c r="M902" s="785"/>
      <c r="N902" s="786">
        <v>6513</v>
      </c>
      <c r="O902" s="786">
        <v>0</v>
      </c>
      <c r="P902" s="786">
        <v>0</v>
      </c>
      <c r="Q902" s="785">
        <v>7306</v>
      </c>
      <c r="R902" s="785"/>
      <c r="S902" s="786">
        <v>77536</v>
      </c>
      <c r="T902" s="788">
        <v>-3057</v>
      </c>
      <c r="U902" s="788">
        <v>74479</v>
      </c>
    </row>
    <row r="903" spans="1:21" x14ac:dyDescent="0.25">
      <c r="A903" s="782">
        <v>99931</v>
      </c>
      <c r="B903" s="783" t="s">
        <v>3512</v>
      </c>
      <c r="C903" s="784">
        <v>1.5800000000000001E-5</v>
      </c>
      <c r="D903" s="784">
        <v>2.51E-5</v>
      </c>
      <c r="E903" s="815">
        <v>8881</v>
      </c>
      <c r="F903" s="818">
        <v>53271</v>
      </c>
      <c r="G903" s="785">
        <v>24138</v>
      </c>
      <c r="H903" s="785"/>
      <c r="I903" s="786">
        <v>1391</v>
      </c>
      <c r="J903" s="787">
        <v>5860</v>
      </c>
      <c r="K903" s="786">
        <v>3447</v>
      </c>
      <c r="L903" s="785">
        <v>0</v>
      </c>
      <c r="M903" s="785"/>
      <c r="N903" s="786">
        <v>683</v>
      </c>
      <c r="O903" s="786">
        <v>0</v>
      </c>
      <c r="P903" s="786">
        <v>0</v>
      </c>
      <c r="Q903" s="785">
        <v>8477</v>
      </c>
      <c r="R903" s="785"/>
      <c r="S903" s="786">
        <v>8135</v>
      </c>
      <c r="T903" s="788">
        <v>-3271</v>
      </c>
      <c r="U903" s="788">
        <v>4864</v>
      </c>
    </row>
    <row r="904" spans="1:21" x14ac:dyDescent="0.25">
      <c r="A904" s="782">
        <v>99941</v>
      </c>
      <c r="B904" s="783" t="s">
        <v>3513</v>
      </c>
      <c r="C904" s="784">
        <v>7.5400000000000003E-5</v>
      </c>
      <c r="D904" s="784">
        <v>7.8200000000000003E-5</v>
      </c>
      <c r="E904" s="815">
        <v>32663</v>
      </c>
      <c r="F904" s="818">
        <v>165967</v>
      </c>
      <c r="G904" s="785">
        <v>115190</v>
      </c>
      <c r="H904" s="785"/>
      <c r="I904" s="786">
        <v>6636</v>
      </c>
      <c r="J904" s="787">
        <v>27969</v>
      </c>
      <c r="K904" s="786">
        <v>16451</v>
      </c>
      <c r="L904" s="785">
        <v>0</v>
      </c>
      <c r="M904" s="785"/>
      <c r="N904" s="786">
        <v>3261</v>
      </c>
      <c r="O904" s="786">
        <v>0</v>
      </c>
      <c r="P904" s="786">
        <v>0</v>
      </c>
      <c r="Q904" s="785">
        <v>11647</v>
      </c>
      <c r="R904" s="785"/>
      <c r="S904" s="786">
        <v>38819</v>
      </c>
      <c r="T904" s="788">
        <v>-4535</v>
      </c>
      <c r="U904" s="788">
        <f>34285-1</f>
        <v>34284</v>
      </c>
    </row>
    <row r="905" spans="1:21" x14ac:dyDescent="0.25">
      <c r="A905" s="782">
        <v>99991</v>
      </c>
      <c r="B905" s="783" t="s">
        <v>3514</v>
      </c>
      <c r="C905" s="784">
        <v>5.3450000000000004E-4</v>
      </c>
      <c r="D905" s="784">
        <v>5.6990000000000003E-4</v>
      </c>
      <c r="E905" s="815">
        <v>239781</v>
      </c>
      <c r="F905" s="818">
        <v>1209519</v>
      </c>
      <c r="G905" s="785">
        <v>816568</v>
      </c>
      <c r="H905" s="785"/>
      <c r="I905" s="786">
        <v>47042</v>
      </c>
      <c r="J905" s="787">
        <v>198264</v>
      </c>
      <c r="K905" s="786">
        <v>116617</v>
      </c>
      <c r="L905" s="785">
        <v>28891</v>
      </c>
      <c r="M905" s="785"/>
      <c r="N905" s="786">
        <v>23114</v>
      </c>
      <c r="O905" s="786">
        <v>0</v>
      </c>
      <c r="P905" s="786">
        <v>0</v>
      </c>
      <c r="Q905" s="785">
        <v>28214</v>
      </c>
      <c r="R905" s="785"/>
      <c r="S905" s="786">
        <v>275184</v>
      </c>
      <c r="T905" s="788">
        <v>12361</v>
      </c>
      <c r="U905" s="788">
        <v>287545</v>
      </c>
    </row>
    <row r="906" spans="1:21" x14ac:dyDescent="0.25">
      <c r="A906" s="782">
        <v>99999</v>
      </c>
      <c r="B906" s="783" t="s">
        <v>3515</v>
      </c>
      <c r="C906" s="784">
        <v>8.7509999999999997E-4</v>
      </c>
      <c r="D906" s="784">
        <v>1.0101000000000001E-3</v>
      </c>
      <c r="E906" s="815">
        <v>509176</v>
      </c>
      <c r="F906" s="818">
        <v>2143771</v>
      </c>
      <c r="G906" s="785">
        <v>1336910</v>
      </c>
      <c r="H906" s="785"/>
      <c r="I906" s="786">
        <v>77018</v>
      </c>
      <c r="J906" s="787">
        <v>324603</v>
      </c>
      <c r="K906" s="786">
        <v>190929</v>
      </c>
      <c r="L906" s="785">
        <v>77711</v>
      </c>
      <c r="M906" s="785"/>
      <c r="N906" s="786">
        <v>37844</v>
      </c>
      <c r="O906" s="786">
        <v>0</v>
      </c>
      <c r="P906" s="786">
        <v>0</v>
      </c>
      <c r="Q906" s="785">
        <v>26259</v>
      </c>
      <c r="R906" s="785"/>
      <c r="S906" s="786">
        <v>450540</v>
      </c>
      <c r="T906" s="788">
        <v>10651</v>
      </c>
      <c r="U906" s="788">
        <v>461191</v>
      </c>
    </row>
    <row r="907" spans="1:21" x14ac:dyDescent="0.25">
      <c r="A907" s="782"/>
      <c r="B907" s="783"/>
      <c r="C907" s="784"/>
      <c r="D907" s="784"/>
      <c r="E907" s="815"/>
      <c r="F907" s="818"/>
      <c r="G907" s="785"/>
      <c r="H907" s="785"/>
      <c r="I907" s="786"/>
      <c r="J907" s="787"/>
      <c r="K907" s="786"/>
      <c r="L907" s="785"/>
      <c r="M907" s="785"/>
      <c r="N907" s="786"/>
      <c r="O907" s="786"/>
      <c r="P907" s="786"/>
      <c r="Q907" s="785"/>
      <c r="R907" s="785"/>
      <c r="S907" s="786"/>
      <c r="T907" s="788"/>
      <c r="U907" s="788"/>
    </row>
    <row r="908" spans="1:21" x14ac:dyDescent="0.25">
      <c r="A908" s="802" t="s">
        <v>2621</v>
      </c>
      <c r="B908" s="803" t="s">
        <v>2620</v>
      </c>
      <c r="C908" s="804">
        <v>2.6581E-3</v>
      </c>
      <c r="D908" s="804">
        <v>2.3587E-3</v>
      </c>
      <c r="E908" s="816">
        <v>1110621</v>
      </c>
      <c r="F908" s="818">
        <v>5005952</v>
      </c>
      <c r="G908" s="806">
        <v>4060841</v>
      </c>
      <c r="H908" s="806"/>
      <c r="I908" s="807">
        <v>233942</v>
      </c>
      <c r="J908" s="808">
        <v>985977</v>
      </c>
      <c r="K908" s="807">
        <v>579944</v>
      </c>
      <c r="L908" s="806">
        <v>130818</v>
      </c>
      <c r="M908" s="806"/>
      <c r="N908" s="807">
        <v>114950</v>
      </c>
      <c r="O908" s="807"/>
      <c r="P908" s="807">
        <v>0</v>
      </c>
      <c r="Q908" s="806">
        <v>31847</v>
      </c>
      <c r="R908" s="806"/>
      <c r="S908" s="807">
        <v>1368507</v>
      </c>
      <c r="T908" s="806">
        <v>33872</v>
      </c>
      <c r="U908" s="806">
        <v>1402379</v>
      </c>
    </row>
    <row r="909" spans="1:21" s="796" customFormat="1" x14ac:dyDescent="0.25">
      <c r="A909" s="790"/>
      <c r="B909" s="791"/>
      <c r="C909" s="792">
        <v>1</v>
      </c>
      <c r="D909" s="792">
        <v>1</v>
      </c>
      <c r="E909" s="817">
        <f>SUM(E6:E906)</f>
        <v>459076658</v>
      </c>
      <c r="F909" s="817">
        <f>SUM(F6:F906)</f>
        <v>2063974821</v>
      </c>
      <c r="G909" s="793">
        <f>SUM(G7:G906)</f>
        <v>1527723006</v>
      </c>
      <c r="H909" s="793"/>
      <c r="I909" s="794">
        <f>SUM(I7:I906)</f>
        <v>88010998</v>
      </c>
      <c r="J909" s="795">
        <v>370932998</v>
      </c>
      <c r="K909" s="794">
        <f>SUM(K7:K906)</f>
        <v>218179990</v>
      </c>
      <c r="L909" s="794">
        <f>SUM(L7:L906)</f>
        <v>44399345</v>
      </c>
      <c r="M909" s="794"/>
      <c r="N909" s="794">
        <f>SUM(N7:N906)</f>
        <v>43245007</v>
      </c>
      <c r="O909" s="794">
        <f>SUM(O7:O906)</f>
        <v>0</v>
      </c>
      <c r="P909" s="794">
        <f>SUM(P7:P906)</f>
        <v>0</v>
      </c>
      <c r="Q909" s="794">
        <f>SUM(Q7:Q906)</f>
        <v>44399369</v>
      </c>
      <c r="R909" s="794"/>
      <c r="S909" s="794">
        <f>SUM(S7:S906)</f>
        <v>514844016</v>
      </c>
      <c r="T909" s="794">
        <f>SUM(T7:T906)</f>
        <v>36</v>
      </c>
      <c r="U909" s="794">
        <f>SUM(U7:U906)</f>
        <v>514844052</v>
      </c>
    </row>
    <row r="910" spans="1:21" s="796" customFormat="1" x14ac:dyDescent="0.25">
      <c r="A910" s="790"/>
      <c r="B910" s="791"/>
      <c r="C910" s="792"/>
      <c r="D910" s="792"/>
      <c r="E910" s="817"/>
      <c r="F910" s="801"/>
      <c r="G910" s="793"/>
      <c r="H910" s="793"/>
      <c r="I910" s="794"/>
      <c r="J910" s="795"/>
      <c r="K910" s="794"/>
      <c r="L910" s="794"/>
      <c r="M910" s="794"/>
      <c r="N910" s="794"/>
      <c r="O910" s="794"/>
      <c r="P910" s="794"/>
      <c r="Q910" s="794"/>
      <c r="R910" s="794"/>
      <c r="S910" s="794"/>
      <c r="T910" s="794"/>
      <c r="U910" s="794"/>
    </row>
    <row r="911" spans="1:21" s="796" customFormat="1" x14ac:dyDescent="0.25">
      <c r="A911" s="790"/>
      <c r="B911" s="791"/>
      <c r="C911" s="792"/>
      <c r="D911" s="792"/>
      <c r="E911" s="817"/>
      <c r="F911" s="801"/>
      <c r="G911" s="793"/>
      <c r="H911" s="793"/>
      <c r="I911" s="794"/>
      <c r="J911" s="795"/>
      <c r="K911" s="794"/>
      <c r="L911" s="794"/>
      <c r="M911" s="794"/>
      <c r="N911" s="794"/>
      <c r="O911" s="794"/>
      <c r="P911" s="794"/>
      <c r="Q911" s="794"/>
      <c r="R911" s="794"/>
      <c r="S911" s="794"/>
      <c r="T911" s="794"/>
      <c r="U911" s="794"/>
    </row>
    <row r="912" spans="1:21" x14ac:dyDescent="0.25">
      <c r="B912" s="797" t="s">
        <v>2086</v>
      </c>
      <c r="C912" s="780" t="s">
        <v>822</v>
      </c>
    </row>
    <row r="913" spans="2:3" x14ac:dyDescent="0.25">
      <c r="B913" s="798" t="s">
        <v>2101</v>
      </c>
      <c r="C913" s="782">
        <v>96331</v>
      </c>
    </row>
    <row r="914" spans="2:3" x14ac:dyDescent="0.25">
      <c r="B914" s="798" t="s">
        <v>2102</v>
      </c>
      <c r="C914" s="782">
        <v>94611</v>
      </c>
    </row>
    <row r="915" spans="2:3" x14ac:dyDescent="0.25">
      <c r="B915" s="798" t="s">
        <v>1462</v>
      </c>
      <c r="C915" s="782">
        <v>93402</v>
      </c>
    </row>
    <row r="916" spans="2:3" x14ac:dyDescent="0.25">
      <c r="B916" s="798" t="s">
        <v>2103</v>
      </c>
      <c r="C916" s="782">
        <v>90151</v>
      </c>
    </row>
    <row r="917" spans="2:3" x14ac:dyDescent="0.25">
      <c r="B917" s="798" t="s">
        <v>3676</v>
      </c>
      <c r="C917" s="782">
        <v>94109</v>
      </c>
    </row>
    <row r="918" spans="2:3" x14ac:dyDescent="0.25">
      <c r="B918" s="798" t="s">
        <v>1167</v>
      </c>
      <c r="C918" s="782">
        <v>90101</v>
      </c>
    </row>
    <row r="919" spans="2:3" x14ac:dyDescent="0.25">
      <c r="B919" s="798" t="s">
        <v>3516</v>
      </c>
      <c r="C919" s="782">
        <v>90117</v>
      </c>
    </row>
    <row r="920" spans="2:3" x14ac:dyDescent="0.25">
      <c r="B920" s="798" t="s">
        <v>2104</v>
      </c>
      <c r="C920" s="782">
        <v>98411</v>
      </c>
    </row>
    <row r="921" spans="2:3" x14ac:dyDescent="0.25">
      <c r="B921" s="798" t="s">
        <v>3677</v>
      </c>
      <c r="C921" s="782">
        <v>98417</v>
      </c>
    </row>
    <row r="922" spans="2:3" x14ac:dyDescent="0.25">
      <c r="B922" s="798" t="s">
        <v>1763</v>
      </c>
      <c r="C922" s="782">
        <v>97008</v>
      </c>
    </row>
    <row r="923" spans="2:3" x14ac:dyDescent="0.25">
      <c r="B923" s="798" t="s">
        <v>1764</v>
      </c>
      <c r="C923" s="782">
        <v>97010</v>
      </c>
    </row>
    <row r="924" spans="2:3" x14ac:dyDescent="0.25">
      <c r="B924" s="798" t="s">
        <v>3517</v>
      </c>
      <c r="C924" s="782">
        <v>90096</v>
      </c>
    </row>
    <row r="925" spans="2:3" x14ac:dyDescent="0.25">
      <c r="B925" s="798" t="s">
        <v>1214</v>
      </c>
      <c r="C925" s="782">
        <v>90805</v>
      </c>
    </row>
    <row r="926" spans="2:3" x14ac:dyDescent="0.25">
      <c r="B926" s="798" t="s">
        <v>3678</v>
      </c>
      <c r="C926" s="782">
        <v>92109</v>
      </c>
    </row>
    <row r="927" spans="2:3" x14ac:dyDescent="0.25">
      <c r="B927" s="798" t="s">
        <v>1175</v>
      </c>
      <c r="C927" s="782">
        <v>90201</v>
      </c>
    </row>
    <row r="928" spans="2:3" x14ac:dyDescent="0.25">
      <c r="B928" s="798" t="s">
        <v>3679</v>
      </c>
      <c r="C928" s="782">
        <v>90206</v>
      </c>
    </row>
    <row r="929" spans="2:3" x14ac:dyDescent="0.25">
      <c r="B929" s="798" t="s">
        <v>3680</v>
      </c>
      <c r="C929" s="782">
        <v>90203</v>
      </c>
    </row>
    <row r="930" spans="2:3" x14ac:dyDescent="0.25">
      <c r="B930" s="798" t="s">
        <v>3681</v>
      </c>
      <c r="C930" s="782">
        <v>90205</v>
      </c>
    </row>
    <row r="931" spans="2:3" x14ac:dyDescent="0.25">
      <c r="B931" s="798" t="s">
        <v>1180</v>
      </c>
      <c r="C931" s="782">
        <v>90301</v>
      </c>
    </row>
    <row r="932" spans="2:3" x14ac:dyDescent="0.25">
      <c r="B932" s="798" t="s">
        <v>3682</v>
      </c>
      <c r="C932" s="782">
        <v>93209</v>
      </c>
    </row>
    <row r="933" spans="2:3" x14ac:dyDescent="0.25">
      <c r="B933" s="798" t="s">
        <v>2105</v>
      </c>
      <c r="C933" s="782">
        <v>92021</v>
      </c>
    </row>
    <row r="934" spans="2:3" x14ac:dyDescent="0.25">
      <c r="B934" s="798" t="s">
        <v>2106</v>
      </c>
      <c r="C934" s="782">
        <v>94351</v>
      </c>
    </row>
    <row r="935" spans="2:3" x14ac:dyDescent="0.25">
      <c r="B935" s="798" t="s">
        <v>3683</v>
      </c>
      <c r="C935" s="782">
        <v>94347</v>
      </c>
    </row>
    <row r="936" spans="2:3" x14ac:dyDescent="0.25">
      <c r="B936" s="798" t="s">
        <v>1183</v>
      </c>
      <c r="C936" s="782">
        <v>90401</v>
      </c>
    </row>
    <row r="937" spans="2:3" x14ac:dyDescent="0.25">
      <c r="B937" s="798" t="s">
        <v>2107</v>
      </c>
      <c r="C937" s="782">
        <v>90451</v>
      </c>
    </row>
    <row r="938" spans="2:3" x14ac:dyDescent="0.25">
      <c r="B938" s="798" t="s">
        <v>2108</v>
      </c>
      <c r="C938" s="782">
        <v>99271</v>
      </c>
    </row>
    <row r="939" spans="2:3" x14ac:dyDescent="0.25">
      <c r="B939" s="798" t="s">
        <v>3684</v>
      </c>
      <c r="C939" s="782">
        <v>90099</v>
      </c>
    </row>
    <row r="940" spans="2:3" x14ac:dyDescent="0.25">
      <c r="B940" s="798" t="s">
        <v>2003</v>
      </c>
      <c r="C940" s="782">
        <v>99705</v>
      </c>
    </row>
    <row r="941" spans="2:3" x14ac:dyDescent="0.25">
      <c r="B941" s="798" t="s">
        <v>2109</v>
      </c>
      <c r="C941" s="782">
        <v>97651</v>
      </c>
    </row>
    <row r="942" spans="2:3" x14ac:dyDescent="0.25">
      <c r="B942" s="798" t="s">
        <v>2110</v>
      </c>
      <c r="C942" s="782">
        <v>95106</v>
      </c>
    </row>
    <row r="943" spans="2:3" x14ac:dyDescent="0.25">
      <c r="B943" s="798" t="s">
        <v>1192</v>
      </c>
      <c r="C943" s="782">
        <v>90501</v>
      </c>
    </row>
    <row r="944" spans="2:3" x14ac:dyDescent="0.25">
      <c r="B944" s="798" t="s">
        <v>2111</v>
      </c>
      <c r="C944" s="782">
        <v>97611</v>
      </c>
    </row>
    <row r="945" spans="2:3" x14ac:dyDescent="0.25">
      <c r="B945" s="798" t="s">
        <v>3685</v>
      </c>
      <c r="C945" s="782">
        <v>97607</v>
      </c>
    </row>
    <row r="946" spans="2:3" x14ac:dyDescent="0.25">
      <c r="B946" s="798" t="s">
        <v>3686</v>
      </c>
      <c r="C946" s="782">
        <v>97613</v>
      </c>
    </row>
    <row r="947" spans="2:3" x14ac:dyDescent="0.25">
      <c r="B947" s="798" t="s">
        <v>2112</v>
      </c>
      <c r="C947" s="782">
        <v>91121</v>
      </c>
    </row>
    <row r="948" spans="2:3" x14ac:dyDescent="0.25">
      <c r="B948" s="798" t="s">
        <v>3687</v>
      </c>
      <c r="C948" s="782">
        <v>91127</v>
      </c>
    </row>
    <row r="949" spans="2:3" x14ac:dyDescent="0.25">
      <c r="B949" s="798" t="s">
        <v>1266</v>
      </c>
      <c r="C949" s="782">
        <v>91128</v>
      </c>
    </row>
    <row r="950" spans="2:3" x14ac:dyDescent="0.25">
      <c r="B950" s="798" t="s">
        <v>2113</v>
      </c>
      <c r="C950" s="782">
        <v>91681</v>
      </c>
    </row>
    <row r="951" spans="2:3" x14ac:dyDescent="0.25">
      <c r="B951" s="798" t="s">
        <v>2114</v>
      </c>
      <c r="C951" s="782">
        <v>90811</v>
      </c>
    </row>
    <row r="952" spans="2:3" x14ac:dyDescent="0.25">
      <c r="B952" s="798" t="s">
        <v>2115</v>
      </c>
      <c r="C952" s="782">
        <v>90721</v>
      </c>
    </row>
    <row r="953" spans="2:3" x14ac:dyDescent="0.25">
      <c r="B953" s="798" t="s">
        <v>2116</v>
      </c>
      <c r="C953" s="782">
        <v>98271</v>
      </c>
    </row>
    <row r="954" spans="2:3" x14ac:dyDescent="0.25">
      <c r="B954" s="798" t="s">
        <v>1196</v>
      </c>
      <c r="C954" s="782">
        <v>90601</v>
      </c>
    </row>
    <row r="955" spans="2:3" x14ac:dyDescent="0.25">
      <c r="B955" s="798" t="s">
        <v>3688</v>
      </c>
      <c r="C955" s="782">
        <v>90602</v>
      </c>
    </row>
    <row r="956" spans="2:3" x14ac:dyDescent="0.25">
      <c r="B956" s="798" t="s">
        <v>3689</v>
      </c>
      <c r="C956" s="782">
        <v>90605</v>
      </c>
    </row>
    <row r="957" spans="2:3" x14ac:dyDescent="0.25">
      <c r="B957" s="798" t="s">
        <v>2117</v>
      </c>
      <c r="C957" s="782">
        <v>97461</v>
      </c>
    </row>
    <row r="958" spans="2:3" x14ac:dyDescent="0.25">
      <c r="B958" s="798" t="s">
        <v>1796</v>
      </c>
      <c r="C958" s="782">
        <v>97463</v>
      </c>
    </row>
    <row r="959" spans="2:3" x14ac:dyDescent="0.25">
      <c r="B959" s="798" t="s">
        <v>3690</v>
      </c>
      <c r="C959" s="782">
        <v>90705</v>
      </c>
    </row>
    <row r="960" spans="2:3" x14ac:dyDescent="0.25">
      <c r="B960" s="798" t="s">
        <v>2118</v>
      </c>
      <c r="C960" s="782">
        <v>98451</v>
      </c>
    </row>
    <row r="961" spans="2:3" x14ac:dyDescent="0.25">
      <c r="B961" s="798" t="s">
        <v>2119</v>
      </c>
      <c r="C961" s="782">
        <v>96451</v>
      </c>
    </row>
    <row r="962" spans="2:3" x14ac:dyDescent="0.25">
      <c r="B962" s="798" t="s">
        <v>2120</v>
      </c>
      <c r="C962" s="782">
        <v>96121</v>
      </c>
    </row>
    <row r="963" spans="2:3" x14ac:dyDescent="0.25">
      <c r="B963" s="798" t="s">
        <v>2121</v>
      </c>
      <c r="C963" s="782">
        <v>91091</v>
      </c>
    </row>
    <row r="964" spans="2:3" x14ac:dyDescent="0.25">
      <c r="B964" s="798" t="s">
        <v>2122</v>
      </c>
      <c r="C964" s="782">
        <v>90611</v>
      </c>
    </row>
    <row r="965" spans="2:3" x14ac:dyDescent="0.25">
      <c r="B965" s="798" t="s">
        <v>1758</v>
      </c>
      <c r="C965" s="782">
        <v>96918</v>
      </c>
    </row>
    <row r="966" spans="2:3" x14ac:dyDescent="0.25">
      <c r="B966" s="798" t="s">
        <v>2123</v>
      </c>
      <c r="C966" s="782">
        <v>96911</v>
      </c>
    </row>
    <row r="967" spans="2:3" x14ac:dyDescent="0.25">
      <c r="B967" s="798" t="s">
        <v>1955</v>
      </c>
      <c r="C967" s="782">
        <v>99208</v>
      </c>
    </row>
    <row r="968" spans="2:3" x14ac:dyDescent="0.25">
      <c r="B968" s="798" t="s">
        <v>2124</v>
      </c>
      <c r="C968" s="782">
        <v>91631</v>
      </c>
    </row>
    <row r="969" spans="2:3" x14ac:dyDescent="0.25">
      <c r="B969" s="798" t="s">
        <v>1204</v>
      </c>
      <c r="C969" s="782">
        <v>90701</v>
      </c>
    </row>
    <row r="970" spans="2:3" x14ac:dyDescent="0.25">
      <c r="B970" s="798" t="s">
        <v>3691</v>
      </c>
      <c r="C970" s="782">
        <v>90704</v>
      </c>
    </row>
    <row r="971" spans="2:3" x14ac:dyDescent="0.25">
      <c r="B971" s="798" t="s">
        <v>3692</v>
      </c>
      <c r="C971" s="782">
        <v>91633</v>
      </c>
    </row>
    <row r="972" spans="2:3" x14ac:dyDescent="0.25">
      <c r="B972" s="798" t="s">
        <v>2125</v>
      </c>
      <c r="C972" s="782">
        <v>90631</v>
      </c>
    </row>
    <row r="973" spans="2:3" x14ac:dyDescent="0.25">
      <c r="B973" s="798" t="s">
        <v>2126</v>
      </c>
      <c r="C973" s="782">
        <v>90731</v>
      </c>
    </row>
    <row r="974" spans="2:3" x14ac:dyDescent="0.25">
      <c r="B974" s="798" t="s">
        <v>2127</v>
      </c>
      <c r="C974" s="782">
        <v>93621</v>
      </c>
    </row>
    <row r="975" spans="2:3" x14ac:dyDescent="0.25">
      <c r="B975" s="798" t="s">
        <v>1488</v>
      </c>
      <c r="C975" s="782">
        <v>93623</v>
      </c>
    </row>
    <row r="976" spans="2:3" x14ac:dyDescent="0.25">
      <c r="B976" s="798" t="s">
        <v>2128</v>
      </c>
      <c r="C976" s="782">
        <v>91020</v>
      </c>
    </row>
    <row r="977" spans="2:3" x14ac:dyDescent="0.25">
      <c r="B977" s="798" t="s">
        <v>2129</v>
      </c>
      <c r="C977" s="782">
        <v>95141</v>
      </c>
    </row>
    <row r="978" spans="2:3" x14ac:dyDescent="0.25">
      <c r="B978" s="798" t="s">
        <v>1606</v>
      </c>
      <c r="C978" s="782">
        <v>95103</v>
      </c>
    </row>
    <row r="979" spans="2:3" x14ac:dyDescent="0.25">
      <c r="B979" s="798" t="s">
        <v>2130</v>
      </c>
      <c r="C979" s="782">
        <v>93021</v>
      </c>
    </row>
    <row r="980" spans="2:3" x14ac:dyDescent="0.25">
      <c r="B980" s="798" t="s">
        <v>1212</v>
      </c>
      <c r="C980" s="782">
        <v>90801</v>
      </c>
    </row>
    <row r="981" spans="2:3" x14ac:dyDescent="0.25">
      <c r="B981" s="798" t="s">
        <v>3693</v>
      </c>
      <c r="C981" s="782">
        <v>90804</v>
      </c>
    </row>
    <row r="982" spans="2:3" x14ac:dyDescent="0.25">
      <c r="B982" s="798" t="s">
        <v>1215</v>
      </c>
      <c r="C982" s="782">
        <v>90808</v>
      </c>
    </row>
    <row r="983" spans="2:3" x14ac:dyDescent="0.25">
      <c r="B983" s="798" t="s">
        <v>2131</v>
      </c>
      <c r="C983" s="782">
        <v>93671</v>
      </c>
    </row>
    <row r="984" spans="2:3" x14ac:dyDescent="0.25">
      <c r="B984" s="798" t="s">
        <v>2132</v>
      </c>
      <c r="C984" s="782">
        <v>93677</v>
      </c>
    </row>
    <row r="985" spans="2:3" x14ac:dyDescent="0.25">
      <c r="B985" s="798" t="s">
        <v>2133</v>
      </c>
      <c r="C985" s="782">
        <v>97441</v>
      </c>
    </row>
    <row r="986" spans="2:3" x14ac:dyDescent="0.25">
      <c r="B986" s="798" t="s">
        <v>2134</v>
      </c>
      <c r="C986" s="782">
        <v>93111</v>
      </c>
    </row>
    <row r="987" spans="2:3" x14ac:dyDescent="0.25">
      <c r="B987" s="798" t="s">
        <v>2135</v>
      </c>
      <c r="C987" s="782">
        <v>91111</v>
      </c>
    </row>
    <row r="988" spans="2:3" x14ac:dyDescent="0.25">
      <c r="B988" s="798" t="s">
        <v>2136</v>
      </c>
      <c r="C988" s="782">
        <v>96231</v>
      </c>
    </row>
    <row r="989" spans="2:3" x14ac:dyDescent="0.25">
      <c r="B989" s="798" t="s">
        <v>2137</v>
      </c>
      <c r="C989" s="782">
        <v>99831</v>
      </c>
    </row>
    <row r="990" spans="2:3" x14ac:dyDescent="0.25">
      <c r="B990" s="798" t="s">
        <v>2138</v>
      </c>
      <c r="C990" s="782">
        <v>91151</v>
      </c>
    </row>
    <row r="991" spans="2:3" x14ac:dyDescent="0.25">
      <c r="B991" s="798" t="s">
        <v>3694</v>
      </c>
      <c r="C991" s="782">
        <v>91154</v>
      </c>
    </row>
    <row r="992" spans="2:3" x14ac:dyDescent="0.25">
      <c r="B992" s="798" t="s">
        <v>1220</v>
      </c>
      <c r="C992" s="782">
        <v>90901</v>
      </c>
    </row>
    <row r="993" spans="2:3" x14ac:dyDescent="0.25">
      <c r="B993" s="798" t="s">
        <v>2139</v>
      </c>
      <c r="C993" s="782">
        <v>90941</v>
      </c>
    </row>
    <row r="994" spans="2:3" x14ac:dyDescent="0.25">
      <c r="B994" s="798" t="s">
        <v>2140</v>
      </c>
      <c r="C994" s="782">
        <v>99521</v>
      </c>
    </row>
    <row r="995" spans="2:3" x14ac:dyDescent="0.25">
      <c r="B995" s="798" t="s">
        <v>3695</v>
      </c>
      <c r="C995" s="782">
        <v>99527</v>
      </c>
    </row>
    <row r="996" spans="2:3" x14ac:dyDescent="0.25">
      <c r="B996" s="798" t="s">
        <v>1984</v>
      </c>
      <c r="C996" s="782">
        <v>99508</v>
      </c>
    </row>
    <row r="997" spans="2:3" x14ac:dyDescent="0.25">
      <c r="B997" s="798" t="s">
        <v>1573</v>
      </c>
      <c r="C997" s="782">
        <v>94532</v>
      </c>
    </row>
    <row r="998" spans="2:3" x14ac:dyDescent="0.25">
      <c r="B998" s="798" t="s">
        <v>3696</v>
      </c>
      <c r="C998" s="782">
        <v>91071</v>
      </c>
    </row>
    <row r="999" spans="2:3" x14ac:dyDescent="0.25">
      <c r="B999" s="798" t="s">
        <v>3697</v>
      </c>
      <c r="C999" s="782">
        <v>91077</v>
      </c>
    </row>
    <row r="1000" spans="2:3" x14ac:dyDescent="0.25">
      <c r="B1000" s="798" t="s">
        <v>2141</v>
      </c>
      <c r="C1000" s="782">
        <v>92331</v>
      </c>
    </row>
    <row r="1001" spans="2:3" x14ac:dyDescent="0.25">
      <c r="B1001" s="798" t="s">
        <v>2142</v>
      </c>
      <c r="C1001" s="782">
        <v>92414</v>
      </c>
    </row>
    <row r="1002" spans="2:3" x14ac:dyDescent="0.25">
      <c r="B1002" s="798" t="s">
        <v>2143</v>
      </c>
      <c r="C1002" s="782">
        <v>99511</v>
      </c>
    </row>
    <row r="1003" spans="2:3" x14ac:dyDescent="0.25">
      <c r="B1003" s="798" t="s">
        <v>2144</v>
      </c>
      <c r="C1003" s="782">
        <v>99941</v>
      </c>
    </row>
    <row r="1004" spans="2:3" x14ac:dyDescent="0.25">
      <c r="B1004" s="798" t="s">
        <v>1710</v>
      </c>
      <c r="C1004" s="782">
        <v>96405</v>
      </c>
    </row>
    <row r="1005" spans="2:3" x14ac:dyDescent="0.25">
      <c r="B1005" s="798" t="s">
        <v>2145</v>
      </c>
      <c r="C1005" s="782">
        <v>98811</v>
      </c>
    </row>
    <row r="1006" spans="2:3" x14ac:dyDescent="0.25">
      <c r="B1006" s="798" t="s">
        <v>3698</v>
      </c>
      <c r="C1006" s="782">
        <v>98817</v>
      </c>
    </row>
    <row r="1007" spans="2:3" x14ac:dyDescent="0.25">
      <c r="B1007" s="798" t="s">
        <v>2146</v>
      </c>
      <c r="C1007" s="782">
        <v>92561</v>
      </c>
    </row>
    <row r="1008" spans="2:3" x14ac:dyDescent="0.25">
      <c r="B1008" s="798" t="s">
        <v>1869</v>
      </c>
      <c r="C1008" s="782">
        <v>98102</v>
      </c>
    </row>
    <row r="1009" spans="2:3" x14ac:dyDescent="0.25">
      <c r="B1009" s="798" t="s">
        <v>2147</v>
      </c>
      <c r="C1009" s="782">
        <v>95321</v>
      </c>
    </row>
    <row r="1010" spans="2:3" x14ac:dyDescent="0.25">
      <c r="B1010" s="798" t="s">
        <v>2148</v>
      </c>
      <c r="C1010" s="782">
        <v>91861</v>
      </c>
    </row>
    <row r="1011" spans="2:3" x14ac:dyDescent="0.25">
      <c r="B1011" s="798" t="s">
        <v>2149</v>
      </c>
      <c r="C1011" s="782">
        <v>92421</v>
      </c>
    </row>
    <row r="1012" spans="2:3" x14ac:dyDescent="0.25">
      <c r="B1012" s="798" t="s">
        <v>3699</v>
      </c>
      <c r="C1012" s="782">
        <v>91006</v>
      </c>
    </row>
    <row r="1013" spans="2:3" x14ac:dyDescent="0.25">
      <c r="B1013" s="798" t="s">
        <v>3700</v>
      </c>
      <c r="C1013" s="782">
        <v>91003</v>
      </c>
    </row>
    <row r="1014" spans="2:3" x14ac:dyDescent="0.25">
      <c r="B1014" s="798" t="s">
        <v>1227</v>
      </c>
      <c r="C1014" s="782">
        <v>91001</v>
      </c>
    </row>
    <row r="1015" spans="2:3" x14ac:dyDescent="0.25">
      <c r="B1015" s="798" t="s">
        <v>3701</v>
      </c>
      <c r="C1015" s="782">
        <v>91004</v>
      </c>
    </row>
    <row r="1016" spans="2:3" x14ac:dyDescent="0.25">
      <c r="B1016" s="798" t="s">
        <v>3702</v>
      </c>
      <c r="C1016" s="782">
        <v>91009</v>
      </c>
    </row>
    <row r="1017" spans="2:3" x14ac:dyDescent="0.25">
      <c r="B1017" s="798" t="s">
        <v>3703</v>
      </c>
      <c r="C1017" s="782">
        <v>91042</v>
      </c>
    </row>
    <row r="1018" spans="2:3" x14ac:dyDescent="0.25">
      <c r="B1018" s="798" t="s">
        <v>2150</v>
      </c>
      <c r="C1018" s="782">
        <v>98711</v>
      </c>
    </row>
    <row r="1019" spans="2:3" x14ac:dyDescent="0.25">
      <c r="B1019" s="798" t="s">
        <v>3704</v>
      </c>
      <c r="C1019" s="782">
        <v>98717</v>
      </c>
    </row>
    <row r="1020" spans="2:3" x14ac:dyDescent="0.25">
      <c r="B1020" s="798" t="s">
        <v>1255</v>
      </c>
      <c r="C1020" s="782">
        <v>91101</v>
      </c>
    </row>
    <row r="1021" spans="2:3" x14ac:dyDescent="0.25">
      <c r="B1021" s="798" t="s">
        <v>2151</v>
      </c>
      <c r="C1021" s="782">
        <v>93531</v>
      </c>
    </row>
    <row r="1022" spans="2:3" x14ac:dyDescent="0.25">
      <c r="B1022" s="798" t="s">
        <v>3705</v>
      </c>
      <c r="C1022" s="782">
        <v>93537</v>
      </c>
    </row>
    <row r="1023" spans="2:3" x14ac:dyDescent="0.25">
      <c r="B1023" s="798" t="s">
        <v>2152</v>
      </c>
      <c r="C1023" s="782">
        <v>97111</v>
      </c>
    </row>
    <row r="1024" spans="2:3" x14ac:dyDescent="0.25">
      <c r="B1024" s="798" t="s">
        <v>3706</v>
      </c>
      <c r="C1024" s="782">
        <v>91206</v>
      </c>
    </row>
    <row r="1025" spans="2:3" x14ac:dyDescent="0.25">
      <c r="B1025" s="798" t="s">
        <v>3707</v>
      </c>
      <c r="C1025" s="782">
        <v>91203</v>
      </c>
    </row>
    <row r="1026" spans="2:3" x14ac:dyDescent="0.25">
      <c r="B1026" s="798" t="s">
        <v>1274</v>
      </c>
      <c r="C1026" s="782">
        <v>91201</v>
      </c>
    </row>
    <row r="1027" spans="2:3" x14ac:dyDescent="0.25">
      <c r="B1027" s="798" t="s">
        <v>3708</v>
      </c>
      <c r="C1027" s="782">
        <v>91208</v>
      </c>
    </row>
    <row r="1028" spans="2:3" x14ac:dyDescent="0.25">
      <c r="B1028" s="798" t="s">
        <v>3709</v>
      </c>
      <c r="C1028" s="782">
        <v>91202</v>
      </c>
    </row>
    <row r="1029" spans="2:3" x14ac:dyDescent="0.25">
      <c r="B1029" s="798" t="s">
        <v>2153</v>
      </c>
      <c r="C1029" s="782">
        <v>90111</v>
      </c>
    </row>
    <row r="1030" spans="2:3" x14ac:dyDescent="0.25">
      <c r="B1030" s="798" t="s">
        <v>2154</v>
      </c>
      <c r="C1030" s="782">
        <v>90011</v>
      </c>
    </row>
    <row r="1031" spans="2:3" x14ac:dyDescent="0.25">
      <c r="B1031" s="798" t="s">
        <v>2155</v>
      </c>
      <c r="C1031" s="782">
        <v>93931</v>
      </c>
    </row>
    <row r="1032" spans="2:3" x14ac:dyDescent="0.25">
      <c r="B1032" s="798" t="s">
        <v>3710</v>
      </c>
      <c r="C1032" s="782">
        <v>91306</v>
      </c>
    </row>
    <row r="1033" spans="2:3" x14ac:dyDescent="0.25">
      <c r="B1033" s="798" t="s">
        <v>1288</v>
      </c>
      <c r="C1033" s="782">
        <v>91301</v>
      </c>
    </row>
    <row r="1034" spans="2:3" x14ac:dyDescent="0.25">
      <c r="B1034" s="798" t="s">
        <v>3711</v>
      </c>
      <c r="C1034" s="782">
        <v>91308</v>
      </c>
    </row>
    <row r="1035" spans="2:3" x14ac:dyDescent="0.25">
      <c r="B1035" s="798" t="s">
        <v>3712</v>
      </c>
      <c r="C1035" s="782">
        <v>91461</v>
      </c>
    </row>
    <row r="1036" spans="2:3" x14ac:dyDescent="0.25">
      <c r="B1036" s="798" t="s">
        <v>2156</v>
      </c>
      <c r="C1036" s="782">
        <v>91010</v>
      </c>
    </row>
    <row r="1037" spans="2:3" x14ac:dyDescent="0.25">
      <c r="B1037" s="798" t="s">
        <v>3713</v>
      </c>
      <c r="C1037" s="782">
        <v>91007</v>
      </c>
    </row>
    <row r="1038" spans="2:3" x14ac:dyDescent="0.25">
      <c r="B1038" s="798" t="s">
        <v>1298</v>
      </c>
      <c r="C1038" s="782">
        <v>91401</v>
      </c>
    </row>
    <row r="1039" spans="2:3" x14ac:dyDescent="0.25">
      <c r="B1039" s="798" t="s">
        <v>2157</v>
      </c>
      <c r="C1039" s="782">
        <v>93171</v>
      </c>
    </row>
    <row r="1040" spans="2:3" x14ac:dyDescent="0.25">
      <c r="B1040" s="798" t="s">
        <v>1308</v>
      </c>
      <c r="C1040" s="782">
        <v>91501</v>
      </c>
    </row>
    <row r="1041" spans="2:3" x14ac:dyDescent="0.25">
      <c r="B1041" s="798" t="s">
        <v>3714</v>
      </c>
      <c r="C1041" s="782">
        <v>91504</v>
      </c>
    </row>
    <row r="1042" spans="2:3" x14ac:dyDescent="0.25">
      <c r="B1042" s="798" t="s">
        <v>2158</v>
      </c>
      <c r="C1042" s="782">
        <v>96312</v>
      </c>
    </row>
    <row r="1043" spans="2:3" x14ac:dyDescent="0.25">
      <c r="B1043" s="798" t="s">
        <v>2159</v>
      </c>
      <c r="C1043" s="782">
        <v>96241</v>
      </c>
    </row>
    <row r="1044" spans="2:3" x14ac:dyDescent="0.25">
      <c r="B1044" s="798" t="s">
        <v>2160</v>
      </c>
      <c r="C1044" s="782">
        <v>94431</v>
      </c>
    </row>
    <row r="1045" spans="2:3" x14ac:dyDescent="0.25">
      <c r="B1045" s="798" t="s">
        <v>3715</v>
      </c>
      <c r="C1045" s="782">
        <v>94437</v>
      </c>
    </row>
    <row r="1046" spans="2:3" x14ac:dyDescent="0.25">
      <c r="B1046" s="798" t="s">
        <v>2161</v>
      </c>
      <c r="C1046" s="782">
        <v>91671</v>
      </c>
    </row>
    <row r="1047" spans="2:3" x14ac:dyDescent="0.25">
      <c r="B1047" s="798" t="s">
        <v>1232</v>
      </c>
      <c r="C1047" s="782">
        <v>91008</v>
      </c>
    </row>
    <row r="1048" spans="2:3" x14ac:dyDescent="0.25">
      <c r="B1048" s="798" t="s">
        <v>1724</v>
      </c>
      <c r="C1048" s="782">
        <v>96512</v>
      </c>
    </row>
    <row r="1049" spans="2:3" x14ac:dyDescent="0.25">
      <c r="B1049" s="798" t="s">
        <v>1721</v>
      </c>
      <c r="C1049" s="782">
        <v>96507</v>
      </c>
    </row>
    <row r="1050" spans="2:3" x14ac:dyDescent="0.25">
      <c r="B1050" s="798" t="s">
        <v>2162</v>
      </c>
      <c r="C1050" s="782">
        <v>96521</v>
      </c>
    </row>
    <row r="1051" spans="2:3" x14ac:dyDescent="0.25">
      <c r="B1051" s="798" t="s">
        <v>2163</v>
      </c>
      <c r="C1051" s="782">
        <v>91024</v>
      </c>
    </row>
    <row r="1052" spans="2:3" x14ac:dyDescent="0.25">
      <c r="B1052" s="798" t="s">
        <v>2164</v>
      </c>
      <c r="C1052" s="782">
        <v>96821</v>
      </c>
    </row>
    <row r="1053" spans="2:3" x14ac:dyDescent="0.25">
      <c r="B1053" s="798" t="s">
        <v>1310</v>
      </c>
      <c r="C1053" s="782">
        <v>91601</v>
      </c>
    </row>
    <row r="1054" spans="2:3" x14ac:dyDescent="0.25">
      <c r="B1054" s="798" t="s">
        <v>3716</v>
      </c>
      <c r="C1054" s="782">
        <v>91604</v>
      </c>
    </row>
    <row r="1055" spans="2:3" x14ac:dyDescent="0.25">
      <c r="B1055" s="798" t="s">
        <v>2165</v>
      </c>
      <c r="C1055" s="782">
        <v>96391</v>
      </c>
    </row>
    <row r="1056" spans="2:3" x14ac:dyDescent="0.25">
      <c r="B1056" s="798" t="s">
        <v>2166</v>
      </c>
      <c r="C1056" s="782">
        <v>99221</v>
      </c>
    </row>
    <row r="1057" spans="2:3" x14ac:dyDescent="0.25">
      <c r="B1057" s="798" t="s">
        <v>2167</v>
      </c>
      <c r="C1057" s="782">
        <v>91051</v>
      </c>
    </row>
    <row r="1058" spans="2:3" x14ac:dyDescent="0.25">
      <c r="B1058" s="798" t="s">
        <v>3717</v>
      </c>
      <c r="C1058" s="782">
        <v>91706</v>
      </c>
    </row>
    <row r="1059" spans="2:3" x14ac:dyDescent="0.25">
      <c r="B1059" s="798" t="s">
        <v>1323</v>
      </c>
      <c r="C1059" s="782">
        <v>91701</v>
      </c>
    </row>
    <row r="1060" spans="2:3" x14ac:dyDescent="0.25">
      <c r="B1060" s="798" t="s">
        <v>3718</v>
      </c>
      <c r="C1060" s="782">
        <v>91704</v>
      </c>
    </row>
    <row r="1061" spans="2:3" x14ac:dyDescent="0.25">
      <c r="B1061" s="798" t="s">
        <v>2168</v>
      </c>
      <c r="C1061" s="782">
        <v>91881</v>
      </c>
    </row>
    <row r="1062" spans="2:3" x14ac:dyDescent="0.25">
      <c r="B1062" s="798" t="s">
        <v>1326</v>
      </c>
      <c r="C1062" s="782">
        <v>91801</v>
      </c>
    </row>
    <row r="1063" spans="2:3" x14ac:dyDescent="0.25">
      <c r="B1063" s="798" t="s">
        <v>3719</v>
      </c>
      <c r="C1063" s="782">
        <v>91804</v>
      </c>
    </row>
    <row r="1064" spans="2:3" x14ac:dyDescent="0.25">
      <c r="B1064" s="798" t="s">
        <v>2169</v>
      </c>
      <c r="C1064" s="782">
        <v>91691</v>
      </c>
    </row>
    <row r="1065" spans="2:3" x14ac:dyDescent="0.25">
      <c r="B1065" s="798" t="s">
        <v>3720</v>
      </c>
      <c r="C1065" s="782">
        <v>99222</v>
      </c>
    </row>
    <row r="1066" spans="2:3" x14ac:dyDescent="0.25">
      <c r="B1066" s="798" t="s">
        <v>3522</v>
      </c>
      <c r="C1066" s="782">
        <v>93408</v>
      </c>
    </row>
    <row r="1067" spans="2:3" x14ac:dyDescent="0.25">
      <c r="B1067" s="798" t="s">
        <v>1672</v>
      </c>
      <c r="C1067" s="782">
        <v>96009</v>
      </c>
    </row>
    <row r="1068" spans="2:3" x14ac:dyDescent="0.25">
      <c r="B1068" s="798" t="s">
        <v>2170</v>
      </c>
      <c r="C1068" s="782">
        <v>92441</v>
      </c>
    </row>
    <row r="1069" spans="2:3" x14ac:dyDescent="0.25">
      <c r="B1069" s="798" t="s">
        <v>2171</v>
      </c>
      <c r="C1069" s="782">
        <v>96811</v>
      </c>
    </row>
    <row r="1070" spans="2:3" x14ac:dyDescent="0.25">
      <c r="B1070" s="798" t="s">
        <v>2172</v>
      </c>
      <c r="C1070" s="782">
        <v>96011</v>
      </c>
    </row>
    <row r="1071" spans="2:3" x14ac:dyDescent="0.25">
      <c r="B1071" s="798" t="s">
        <v>3721</v>
      </c>
      <c r="C1071" s="782">
        <v>96018</v>
      </c>
    </row>
    <row r="1072" spans="2:3" x14ac:dyDescent="0.25">
      <c r="B1072" s="798" t="s">
        <v>3722</v>
      </c>
      <c r="C1072" s="782">
        <v>96003</v>
      </c>
    </row>
    <row r="1073" spans="2:3" x14ac:dyDescent="0.25">
      <c r="B1073" s="798" t="s">
        <v>3723</v>
      </c>
      <c r="C1073" s="782">
        <v>96005</v>
      </c>
    </row>
    <row r="1074" spans="2:3" x14ac:dyDescent="0.25">
      <c r="B1074" s="798" t="s">
        <v>3523</v>
      </c>
      <c r="C1074" s="782">
        <v>96012</v>
      </c>
    </row>
    <row r="1075" spans="2:3" x14ac:dyDescent="0.25">
      <c r="B1075" s="798" t="s">
        <v>3724</v>
      </c>
      <c r="C1075" s="782">
        <v>91903</v>
      </c>
    </row>
    <row r="1076" spans="2:3" x14ac:dyDescent="0.25">
      <c r="B1076" s="798" t="s">
        <v>1340</v>
      </c>
      <c r="C1076" s="782">
        <v>91901</v>
      </c>
    </row>
    <row r="1077" spans="2:3" x14ac:dyDescent="0.25">
      <c r="B1077" s="798" t="s">
        <v>3725</v>
      </c>
      <c r="C1077" s="782">
        <v>91904</v>
      </c>
    </row>
    <row r="1078" spans="2:3" x14ac:dyDescent="0.25">
      <c r="B1078" s="798" t="s">
        <v>1347</v>
      </c>
      <c r="C1078" s="782">
        <v>92001</v>
      </c>
    </row>
    <row r="1079" spans="2:3" x14ac:dyDescent="0.25">
      <c r="B1079" s="798" t="s">
        <v>2173</v>
      </c>
      <c r="C1079" s="782">
        <v>93641</v>
      </c>
    </row>
    <row r="1080" spans="2:3" x14ac:dyDescent="0.25">
      <c r="B1080" s="798" t="s">
        <v>3726</v>
      </c>
      <c r="C1080" s="782">
        <v>93647</v>
      </c>
    </row>
    <row r="1081" spans="2:3" x14ac:dyDescent="0.25">
      <c r="B1081" s="798" t="s">
        <v>2174</v>
      </c>
      <c r="C1081" s="782">
        <v>98041</v>
      </c>
    </row>
    <row r="1082" spans="2:3" x14ac:dyDescent="0.25">
      <c r="B1082" s="798" t="s">
        <v>3727</v>
      </c>
      <c r="C1082" s="782">
        <v>96612</v>
      </c>
    </row>
    <row r="1083" spans="2:3" x14ac:dyDescent="0.25">
      <c r="B1083" s="798" t="s">
        <v>2175</v>
      </c>
      <c r="C1083" s="782">
        <v>90751</v>
      </c>
    </row>
    <row r="1084" spans="2:3" x14ac:dyDescent="0.25">
      <c r="B1084" s="798" t="s">
        <v>1352</v>
      </c>
      <c r="C1084" s="782">
        <v>92101</v>
      </c>
    </row>
    <row r="1085" spans="2:3" x14ac:dyDescent="0.25">
      <c r="B1085" s="798" t="s">
        <v>3728</v>
      </c>
      <c r="C1085" s="782">
        <v>92104</v>
      </c>
    </row>
    <row r="1086" spans="2:3" x14ac:dyDescent="0.25">
      <c r="B1086" s="798" t="s">
        <v>2176</v>
      </c>
      <c r="C1086" s="782">
        <v>91821</v>
      </c>
    </row>
    <row r="1087" spans="2:3" x14ac:dyDescent="0.25">
      <c r="B1087" s="798" t="s">
        <v>2177</v>
      </c>
      <c r="C1087" s="782">
        <v>90931</v>
      </c>
    </row>
    <row r="1088" spans="2:3" x14ac:dyDescent="0.25">
      <c r="B1088" s="798" t="s">
        <v>1357</v>
      </c>
      <c r="C1088" s="782">
        <v>92201</v>
      </c>
    </row>
    <row r="1089" spans="2:3" x14ac:dyDescent="0.25">
      <c r="B1089" s="798" t="s">
        <v>2178</v>
      </c>
      <c r="C1089" s="782">
        <v>95131</v>
      </c>
    </row>
    <row r="1090" spans="2:3" x14ac:dyDescent="0.25">
      <c r="B1090" s="798" t="s">
        <v>2179</v>
      </c>
      <c r="C1090" s="782">
        <v>93441</v>
      </c>
    </row>
    <row r="1091" spans="2:3" x14ac:dyDescent="0.25">
      <c r="B1091" s="798" t="s">
        <v>1469</v>
      </c>
      <c r="C1091" s="782">
        <v>93442</v>
      </c>
    </row>
    <row r="1092" spans="2:3" x14ac:dyDescent="0.25">
      <c r="B1092" s="798" t="s">
        <v>2180</v>
      </c>
      <c r="C1092" s="782">
        <v>98091</v>
      </c>
    </row>
    <row r="1093" spans="2:3" x14ac:dyDescent="0.25">
      <c r="B1093" s="798" t="s">
        <v>1358</v>
      </c>
      <c r="C1093" s="782">
        <v>92301</v>
      </c>
    </row>
    <row r="1094" spans="2:3" x14ac:dyDescent="0.25">
      <c r="B1094" s="798" t="s">
        <v>3729</v>
      </c>
      <c r="C1094" s="782">
        <v>92302</v>
      </c>
    </row>
    <row r="1095" spans="2:3" x14ac:dyDescent="0.25">
      <c r="B1095" s="798" t="s">
        <v>2181</v>
      </c>
      <c r="C1095" s="782">
        <v>98211</v>
      </c>
    </row>
    <row r="1096" spans="2:3" x14ac:dyDescent="0.25">
      <c r="B1096" s="798" t="s">
        <v>3730</v>
      </c>
      <c r="C1096" s="782">
        <v>98218</v>
      </c>
    </row>
    <row r="1097" spans="2:3" x14ac:dyDescent="0.25">
      <c r="B1097" s="798" t="s">
        <v>3731</v>
      </c>
      <c r="C1097" s="782">
        <v>92506</v>
      </c>
    </row>
    <row r="1098" spans="2:3" x14ac:dyDescent="0.25">
      <c r="B1098" s="798" t="s">
        <v>3732</v>
      </c>
      <c r="C1098" s="782">
        <v>92508</v>
      </c>
    </row>
    <row r="1099" spans="2:3" x14ac:dyDescent="0.25">
      <c r="B1099" s="798" t="s">
        <v>2182</v>
      </c>
      <c r="C1099" s="782">
        <v>94341</v>
      </c>
    </row>
    <row r="1100" spans="2:3" x14ac:dyDescent="0.25">
      <c r="B1100" s="798" t="s">
        <v>2183</v>
      </c>
      <c r="C1100" s="782">
        <v>94641</v>
      </c>
    </row>
    <row r="1101" spans="2:3" x14ac:dyDescent="0.25">
      <c r="B1101" s="798" t="s">
        <v>2184</v>
      </c>
      <c r="C1101" s="782">
        <v>90813</v>
      </c>
    </row>
    <row r="1102" spans="2:3" x14ac:dyDescent="0.25">
      <c r="B1102" s="798" t="s">
        <v>1534</v>
      </c>
      <c r="C1102" s="782">
        <v>94168</v>
      </c>
    </row>
    <row r="1103" spans="2:3" x14ac:dyDescent="0.25">
      <c r="B1103" s="798" t="s">
        <v>2185</v>
      </c>
      <c r="C1103" s="782">
        <v>98911</v>
      </c>
    </row>
    <row r="1104" spans="2:3" x14ac:dyDescent="0.25">
      <c r="B1104" s="798" t="s">
        <v>2186</v>
      </c>
      <c r="C1104" s="782">
        <v>97521</v>
      </c>
    </row>
    <row r="1105" spans="2:3" x14ac:dyDescent="0.25">
      <c r="B1105" s="798" t="s">
        <v>1367</v>
      </c>
      <c r="C1105" s="782">
        <v>92401</v>
      </c>
    </row>
    <row r="1106" spans="2:3" x14ac:dyDescent="0.25">
      <c r="B1106" s="798" t="s">
        <v>2187</v>
      </c>
      <c r="C1106" s="782">
        <v>91311</v>
      </c>
    </row>
    <row r="1107" spans="2:3" x14ac:dyDescent="0.25">
      <c r="B1107" s="798" t="s">
        <v>3733</v>
      </c>
      <c r="C1107" s="782">
        <v>91317</v>
      </c>
    </row>
    <row r="1108" spans="2:3" x14ac:dyDescent="0.25">
      <c r="B1108" s="798" t="s">
        <v>2188</v>
      </c>
      <c r="C1108" s="782">
        <v>91261</v>
      </c>
    </row>
    <row r="1109" spans="2:3" x14ac:dyDescent="0.25">
      <c r="B1109" s="798" t="s">
        <v>2189</v>
      </c>
      <c r="C1109" s="782">
        <v>91851</v>
      </c>
    </row>
    <row r="1110" spans="2:3" x14ac:dyDescent="0.25">
      <c r="B1110" s="798" t="s">
        <v>3734</v>
      </c>
      <c r="C1110" s="782">
        <v>97408</v>
      </c>
    </row>
    <row r="1111" spans="2:3" x14ac:dyDescent="0.25">
      <c r="B1111" s="798" t="s">
        <v>2190</v>
      </c>
      <c r="C1111" s="782">
        <v>96641</v>
      </c>
    </row>
    <row r="1112" spans="2:3" x14ac:dyDescent="0.25">
      <c r="B1112" s="798" t="s">
        <v>2191</v>
      </c>
      <c r="C1112" s="782">
        <v>93031</v>
      </c>
    </row>
    <row r="1113" spans="2:3" x14ac:dyDescent="0.25">
      <c r="B1113" s="798" t="s">
        <v>3735</v>
      </c>
      <c r="C1113" s="782">
        <v>93027</v>
      </c>
    </row>
    <row r="1114" spans="2:3" x14ac:dyDescent="0.25">
      <c r="B1114" s="798" t="s">
        <v>2192</v>
      </c>
      <c r="C1114" s="782">
        <v>96051</v>
      </c>
    </row>
    <row r="1115" spans="2:3" x14ac:dyDescent="0.25">
      <c r="B1115" s="798" t="s">
        <v>3736</v>
      </c>
      <c r="C1115" s="782">
        <v>94501</v>
      </c>
    </row>
    <row r="1116" spans="2:3" x14ac:dyDescent="0.25">
      <c r="B1116" s="798" t="s">
        <v>2193</v>
      </c>
      <c r="C1116" s="782">
        <v>92571</v>
      </c>
    </row>
    <row r="1117" spans="2:3" x14ac:dyDescent="0.25">
      <c r="B1117" s="798" t="s">
        <v>2194</v>
      </c>
      <c r="C1117" s="782">
        <v>93631</v>
      </c>
    </row>
    <row r="1118" spans="2:3" x14ac:dyDescent="0.25">
      <c r="B1118" s="798" t="s">
        <v>3737</v>
      </c>
      <c r="C1118" s="782">
        <v>92504</v>
      </c>
    </row>
    <row r="1119" spans="2:3" x14ac:dyDescent="0.25">
      <c r="B1119" s="798" t="s">
        <v>1378</v>
      </c>
      <c r="C1119" s="782">
        <v>92501</v>
      </c>
    </row>
    <row r="1120" spans="2:3" x14ac:dyDescent="0.25">
      <c r="B1120" s="798" t="s">
        <v>1381</v>
      </c>
      <c r="C1120" s="782">
        <v>92505</v>
      </c>
    </row>
    <row r="1121" spans="2:3" x14ac:dyDescent="0.25">
      <c r="B1121" s="798" t="s">
        <v>2195</v>
      </c>
      <c r="C1121" s="782">
        <v>93921</v>
      </c>
    </row>
    <row r="1122" spans="2:3" x14ac:dyDescent="0.25">
      <c r="B1122" s="798" t="s">
        <v>2196</v>
      </c>
      <c r="C1122" s="782">
        <v>99431</v>
      </c>
    </row>
    <row r="1123" spans="2:3" x14ac:dyDescent="0.25">
      <c r="B1123" s="798" t="s">
        <v>3738</v>
      </c>
      <c r="C1123" s="782">
        <v>92604</v>
      </c>
    </row>
    <row r="1124" spans="2:3" x14ac:dyDescent="0.25">
      <c r="B1124" s="798" t="s">
        <v>1392</v>
      </c>
      <c r="C1124" s="782">
        <v>92601</v>
      </c>
    </row>
    <row r="1125" spans="2:3" x14ac:dyDescent="0.25">
      <c r="B1125" s="798" t="s">
        <v>1395</v>
      </c>
      <c r="C1125" s="782">
        <v>92608</v>
      </c>
    </row>
    <row r="1126" spans="2:3" x14ac:dyDescent="0.25">
      <c r="B1126" s="798" t="s">
        <v>3739</v>
      </c>
      <c r="C1126" s="782">
        <v>92704</v>
      </c>
    </row>
    <row r="1127" spans="2:3" x14ac:dyDescent="0.25">
      <c r="B1127" s="798" t="s">
        <v>1406</v>
      </c>
      <c r="C1127" s="782">
        <v>92701</v>
      </c>
    </row>
    <row r="1128" spans="2:3" x14ac:dyDescent="0.25">
      <c r="B1128" s="798" t="s">
        <v>2197</v>
      </c>
      <c r="C1128" s="782">
        <v>93651</v>
      </c>
    </row>
    <row r="1129" spans="2:3" x14ac:dyDescent="0.25">
      <c r="B1129" s="798" t="s">
        <v>1408</v>
      </c>
      <c r="C1129" s="782">
        <v>92801</v>
      </c>
    </row>
    <row r="1130" spans="2:3" x14ac:dyDescent="0.25">
      <c r="B1130" s="798" t="s">
        <v>3740</v>
      </c>
      <c r="C1130" s="782">
        <v>92804</v>
      </c>
    </row>
    <row r="1131" spans="2:3" x14ac:dyDescent="0.25">
      <c r="B1131" s="798" t="s">
        <v>1409</v>
      </c>
      <c r="C1131" s="782">
        <v>92802</v>
      </c>
    </row>
    <row r="1132" spans="2:3" x14ac:dyDescent="0.25">
      <c r="B1132" s="798" t="s">
        <v>2198</v>
      </c>
      <c r="C1132" s="782">
        <v>96081</v>
      </c>
    </row>
    <row r="1133" spans="2:3" x14ac:dyDescent="0.25">
      <c r="B1133" s="798" t="s">
        <v>1417</v>
      </c>
      <c r="C1133" s="782">
        <v>92901</v>
      </c>
    </row>
    <row r="1134" spans="2:3" x14ac:dyDescent="0.25">
      <c r="B1134" s="798" t="s">
        <v>1424</v>
      </c>
      <c r="C1134" s="782">
        <v>93001</v>
      </c>
    </row>
    <row r="1135" spans="2:3" x14ac:dyDescent="0.25">
      <c r="B1135" s="798" t="s">
        <v>3741</v>
      </c>
      <c r="C1135" s="782">
        <v>93009</v>
      </c>
    </row>
    <row r="1136" spans="2:3" x14ac:dyDescent="0.25">
      <c r="B1136" s="798" t="s">
        <v>2199</v>
      </c>
      <c r="C1136" s="782">
        <v>92921</v>
      </c>
    </row>
    <row r="1137" spans="2:3" x14ac:dyDescent="0.25">
      <c r="B1137" s="798" t="s">
        <v>2200</v>
      </c>
      <c r="C1137" s="782">
        <v>98621</v>
      </c>
    </row>
    <row r="1138" spans="2:3" x14ac:dyDescent="0.25">
      <c r="B1138" s="798" t="s">
        <v>3742</v>
      </c>
      <c r="C1138" s="782">
        <v>98627</v>
      </c>
    </row>
    <row r="1139" spans="2:3" x14ac:dyDescent="0.25">
      <c r="B1139" s="798" t="s">
        <v>2201</v>
      </c>
      <c r="C1139" s="782">
        <v>91221</v>
      </c>
    </row>
    <row r="1140" spans="2:3" x14ac:dyDescent="0.25">
      <c r="B1140" s="798" t="s">
        <v>2202</v>
      </c>
      <c r="C1140" s="782">
        <v>92861</v>
      </c>
    </row>
    <row r="1141" spans="2:3" x14ac:dyDescent="0.25">
      <c r="B1141" s="798" t="s">
        <v>2203</v>
      </c>
      <c r="C1141" s="782">
        <v>94311</v>
      </c>
    </row>
    <row r="1142" spans="2:3" x14ac:dyDescent="0.25">
      <c r="B1142" s="798" t="s">
        <v>3743</v>
      </c>
      <c r="C1142" s="782">
        <v>94317</v>
      </c>
    </row>
    <row r="1143" spans="2:3" x14ac:dyDescent="0.25">
      <c r="B1143" s="798" t="s">
        <v>1549</v>
      </c>
      <c r="C1143" s="782">
        <v>94313</v>
      </c>
    </row>
    <row r="1144" spans="2:3" x14ac:dyDescent="0.25">
      <c r="B1144" s="798" t="s">
        <v>1430</v>
      </c>
      <c r="C1144" s="782">
        <v>93101</v>
      </c>
    </row>
    <row r="1145" spans="2:3" x14ac:dyDescent="0.25">
      <c r="B1145" s="798" t="s">
        <v>2204</v>
      </c>
      <c r="C1145" s="782">
        <v>93103</v>
      </c>
    </row>
    <row r="1146" spans="2:3" x14ac:dyDescent="0.25">
      <c r="B1146" s="798" t="s">
        <v>2205</v>
      </c>
      <c r="C1146" s="782">
        <v>93211</v>
      </c>
    </row>
    <row r="1147" spans="2:3" x14ac:dyDescent="0.25">
      <c r="B1147" s="798" t="s">
        <v>3744</v>
      </c>
      <c r="C1147" s="782">
        <v>93212</v>
      </c>
    </row>
    <row r="1148" spans="2:3" x14ac:dyDescent="0.25">
      <c r="B1148" s="798" t="s">
        <v>1443</v>
      </c>
      <c r="C1148" s="782">
        <v>93201</v>
      </c>
    </row>
    <row r="1149" spans="2:3" x14ac:dyDescent="0.25">
      <c r="B1149" s="798" t="s">
        <v>3745</v>
      </c>
      <c r="C1149" s="782">
        <v>93204</v>
      </c>
    </row>
    <row r="1150" spans="2:3" x14ac:dyDescent="0.25">
      <c r="B1150" s="798" t="s">
        <v>3746</v>
      </c>
      <c r="C1150" s="782">
        <v>99212</v>
      </c>
    </row>
    <row r="1151" spans="2:3" x14ac:dyDescent="0.25">
      <c r="B1151" s="798" t="s">
        <v>1762</v>
      </c>
      <c r="C1151" s="782">
        <v>97005</v>
      </c>
    </row>
    <row r="1152" spans="2:3" x14ac:dyDescent="0.25">
      <c r="B1152" s="798" t="s">
        <v>2206</v>
      </c>
      <c r="C1152" s="782">
        <v>99931</v>
      </c>
    </row>
    <row r="1153" spans="2:3" x14ac:dyDescent="0.25">
      <c r="B1153" s="798" t="s">
        <v>2207</v>
      </c>
      <c r="C1153" s="782">
        <v>98021</v>
      </c>
    </row>
    <row r="1154" spans="2:3" x14ac:dyDescent="0.25">
      <c r="B1154" s="798" t="s">
        <v>1860</v>
      </c>
      <c r="C1154" s="782">
        <v>98023</v>
      </c>
    </row>
    <row r="1155" spans="2:3" x14ac:dyDescent="0.25">
      <c r="B1155" s="798" t="s">
        <v>1157</v>
      </c>
      <c r="C1155" s="782">
        <v>70505</v>
      </c>
    </row>
    <row r="1156" spans="2:3" x14ac:dyDescent="0.25">
      <c r="B1156" s="798" t="s">
        <v>3747</v>
      </c>
      <c r="C1156" s="782">
        <v>99603</v>
      </c>
    </row>
    <row r="1157" spans="2:3" x14ac:dyDescent="0.25">
      <c r="B1157" s="798" t="s">
        <v>3748</v>
      </c>
      <c r="C1157" s="782">
        <v>99610</v>
      </c>
    </row>
    <row r="1158" spans="2:3" x14ac:dyDescent="0.25">
      <c r="B1158" s="798" t="s">
        <v>2208</v>
      </c>
      <c r="C1158" s="782">
        <v>92681</v>
      </c>
    </row>
    <row r="1159" spans="2:3" x14ac:dyDescent="0.25">
      <c r="B1159" s="798" t="s">
        <v>3526</v>
      </c>
      <c r="C1159" s="782">
        <v>93108</v>
      </c>
    </row>
    <row r="1160" spans="2:3" x14ac:dyDescent="0.25">
      <c r="B1160" s="798" t="s">
        <v>2209</v>
      </c>
      <c r="C1160" s="782">
        <v>97951</v>
      </c>
    </row>
    <row r="1161" spans="2:3" x14ac:dyDescent="0.25">
      <c r="B1161" s="798" t="s">
        <v>3749</v>
      </c>
      <c r="C1161" s="782">
        <v>97957</v>
      </c>
    </row>
    <row r="1162" spans="2:3" x14ac:dyDescent="0.25">
      <c r="B1162" s="798" t="s">
        <v>2210</v>
      </c>
      <c r="C1162" s="782">
        <v>92111</v>
      </c>
    </row>
    <row r="1163" spans="2:3" x14ac:dyDescent="0.25">
      <c r="B1163" s="798" t="s">
        <v>1450</v>
      </c>
      <c r="C1163" s="782">
        <v>93301</v>
      </c>
    </row>
    <row r="1164" spans="2:3" x14ac:dyDescent="0.25">
      <c r="B1164" s="798" t="s">
        <v>3750</v>
      </c>
      <c r="C1164" s="782">
        <v>93304</v>
      </c>
    </row>
    <row r="1165" spans="2:3" x14ac:dyDescent="0.25">
      <c r="B1165" s="798" t="s">
        <v>3751</v>
      </c>
      <c r="C1165" s="782">
        <v>93305</v>
      </c>
    </row>
    <row r="1166" spans="2:3" x14ac:dyDescent="0.25">
      <c r="B1166" s="798" t="s">
        <v>3752</v>
      </c>
      <c r="C1166" s="782">
        <v>99210</v>
      </c>
    </row>
    <row r="1167" spans="2:3" x14ac:dyDescent="0.25">
      <c r="B1167" s="798" t="s">
        <v>1765</v>
      </c>
      <c r="C1167" s="782">
        <v>97011</v>
      </c>
    </row>
    <row r="1168" spans="2:3" x14ac:dyDescent="0.25">
      <c r="B1168" s="798" t="s">
        <v>3753</v>
      </c>
      <c r="C1168" s="782">
        <v>97013</v>
      </c>
    </row>
    <row r="1169" spans="2:3" x14ac:dyDescent="0.25">
      <c r="B1169" s="798" t="s">
        <v>3754</v>
      </c>
      <c r="C1169" s="782">
        <v>97012</v>
      </c>
    </row>
    <row r="1170" spans="2:3" x14ac:dyDescent="0.25">
      <c r="B1170" s="798" t="s">
        <v>3755</v>
      </c>
      <c r="C1170" s="782">
        <v>97018</v>
      </c>
    </row>
    <row r="1171" spans="2:3" x14ac:dyDescent="0.25">
      <c r="B1171" s="798" t="s">
        <v>2211</v>
      </c>
      <c r="C1171" s="782">
        <v>90911</v>
      </c>
    </row>
    <row r="1172" spans="2:3" x14ac:dyDescent="0.25">
      <c r="B1172" s="798" t="s">
        <v>3756</v>
      </c>
      <c r="C1172" s="782">
        <v>90917</v>
      </c>
    </row>
    <row r="1173" spans="2:3" x14ac:dyDescent="0.25">
      <c r="B1173" s="798" t="s">
        <v>2212</v>
      </c>
      <c r="C1173" s="782">
        <v>90641</v>
      </c>
    </row>
    <row r="1174" spans="2:3" x14ac:dyDescent="0.25">
      <c r="B1174" s="798" t="s">
        <v>2213</v>
      </c>
      <c r="C1174" s="782">
        <v>98641</v>
      </c>
    </row>
    <row r="1175" spans="2:3" x14ac:dyDescent="0.25">
      <c r="B1175" s="798" t="s">
        <v>2214</v>
      </c>
      <c r="C1175" s="782">
        <v>98161</v>
      </c>
    </row>
    <row r="1176" spans="2:3" x14ac:dyDescent="0.25">
      <c r="B1176" s="798" t="s">
        <v>2215</v>
      </c>
      <c r="C1176" s="782">
        <v>97731</v>
      </c>
    </row>
    <row r="1177" spans="2:3" x14ac:dyDescent="0.25">
      <c r="B1177" s="798" t="s">
        <v>2216</v>
      </c>
      <c r="C1177" s="782">
        <v>99851</v>
      </c>
    </row>
    <row r="1178" spans="2:3" x14ac:dyDescent="0.25">
      <c r="B1178" s="798" t="s">
        <v>3757</v>
      </c>
      <c r="C1178" s="782">
        <v>90131</v>
      </c>
    </row>
    <row r="1179" spans="2:3" x14ac:dyDescent="0.25">
      <c r="B1179" s="798" t="s">
        <v>2217</v>
      </c>
      <c r="C1179" s="782">
        <v>91651</v>
      </c>
    </row>
    <row r="1180" spans="2:3" x14ac:dyDescent="0.25">
      <c r="B1180" s="798" t="s">
        <v>2218</v>
      </c>
      <c r="C1180" s="782">
        <v>94211</v>
      </c>
    </row>
    <row r="1181" spans="2:3" x14ac:dyDescent="0.25">
      <c r="B1181" s="798" t="s">
        <v>2219</v>
      </c>
      <c r="C1181" s="782">
        <v>94331</v>
      </c>
    </row>
    <row r="1182" spans="2:3" x14ac:dyDescent="0.25">
      <c r="B1182" s="798" t="s">
        <v>2220</v>
      </c>
      <c r="C1182" s="782">
        <v>92431</v>
      </c>
    </row>
    <row r="1183" spans="2:3" x14ac:dyDescent="0.25">
      <c r="B1183" s="798" t="s">
        <v>2221</v>
      </c>
      <c r="C1183" s="782">
        <v>97821</v>
      </c>
    </row>
    <row r="1184" spans="2:3" x14ac:dyDescent="0.25">
      <c r="B1184" s="798" t="s">
        <v>1832</v>
      </c>
      <c r="C1184" s="782">
        <v>97823</v>
      </c>
    </row>
    <row r="1185" spans="2:3" x14ac:dyDescent="0.25">
      <c r="B1185" s="798" t="s">
        <v>2222</v>
      </c>
      <c r="C1185" s="782">
        <v>93141</v>
      </c>
    </row>
    <row r="1186" spans="2:3" x14ac:dyDescent="0.25">
      <c r="B1186" s="798" t="s">
        <v>2223</v>
      </c>
      <c r="C1186" s="782">
        <v>98081</v>
      </c>
    </row>
    <row r="1187" spans="2:3" x14ac:dyDescent="0.25">
      <c r="B1187" s="798" t="s">
        <v>2224</v>
      </c>
      <c r="C1187" s="782">
        <v>92671</v>
      </c>
    </row>
    <row r="1188" spans="2:3" x14ac:dyDescent="0.25">
      <c r="B1188" s="798" t="s">
        <v>2225</v>
      </c>
      <c r="C1188" s="782">
        <v>97421</v>
      </c>
    </row>
    <row r="1189" spans="2:3" x14ac:dyDescent="0.25">
      <c r="B1189" s="798" t="s">
        <v>1791</v>
      </c>
      <c r="C1189" s="782">
        <v>97423</v>
      </c>
    </row>
    <row r="1190" spans="2:3" x14ac:dyDescent="0.25">
      <c r="B1190" s="798" t="s">
        <v>2226</v>
      </c>
      <c r="C1190" s="782">
        <v>92611</v>
      </c>
    </row>
    <row r="1191" spans="2:3" x14ac:dyDescent="0.25">
      <c r="B1191" s="798" t="s">
        <v>3758</v>
      </c>
      <c r="C1191" s="782">
        <v>92613</v>
      </c>
    </row>
    <row r="1192" spans="2:3" x14ac:dyDescent="0.25">
      <c r="B1192" s="798" t="s">
        <v>3759</v>
      </c>
      <c r="C1192" s="782">
        <v>92502</v>
      </c>
    </row>
    <row r="1193" spans="2:3" x14ac:dyDescent="0.25">
      <c r="B1193" s="798" t="s">
        <v>2227</v>
      </c>
      <c r="C1193" s="782">
        <v>94531</v>
      </c>
    </row>
    <row r="1194" spans="2:3" x14ac:dyDescent="0.25">
      <c r="B1194" s="798" t="s">
        <v>2228</v>
      </c>
      <c r="C1194" s="782">
        <v>94541</v>
      </c>
    </row>
    <row r="1195" spans="2:3" x14ac:dyDescent="0.25">
      <c r="B1195" s="798" t="s">
        <v>3760</v>
      </c>
      <c r="C1195" s="782">
        <v>94547</v>
      </c>
    </row>
    <row r="1196" spans="2:3" x14ac:dyDescent="0.25">
      <c r="B1196" s="798" t="s">
        <v>1601</v>
      </c>
      <c r="C1196" s="782">
        <v>95005</v>
      </c>
    </row>
    <row r="1197" spans="2:3" x14ac:dyDescent="0.25">
      <c r="B1197" s="798" t="s">
        <v>1873</v>
      </c>
      <c r="C1197" s="782">
        <v>98111</v>
      </c>
    </row>
    <row r="1198" spans="2:3" x14ac:dyDescent="0.25">
      <c r="B1198" s="798" t="s">
        <v>3761</v>
      </c>
      <c r="C1198" s="782">
        <v>98107</v>
      </c>
    </row>
    <row r="1199" spans="2:3" x14ac:dyDescent="0.25">
      <c r="B1199" s="798" t="s">
        <v>1874</v>
      </c>
      <c r="C1199" s="782">
        <v>98113</v>
      </c>
    </row>
    <row r="1200" spans="2:3" x14ac:dyDescent="0.25">
      <c r="B1200" s="798" t="s">
        <v>3762</v>
      </c>
      <c r="C1200" s="782">
        <v>99602</v>
      </c>
    </row>
    <row r="1201" spans="2:3" x14ac:dyDescent="0.25">
      <c r="B1201" s="798" t="s">
        <v>1461</v>
      </c>
      <c r="C1201" s="782">
        <v>93401</v>
      </c>
    </row>
    <row r="1202" spans="2:3" x14ac:dyDescent="0.25">
      <c r="B1202" s="798" t="s">
        <v>3763</v>
      </c>
      <c r="C1202" s="782">
        <v>97491</v>
      </c>
    </row>
    <row r="1203" spans="2:3" x14ac:dyDescent="0.25">
      <c r="B1203" s="798" t="s">
        <v>2229</v>
      </c>
      <c r="C1203" s="782">
        <v>95151</v>
      </c>
    </row>
    <row r="1204" spans="2:3" x14ac:dyDescent="0.25">
      <c r="B1204" s="798" t="s">
        <v>1706</v>
      </c>
      <c r="C1204" s="782">
        <v>96381</v>
      </c>
    </row>
    <row r="1205" spans="2:3" x14ac:dyDescent="0.25">
      <c r="B1205" s="798" t="s">
        <v>2230</v>
      </c>
      <c r="C1205" s="782">
        <v>95611</v>
      </c>
    </row>
    <row r="1206" spans="2:3" x14ac:dyDescent="0.25">
      <c r="B1206" s="798" t="s">
        <v>1473</v>
      </c>
      <c r="C1206" s="782">
        <v>93501</v>
      </c>
    </row>
    <row r="1207" spans="2:3" x14ac:dyDescent="0.25">
      <c r="B1207" s="798" t="s">
        <v>2231</v>
      </c>
      <c r="C1207" s="782">
        <v>93511</v>
      </c>
    </row>
    <row r="1208" spans="2:3" x14ac:dyDescent="0.25">
      <c r="B1208" s="798" t="s">
        <v>3764</v>
      </c>
      <c r="C1208" s="782">
        <v>93517</v>
      </c>
    </row>
    <row r="1209" spans="2:3" x14ac:dyDescent="0.25">
      <c r="B1209" s="798" t="s">
        <v>2232</v>
      </c>
      <c r="C1209" s="782">
        <v>99631</v>
      </c>
    </row>
    <row r="1210" spans="2:3" x14ac:dyDescent="0.25">
      <c r="B1210" s="798" t="s">
        <v>2233</v>
      </c>
      <c r="C1210" s="782">
        <v>99261</v>
      </c>
    </row>
    <row r="1211" spans="2:3" x14ac:dyDescent="0.25">
      <c r="B1211" s="798" t="s">
        <v>2234</v>
      </c>
      <c r="C1211" s="782">
        <v>98241</v>
      </c>
    </row>
    <row r="1212" spans="2:3" x14ac:dyDescent="0.25">
      <c r="B1212" s="798" t="s">
        <v>2235</v>
      </c>
      <c r="C1212" s="782">
        <v>99251</v>
      </c>
    </row>
    <row r="1213" spans="2:3" x14ac:dyDescent="0.25">
      <c r="B1213" s="798" t="s">
        <v>3765</v>
      </c>
      <c r="C1213" s="782">
        <v>99252</v>
      </c>
    </row>
    <row r="1214" spans="2:3" x14ac:dyDescent="0.25">
      <c r="B1214" s="798" t="s">
        <v>2236</v>
      </c>
      <c r="C1214" s="782">
        <v>96631</v>
      </c>
    </row>
    <row r="1215" spans="2:3" x14ac:dyDescent="0.25">
      <c r="B1215" s="798" t="s">
        <v>2237</v>
      </c>
      <c r="C1215" s="782">
        <v>96651</v>
      </c>
    </row>
    <row r="1216" spans="2:3" x14ac:dyDescent="0.25">
      <c r="B1216" s="798" t="s">
        <v>1481</v>
      </c>
      <c r="C1216" s="782">
        <v>93601</v>
      </c>
    </row>
    <row r="1217" spans="2:3" x14ac:dyDescent="0.25">
      <c r="B1217" s="798" t="s">
        <v>3766</v>
      </c>
      <c r="C1217" s="782">
        <v>93618</v>
      </c>
    </row>
    <row r="1218" spans="2:3" x14ac:dyDescent="0.25">
      <c r="B1218" s="798" t="s">
        <v>2238</v>
      </c>
      <c r="C1218" s="782">
        <v>93611</v>
      </c>
    </row>
    <row r="1219" spans="2:3" x14ac:dyDescent="0.25">
      <c r="B1219" s="798" t="s">
        <v>3767</v>
      </c>
      <c r="C1219" s="782">
        <v>93617</v>
      </c>
    </row>
    <row r="1220" spans="2:3" x14ac:dyDescent="0.25">
      <c r="B1220" s="798" t="s">
        <v>1498</v>
      </c>
      <c r="C1220" s="782">
        <v>93701</v>
      </c>
    </row>
    <row r="1221" spans="2:3" x14ac:dyDescent="0.25">
      <c r="B1221" s="798" t="s">
        <v>3768</v>
      </c>
      <c r="C1221" s="782">
        <v>93704</v>
      </c>
    </row>
    <row r="1222" spans="2:3" x14ac:dyDescent="0.25">
      <c r="B1222" s="798" t="s">
        <v>2239</v>
      </c>
      <c r="C1222" s="782">
        <v>98331</v>
      </c>
    </row>
    <row r="1223" spans="2:3" x14ac:dyDescent="0.25">
      <c r="B1223" s="798" t="s">
        <v>2240</v>
      </c>
      <c r="C1223" s="782">
        <v>94151</v>
      </c>
    </row>
    <row r="1224" spans="2:3" x14ac:dyDescent="0.25">
      <c r="B1224" s="798" t="s">
        <v>3769</v>
      </c>
      <c r="C1224" s="782">
        <v>94157</v>
      </c>
    </row>
    <row r="1225" spans="2:3" x14ac:dyDescent="0.25">
      <c r="B1225" s="798" t="s">
        <v>2241</v>
      </c>
      <c r="C1225" s="782">
        <v>91241</v>
      </c>
    </row>
    <row r="1226" spans="2:3" x14ac:dyDescent="0.25">
      <c r="B1226" s="798" t="s">
        <v>1635</v>
      </c>
      <c r="C1226" s="782">
        <v>95412</v>
      </c>
    </row>
    <row r="1227" spans="2:3" x14ac:dyDescent="0.25">
      <c r="B1227" s="798" t="s">
        <v>2242</v>
      </c>
      <c r="C1227" s="782">
        <v>99611</v>
      </c>
    </row>
    <row r="1228" spans="2:3" x14ac:dyDescent="0.25">
      <c r="B1228" s="798" t="s">
        <v>1343</v>
      </c>
      <c r="C1228" s="782">
        <v>91908</v>
      </c>
    </row>
    <row r="1229" spans="2:3" x14ac:dyDescent="0.25">
      <c r="B1229" s="798" t="s">
        <v>2243</v>
      </c>
      <c r="C1229" s="782">
        <v>90121</v>
      </c>
    </row>
    <row r="1230" spans="2:3" x14ac:dyDescent="0.25">
      <c r="B1230" s="798" t="s">
        <v>3770</v>
      </c>
      <c r="C1230" s="782">
        <v>93803</v>
      </c>
    </row>
    <row r="1231" spans="2:3" x14ac:dyDescent="0.25">
      <c r="B1231" s="798" t="s">
        <v>1500</v>
      </c>
      <c r="C1231" s="782">
        <v>93801</v>
      </c>
    </row>
    <row r="1232" spans="2:3" x14ac:dyDescent="0.25">
      <c r="B1232" s="798" t="s">
        <v>3771</v>
      </c>
      <c r="C1232" s="782">
        <v>93806</v>
      </c>
    </row>
    <row r="1233" spans="2:3" x14ac:dyDescent="0.25">
      <c r="B1233" s="798" t="s">
        <v>2244</v>
      </c>
      <c r="C1233" s="782">
        <v>91411</v>
      </c>
    </row>
    <row r="1234" spans="2:3" x14ac:dyDescent="0.25">
      <c r="B1234" s="798" t="s">
        <v>3772</v>
      </c>
      <c r="C1234" s="782">
        <v>91417</v>
      </c>
    </row>
    <row r="1235" spans="2:3" x14ac:dyDescent="0.25">
      <c r="B1235" s="798" t="s">
        <v>2245</v>
      </c>
      <c r="C1235" s="782">
        <v>98061</v>
      </c>
    </row>
    <row r="1236" spans="2:3" x14ac:dyDescent="0.25">
      <c r="B1236" s="798" t="s">
        <v>3773</v>
      </c>
      <c r="C1236" s="782">
        <v>93904</v>
      </c>
    </row>
    <row r="1237" spans="2:3" x14ac:dyDescent="0.25">
      <c r="B1237" s="798" t="s">
        <v>1503</v>
      </c>
      <c r="C1237" s="782">
        <v>93901</v>
      </c>
    </row>
    <row r="1238" spans="2:3" x14ac:dyDescent="0.25">
      <c r="B1238" s="798" t="s">
        <v>1505</v>
      </c>
      <c r="C1238" s="782">
        <v>93906</v>
      </c>
    </row>
    <row r="1239" spans="2:3" x14ac:dyDescent="0.25">
      <c r="B1239" s="798" t="s">
        <v>3774</v>
      </c>
      <c r="C1239" s="782">
        <v>93908</v>
      </c>
    </row>
    <row r="1240" spans="2:3" x14ac:dyDescent="0.25">
      <c r="B1240" s="798" t="s">
        <v>3775</v>
      </c>
      <c r="C1240" s="782">
        <v>94908</v>
      </c>
    </row>
    <row r="1241" spans="2:3" x14ac:dyDescent="0.25">
      <c r="B1241" s="798" t="s">
        <v>2246</v>
      </c>
      <c r="C1241" s="782">
        <v>90161</v>
      </c>
    </row>
    <row r="1242" spans="2:3" x14ac:dyDescent="0.25">
      <c r="B1242" s="798" t="s">
        <v>1513</v>
      </c>
      <c r="C1242" s="782">
        <v>94001</v>
      </c>
    </row>
    <row r="1243" spans="2:3" x14ac:dyDescent="0.25">
      <c r="B1243" s="798" t="s">
        <v>3776</v>
      </c>
      <c r="C1243" s="782">
        <v>94004</v>
      </c>
    </row>
    <row r="1244" spans="2:3" x14ac:dyDescent="0.25">
      <c r="B1244" s="798" t="s">
        <v>2247</v>
      </c>
      <c r="C1244" s="782">
        <v>94111</v>
      </c>
    </row>
    <row r="1245" spans="2:3" x14ac:dyDescent="0.25">
      <c r="B1245" s="798" t="s">
        <v>3777</v>
      </c>
      <c r="C1245" s="782">
        <v>94117</v>
      </c>
    </row>
    <row r="1246" spans="2:3" x14ac:dyDescent="0.25">
      <c r="B1246" s="798" t="s">
        <v>2248</v>
      </c>
      <c r="C1246" s="782">
        <v>97411</v>
      </c>
    </row>
    <row r="1247" spans="2:3" x14ac:dyDescent="0.25">
      <c r="B1247" s="798" t="s">
        <v>1789</v>
      </c>
      <c r="C1247" s="782">
        <v>97413</v>
      </c>
    </row>
    <row r="1248" spans="2:3" x14ac:dyDescent="0.25">
      <c r="B1248" s="798" t="s">
        <v>1788</v>
      </c>
      <c r="C1248" s="782">
        <v>97412</v>
      </c>
    </row>
    <row r="1249" spans="2:3" x14ac:dyDescent="0.25">
      <c r="B1249" s="798" t="s">
        <v>2249</v>
      </c>
      <c r="C1249" s="782">
        <v>97431</v>
      </c>
    </row>
    <row r="1250" spans="2:3" x14ac:dyDescent="0.25">
      <c r="B1250" s="798" t="s">
        <v>2250</v>
      </c>
      <c r="C1250" s="782">
        <v>97471</v>
      </c>
    </row>
    <row r="1251" spans="2:3" x14ac:dyDescent="0.25">
      <c r="B1251" s="798" t="s">
        <v>2251</v>
      </c>
      <c r="C1251" s="782">
        <v>92351</v>
      </c>
    </row>
    <row r="1252" spans="2:3" x14ac:dyDescent="0.25">
      <c r="B1252" s="798" t="s">
        <v>2252</v>
      </c>
      <c r="C1252" s="782">
        <v>94101</v>
      </c>
    </row>
    <row r="1253" spans="2:3" x14ac:dyDescent="0.25">
      <c r="B1253" s="798" t="s">
        <v>3778</v>
      </c>
      <c r="C1253" s="782">
        <v>94118</v>
      </c>
    </row>
    <row r="1254" spans="2:3" x14ac:dyDescent="0.25">
      <c r="B1254" s="798" t="s">
        <v>1521</v>
      </c>
      <c r="C1254" s="782">
        <v>94102</v>
      </c>
    </row>
    <row r="1255" spans="2:3" x14ac:dyDescent="0.25">
      <c r="B1255" s="798" t="s">
        <v>1537</v>
      </c>
      <c r="C1255" s="782">
        <v>94201</v>
      </c>
    </row>
    <row r="1256" spans="2:3" x14ac:dyDescent="0.25">
      <c r="B1256" s="798" t="s">
        <v>3779</v>
      </c>
      <c r="C1256" s="782">
        <v>94204</v>
      </c>
    </row>
    <row r="1257" spans="2:3" x14ac:dyDescent="0.25">
      <c r="B1257" s="798" t="s">
        <v>1539</v>
      </c>
      <c r="C1257" s="782">
        <v>94205</v>
      </c>
    </row>
    <row r="1258" spans="2:3" x14ac:dyDescent="0.25">
      <c r="B1258" s="798" t="s">
        <v>2253</v>
      </c>
      <c r="C1258" s="782">
        <v>95831</v>
      </c>
    </row>
    <row r="1259" spans="2:3" x14ac:dyDescent="0.25">
      <c r="B1259" s="798" t="s">
        <v>2254</v>
      </c>
      <c r="C1259" s="782">
        <v>97721</v>
      </c>
    </row>
    <row r="1260" spans="2:3" x14ac:dyDescent="0.25">
      <c r="B1260" s="798" t="s">
        <v>3780</v>
      </c>
      <c r="C1260" s="782">
        <v>97717</v>
      </c>
    </row>
    <row r="1261" spans="2:3" x14ac:dyDescent="0.25">
      <c r="B1261" s="798" t="s">
        <v>1547</v>
      </c>
      <c r="C1261" s="782">
        <v>94301</v>
      </c>
    </row>
    <row r="1262" spans="2:3" x14ac:dyDescent="0.25">
      <c r="B1262" s="798" t="s">
        <v>2255</v>
      </c>
      <c r="C1262" s="782">
        <v>91441</v>
      </c>
    </row>
    <row r="1263" spans="2:3" x14ac:dyDescent="0.25">
      <c r="B1263" s="798" t="s">
        <v>2256</v>
      </c>
      <c r="C1263" s="782">
        <v>92531</v>
      </c>
    </row>
    <row r="1264" spans="2:3" x14ac:dyDescent="0.25">
      <c r="B1264" s="798" t="s">
        <v>2257</v>
      </c>
      <c r="C1264" s="782">
        <v>90141</v>
      </c>
    </row>
    <row r="1265" spans="2:3" x14ac:dyDescent="0.25">
      <c r="B1265" s="798" t="s">
        <v>1556</v>
      </c>
      <c r="C1265" s="782">
        <v>94401</v>
      </c>
    </row>
    <row r="1266" spans="2:3" x14ac:dyDescent="0.25">
      <c r="B1266" s="798" t="s">
        <v>3781</v>
      </c>
      <c r="C1266" s="782">
        <v>94403</v>
      </c>
    </row>
    <row r="1267" spans="2:3" x14ac:dyDescent="0.25">
      <c r="B1267" s="798" t="s">
        <v>1557</v>
      </c>
      <c r="C1267" s="782">
        <v>94402</v>
      </c>
    </row>
    <row r="1268" spans="2:3" x14ac:dyDescent="0.25">
      <c r="B1268" s="798" t="s">
        <v>2258</v>
      </c>
      <c r="C1268" s="782">
        <v>99111</v>
      </c>
    </row>
    <row r="1269" spans="2:3" x14ac:dyDescent="0.25">
      <c r="B1269" s="798" t="s">
        <v>2259</v>
      </c>
      <c r="C1269" s="782">
        <v>94511</v>
      </c>
    </row>
    <row r="1270" spans="2:3" x14ac:dyDescent="0.25">
      <c r="B1270" s="798" t="s">
        <v>3782</v>
      </c>
      <c r="C1270" s="782">
        <v>94517</v>
      </c>
    </row>
    <row r="1271" spans="2:3" x14ac:dyDescent="0.25">
      <c r="B1271" s="798" t="s">
        <v>1568</v>
      </c>
      <c r="C1271" s="782">
        <v>94512</v>
      </c>
    </row>
    <row r="1272" spans="2:3" x14ac:dyDescent="0.25">
      <c r="B1272" s="798" t="s">
        <v>2260</v>
      </c>
      <c r="C1272" s="782">
        <v>97211</v>
      </c>
    </row>
    <row r="1273" spans="2:3" x14ac:dyDescent="0.25">
      <c r="B1273" s="798" t="s">
        <v>3783</v>
      </c>
      <c r="C1273" s="782">
        <v>97217</v>
      </c>
    </row>
    <row r="1274" spans="2:3" x14ac:dyDescent="0.25">
      <c r="B1274" s="798" t="s">
        <v>1577</v>
      </c>
      <c r="C1274" s="782">
        <v>94601</v>
      </c>
    </row>
    <row r="1275" spans="2:3" x14ac:dyDescent="0.25">
      <c r="B1275" s="798" t="s">
        <v>3784</v>
      </c>
      <c r="C1275" s="782">
        <v>94604</v>
      </c>
    </row>
    <row r="1276" spans="2:3" x14ac:dyDescent="0.25">
      <c r="B1276" s="798" t="s">
        <v>1579</v>
      </c>
      <c r="C1276" s="782">
        <v>94606</v>
      </c>
    </row>
    <row r="1277" spans="2:3" x14ac:dyDescent="0.25">
      <c r="B1277" s="798" t="s">
        <v>3785</v>
      </c>
      <c r="C1277" s="782">
        <v>97213</v>
      </c>
    </row>
    <row r="1278" spans="2:3" x14ac:dyDescent="0.25">
      <c r="B1278" s="798" t="s">
        <v>2261</v>
      </c>
      <c r="C1278" s="782">
        <v>91811</v>
      </c>
    </row>
    <row r="1279" spans="2:3" x14ac:dyDescent="0.25">
      <c r="B1279" s="798" t="s">
        <v>3786</v>
      </c>
      <c r="C1279" s="782">
        <v>91812</v>
      </c>
    </row>
    <row r="1280" spans="2:3" x14ac:dyDescent="0.25">
      <c r="B1280" s="798" t="s">
        <v>3787</v>
      </c>
      <c r="C1280" s="782">
        <v>91813</v>
      </c>
    </row>
    <row r="1281" spans="2:3" x14ac:dyDescent="0.25">
      <c r="B1281" s="798" t="s">
        <v>3788</v>
      </c>
      <c r="C1281" s="782">
        <v>90617</v>
      </c>
    </row>
    <row r="1282" spans="2:3" x14ac:dyDescent="0.25">
      <c r="B1282" s="798" t="s">
        <v>3789</v>
      </c>
      <c r="C1282" s="782">
        <v>94127</v>
      </c>
    </row>
    <row r="1283" spans="2:3" x14ac:dyDescent="0.25">
      <c r="B1283" s="798" t="s">
        <v>2262</v>
      </c>
      <c r="C1283" s="782">
        <v>95621</v>
      </c>
    </row>
    <row r="1284" spans="2:3" x14ac:dyDescent="0.25">
      <c r="B1284" s="798" t="s">
        <v>3790</v>
      </c>
      <c r="C1284" s="782">
        <v>95617</v>
      </c>
    </row>
    <row r="1285" spans="2:3" x14ac:dyDescent="0.25">
      <c r="B1285" s="798" t="s">
        <v>3791</v>
      </c>
      <c r="C1285" s="782">
        <v>94121</v>
      </c>
    </row>
    <row r="1286" spans="2:3" x14ac:dyDescent="0.25">
      <c r="B1286" s="798" t="s">
        <v>3792</v>
      </c>
      <c r="C1286" s="782">
        <v>91251</v>
      </c>
    </row>
    <row r="1287" spans="2:3" x14ac:dyDescent="0.25">
      <c r="B1287" s="798" t="s">
        <v>2263</v>
      </c>
      <c r="C1287" s="782">
        <v>96831</v>
      </c>
    </row>
    <row r="1288" spans="2:3" x14ac:dyDescent="0.25">
      <c r="B1288" s="798" t="s">
        <v>2264</v>
      </c>
      <c r="C1288" s="782">
        <v>94251</v>
      </c>
    </row>
    <row r="1289" spans="2:3" x14ac:dyDescent="0.25">
      <c r="B1289" s="798" t="s">
        <v>1584</v>
      </c>
      <c r="C1289" s="782">
        <v>94701</v>
      </c>
    </row>
    <row r="1290" spans="2:3" x14ac:dyDescent="0.25">
      <c r="B1290" s="798" t="s">
        <v>3793</v>
      </c>
      <c r="C1290" s="782">
        <v>94704</v>
      </c>
    </row>
    <row r="1291" spans="2:3" x14ac:dyDescent="0.25">
      <c r="B1291" s="798" t="s">
        <v>2265</v>
      </c>
      <c r="C1291" s="782">
        <v>91014</v>
      </c>
    </row>
    <row r="1292" spans="2:3" x14ac:dyDescent="0.25">
      <c r="B1292" s="798" t="s">
        <v>2266</v>
      </c>
      <c r="C1292" s="782">
        <v>96731</v>
      </c>
    </row>
    <row r="1293" spans="2:3" x14ac:dyDescent="0.25">
      <c r="B1293" s="798" t="s">
        <v>1746</v>
      </c>
      <c r="C1293" s="782">
        <v>96733</v>
      </c>
    </row>
    <row r="1294" spans="2:3" x14ac:dyDescent="0.25">
      <c r="B1294" s="798" t="s">
        <v>2267</v>
      </c>
      <c r="C1294" s="782">
        <v>99202</v>
      </c>
    </row>
    <row r="1295" spans="2:3" x14ac:dyDescent="0.25">
      <c r="B1295" s="798" t="s">
        <v>2268</v>
      </c>
      <c r="C1295" s="782">
        <v>94011</v>
      </c>
    </row>
    <row r="1296" spans="2:3" x14ac:dyDescent="0.25">
      <c r="B1296" s="798" t="s">
        <v>2269</v>
      </c>
      <c r="C1296" s="782">
        <v>92631</v>
      </c>
    </row>
    <row r="1297" spans="2:3" x14ac:dyDescent="0.25">
      <c r="B1297" s="798" t="s">
        <v>1652</v>
      </c>
      <c r="C1297" s="782">
        <v>95733</v>
      </c>
    </row>
    <row r="1298" spans="2:3" x14ac:dyDescent="0.25">
      <c r="B1298" s="798" t="s">
        <v>3794</v>
      </c>
      <c r="C1298" s="782">
        <v>95413</v>
      </c>
    </row>
    <row r="1299" spans="2:3" x14ac:dyDescent="0.25">
      <c r="B1299" s="798" t="s">
        <v>3795</v>
      </c>
      <c r="C1299" s="782">
        <v>98013</v>
      </c>
    </row>
    <row r="1300" spans="2:3" x14ac:dyDescent="0.25">
      <c r="B1300" s="798" t="s">
        <v>3796</v>
      </c>
      <c r="C1300" s="782">
        <v>99613</v>
      </c>
    </row>
    <row r="1301" spans="2:3" x14ac:dyDescent="0.25">
      <c r="B1301" s="798" t="s">
        <v>2270</v>
      </c>
      <c r="C1301" s="782">
        <v>91431</v>
      </c>
    </row>
    <row r="1302" spans="2:3" x14ac:dyDescent="0.25">
      <c r="B1302" s="798" t="s">
        <v>2271</v>
      </c>
      <c r="C1302" s="782">
        <v>96041</v>
      </c>
    </row>
    <row r="1303" spans="2:3" x14ac:dyDescent="0.25">
      <c r="B1303" s="798" t="s">
        <v>1587</v>
      </c>
      <c r="C1303" s="782">
        <v>94801</v>
      </c>
    </row>
    <row r="1304" spans="2:3" x14ac:dyDescent="0.25">
      <c r="B1304" s="798" t="s">
        <v>3797</v>
      </c>
      <c r="C1304" s="782">
        <v>94804</v>
      </c>
    </row>
    <row r="1305" spans="2:3" x14ac:dyDescent="0.25">
      <c r="B1305" s="798" t="s">
        <v>2272</v>
      </c>
      <c r="C1305" s="782">
        <v>91661</v>
      </c>
    </row>
    <row r="1306" spans="2:3" x14ac:dyDescent="0.25">
      <c r="B1306" s="798" t="s">
        <v>2273</v>
      </c>
      <c r="C1306" s="782">
        <v>99051</v>
      </c>
    </row>
    <row r="1307" spans="2:3" x14ac:dyDescent="0.25">
      <c r="B1307" s="798" t="s">
        <v>3529</v>
      </c>
      <c r="C1307" s="782">
        <v>99014</v>
      </c>
    </row>
    <row r="1308" spans="2:3" x14ac:dyDescent="0.25">
      <c r="B1308" s="798" t="s">
        <v>1590</v>
      </c>
      <c r="C1308" s="782">
        <v>94901</v>
      </c>
    </row>
    <row r="1309" spans="2:3" x14ac:dyDescent="0.25">
      <c r="B1309" s="798" t="s">
        <v>3798</v>
      </c>
      <c r="C1309" s="782">
        <v>98109</v>
      </c>
    </row>
    <row r="1310" spans="2:3" x14ac:dyDescent="0.25">
      <c r="B1310" s="798" t="s">
        <v>3799</v>
      </c>
      <c r="C1310" s="782">
        <v>98205</v>
      </c>
    </row>
    <row r="1311" spans="2:3" x14ac:dyDescent="0.25">
      <c r="B1311" s="798" t="s">
        <v>2274</v>
      </c>
      <c r="C1311" s="782">
        <v>96661</v>
      </c>
    </row>
    <row r="1312" spans="2:3" x14ac:dyDescent="0.25">
      <c r="B1312" s="798" t="s">
        <v>1599</v>
      </c>
      <c r="C1312" s="782">
        <v>95001</v>
      </c>
    </row>
    <row r="1313" spans="2:3" x14ac:dyDescent="0.25">
      <c r="B1313" s="798" t="s">
        <v>3530</v>
      </c>
      <c r="C1313" s="782">
        <v>95017</v>
      </c>
    </row>
    <row r="1314" spans="2:3" x14ac:dyDescent="0.25">
      <c r="B1314" s="798" t="s">
        <v>2275</v>
      </c>
      <c r="C1314" s="782">
        <v>96711</v>
      </c>
    </row>
    <row r="1315" spans="2:3" x14ac:dyDescent="0.25">
      <c r="B1315" s="798" t="s">
        <v>2276</v>
      </c>
      <c r="C1315" s="782">
        <v>94131</v>
      </c>
    </row>
    <row r="1316" spans="2:3" x14ac:dyDescent="0.25">
      <c r="B1316" s="798" t="s">
        <v>2277</v>
      </c>
      <c r="C1316" s="782">
        <v>95841</v>
      </c>
    </row>
    <row r="1317" spans="2:3" x14ac:dyDescent="0.25">
      <c r="B1317" s="798" t="s">
        <v>2278</v>
      </c>
      <c r="C1317" s="782">
        <v>90511</v>
      </c>
    </row>
    <row r="1318" spans="2:3" x14ac:dyDescent="0.25">
      <c r="B1318" s="798" t="s">
        <v>1605</v>
      </c>
      <c r="C1318" s="782">
        <v>95101</v>
      </c>
    </row>
    <row r="1319" spans="2:3" x14ac:dyDescent="0.25">
      <c r="B1319" s="798" t="s">
        <v>3800</v>
      </c>
      <c r="C1319" s="782">
        <v>95104</v>
      </c>
    </row>
    <row r="1320" spans="2:3" x14ac:dyDescent="0.25">
      <c r="B1320" s="798" t="s">
        <v>3531</v>
      </c>
      <c r="C1320" s="782">
        <v>95110</v>
      </c>
    </row>
    <row r="1321" spans="2:3" x14ac:dyDescent="0.25">
      <c r="B1321" s="798" t="s">
        <v>1622</v>
      </c>
      <c r="C1321" s="782">
        <v>95201</v>
      </c>
    </row>
    <row r="1322" spans="2:3" x14ac:dyDescent="0.25">
      <c r="B1322" s="798" t="s">
        <v>3801</v>
      </c>
      <c r="C1322" s="782">
        <v>95204</v>
      </c>
    </row>
    <row r="1323" spans="2:3" x14ac:dyDescent="0.25">
      <c r="B1323" s="798" t="s">
        <v>2279</v>
      </c>
      <c r="C1323" s="782">
        <v>99921</v>
      </c>
    </row>
    <row r="1324" spans="2:3" x14ac:dyDescent="0.25">
      <c r="B1324" s="798" t="s">
        <v>1558</v>
      </c>
      <c r="C1324" s="782">
        <v>94408</v>
      </c>
    </row>
    <row r="1325" spans="2:3" x14ac:dyDescent="0.25">
      <c r="B1325" s="798" t="s">
        <v>2280</v>
      </c>
      <c r="C1325" s="782">
        <v>91331</v>
      </c>
    </row>
    <row r="1326" spans="2:3" x14ac:dyDescent="0.25">
      <c r="B1326" s="798" t="s">
        <v>2281</v>
      </c>
      <c r="C1326" s="782">
        <v>93121</v>
      </c>
    </row>
    <row r="1327" spans="2:3" x14ac:dyDescent="0.25">
      <c r="B1327" s="798" t="s">
        <v>3802</v>
      </c>
      <c r="C1327" s="782">
        <v>93127</v>
      </c>
    </row>
    <row r="1328" spans="2:3" x14ac:dyDescent="0.25">
      <c r="B1328" s="798" t="s">
        <v>2282</v>
      </c>
      <c r="C1328" s="782">
        <v>95171</v>
      </c>
    </row>
    <row r="1329" spans="2:3" x14ac:dyDescent="0.25">
      <c r="B1329" s="798" t="s">
        <v>2283</v>
      </c>
      <c r="C1329" s="782">
        <v>93421</v>
      </c>
    </row>
    <row r="1330" spans="2:3" x14ac:dyDescent="0.25">
      <c r="B1330" s="798" t="s">
        <v>3803</v>
      </c>
      <c r="C1330" s="782">
        <v>99110</v>
      </c>
    </row>
    <row r="1331" spans="2:3" x14ac:dyDescent="0.25">
      <c r="B1331" s="798" t="s">
        <v>3804</v>
      </c>
      <c r="C1331" s="782">
        <v>99109</v>
      </c>
    </row>
    <row r="1332" spans="2:3" x14ac:dyDescent="0.25">
      <c r="B1332" s="798" t="s">
        <v>2284</v>
      </c>
      <c r="C1332" s="782">
        <v>92821</v>
      </c>
    </row>
    <row r="1333" spans="2:3" x14ac:dyDescent="0.25">
      <c r="B1333" s="798" t="s">
        <v>2285</v>
      </c>
      <c r="C1333" s="782">
        <v>98521</v>
      </c>
    </row>
    <row r="1334" spans="2:3" x14ac:dyDescent="0.25">
      <c r="B1334" s="798" t="s">
        <v>3805</v>
      </c>
      <c r="C1334" s="782">
        <v>92327</v>
      </c>
    </row>
    <row r="1335" spans="2:3" x14ac:dyDescent="0.25">
      <c r="B1335" s="798" t="s">
        <v>3806</v>
      </c>
      <c r="C1335" s="782">
        <v>92321</v>
      </c>
    </row>
    <row r="1336" spans="2:3" x14ac:dyDescent="0.25">
      <c r="B1336" s="798" t="s">
        <v>2286</v>
      </c>
      <c r="C1336" s="782">
        <v>95411</v>
      </c>
    </row>
    <row r="1337" spans="2:3" x14ac:dyDescent="0.25">
      <c r="B1337" s="798" t="s">
        <v>3807</v>
      </c>
      <c r="C1337" s="782">
        <v>95415</v>
      </c>
    </row>
    <row r="1338" spans="2:3" x14ac:dyDescent="0.25">
      <c r="B1338" s="798" t="s">
        <v>2287</v>
      </c>
      <c r="C1338" s="782">
        <v>92851</v>
      </c>
    </row>
    <row r="1339" spans="2:3" x14ac:dyDescent="0.25">
      <c r="B1339" s="798" t="s">
        <v>2288</v>
      </c>
      <c r="C1339" s="782">
        <v>99291</v>
      </c>
    </row>
    <row r="1340" spans="2:3" x14ac:dyDescent="0.25">
      <c r="B1340" s="798" t="s">
        <v>2289</v>
      </c>
      <c r="C1340" s="782">
        <v>96541</v>
      </c>
    </row>
    <row r="1341" spans="2:3" x14ac:dyDescent="0.25">
      <c r="B1341" s="798" t="s">
        <v>2290</v>
      </c>
      <c r="C1341" s="782">
        <v>95431</v>
      </c>
    </row>
    <row r="1342" spans="2:3" x14ac:dyDescent="0.25">
      <c r="B1342" s="798" t="s">
        <v>2291</v>
      </c>
      <c r="C1342" s="782">
        <v>98131</v>
      </c>
    </row>
    <row r="1343" spans="2:3" x14ac:dyDescent="0.25">
      <c r="B1343" s="798" t="s">
        <v>3808</v>
      </c>
      <c r="C1343" s="782">
        <v>92461</v>
      </c>
    </row>
    <row r="1344" spans="2:3" x14ac:dyDescent="0.25">
      <c r="B1344" s="798" t="s">
        <v>3809</v>
      </c>
      <c r="C1344" s="782">
        <v>92427</v>
      </c>
    </row>
    <row r="1345" spans="2:3" x14ac:dyDescent="0.25">
      <c r="B1345" s="798" t="s">
        <v>2292</v>
      </c>
      <c r="C1345" s="782">
        <v>98051</v>
      </c>
    </row>
    <row r="1346" spans="2:3" x14ac:dyDescent="0.25">
      <c r="B1346" s="798" t="s">
        <v>1256</v>
      </c>
      <c r="C1346" s="782">
        <v>91102</v>
      </c>
    </row>
    <row r="1347" spans="2:3" x14ac:dyDescent="0.25">
      <c r="B1347" s="798" t="s">
        <v>2293</v>
      </c>
      <c r="C1347" s="782">
        <v>94521</v>
      </c>
    </row>
    <row r="1348" spans="2:3" x14ac:dyDescent="0.25">
      <c r="B1348" s="798" t="s">
        <v>3810</v>
      </c>
      <c r="C1348" s="782">
        <v>94527</v>
      </c>
    </row>
    <row r="1349" spans="2:3" x14ac:dyDescent="0.25">
      <c r="B1349" s="798" t="s">
        <v>2294</v>
      </c>
      <c r="C1349" s="782">
        <v>98311</v>
      </c>
    </row>
    <row r="1350" spans="2:3" x14ac:dyDescent="0.25">
      <c r="B1350" s="798" t="s">
        <v>3811</v>
      </c>
      <c r="C1350" s="782">
        <v>98313</v>
      </c>
    </row>
    <row r="1351" spans="2:3" x14ac:dyDescent="0.25">
      <c r="B1351" s="798" t="s">
        <v>1893</v>
      </c>
      <c r="C1351" s="782">
        <v>98308</v>
      </c>
    </row>
    <row r="1352" spans="2:3" x14ac:dyDescent="0.25">
      <c r="B1352" s="798" t="s">
        <v>2295</v>
      </c>
      <c r="C1352" s="782">
        <v>92341</v>
      </c>
    </row>
    <row r="1353" spans="2:3" x14ac:dyDescent="0.25">
      <c r="B1353" s="798" t="s">
        <v>1627</v>
      </c>
      <c r="C1353" s="782">
        <v>95301</v>
      </c>
    </row>
    <row r="1354" spans="2:3" x14ac:dyDescent="0.25">
      <c r="B1354" s="798" t="s">
        <v>2296</v>
      </c>
      <c r="C1354" s="782">
        <v>91002</v>
      </c>
    </row>
    <row r="1355" spans="2:3" x14ac:dyDescent="0.25">
      <c r="B1355" s="798" t="s">
        <v>2297</v>
      </c>
      <c r="C1355" s="782">
        <v>91451</v>
      </c>
    </row>
    <row r="1356" spans="2:3" x14ac:dyDescent="0.25">
      <c r="B1356" s="798" t="s">
        <v>1631</v>
      </c>
      <c r="C1356" s="782">
        <v>95401</v>
      </c>
    </row>
    <row r="1357" spans="2:3" x14ac:dyDescent="0.25">
      <c r="B1357" s="798" t="s">
        <v>3812</v>
      </c>
      <c r="C1357" s="782">
        <v>95404</v>
      </c>
    </row>
    <row r="1358" spans="2:3" x14ac:dyDescent="0.25">
      <c r="B1358" s="798" t="s">
        <v>1302</v>
      </c>
      <c r="C1358" s="782">
        <v>91423</v>
      </c>
    </row>
    <row r="1359" spans="2:3" x14ac:dyDescent="0.25">
      <c r="B1359" s="798" t="s">
        <v>3813</v>
      </c>
      <c r="C1359" s="782">
        <v>91457</v>
      </c>
    </row>
    <row r="1360" spans="2:3" x14ac:dyDescent="0.25">
      <c r="B1360" s="798" t="s">
        <v>3814</v>
      </c>
      <c r="C1360" s="782">
        <v>90861</v>
      </c>
    </row>
    <row r="1361" spans="2:3" x14ac:dyDescent="0.25">
      <c r="B1361" s="798" t="s">
        <v>2298</v>
      </c>
      <c r="C1361" s="782">
        <v>93451</v>
      </c>
    </row>
    <row r="1362" spans="2:3" x14ac:dyDescent="0.25">
      <c r="B1362" s="798" t="s">
        <v>2299</v>
      </c>
      <c r="C1362" s="782">
        <v>92931</v>
      </c>
    </row>
    <row r="1363" spans="2:3" x14ac:dyDescent="0.25">
      <c r="B1363" s="798" t="s">
        <v>3815</v>
      </c>
      <c r="C1363" s="782">
        <v>92917</v>
      </c>
    </row>
    <row r="1364" spans="2:3" x14ac:dyDescent="0.25">
      <c r="B1364" s="798" t="s">
        <v>2300</v>
      </c>
      <c r="C1364" s="782">
        <v>97631</v>
      </c>
    </row>
    <row r="1365" spans="2:3" x14ac:dyDescent="0.25">
      <c r="B1365" s="798" t="s">
        <v>3816</v>
      </c>
      <c r="C1365" s="782">
        <v>97637</v>
      </c>
    </row>
    <row r="1366" spans="2:3" x14ac:dyDescent="0.25">
      <c r="B1366" s="798" t="s">
        <v>2301</v>
      </c>
      <c r="C1366" s="782">
        <v>90421</v>
      </c>
    </row>
    <row r="1367" spans="2:3" x14ac:dyDescent="0.25">
      <c r="B1367" s="798" t="s">
        <v>2302</v>
      </c>
      <c r="C1367" s="782">
        <v>94321</v>
      </c>
    </row>
    <row r="1368" spans="2:3" x14ac:dyDescent="0.25">
      <c r="B1368" s="798" t="s">
        <v>1640</v>
      </c>
      <c r="C1368" s="782">
        <v>95501</v>
      </c>
    </row>
    <row r="1369" spans="2:3" x14ac:dyDescent="0.25">
      <c r="B1369" s="798" t="s">
        <v>3817</v>
      </c>
      <c r="C1369" s="782">
        <v>95504</v>
      </c>
    </row>
    <row r="1370" spans="2:3" x14ac:dyDescent="0.25">
      <c r="B1370" s="798" t="s">
        <v>2303</v>
      </c>
      <c r="C1370" s="782">
        <v>95511</v>
      </c>
    </row>
    <row r="1371" spans="2:3" x14ac:dyDescent="0.25">
      <c r="B1371" s="798" t="s">
        <v>3818</v>
      </c>
      <c r="C1371" s="782">
        <v>95517</v>
      </c>
    </row>
    <row r="1372" spans="2:3" x14ac:dyDescent="0.25">
      <c r="B1372" s="798" t="s">
        <v>1643</v>
      </c>
      <c r="C1372" s="782">
        <v>95513</v>
      </c>
    </row>
    <row r="1373" spans="2:3" x14ac:dyDescent="0.25">
      <c r="B1373" s="798" t="s">
        <v>2304</v>
      </c>
      <c r="C1373" s="782">
        <v>92651</v>
      </c>
    </row>
    <row r="1374" spans="2:3" x14ac:dyDescent="0.25">
      <c r="B1374" s="798" t="s">
        <v>2305</v>
      </c>
      <c r="C1374" s="782">
        <v>94261</v>
      </c>
    </row>
    <row r="1375" spans="2:3" x14ac:dyDescent="0.25">
      <c r="B1375" s="798" t="s">
        <v>2306</v>
      </c>
      <c r="C1375" s="782">
        <v>98431</v>
      </c>
    </row>
    <row r="1376" spans="2:3" x14ac:dyDescent="0.25">
      <c r="B1376" s="798" t="s">
        <v>3819</v>
      </c>
      <c r="C1376" s="782">
        <v>98404</v>
      </c>
    </row>
    <row r="1377" spans="2:3" x14ac:dyDescent="0.25">
      <c r="B1377" s="798" t="s">
        <v>3820</v>
      </c>
      <c r="C1377" s="782">
        <v>91841</v>
      </c>
    </row>
    <row r="1378" spans="2:3" x14ac:dyDescent="0.25">
      <c r="B1378" s="798" t="s">
        <v>2307</v>
      </c>
      <c r="C1378" s="782">
        <v>93521</v>
      </c>
    </row>
    <row r="1379" spans="2:3" x14ac:dyDescent="0.25">
      <c r="B1379" s="798" t="s">
        <v>3821</v>
      </c>
      <c r="C1379" s="782">
        <v>93527</v>
      </c>
    </row>
    <row r="1380" spans="2:3" x14ac:dyDescent="0.25">
      <c r="B1380" s="798" t="s">
        <v>2308</v>
      </c>
      <c r="C1380" s="782">
        <v>93661</v>
      </c>
    </row>
    <row r="1381" spans="2:3" x14ac:dyDescent="0.25">
      <c r="B1381" s="798" t="s">
        <v>1722</v>
      </c>
      <c r="C1381" s="782">
        <v>96508</v>
      </c>
    </row>
    <row r="1382" spans="2:3" x14ac:dyDescent="0.25">
      <c r="B1382" s="798" t="s">
        <v>2309</v>
      </c>
      <c r="C1382" s="782">
        <v>99841</v>
      </c>
    </row>
    <row r="1383" spans="2:3" x14ac:dyDescent="0.25">
      <c r="B1383" s="798" t="s">
        <v>1825</v>
      </c>
      <c r="C1383" s="782">
        <v>97802</v>
      </c>
    </row>
    <row r="1384" spans="2:3" x14ac:dyDescent="0.25">
      <c r="B1384" s="798" t="s">
        <v>2310</v>
      </c>
      <c r="C1384" s="782">
        <v>97811</v>
      </c>
    </row>
    <row r="1385" spans="2:3" x14ac:dyDescent="0.25">
      <c r="B1385" s="798" t="s">
        <v>3822</v>
      </c>
      <c r="C1385" s="782">
        <v>97817</v>
      </c>
    </row>
    <row r="1386" spans="2:3" x14ac:dyDescent="0.25">
      <c r="B1386" s="798" t="s">
        <v>3823</v>
      </c>
      <c r="C1386" s="782">
        <v>97818</v>
      </c>
    </row>
    <row r="1387" spans="2:3" x14ac:dyDescent="0.25">
      <c r="B1387" s="798" t="s">
        <v>2311</v>
      </c>
      <c r="C1387" s="782">
        <v>93341</v>
      </c>
    </row>
    <row r="1388" spans="2:3" x14ac:dyDescent="0.25">
      <c r="B1388" s="798" t="s">
        <v>1645</v>
      </c>
      <c r="C1388" s="782">
        <v>95601</v>
      </c>
    </row>
    <row r="1389" spans="2:3" x14ac:dyDescent="0.25">
      <c r="B1389" s="798" t="s">
        <v>2312</v>
      </c>
      <c r="C1389" s="782">
        <v>97941</v>
      </c>
    </row>
    <row r="1390" spans="2:3" x14ac:dyDescent="0.25">
      <c r="B1390" s="798" t="s">
        <v>3824</v>
      </c>
      <c r="C1390" s="782">
        <v>97947</v>
      </c>
    </row>
    <row r="1391" spans="2:3" x14ac:dyDescent="0.25">
      <c r="B1391" s="798" t="s">
        <v>1649</v>
      </c>
      <c r="C1391" s="782">
        <v>95701</v>
      </c>
    </row>
    <row r="1392" spans="2:3" x14ac:dyDescent="0.25">
      <c r="B1392" s="798" t="s">
        <v>1850</v>
      </c>
      <c r="C1392" s="782">
        <v>97948</v>
      </c>
    </row>
    <row r="1393" spans="2:3" x14ac:dyDescent="0.25">
      <c r="B1393" s="798" t="s">
        <v>2313</v>
      </c>
      <c r="C1393" s="782">
        <v>94421</v>
      </c>
    </row>
    <row r="1394" spans="2:3" x14ac:dyDescent="0.25">
      <c r="B1394" s="798" t="s">
        <v>3825</v>
      </c>
      <c r="C1394" s="782">
        <v>94427</v>
      </c>
    </row>
    <row r="1395" spans="2:3" x14ac:dyDescent="0.25">
      <c r="B1395" s="798" t="s">
        <v>3826</v>
      </c>
      <c r="C1395" s="782">
        <v>94428</v>
      </c>
    </row>
    <row r="1396" spans="2:3" x14ac:dyDescent="0.25">
      <c r="B1396" s="798" t="s">
        <v>2314</v>
      </c>
      <c r="C1396" s="782">
        <v>93191</v>
      </c>
    </row>
    <row r="1397" spans="2:3" x14ac:dyDescent="0.25">
      <c r="B1397" s="798" t="s">
        <v>2315</v>
      </c>
      <c r="C1397" s="782">
        <v>91831</v>
      </c>
    </row>
    <row r="1398" spans="2:3" x14ac:dyDescent="0.25">
      <c r="B1398" s="798" t="s">
        <v>2316</v>
      </c>
      <c r="C1398" s="782">
        <v>92831</v>
      </c>
    </row>
    <row r="1399" spans="2:3" x14ac:dyDescent="0.25">
      <c r="B1399" s="798" t="s">
        <v>2317</v>
      </c>
      <c r="C1399" s="782">
        <v>95911</v>
      </c>
    </row>
    <row r="1400" spans="2:3" x14ac:dyDescent="0.25">
      <c r="B1400" s="798" t="s">
        <v>3827</v>
      </c>
      <c r="C1400" s="782">
        <v>95917</v>
      </c>
    </row>
    <row r="1401" spans="2:3" x14ac:dyDescent="0.25">
      <c r="B1401" s="798" t="s">
        <v>2318</v>
      </c>
      <c r="C1401" s="782">
        <v>95711</v>
      </c>
    </row>
    <row r="1402" spans="2:3" x14ac:dyDescent="0.25">
      <c r="B1402" s="798" t="s">
        <v>2319</v>
      </c>
      <c r="C1402" s="782">
        <v>95721</v>
      </c>
    </row>
    <row r="1403" spans="2:3" x14ac:dyDescent="0.25">
      <c r="B1403" s="798" t="s">
        <v>2320</v>
      </c>
      <c r="C1403" s="782">
        <v>99021</v>
      </c>
    </row>
    <row r="1404" spans="2:3" x14ac:dyDescent="0.25">
      <c r="B1404" s="798" t="s">
        <v>3828</v>
      </c>
      <c r="C1404" s="782">
        <v>95802</v>
      </c>
    </row>
    <row r="1405" spans="2:3" x14ac:dyDescent="0.25">
      <c r="B1405" s="798" t="s">
        <v>1653</v>
      </c>
      <c r="C1405" s="782">
        <v>95801</v>
      </c>
    </row>
    <row r="1406" spans="2:3" x14ac:dyDescent="0.25">
      <c r="B1406" s="798" t="s">
        <v>3829</v>
      </c>
      <c r="C1406" s="782">
        <v>95804</v>
      </c>
    </row>
    <row r="1407" spans="2:3" x14ac:dyDescent="0.25">
      <c r="B1407" s="798" t="s">
        <v>3830</v>
      </c>
      <c r="C1407" s="782">
        <v>90092</v>
      </c>
    </row>
    <row r="1408" spans="2:3" x14ac:dyDescent="0.25">
      <c r="B1408" s="798" t="s">
        <v>2321</v>
      </c>
      <c r="C1408" s="782">
        <v>99081</v>
      </c>
    </row>
    <row r="1409" spans="2:3" x14ac:dyDescent="0.25">
      <c r="B1409" s="798" t="s">
        <v>2322</v>
      </c>
      <c r="C1409" s="782">
        <v>96071</v>
      </c>
    </row>
    <row r="1410" spans="2:3" x14ac:dyDescent="0.25">
      <c r="B1410" s="798" t="s">
        <v>1514</v>
      </c>
      <c r="C1410" s="782">
        <v>94002</v>
      </c>
    </row>
    <row r="1411" spans="2:3" x14ac:dyDescent="0.25">
      <c r="B1411" s="798" t="s">
        <v>2323</v>
      </c>
      <c r="C1411" s="782">
        <v>97840</v>
      </c>
    </row>
    <row r="1412" spans="2:3" x14ac:dyDescent="0.25">
      <c r="B1412" s="798" t="s">
        <v>3831</v>
      </c>
      <c r="C1412" s="782">
        <v>97847</v>
      </c>
    </row>
    <row r="1413" spans="2:3" x14ac:dyDescent="0.25">
      <c r="B1413" s="798" t="s">
        <v>2324</v>
      </c>
      <c r="C1413" s="782">
        <v>97921</v>
      </c>
    </row>
    <row r="1414" spans="2:3" x14ac:dyDescent="0.25">
      <c r="B1414" s="798" t="s">
        <v>2325</v>
      </c>
      <c r="C1414" s="782">
        <v>95221</v>
      </c>
    </row>
    <row r="1415" spans="2:3" x14ac:dyDescent="0.25">
      <c r="B1415" s="798" t="s">
        <v>2326</v>
      </c>
      <c r="C1415" s="782">
        <v>93610</v>
      </c>
    </row>
    <row r="1416" spans="2:3" x14ac:dyDescent="0.25">
      <c r="B1416" s="798" t="s">
        <v>3832</v>
      </c>
      <c r="C1416" s="782">
        <v>95901</v>
      </c>
    </row>
    <row r="1417" spans="2:3" x14ac:dyDescent="0.25">
      <c r="B1417" s="798" t="s">
        <v>2084</v>
      </c>
      <c r="C1417" s="782">
        <v>90114</v>
      </c>
    </row>
    <row r="1418" spans="2:3" x14ac:dyDescent="0.25">
      <c r="B1418" s="798" t="s">
        <v>1667</v>
      </c>
      <c r="C1418" s="782">
        <v>96001</v>
      </c>
    </row>
    <row r="1419" spans="2:3" x14ac:dyDescent="0.25">
      <c r="B1419" s="798" t="s">
        <v>3833</v>
      </c>
      <c r="C1419" s="782">
        <v>96004</v>
      </c>
    </row>
    <row r="1420" spans="2:3" x14ac:dyDescent="0.25">
      <c r="B1420" s="798" t="s">
        <v>3834</v>
      </c>
      <c r="C1420" s="782">
        <v>96008</v>
      </c>
    </row>
    <row r="1421" spans="2:3" x14ac:dyDescent="0.25">
      <c r="B1421" s="798" t="s">
        <v>1259</v>
      </c>
      <c r="C1421" s="782">
        <v>91108</v>
      </c>
    </row>
    <row r="1422" spans="2:3" x14ac:dyDescent="0.25">
      <c r="B1422" s="798" t="s">
        <v>3835</v>
      </c>
      <c r="C1422" s="782">
        <v>94941</v>
      </c>
    </row>
    <row r="1423" spans="2:3" x14ac:dyDescent="0.25">
      <c r="B1423" s="798" t="s">
        <v>2327</v>
      </c>
      <c r="C1423" s="782">
        <v>95122</v>
      </c>
    </row>
    <row r="1424" spans="2:3" x14ac:dyDescent="0.25">
      <c r="B1424" s="798" t="s">
        <v>3836</v>
      </c>
      <c r="C1424" s="782">
        <v>92607</v>
      </c>
    </row>
    <row r="1425" spans="2:3" x14ac:dyDescent="0.25">
      <c r="B1425" s="798" t="s">
        <v>2328</v>
      </c>
      <c r="C1425" s="782">
        <v>96431</v>
      </c>
    </row>
    <row r="1426" spans="2:3" x14ac:dyDescent="0.25">
      <c r="B1426" s="798" t="s">
        <v>3534</v>
      </c>
      <c r="C1426" s="782">
        <v>90709</v>
      </c>
    </row>
    <row r="1427" spans="2:3" x14ac:dyDescent="0.25">
      <c r="B1427" s="798" t="s">
        <v>2329</v>
      </c>
      <c r="C1427" s="782">
        <v>91341</v>
      </c>
    </row>
    <row r="1428" spans="2:3" x14ac:dyDescent="0.25">
      <c r="B1428" s="798" t="s">
        <v>2330</v>
      </c>
      <c r="C1428" s="782">
        <v>92941</v>
      </c>
    </row>
    <row r="1429" spans="2:3" x14ac:dyDescent="0.25">
      <c r="B1429" s="798" t="s">
        <v>2331</v>
      </c>
      <c r="C1429" s="782">
        <v>94551</v>
      </c>
    </row>
    <row r="1430" spans="2:3" x14ac:dyDescent="0.25">
      <c r="B1430" s="798" t="s">
        <v>2332</v>
      </c>
      <c r="C1430" s="782">
        <v>99022</v>
      </c>
    </row>
    <row r="1431" spans="2:3" x14ac:dyDescent="0.25">
      <c r="B1431" s="798" t="s">
        <v>2333</v>
      </c>
      <c r="C1431" s="782">
        <v>96031</v>
      </c>
    </row>
    <row r="1432" spans="2:3" x14ac:dyDescent="0.25">
      <c r="B1432" s="798" t="s">
        <v>2334</v>
      </c>
      <c r="C1432" s="782">
        <v>98414</v>
      </c>
    </row>
    <row r="1433" spans="2:3" x14ac:dyDescent="0.25">
      <c r="B1433" s="798" t="s">
        <v>1682</v>
      </c>
      <c r="C1433" s="782">
        <v>96101</v>
      </c>
    </row>
    <row r="1434" spans="2:3" x14ac:dyDescent="0.25">
      <c r="B1434" s="798" t="s">
        <v>3837</v>
      </c>
      <c r="C1434" s="782">
        <v>96102</v>
      </c>
    </row>
    <row r="1435" spans="2:3" x14ac:dyDescent="0.25">
      <c r="B1435" s="798" t="s">
        <v>2335</v>
      </c>
      <c r="C1435" s="782">
        <v>93011</v>
      </c>
    </row>
    <row r="1436" spans="2:3" x14ac:dyDescent="0.25">
      <c r="B1436" s="798" t="s">
        <v>2336</v>
      </c>
      <c r="C1436" s="782">
        <v>99011</v>
      </c>
    </row>
    <row r="1437" spans="2:3" x14ac:dyDescent="0.25">
      <c r="B1437" s="798" t="s">
        <v>3838</v>
      </c>
      <c r="C1437" s="782">
        <v>99017</v>
      </c>
    </row>
    <row r="1438" spans="2:3" x14ac:dyDescent="0.25">
      <c r="B1438" s="798" t="s">
        <v>3839</v>
      </c>
      <c r="C1438" s="782">
        <v>99013</v>
      </c>
    </row>
    <row r="1439" spans="2:3" x14ac:dyDescent="0.25">
      <c r="B1439" s="798" t="s">
        <v>1686</v>
      </c>
      <c r="C1439" s="782">
        <v>96201</v>
      </c>
    </row>
    <row r="1440" spans="2:3" x14ac:dyDescent="0.25">
      <c r="B1440" s="798" t="s">
        <v>3840</v>
      </c>
      <c r="C1440" s="782">
        <v>96204</v>
      </c>
    </row>
    <row r="1441" spans="2:3" x14ac:dyDescent="0.25">
      <c r="B1441" s="798" t="s">
        <v>2337</v>
      </c>
      <c r="C1441" s="782">
        <v>91161</v>
      </c>
    </row>
    <row r="1442" spans="2:3" x14ac:dyDescent="0.25">
      <c r="B1442" s="798" t="s">
        <v>1693</v>
      </c>
      <c r="C1442" s="782">
        <v>96301</v>
      </c>
    </row>
    <row r="1443" spans="2:3" x14ac:dyDescent="0.25">
      <c r="B1443" s="798" t="s">
        <v>3841</v>
      </c>
      <c r="C1443" s="782">
        <v>96304</v>
      </c>
    </row>
    <row r="1444" spans="2:3" x14ac:dyDescent="0.25">
      <c r="B1444" s="798" t="s">
        <v>1697</v>
      </c>
      <c r="C1444" s="782">
        <v>96310</v>
      </c>
    </row>
    <row r="1445" spans="2:3" x14ac:dyDescent="0.25">
      <c r="B1445" s="798" t="s">
        <v>3842</v>
      </c>
      <c r="C1445" s="782">
        <v>96305</v>
      </c>
    </row>
    <row r="1446" spans="2:3" x14ac:dyDescent="0.25">
      <c r="B1446" s="798" t="s">
        <v>2338</v>
      </c>
      <c r="C1446" s="782">
        <v>94921</v>
      </c>
    </row>
    <row r="1447" spans="2:3" x14ac:dyDescent="0.25">
      <c r="B1447" s="798" t="s">
        <v>3843</v>
      </c>
      <c r="C1447" s="782">
        <v>94927</v>
      </c>
    </row>
    <row r="1448" spans="2:3" x14ac:dyDescent="0.25">
      <c r="B1448" s="798" t="s">
        <v>1595</v>
      </c>
      <c r="C1448" s="782">
        <v>94923</v>
      </c>
    </row>
    <row r="1449" spans="2:3" x14ac:dyDescent="0.25">
      <c r="B1449" s="798" t="s">
        <v>2339</v>
      </c>
      <c r="C1449" s="782">
        <v>91611</v>
      </c>
    </row>
    <row r="1450" spans="2:3" x14ac:dyDescent="0.25">
      <c r="B1450" s="798" t="s">
        <v>2340</v>
      </c>
      <c r="C1450" s="782">
        <v>91231</v>
      </c>
    </row>
    <row r="1451" spans="2:3" x14ac:dyDescent="0.25">
      <c r="B1451" s="798" t="s">
        <v>3844</v>
      </c>
      <c r="C1451" s="782">
        <v>91217</v>
      </c>
    </row>
    <row r="1452" spans="2:3" x14ac:dyDescent="0.25">
      <c r="B1452" s="798" t="s">
        <v>1284</v>
      </c>
      <c r="C1452" s="782">
        <v>91233</v>
      </c>
    </row>
    <row r="1453" spans="2:3" x14ac:dyDescent="0.25">
      <c r="B1453" s="798" t="s">
        <v>2341</v>
      </c>
      <c r="C1453" s="782">
        <v>99206</v>
      </c>
    </row>
    <row r="1454" spans="2:3" x14ac:dyDescent="0.25">
      <c r="B1454" s="798" t="s">
        <v>2342</v>
      </c>
      <c r="C1454" s="782">
        <v>90461</v>
      </c>
    </row>
    <row r="1455" spans="2:3" x14ac:dyDescent="0.25">
      <c r="B1455" s="798" t="s">
        <v>3845</v>
      </c>
      <c r="C1455" s="782">
        <v>98637</v>
      </c>
    </row>
    <row r="1456" spans="2:3" x14ac:dyDescent="0.25">
      <c r="B1456" s="798" t="s">
        <v>2343</v>
      </c>
      <c r="C1456" s="782">
        <v>96251</v>
      </c>
    </row>
    <row r="1457" spans="2:3" x14ac:dyDescent="0.25">
      <c r="B1457" s="798" t="s">
        <v>2344</v>
      </c>
      <c r="C1457" s="782">
        <v>99621</v>
      </c>
    </row>
    <row r="1458" spans="2:3" x14ac:dyDescent="0.25">
      <c r="B1458" s="798" t="s">
        <v>2345</v>
      </c>
      <c r="C1458" s="782">
        <v>91321</v>
      </c>
    </row>
    <row r="1459" spans="2:3" x14ac:dyDescent="0.25">
      <c r="B1459" s="798" t="s">
        <v>3846</v>
      </c>
      <c r="C1459" s="782">
        <v>98631</v>
      </c>
    </row>
    <row r="1460" spans="2:3" x14ac:dyDescent="0.25">
      <c r="B1460" s="798" t="s">
        <v>3847</v>
      </c>
      <c r="C1460" s="782">
        <v>93691</v>
      </c>
    </row>
    <row r="1461" spans="2:3" x14ac:dyDescent="0.25">
      <c r="B1461" s="798" t="s">
        <v>3848</v>
      </c>
      <c r="C1461" s="782">
        <v>99623</v>
      </c>
    </row>
    <row r="1462" spans="2:3" x14ac:dyDescent="0.25">
      <c r="B1462" s="798" t="s">
        <v>3849</v>
      </c>
      <c r="C1462" s="782">
        <v>91327</v>
      </c>
    </row>
    <row r="1463" spans="2:3" x14ac:dyDescent="0.25">
      <c r="B1463" s="798" t="s">
        <v>2346</v>
      </c>
      <c r="C1463" s="782">
        <v>94621</v>
      </c>
    </row>
    <row r="1464" spans="2:3" x14ac:dyDescent="0.25">
      <c r="B1464" s="798" t="s">
        <v>2347</v>
      </c>
      <c r="C1464" s="782">
        <v>92011</v>
      </c>
    </row>
    <row r="1465" spans="2:3" x14ac:dyDescent="0.25">
      <c r="B1465" s="798" t="s">
        <v>3850</v>
      </c>
      <c r="C1465" s="782">
        <v>92017</v>
      </c>
    </row>
    <row r="1466" spans="2:3" x14ac:dyDescent="0.25">
      <c r="B1466" s="798" t="s">
        <v>3851</v>
      </c>
      <c r="C1466" s="782">
        <v>99991</v>
      </c>
    </row>
    <row r="1467" spans="2:3" x14ac:dyDescent="0.25">
      <c r="B1467" s="798" t="s">
        <v>3852</v>
      </c>
      <c r="C1467" s="782">
        <v>99999</v>
      </c>
    </row>
    <row r="1468" spans="2:3" x14ac:dyDescent="0.25">
      <c r="B1468" s="798" t="s">
        <v>2348</v>
      </c>
      <c r="C1468" s="782">
        <v>92811</v>
      </c>
    </row>
    <row r="1469" spans="2:3" x14ac:dyDescent="0.25">
      <c r="B1469" s="798" t="s">
        <v>1348</v>
      </c>
      <c r="C1469" s="782">
        <v>92005</v>
      </c>
    </row>
    <row r="1470" spans="2:3" x14ac:dyDescent="0.25">
      <c r="B1470" s="798" t="s">
        <v>1708</v>
      </c>
      <c r="C1470" s="782">
        <v>96401</v>
      </c>
    </row>
    <row r="1471" spans="2:3" x14ac:dyDescent="0.25">
      <c r="B1471" s="798" t="s">
        <v>3853</v>
      </c>
      <c r="C1471" s="782">
        <v>96404</v>
      </c>
    </row>
    <row r="1472" spans="2:3" x14ac:dyDescent="0.25">
      <c r="B1472" s="798" t="s">
        <v>2349</v>
      </c>
      <c r="C1472" s="782">
        <v>96421</v>
      </c>
    </row>
    <row r="1473" spans="2:3" x14ac:dyDescent="0.25">
      <c r="B1473" s="798" t="s">
        <v>2350</v>
      </c>
      <c r="C1473" s="782">
        <v>91026</v>
      </c>
    </row>
    <row r="1474" spans="2:3" x14ac:dyDescent="0.25">
      <c r="B1474" s="798" t="s">
        <v>1633</v>
      </c>
      <c r="C1474" s="782">
        <v>95405</v>
      </c>
    </row>
    <row r="1475" spans="2:3" x14ac:dyDescent="0.25">
      <c r="B1475" s="798" t="s">
        <v>3854</v>
      </c>
      <c r="C1475" s="782">
        <v>94005</v>
      </c>
    </row>
    <row r="1476" spans="2:3" x14ac:dyDescent="0.25">
      <c r="B1476" s="798" t="s">
        <v>3855</v>
      </c>
      <c r="C1476" s="782">
        <v>95205</v>
      </c>
    </row>
    <row r="1477" spans="2:3" x14ac:dyDescent="0.25">
      <c r="B1477" s="798" t="s">
        <v>1383</v>
      </c>
      <c r="C1477" s="782">
        <v>92507</v>
      </c>
    </row>
    <row r="1478" spans="2:3" x14ac:dyDescent="0.25">
      <c r="B1478" s="798" t="s">
        <v>3856</v>
      </c>
      <c r="C1478" s="782">
        <v>92113</v>
      </c>
    </row>
    <row r="1479" spans="2:3" x14ac:dyDescent="0.25">
      <c r="B1479" s="798" t="s">
        <v>3857</v>
      </c>
      <c r="C1479" s="782">
        <v>96502</v>
      </c>
    </row>
    <row r="1480" spans="2:3" x14ac:dyDescent="0.25">
      <c r="B1480" s="798" t="s">
        <v>1717</v>
      </c>
      <c r="C1480" s="782">
        <v>96501</v>
      </c>
    </row>
    <row r="1481" spans="2:3" x14ac:dyDescent="0.25">
      <c r="B1481" s="798" t="s">
        <v>3858</v>
      </c>
      <c r="C1481" s="782">
        <v>96504</v>
      </c>
    </row>
    <row r="1482" spans="2:3" x14ac:dyDescent="0.25">
      <c r="B1482" s="798" t="s">
        <v>3859</v>
      </c>
      <c r="C1482" s="782">
        <v>97913</v>
      </c>
    </row>
    <row r="1483" spans="2:3" x14ac:dyDescent="0.25">
      <c r="B1483" s="798" t="s">
        <v>3860</v>
      </c>
      <c r="C1483" s="782">
        <v>92511</v>
      </c>
    </row>
    <row r="1484" spans="2:3" x14ac:dyDescent="0.25">
      <c r="B1484" s="798" t="s">
        <v>2351</v>
      </c>
      <c r="C1484" s="782">
        <v>90621</v>
      </c>
    </row>
    <row r="1485" spans="2:3" x14ac:dyDescent="0.25">
      <c r="B1485" s="798" t="s">
        <v>2352</v>
      </c>
      <c r="C1485" s="782">
        <v>91621</v>
      </c>
    </row>
    <row r="1486" spans="2:3" x14ac:dyDescent="0.25">
      <c r="B1486" s="798" t="s">
        <v>2353</v>
      </c>
      <c r="C1486" s="782">
        <v>91871</v>
      </c>
    </row>
    <row r="1487" spans="2:3" x14ac:dyDescent="0.25">
      <c r="B1487" s="798" t="s">
        <v>2354</v>
      </c>
      <c r="C1487" s="782">
        <v>98231</v>
      </c>
    </row>
    <row r="1488" spans="2:3" x14ac:dyDescent="0.25">
      <c r="B1488" s="798" t="s">
        <v>2355</v>
      </c>
      <c r="C1488" s="782">
        <v>99311</v>
      </c>
    </row>
    <row r="1489" spans="2:3" x14ac:dyDescent="0.25">
      <c r="B1489" s="798" t="s">
        <v>2356</v>
      </c>
      <c r="C1489" s="782">
        <v>96751</v>
      </c>
    </row>
    <row r="1490" spans="2:3" x14ac:dyDescent="0.25">
      <c r="B1490" s="798" t="s">
        <v>2357</v>
      </c>
      <c r="C1490" s="782">
        <v>99711</v>
      </c>
    </row>
    <row r="1491" spans="2:3" x14ac:dyDescent="0.25">
      <c r="B1491" s="798" t="s">
        <v>3861</v>
      </c>
      <c r="C1491" s="782">
        <v>99717</v>
      </c>
    </row>
    <row r="1492" spans="2:3" x14ac:dyDescent="0.25">
      <c r="B1492" s="798" t="s">
        <v>1729</v>
      </c>
      <c r="C1492" s="782">
        <v>96601</v>
      </c>
    </row>
    <row r="1493" spans="2:3" x14ac:dyDescent="0.25">
      <c r="B1493" s="798" t="s">
        <v>3862</v>
      </c>
      <c r="C1493" s="782">
        <v>96604</v>
      </c>
    </row>
    <row r="1494" spans="2:3" x14ac:dyDescent="0.25">
      <c r="B1494" s="798" t="s">
        <v>2358</v>
      </c>
      <c r="C1494" s="782">
        <v>91012</v>
      </c>
    </row>
    <row r="1495" spans="2:3" x14ac:dyDescent="0.25">
      <c r="B1495" s="798" t="s">
        <v>1181</v>
      </c>
      <c r="C1495" s="782">
        <v>90305</v>
      </c>
    </row>
    <row r="1496" spans="2:3" x14ac:dyDescent="0.25">
      <c r="B1496" s="798" t="s">
        <v>2359</v>
      </c>
      <c r="C1496" s="782">
        <v>98421</v>
      </c>
    </row>
    <row r="1497" spans="2:3" x14ac:dyDescent="0.25">
      <c r="B1497" s="798" t="s">
        <v>3863</v>
      </c>
      <c r="C1497" s="782">
        <v>98427</v>
      </c>
    </row>
    <row r="1498" spans="2:3" x14ac:dyDescent="0.25">
      <c r="B1498" s="798" t="s">
        <v>2360</v>
      </c>
      <c r="C1498" s="782">
        <v>95821</v>
      </c>
    </row>
    <row r="1499" spans="2:3" x14ac:dyDescent="0.25">
      <c r="B1499" s="798" t="s">
        <v>2361</v>
      </c>
      <c r="C1499" s="782">
        <v>91021</v>
      </c>
    </row>
    <row r="1500" spans="2:3" x14ac:dyDescent="0.25">
      <c r="B1500" s="798" t="s">
        <v>3864</v>
      </c>
      <c r="C1500" s="782">
        <v>91027</v>
      </c>
    </row>
    <row r="1501" spans="2:3" x14ac:dyDescent="0.25">
      <c r="B1501" s="798" t="s">
        <v>2362</v>
      </c>
      <c r="C1501" s="782">
        <v>94161</v>
      </c>
    </row>
    <row r="1502" spans="2:3" x14ac:dyDescent="0.25">
      <c r="B1502" s="798" t="s">
        <v>2363</v>
      </c>
      <c r="C1502" s="782">
        <v>98441</v>
      </c>
    </row>
    <row r="1503" spans="2:3" x14ac:dyDescent="0.25">
      <c r="B1503" s="798" t="s">
        <v>2364</v>
      </c>
      <c r="C1503" s="782">
        <v>91061</v>
      </c>
    </row>
    <row r="1504" spans="2:3" x14ac:dyDescent="0.25">
      <c r="B1504" s="798" t="s">
        <v>3865</v>
      </c>
      <c r="C1504" s="782">
        <v>91067</v>
      </c>
    </row>
    <row r="1505" spans="2:3" x14ac:dyDescent="0.25">
      <c r="B1505" s="798" t="s">
        <v>3866</v>
      </c>
      <c r="C1505" s="782">
        <v>94812</v>
      </c>
    </row>
    <row r="1506" spans="2:3" x14ac:dyDescent="0.25">
      <c r="B1506" s="798" t="s">
        <v>2365</v>
      </c>
      <c r="C1506" s="782">
        <v>95921</v>
      </c>
    </row>
    <row r="1507" spans="2:3" x14ac:dyDescent="0.25">
      <c r="B1507" s="798" t="s">
        <v>1740</v>
      </c>
      <c r="C1507" s="782">
        <v>96701</v>
      </c>
    </row>
    <row r="1508" spans="2:3" x14ac:dyDescent="0.25">
      <c r="B1508" s="798" t="s">
        <v>3867</v>
      </c>
      <c r="C1508" s="782">
        <v>96704</v>
      </c>
    </row>
    <row r="1509" spans="2:3" x14ac:dyDescent="0.25">
      <c r="B1509" s="798" t="s">
        <v>3868</v>
      </c>
      <c r="C1509" s="782">
        <v>96708</v>
      </c>
    </row>
    <row r="1510" spans="2:3" x14ac:dyDescent="0.25">
      <c r="B1510" s="798" t="s">
        <v>1749</v>
      </c>
      <c r="C1510" s="782">
        <v>96801</v>
      </c>
    </row>
    <row r="1511" spans="2:3" x14ac:dyDescent="0.25">
      <c r="B1511" s="798" t="s">
        <v>3869</v>
      </c>
      <c r="C1511" s="782">
        <v>96804</v>
      </c>
    </row>
    <row r="1512" spans="2:3" x14ac:dyDescent="0.25">
      <c r="B1512" s="798" t="s">
        <v>3870</v>
      </c>
      <c r="C1512" s="782">
        <v>96808</v>
      </c>
    </row>
    <row r="1513" spans="2:3" x14ac:dyDescent="0.25">
      <c r="B1513" s="798" t="s">
        <v>2366</v>
      </c>
      <c r="C1513" s="782">
        <v>96912</v>
      </c>
    </row>
    <row r="1514" spans="2:3" x14ac:dyDescent="0.25">
      <c r="B1514" s="798" t="s">
        <v>2367</v>
      </c>
      <c r="C1514" s="782">
        <v>93911</v>
      </c>
    </row>
    <row r="1515" spans="2:3" x14ac:dyDescent="0.25">
      <c r="B1515" s="798" t="s">
        <v>1509</v>
      </c>
      <c r="C1515" s="782">
        <v>93913</v>
      </c>
    </row>
    <row r="1516" spans="2:3" x14ac:dyDescent="0.25">
      <c r="B1516" s="798" t="s">
        <v>1755</v>
      </c>
      <c r="C1516" s="782">
        <v>96901</v>
      </c>
    </row>
    <row r="1517" spans="2:3" x14ac:dyDescent="0.25">
      <c r="B1517" s="798" t="s">
        <v>3871</v>
      </c>
      <c r="C1517" s="782">
        <v>97841</v>
      </c>
    </row>
    <row r="1518" spans="2:3" x14ac:dyDescent="0.25">
      <c r="B1518" s="798" t="s">
        <v>1444</v>
      </c>
      <c r="C1518" s="782">
        <v>93202</v>
      </c>
    </row>
    <row r="1519" spans="2:3" x14ac:dyDescent="0.25">
      <c r="B1519" s="798" t="s">
        <v>3537</v>
      </c>
      <c r="C1519" s="782">
        <v>93609</v>
      </c>
    </row>
    <row r="1520" spans="2:3" x14ac:dyDescent="0.25">
      <c r="B1520" s="798" t="s">
        <v>3872</v>
      </c>
      <c r="C1520" s="782">
        <v>97004</v>
      </c>
    </row>
    <row r="1521" spans="2:3" x14ac:dyDescent="0.25">
      <c r="B1521" s="798" t="s">
        <v>1759</v>
      </c>
      <c r="C1521" s="782">
        <v>97001</v>
      </c>
    </row>
    <row r="1522" spans="2:3" x14ac:dyDescent="0.25">
      <c r="B1522" s="798" t="s">
        <v>1760</v>
      </c>
      <c r="C1522" s="782">
        <v>97002</v>
      </c>
    </row>
    <row r="1523" spans="2:3" x14ac:dyDescent="0.25">
      <c r="B1523" s="798" t="s">
        <v>1768</v>
      </c>
      <c r="C1523" s="782">
        <v>97015</v>
      </c>
    </row>
    <row r="1524" spans="2:3" x14ac:dyDescent="0.25">
      <c r="B1524" s="798" t="s">
        <v>2368</v>
      </c>
      <c r="C1524" s="782">
        <v>90441</v>
      </c>
    </row>
    <row r="1525" spans="2:3" x14ac:dyDescent="0.25">
      <c r="B1525" s="798" t="s">
        <v>2369</v>
      </c>
      <c r="C1525" s="782">
        <v>97851</v>
      </c>
    </row>
    <row r="1526" spans="2:3" x14ac:dyDescent="0.25">
      <c r="B1526" s="798" t="s">
        <v>1838</v>
      </c>
      <c r="C1526" s="782">
        <v>97853</v>
      </c>
    </row>
    <row r="1527" spans="2:3" x14ac:dyDescent="0.25">
      <c r="B1527" s="798" t="s">
        <v>1770</v>
      </c>
      <c r="C1527" s="782">
        <v>97101</v>
      </c>
    </row>
    <row r="1528" spans="2:3" x14ac:dyDescent="0.25">
      <c r="B1528" s="798" t="s">
        <v>3873</v>
      </c>
      <c r="C1528" s="782">
        <v>97104</v>
      </c>
    </row>
    <row r="1529" spans="2:3" x14ac:dyDescent="0.25">
      <c r="B1529" s="798" t="s">
        <v>1775</v>
      </c>
      <c r="C1529" s="782">
        <v>97201</v>
      </c>
    </row>
    <row r="1530" spans="2:3" x14ac:dyDescent="0.25">
      <c r="B1530" s="798" t="s">
        <v>3874</v>
      </c>
      <c r="C1530" s="782">
        <v>97304</v>
      </c>
    </row>
    <row r="1531" spans="2:3" x14ac:dyDescent="0.25">
      <c r="B1531" s="798" t="s">
        <v>1780</v>
      </c>
      <c r="C1531" s="782">
        <v>97301</v>
      </c>
    </row>
    <row r="1532" spans="2:3" x14ac:dyDescent="0.25">
      <c r="B1532" s="798" t="s">
        <v>1977</v>
      </c>
      <c r="C1532" s="782">
        <v>99405</v>
      </c>
    </row>
    <row r="1533" spans="2:3" x14ac:dyDescent="0.25">
      <c r="B1533" s="798" t="s">
        <v>1159</v>
      </c>
      <c r="C1533" s="782">
        <v>72265</v>
      </c>
    </row>
    <row r="1534" spans="2:3" x14ac:dyDescent="0.25">
      <c r="B1534" s="798" t="s">
        <v>3875</v>
      </c>
      <c r="C1534" s="782">
        <v>94112</v>
      </c>
    </row>
    <row r="1535" spans="2:3" x14ac:dyDescent="0.25">
      <c r="B1535" s="798" t="s">
        <v>1463</v>
      </c>
      <c r="C1535" s="782">
        <v>93406</v>
      </c>
    </row>
    <row r="1536" spans="2:3" x14ac:dyDescent="0.25">
      <c r="B1536" s="798" t="s">
        <v>2370</v>
      </c>
      <c r="C1536" s="782">
        <v>99651</v>
      </c>
    </row>
    <row r="1537" spans="2:3" x14ac:dyDescent="0.25">
      <c r="B1537" s="798" t="s">
        <v>2371</v>
      </c>
      <c r="C1537" s="782">
        <v>98611</v>
      </c>
    </row>
    <row r="1538" spans="2:3" x14ac:dyDescent="0.25">
      <c r="B1538" s="798" t="s">
        <v>3876</v>
      </c>
      <c r="C1538" s="782">
        <v>98607</v>
      </c>
    </row>
    <row r="1539" spans="2:3" x14ac:dyDescent="0.25">
      <c r="B1539" s="798" t="s">
        <v>2372</v>
      </c>
      <c r="C1539" s="782">
        <v>91641</v>
      </c>
    </row>
    <row r="1540" spans="2:3" x14ac:dyDescent="0.25">
      <c r="B1540" s="798" t="s">
        <v>2373</v>
      </c>
      <c r="C1540" s="782">
        <v>95161</v>
      </c>
    </row>
    <row r="1541" spans="2:3" x14ac:dyDescent="0.25">
      <c r="B1541" s="798" t="s">
        <v>2374</v>
      </c>
      <c r="C1541" s="782">
        <v>96361</v>
      </c>
    </row>
    <row r="1542" spans="2:3" x14ac:dyDescent="0.25">
      <c r="B1542" s="798" t="s">
        <v>3877</v>
      </c>
      <c r="C1542" s="782">
        <v>94108</v>
      </c>
    </row>
    <row r="1543" spans="2:3" x14ac:dyDescent="0.25">
      <c r="B1543" s="798" t="s">
        <v>2375</v>
      </c>
      <c r="C1543" s="782">
        <v>96351</v>
      </c>
    </row>
    <row r="1544" spans="2:3" x14ac:dyDescent="0.25">
      <c r="B1544" s="798" t="s">
        <v>2376</v>
      </c>
      <c r="C1544" s="782">
        <v>93331</v>
      </c>
    </row>
    <row r="1545" spans="2:3" x14ac:dyDescent="0.25">
      <c r="B1545" s="798" t="s">
        <v>2377</v>
      </c>
      <c r="C1545" s="782">
        <v>96021</v>
      </c>
    </row>
    <row r="1546" spans="2:3" x14ac:dyDescent="0.25">
      <c r="B1546" s="798" t="s">
        <v>2378</v>
      </c>
      <c r="C1546" s="782">
        <v>95421</v>
      </c>
    </row>
    <row r="1547" spans="2:3" x14ac:dyDescent="0.25">
      <c r="B1547" s="798" t="s">
        <v>1783</v>
      </c>
      <c r="C1547" s="782">
        <v>97401</v>
      </c>
    </row>
    <row r="1548" spans="2:3" x14ac:dyDescent="0.25">
      <c r="B1548" s="798" t="s">
        <v>3878</v>
      </c>
      <c r="C1548" s="782">
        <v>97404</v>
      </c>
    </row>
    <row r="1549" spans="2:3" x14ac:dyDescent="0.25">
      <c r="B1549" s="798" t="s">
        <v>3879</v>
      </c>
      <c r="C1549" s="782">
        <v>97402</v>
      </c>
    </row>
    <row r="1550" spans="2:3" x14ac:dyDescent="0.25">
      <c r="B1550" s="798" t="s">
        <v>2379</v>
      </c>
      <c r="C1550" s="782">
        <v>91921</v>
      </c>
    </row>
    <row r="1551" spans="2:3" x14ac:dyDescent="0.25">
      <c r="B1551" s="798" t="s">
        <v>3880</v>
      </c>
      <c r="C1551" s="782">
        <v>95908</v>
      </c>
    </row>
    <row r="1552" spans="2:3" x14ac:dyDescent="0.25">
      <c r="B1552" s="798" t="s">
        <v>2380</v>
      </c>
      <c r="C1552" s="782">
        <v>99411</v>
      </c>
    </row>
    <row r="1553" spans="2:3" x14ac:dyDescent="0.25">
      <c r="B1553" s="798" t="s">
        <v>1979</v>
      </c>
      <c r="C1553" s="782">
        <v>99413</v>
      </c>
    </row>
    <row r="1554" spans="2:3" x14ac:dyDescent="0.25">
      <c r="B1554" s="798" t="s">
        <v>1800</v>
      </c>
      <c r="C1554" s="782">
        <v>97501</v>
      </c>
    </row>
    <row r="1555" spans="2:3" x14ac:dyDescent="0.25">
      <c r="B1555" s="798" t="s">
        <v>2381</v>
      </c>
      <c r="C1555" s="782">
        <v>90431</v>
      </c>
    </row>
    <row r="1556" spans="2:3" x14ac:dyDescent="0.25">
      <c r="B1556" s="798" t="s">
        <v>2382</v>
      </c>
      <c r="C1556" s="782">
        <v>95211</v>
      </c>
    </row>
    <row r="1557" spans="2:3" x14ac:dyDescent="0.25">
      <c r="B1557" s="798" t="s">
        <v>2383</v>
      </c>
      <c r="C1557" s="782">
        <v>95181</v>
      </c>
    </row>
    <row r="1558" spans="2:3" x14ac:dyDescent="0.25">
      <c r="B1558" s="798" t="s">
        <v>2384</v>
      </c>
      <c r="C1558" s="782">
        <v>93351</v>
      </c>
    </row>
    <row r="1559" spans="2:3" x14ac:dyDescent="0.25">
      <c r="B1559" s="798" t="s">
        <v>3881</v>
      </c>
      <c r="C1559" s="782">
        <v>95105</v>
      </c>
    </row>
    <row r="1560" spans="2:3" x14ac:dyDescent="0.25">
      <c r="B1560" s="798" t="s">
        <v>3882</v>
      </c>
      <c r="C1560" s="782">
        <v>92614</v>
      </c>
    </row>
    <row r="1561" spans="2:3" x14ac:dyDescent="0.25">
      <c r="B1561" s="798" t="s">
        <v>2385</v>
      </c>
      <c r="C1561" s="782">
        <v>94711</v>
      </c>
    </row>
    <row r="1562" spans="2:3" x14ac:dyDescent="0.25">
      <c r="B1562" s="798" t="s">
        <v>2386</v>
      </c>
      <c r="C1562" s="782">
        <v>99211</v>
      </c>
    </row>
    <row r="1563" spans="2:3" x14ac:dyDescent="0.25">
      <c r="B1563" s="798" t="s">
        <v>1960</v>
      </c>
      <c r="C1563" s="782">
        <v>99218</v>
      </c>
    </row>
    <row r="1564" spans="2:3" x14ac:dyDescent="0.25">
      <c r="B1564" s="798" t="s">
        <v>3883</v>
      </c>
      <c r="C1564" s="782">
        <v>99213</v>
      </c>
    </row>
    <row r="1565" spans="2:3" x14ac:dyDescent="0.25">
      <c r="B1565" s="798" t="s">
        <v>2387</v>
      </c>
      <c r="C1565" s="782">
        <v>97641</v>
      </c>
    </row>
    <row r="1566" spans="2:3" x14ac:dyDescent="0.25">
      <c r="B1566" s="798" t="s">
        <v>2388</v>
      </c>
      <c r="C1566" s="782">
        <v>97621</v>
      </c>
    </row>
    <row r="1567" spans="2:3" x14ac:dyDescent="0.25">
      <c r="B1567" s="798" t="s">
        <v>3884</v>
      </c>
      <c r="C1567" s="782">
        <v>97627</v>
      </c>
    </row>
    <row r="1568" spans="2:3" x14ac:dyDescent="0.25">
      <c r="B1568" s="798" t="s">
        <v>3885</v>
      </c>
      <c r="C1568" s="782">
        <v>97623</v>
      </c>
    </row>
    <row r="1569" spans="2:3" x14ac:dyDescent="0.25">
      <c r="B1569" s="798" t="s">
        <v>1804</v>
      </c>
      <c r="C1569" s="782">
        <v>97601</v>
      </c>
    </row>
    <row r="1570" spans="2:3" x14ac:dyDescent="0.25">
      <c r="B1570" s="798" t="s">
        <v>2389</v>
      </c>
      <c r="C1570" s="782">
        <v>93681</v>
      </c>
    </row>
    <row r="1571" spans="2:3" x14ac:dyDescent="0.25">
      <c r="B1571" s="798" t="s">
        <v>2390</v>
      </c>
      <c r="C1571" s="782">
        <v>97871</v>
      </c>
    </row>
    <row r="1572" spans="2:3" x14ac:dyDescent="0.25">
      <c r="B1572" s="798" t="s">
        <v>3886</v>
      </c>
      <c r="C1572" s="782">
        <v>97877</v>
      </c>
    </row>
    <row r="1573" spans="2:3" x14ac:dyDescent="0.25">
      <c r="B1573" s="798" t="s">
        <v>1983</v>
      </c>
      <c r="C1573" s="782">
        <v>99502</v>
      </c>
    </row>
    <row r="1574" spans="2:3" x14ac:dyDescent="0.25">
      <c r="B1574" s="798" t="s">
        <v>2391</v>
      </c>
      <c r="C1574" s="782">
        <v>97911</v>
      </c>
    </row>
    <row r="1575" spans="2:3" x14ac:dyDescent="0.25">
      <c r="B1575" s="798" t="s">
        <v>3887</v>
      </c>
      <c r="C1575" s="782">
        <v>97917</v>
      </c>
    </row>
    <row r="1576" spans="2:3" x14ac:dyDescent="0.25">
      <c r="B1576" s="798" t="s">
        <v>2392</v>
      </c>
      <c r="C1576" s="782">
        <v>96611</v>
      </c>
    </row>
    <row r="1577" spans="2:3" x14ac:dyDescent="0.25">
      <c r="B1577" s="798" t="s">
        <v>2393</v>
      </c>
      <c r="C1577" s="782">
        <v>96741</v>
      </c>
    </row>
    <row r="1578" spans="2:3" x14ac:dyDescent="0.25">
      <c r="B1578" s="798" t="s">
        <v>1816</v>
      </c>
      <c r="C1578" s="782">
        <v>97701</v>
      </c>
    </row>
    <row r="1579" spans="2:3" x14ac:dyDescent="0.25">
      <c r="B1579" s="798" t="s">
        <v>2394</v>
      </c>
      <c r="C1579" s="782">
        <v>92541</v>
      </c>
    </row>
    <row r="1580" spans="2:3" x14ac:dyDescent="0.25">
      <c r="B1580" s="798" t="s">
        <v>1540</v>
      </c>
      <c r="C1580" s="782">
        <v>94209</v>
      </c>
    </row>
    <row r="1581" spans="2:3" x14ac:dyDescent="0.25">
      <c r="B1581" s="798" t="s">
        <v>3888</v>
      </c>
      <c r="C1581" s="782">
        <v>94221</v>
      </c>
    </row>
    <row r="1582" spans="2:3" x14ac:dyDescent="0.25">
      <c r="B1582" s="798" t="s">
        <v>2395</v>
      </c>
      <c r="C1582" s="782">
        <v>96341</v>
      </c>
    </row>
    <row r="1583" spans="2:3" x14ac:dyDescent="0.25">
      <c r="B1583" s="798" t="s">
        <v>2396</v>
      </c>
      <c r="C1583" s="782">
        <v>93821</v>
      </c>
    </row>
    <row r="1584" spans="2:3" x14ac:dyDescent="0.25">
      <c r="B1584" s="798" t="s">
        <v>2397</v>
      </c>
      <c r="C1584" s="782">
        <v>95851</v>
      </c>
    </row>
    <row r="1585" spans="2:3" x14ac:dyDescent="0.25">
      <c r="B1585" s="798" t="s">
        <v>1662</v>
      </c>
      <c r="C1585" s="782">
        <v>95853</v>
      </c>
    </row>
    <row r="1586" spans="2:3" x14ac:dyDescent="0.25">
      <c r="B1586" s="798" t="s">
        <v>1824</v>
      </c>
      <c r="C1586" s="782">
        <v>97801</v>
      </c>
    </row>
    <row r="1587" spans="2:3" x14ac:dyDescent="0.25">
      <c r="B1587" s="798" t="s">
        <v>1826</v>
      </c>
      <c r="C1587" s="782">
        <v>97803</v>
      </c>
    </row>
    <row r="1588" spans="2:3" x14ac:dyDescent="0.25">
      <c r="B1588" s="798" t="s">
        <v>1827</v>
      </c>
      <c r="C1588" s="782">
        <v>97805</v>
      </c>
    </row>
    <row r="1589" spans="2:3" x14ac:dyDescent="0.25">
      <c r="B1589" s="798" t="s">
        <v>2398</v>
      </c>
      <c r="C1589" s="782">
        <v>97711</v>
      </c>
    </row>
    <row r="1590" spans="2:3" x14ac:dyDescent="0.25">
      <c r="B1590" s="798" t="s">
        <v>1842</v>
      </c>
      <c r="C1590" s="782">
        <v>97901</v>
      </c>
    </row>
    <row r="1591" spans="2:3" x14ac:dyDescent="0.25">
      <c r="B1591" s="798" t="s">
        <v>1819</v>
      </c>
      <c r="C1591" s="782">
        <v>97713</v>
      </c>
    </row>
    <row r="1592" spans="2:3" x14ac:dyDescent="0.25">
      <c r="B1592" s="798" t="s">
        <v>3889</v>
      </c>
      <c r="C1592" s="782">
        <v>97727</v>
      </c>
    </row>
    <row r="1593" spans="2:3" x14ac:dyDescent="0.25">
      <c r="B1593" s="798" t="s">
        <v>2399</v>
      </c>
      <c r="C1593" s="782">
        <v>98071</v>
      </c>
    </row>
    <row r="1594" spans="2:3" x14ac:dyDescent="0.25">
      <c r="B1594" s="798" t="s">
        <v>1456</v>
      </c>
      <c r="C1594" s="782">
        <v>93323</v>
      </c>
    </row>
    <row r="1595" spans="2:3" x14ac:dyDescent="0.25">
      <c r="B1595" s="798" t="s">
        <v>3890</v>
      </c>
      <c r="C1595" s="782">
        <v>93333</v>
      </c>
    </row>
    <row r="1596" spans="2:3" x14ac:dyDescent="0.25">
      <c r="B1596" s="798" t="s">
        <v>3891</v>
      </c>
      <c r="C1596" s="782">
        <v>93321</v>
      </c>
    </row>
    <row r="1597" spans="2:3" x14ac:dyDescent="0.25">
      <c r="B1597" s="798" t="s">
        <v>2400</v>
      </c>
      <c r="C1597" s="782">
        <v>99203</v>
      </c>
    </row>
    <row r="1598" spans="2:3" x14ac:dyDescent="0.25">
      <c r="B1598" s="798" t="s">
        <v>2401</v>
      </c>
      <c r="C1598" s="782">
        <v>99421</v>
      </c>
    </row>
    <row r="1599" spans="2:3" x14ac:dyDescent="0.25">
      <c r="B1599" s="798" t="s">
        <v>2402</v>
      </c>
      <c r="C1599" s="782">
        <v>93161</v>
      </c>
    </row>
    <row r="1600" spans="2:3" x14ac:dyDescent="0.25">
      <c r="B1600" s="798" t="s">
        <v>2403</v>
      </c>
      <c r="C1600" s="782">
        <v>98261</v>
      </c>
    </row>
    <row r="1601" spans="2:3" x14ac:dyDescent="0.25">
      <c r="B1601" s="798" t="s">
        <v>3892</v>
      </c>
      <c r="C1601" s="782">
        <v>98237</v>
      </c>
    </row>
    <row r="1602" spans="2:3" x14ac:dyDescent="0.25">
      <c r="B1602" s="798" t="s">
        <v>3893</v>
      </c>
      <c r="C1602" s="782">
        <v>98003</v>
      </c>
    </row>
    <row r="1603" spans="2:3" x14ac:dyDescent="0.25">
      <c r="B1603" s="798" t="s">
        <v>3894</v>
      </c>
      <c r="C1603" s="782">
        <v>98008</v>
      </c>
    </row>
    <row r="1604" spans="2:3" x14ac:dyDescent="0.25">
      <c r="B1604" s="798" t="s">
        <v>3895</v>
      </c>
      <c r="C1604" s="782">
        <v>98002</v>
      </c>
    </row>
    <row r="1605" spans="2:3" x14ac:dyDescent="0.25">
      <c r="B1605" s="798" t="s">
        <v>1853</v>
      </c>
      <c r="C1605" s="782">
        <v>98001</v>
      </c>
    </row>
    <row r="1606" spans="2:3" x14ac:dyDescent="0.25">
      <c r="B1606" s="798" t="s">
        <v>3896</v>
      </c>
      <c r="C1606" s="782">
        <v>98004</v>
      </c>
    </row>
    <row r="1607" spans="2:3" x14ac:dyDescent="0.25">
      <c r="B1607" s="798" t="s">
        <v>2404</v>
      </c>
      <c r="C1607" s="782">
        <v>97861</v>
      </c>
    </row>
    <row r="1608" spans="2:3" x14ac:dyDescent="0.25">
      <c r="B1608" s="798" t="s">
        <v>2405</v>
      </c>
      <c r="C1608" s="782">
        <v>97311</v>
      </c>
    </row>
    <row r="1609" spans="2:3" x14ac:dyDescent="0.25">
      <c r="B1609" s="798" t="s">
        <v>2406</v>
      </c>
      <c r="C1609" s="782">
        <v>93431</v>
      </c>
    </row>
    <row r="1610" spans="2:3" x14ac:dyDescent="0.25">
      <c r="B1610" s="798" t="s">
        <v>2407</v>
      </c>
      <c r="C1610" s="782">
        <v>91214</v>
      </c>
    </row>
    <row r="1611" spans="2:3" x14ac:dyDescent="0.25">
      <c r="B1611" s="798" t="s">
        <v>1868</v>
      </c>
      <c r="C1611" s="782">
        <v>98101</v>
      </c>
    </row>
    <row r="1612" spans="2:3" x14ac:dyDescent="0.25">
      <c r="B1612" s="798" t="s">
        <v>3897</v>
      </c>
      <c r="C1612" s="782">
        <v>98103</v>
      </c>
    </row>
    <row r="1613" spans="2:3" x14ac:dyDescent="0.25">
      <c r="B1613" s="798" t="s">
        <v>2408</v>
      </c>
      <c r="C1613" s="782">
        <v>98141</v>
      </c>
    </row>
    <row r="1614" spans="2:3" x14ac:dyDescent="0.25">
      <c r="B1614" s="798" t="s">
        <v>3898</v>
      </c>
      <c r="C1614" s="782">
        <v>98147</v>
      </c>
    </row>
    <row r="1615" spans="2:3" x14ac:dyDescent="0.25">
      <c r="B1615" s="798" t="s">
        <v>2409</v>
      </c>
      <c r="C1615" s="782">
        <v>98221</v>
      </c>
    </row>
    <row r="1616" spans="2:3" x14ac:dyDescent="0.25">
      <c r="B1616" s="798" t="s">
        <v>2410</v>
      </c>
      <c r="C1616" s="782">
        <v>98011</v>
      </c>
    </row>
    <row r="1617" spans="2:3" x14ac:dyDescent="0.25">
      <c r="B1617" s="798" t="s">
        <v>2411</v>
      </c>
      <c r="C1617" s="782">
        <v>97531</v>
      </c>
    </row>
    <row r="1618" spans="2:3" x14ac:dyDescent="0.25">
      <c r="B1618" s="798" t="s">
        <v>1880</v>
      </c>
      <c r="C1618" s="782">
        <v>98201</v>
      </c>
    </row>
    <row r="1619" spans="2:3" x14ac:dyDescent="0.25">
      <c r="B1619" s="798" t="s">
        <v>1817</v>
      </c>
      <c r="C1619" s="782">
        <v>97705</v>
      </c>
    </row>
    <row r="1620" spans="2:3" x14ac:dyDescent="0.25">
      <c r="B1620" s="798" t="s">
        <v>3539</v>
      </c>
      <c r="C1620" s="782">
        <v>96318</v>
      </c>
    </row>
    <row r="1621" spans="2:3" x14ac:dyDescent="0.25">
      <c r="B1621" s="798" t="s">
        <v>2412</v>
      </c>
      <c r="C1621" s="782">
        <v>95311</v>
      </c>
    </row>
    <row r="1622" spans="2:3" x14ac:dyDescent="0.25">
      <c r="B1622" s="798" t="s">
        <v>3899</v>
      </c>
      <c r="C1622" s="782">
        <v>95317</v>
      </c>
    </row>
    <row r="1623" spans="2:3" x14ac:dyDescent="0.25">
      <c r="B1623" s="798" t="s">
        <v>2413</v>
      </c>
      <c r="C1623" s="782">
        <v>91421</v>
      </c>
    </row>
    <row r="1624" spans="2:3" x14ac:dyDescent="0.25">
      <c r="B1624" s="798" t="s">
        <v>1891</v>
      </c>
      <c r="C1624" s="782">
        <v>98301</v>
      </c>
    </row>
    <row r="1625" spans="2:3" x14ac:dyDescent="0.25">
      <c r="B1625" s="798" t="s">
        <v>3900</v>
      </c>
      <c r="C1625" s="782">
        <v>98304</v>
      </c>
    </row>
    <row r="1626" spans="2:3" x14ac:dyDescent="0.25">
      <c r="B1626" s="798" t="s">
        <v>2414</v>
      </c>
      <c r="C1626" s="782">
        <v>94241</v>
      </c>
    </row>
    <row r="1627" spans="2:3" x14ac:dyDescent="0.25">
      <c r="B1627" s="798" t="s">
        <v>2415</v>
      </c>
      <c r="C1627" s="782">
        <v>96681</v>
      </c>
    </row>
    <row r="1628" spans="2:3" x14ac:dyDescent="0.25">
      <c r="B1628" s="798" t="s">
        <v>3901</v>
      </c>
      <c r="C1628" s="782">
        <v>72593</v>
      </c>
    </row>
    <row r="1629" spans="2:3" x14ac:dyDescent="0.25">
      <c r="B1629" s="798" t="s">
        <v>2416</v>
      </c>
      <c r="C1629" s="782">
        <v>95121</v>
      </c>
    </row>
    <row r="1630" spans="2:3" x14ac:dyDescent="0.25">
      <c r="B1630" s="798" t="s">
        <v>1614</v>
      </c>
      <c r="C1630" s="782">
        <v>95123</v>
      </c>
    </row>
    <row r="1631" spans="2:3" x14ac:dyDescent="0.25">
      <c r="B1631" s="798" t="s">
        <v>2417</v>
      </c>
      <c r="C1631" s="782">
        <v>99531</v>
      </c>
    </row>
    <row r="1632" spans="2:3" x14ac:dyDescent="0.25">
      <c r="B1632" s="798" t="s">
        <v>2418</v>
      </c>
      <c r="C1632" s="782">
        <v>96671</v>
      </c>
    </row>
    <row r="1633" spans="2:3" x14ac:dyDescent="0.25">
      <c r="B1633" s="798" t="s">
        <v>2419</v>
      </c>
      <c r="C1633" s="782">
        <v>91081</v>
      </c>
    </row>
    <row r="1634" spans="2:3" x14ac:dyDescent="0.25">
      <c r="B1634" s="798" t="s">
        <v>3902</v>
      </c>
      <c r="C1634" s="782">
        <v>91057</v>
      </c>
    </row>
    <row r="1635" spans="2:3" x14ac:dyDescent="0.25">
      <c r="B1635" s="798" t="s">
        <v>2420</v>
      </c>
      <c r="C1635" s="782">
        <v>96461</v>
      </c>
    </row>
    <row r="1636" spans="2:3" x14ac:dyDescent="0.25">
      <c r="B1636" s="798" t="s">
        <v>2421</v>
      </c>
      <c r="C1636" s="782">
        <v>92311</v>
      </c>
    </row>
    <row r="1637" spans="2:3" x14ac:dyDescent="0.25">
      <c r="B1637" s="798" t="s">
        <v>3903</v>
      </c>
      <c r="C1637" s="782">
        <v>92317</v>
      </c>
    </row>
    <row r="1638" spans="2:3" x14ac:dyDescent="0.25">
      <c r="B1638" s="798" t="s">
        <v>1786</v>
      </c>
      <c r="C1638" s="782">
        <v>97405</v>
      </c>
    </row>
    <row r="1639" spans="2:3" x14ac:dyDescent="0.25">
      <c r="B1639" s="798" t="s">
        <v>2422</v>
      </c>
      <c r="C1639" s="782">
        <v>91911</v>
      </c>
    </row>
    <row r="1640" spans="2:3" x14ac:dyDescent="0.25">
      <c r="B1640" s="798" t="s">
        <v>3904</v>
      </c>
      <c r="C1640" s="782">
        <v>91917</v>
      </c>
    </row>
    <row r="1641" spans="2:3" x14ac:dyDescent="0.25">
      <c r="B1641" s="798" t="s">
        <v>2423</v>
      </c>
      <c r="C1641" s="782">
        <v>97481</v>
      </c>
    </row>
    <row r="1642" spans="2:3" x14ac:dyDescent="0.25">
      <c r="B1642" s="798" t="s">
        <v>3905</v>
      </c>
      <c r="C1642" s="782">
        <v>91138</v>
      </c>
    </row>
    <row r="1643" spans="2:3" x14ac:dyDescent="0.25">
      <c r="B1643" s="798" t="s">
        <v>2424</v>
      </c>
      <c r="C1643" s="782">
        <v>95111</v>
      </c>
    </row>
    <row r="1644" spans="2:3" x14ac:dyDescent="0.25">
      <c r="B1644" s="798" t="s">
        <v>1611</v>
      </c>
      <c r="C1644" s="782">
        <v>95113</v>
      </c>
    </row>
    <row r="1645" spans="2:3" x14ac:dyDescent="0.25">
      <c r="B1645" s="798" t="s">
        <v>2425</v>
      </c>
      <c r="C1645" s="782">
        <v>94021</v>
      </c>
    </row>
    <row r="1646" spans="2:3" x14ac:dyDescent="0.25">
      <c r="B1646" s="798" t="s">
        <v>3906</v>
      </c>
      <c r="C1646" s="782">
        <v>90918</v>
      </c>
    </row>
    <row r="1647" spans="2:3" x14ac:dyDescent="0.25">
      <c r="B1647" s="798" t="s">
        <v>3907</v>
      </c>
      <c r="C1647" s="782">
        <v>93910</v>
      </c>
    </row>
    <row r="1648" spans="2:3" x14ac:dyDescent="0.25">
      <c r="B1648" s="798" t="s">
        <v>3540</v>
      </c>
      <c r="C1648" s="782">
        <v>91013</v>
      </c>
    </row>
    <row r="1649" spans="2:3" x14ac:dyDescent="0.25">
      <c r="B1649" s="798" t="s">
        <v>2426</v>
      </c>
      <c r="C1649" s="782">
        <v>96311</v>
      </c>
    </row>
    <row r="1650" spans="2:3" x14ac:dyDescent="0.25">
      <c r="B1650" s="798" t="s">
        <v>2427</v>
      </c>
      <c r="C1650" s="782">
        <v>92841</v>
      </c>
    </row>
    <row r="1651" spans="2:3" x14ac:dyDescent="0.25">
      <c r="B1651" s="798" t="s">
        <v>1994</v>
      </c>
      <c r="C1651" s="782">
        <v>99609</v>
      </c>
    </row>
    <row r="1652" spans="2:3" x14ac:dyDescent="0.25">
      <c r="B1652" s="798" t="s">
        <v>2428</v>
      </c>
      <c r="C1652" s="782">
        <v>91011</v>
      </c>
    </row>
    <row r="1653" spans="2:3" x14ac:dyDescent="0.25">
      <c r="B1653" s="798" t="s">
        <v>3908</v>
      </c>
      <c r="C1653" s="782">
        <v>91017</v>
      </c>
    </row>
    <row r="1654" spans="2:3" x14ac:dyDescent="0.25">
      <c r="B1654" s="798" t="s">
        <v>3909</v>
      </c>
      <c r="C1654" s="782">
        <v>95008</v>
      </c>
    </row>
    <row r="1655" spans="2:3" x14ac:dyDescent="0.25">
      <c r="B1655" s="798" t="s">
        <v>2429</v>
      </c>
      <c r="C1655" s="782">
        <v>72657</v>
      </c>
    </row>
    <row r="1656" spans="2:3" x14ac:dyDescent="0.25">
      <c r="B1656" s="798" t="s">
        <v>3910</v>
      </c>
      <c r="C1656" s="782">
        <v>90307</v>
      </c>
    </row>
    <row r="1657" spans="2:3" x14ac:dyDescent="0.25">
      <c r="B1657" s="798" t="s">
        <v>2430</v>
      </c>
      <c r="C1657" s="782">
        <v>98031</v>
      </c>
    </row>
    <row r="1658" spans="2:3" x14ac:dyDescent="0.25">
      <c r="B1658" s="798" t="s">
        <v>2431</v>
      </c>
      <c r="C1658" s="782">
        <v>98121</v>
      </c>
    </row>
    <row r="1659" spans="2:3" x14ac:dyDescent="0.25">
      <c r="B1659" s="798" t="s">
        <v>2432</v>
      </c>
      <c r="C1659" s="782">
        <v>96411</v>
      </c>
    </row>
    <row r="1660" spans="2:3" x14ac:dyDescent="0.25">
      <c r="B1660" s="798" t="s">
        <v>2433</v>
      </c>
      <c r="C1660" s="782">
        <v>92661</v>
      </c>
    </row>
    <row r="1661" spans="2:3" x14ac:dyDescent="0.25">
      <c r="B1661" s="798" t="s">
        <v>2434</v>
      </c>
      <c r="C1661" s="782">
        <v>96111</v>
      </c>
    </row>
    <row r="1662" spans="2:3" x14ac:dyDescent="0.25">
      <c r="B1662" s="798" t="s">
        <v>3911</v>
      </c>
      <c r="C1662" s="782">
        <v>91032</v>
      </c>
    </row>
    <row r="1663" spans="2:3" x14ac:dyDescent="0.25">
      <c r="B1663" s="798" t="s">
        <v>3912</v>
      </c>
      <c r="C1663" s="782">
        <v>97831</v>
      </c>
    </row>
    <row r="1664" spans="2:3" x14ac:dyDescent="0.25">
      <c r="B1664" s="798" t="s">
        <v>3913</v>
      </c>
      <c r="C1664" s="782">
        <v>97837</v>
      </c>
    </row>
    <row r="1665" spans="2:3" x14ac:dyDescent="0.25">
      <c r="B1665" s="798" t="s">
        <v>2435</v>
      </c>
      <c r="C1665" s="782">
        <v>96061</v>
      </c>
    </row>
    <row r="1666" spans="2:3" x14ac:dyDescent="0.25">
      <c r="B1666" s="798" t="s">
        <v>2436</v>
      </c>
      <c r="C1666" s="782">
        <v>98481</v>
      </c>
    </row>
    <row r="1667" spans="2:3" x14ac:dyDescent="0.25">
      <c r="B1667" s="798" t="s">
        <v>2437</v>
      </c>
      <c r="C1667" s="782">
        <v>93602</v>
      </c>
    </row>
    <row r="1668" spans="2:3" x14ac:dyDescent="0.25">
      <c r="B1668" s="798" t="s">
        <v>1898</v>
      </c>
      <c r="C1668" s="782">
        <v>98401</v>
      </c>
    </row>
    <row r="1669" spans="2:3" x14ac:dyDescent="0.25">
      <c r="B1669" s="798" t="s">
        <v>2438</v>
      </c>
      <c r="C1669" s="782">
        <v>99821</v>
      </c>
    </row>
    <row r="1670" spans="2:3" x14ac:dyDescent="0.25">
      <c r="B1670" s="798" t="s">
        <v>2439</v>
      </c>
      <c r="C1670" s="782">
        <v>96211</v>
      </c>
    </row>
    <row r="1671" spans="2:3" x14ac:dyDescent="0.25">
      <c r="B1671" s="798" t="s">
        <v>2440</v>
      </c>
      <c r="C1671" s="782">
        <v>94911</v>
      </c>
    </row>
    <row r="1672" spans="2:3" x14ac:dyDescent="0.25">
      <c r="B1672" s="798" t="s">
        <v>3914</v>
      </c>
      <c r="C1672" s="782">
        <v>94917</v>
      </c>
    </row>
    <row r="1673" spans="2:3" x14ac:dyDescent="0.25">
      <c r="B1673" s="798" t="s">
        <v>2441</v>
      </c>
      <c r="C1673" s="782">
        <v>92621</v>
      </c>
    </row>
    <row r="1674" spans="2:3" x14ac:dyDescent="0.25">
      <c r="B1674" s="798" t="s">
        <v>1907</v>
      </c>
      <c r="C1674" s="782">
        <v>98501</v>
      </c>
    </row>
    <row r="1675" spans="2:3" x14ac:dyDescent="0.25">
      <c r="B1675" s="798" t="s">
        <v>2442</v>
      </c>
      <c r="C1675" s="782">
        <v>97931</v>
      </c>
    </row>
    <row r="1676" spans="2:3" x14ac:dyDescent="0.25">
      <c r="B1676" s="798" t="s">
        <v>2443</v>
      </c>
      <c r="C1676" s="782">
        <v>93914</v>
      </c>
    </row>
    <row r="1677" spans="2:3" x14ac:dyDescent="0.25">
      <c r="B1677" s="798" t="s">
        <v>2444</v>
      </c>
      <c r="C1677" s="782">
        <v>90651</v>
      </c>
    </row>
    <row r="1678" spans="2:3" x14ac:dyDescent="0.25">
      <c r="B1678" s="798" t="s">
        <v>2445</v>
      </c>
      <c r="C1678" s="782">
        <v>94171</v>
      </c>
    </row>
    <row r="1679" spans="2:3" x14ac:dyDescent="0.25">
      <c r="B1679" s="798" t="s">
        <v>1536</v>
      </c>
      <c r="C1679" s="782">
        <v>94172</v>
      </c>
    </row>
    <row r="1680" spans="2:3" x14ac:dyDescent="0.25">
      <c r="B1680" s="798" t="s">
        <v>2446</v>
      </c>
      <c r="C1680" s="782">
        <v>91041</v>
      </c>
    </row>
    <row r="1681" spans="2:3" x14ac:dyDescent="0.25">
      <c r="B1681" s="798" t="s">
        <v>3915</v>
      </c>
      <c r="C1681" s="782">
        <v>91047</v>
      </c>
    </row>
    <row r="1682" spans="2:3" x14ac:dyDescent="0.25">
      <c r="B1682" s="798" t="s">
        <v>1774</v>
      </c>
      <c r="C1682" s="782">
        <v>97131</v>
      </c>
    </row>
    <row r="1683" spans="2:3" x14ac:dyDescent="0.25">
      <c r="B1683" s="798" t="s">
        <v>1911</v>
      </c>
      <c r="C1683" s="782">
        <v>98601</v>
      </c>
    </row>
    <row r="1684" spans="2:3" x14ac:dyDescent="0.25">
      <c r="B1684" s="798" t="s">
        <v>1921</v>
      </c>
      <c r="C1684" s="782">
        <v>98701</v>
      </c>
    </row>
    <row r="1685" spans="2:3" x14ac:dyDescent="0.25">
      <c r="B1685" s="798" t="s">
        <v>2447</v>
      </c>
      <c r="C1685" s="782">
        <v>96721</v>
      </c>
    </row>
    <row r="1686" spans="2:3" x14ac:dyDescent="0.25">
      <c r="B1686" s="798" t="s">
        <v>2448</v>
      </c>
      <c r="C1686" s="782">
        <v>95011</v>
      </c>
    </row>
    <row r="1687" spans="2:3" x14ac:dyDescent="0.25">
      <c r="B1687" s="798" t="s">
        <v>2449</v>
      </c>
      <c r="C1687" s="782">
        <v>92451</v>
      </c>
    </row>
    <row r="1688" spans="2:3" x14ac:dyDescent="0.25">
      <c r="B1688" s="798" t="s">
        <v>2450</v>
      </c>
      <c r="C1688" s="782">
        <v>93311</v>
      </c>
    </row>
    <row r="1689" spans="2:3" x14ac:dyDescent="0.25">
      <c r="B1689" s="798" t="s">
        <v>1454</v>
      </c>
      <c r="C1689" s="782">
        <v>93317</v>
      </c>
    </row>
    <row r="1690" spans="2:3" x14ac:dyDescent="0.25">
      <c r="B1690" s="798" t="s">
        <v>2451</v>
      </c>
      <c r="C1690" s="782">
        <v>90211</v>
      </c>
    </row>
    <row r="1691" spans="2:3" x14ac:dyDescent="0.25">
      <c r="B1691" s="798" t="s">
        <v>2452</v>
      </c>
      <c r="C1691" s="782">
        <v>96302</v>
      </c>
    </row>
    <row r="1692" spans="2:3" x14ac:dyDescent="0.25">
      <c r="B1692" s="798" t="s">
        <v>2453</v>
      </c>
      <c r="C1692" s="782">
        <v>93181</v>
      </c>
    </row>
    <row r="1693" spans="2:3" x14ac:dyDescent="0.25">
      <c r="B1693" s="798" t="s">
        <v>2454</v>
      </c>
      <c r="C1693" s="782">
        <v>92911</v>
      </c>
    </row>
    <row r="1694" spans="2:3" x14ac:dyDescent="0.25">
      <c r="B1694" s="798" t="s">
        <v>3916</v>
      </c>
      <c r="C1694" s="782">
        <v>92914</v>
      </c>
    </row>
    <row r="1695" spans="2:3" x14ac:dyDescent="0.25">
      <c r="B1695" s="798" t="s">
        <v>1419</v>
      </c>
      <c r="C1695" s="782">
        <v>92913</v>
      </c>
    </row>
    <row r="1696" spans="2:3" x14ac:dyDescent="0.25">
      <c r="B1696" s="798" t="s">
        <v>2455</v>
      </c>
      <c r="C1696" s="782">
        <v>93471</v>
      </c>
    </row>
    <row r="1697" spans="2:3" x14ac:dyDescent="0.25">
      <c r="B1697" s="798" t="s">
        <v>3917</v>
      </c>
      <c r="C1697" s="782">
        <v>90098</v>
      </c>
    </row>
    <row r="1698" spans="2:3" x14ac:dyDescent="0.25">
      <c r="B1698" s="798" t="s">
        <v>2456</v>
      </c>
      <c r="C1698" s="782">
        <v>97121</v>
      </c>
    </row>
    <row r="1699" spans="2:3" x14ac:dyDescent="0.25">
      <c r="B1699" s="798" t="s">
        <v>1924</v>
      </c>
      <c r="C1699" s="782">
        <v>98801</v>
      </c>
    </row>
    <row r="1700" spans="2:3" x14ac:dyDescent="0.25">
      <c r="B1700" s="798" t="s">
        <v>2457</v>
      </c>
      <c r="C1700" s="782">
        <v>92521</v>
      </c>
    </row>
    <row r="1701" spans="2:3" x14ac:dyDescent="0.25">
      <c r="B1701" s="798" t="s">
        <v>3541</v>
      </c>
      <c r="C1701" s="782">
        <v>93417</v>
      </c>
    </row>
    <row r="1702" spans="2:3" x14ac:dyDescent="0.25">
      <c r="B1702" s="798" t="s">
        <v>1449</v>
      </c>
      <c r="C1702" s="782">
        <v>93219</v>
      </c>
    </row>
    <row r="1703" spans="2:3" x14ac:dyDescent="0.25">
      <c r="B1703" s="798" t="s">
        <v>3542</v>
      </c>
      <c r="C1703" s="782">
        <v>92513</v>
      </c>
    </row>
    <row r="1704" spans="2:3" x14ac:dyDescent="0.25">
      <c r="B1704" s="798" t="s">
        <v>2458</v>
      </c>
      <c r="C1704" s="782">
        <v>97661</v>
      </c>
    </row>
    <row r="1705" spans="2:3" x14ac:dyDescent="0.25">
      <c r="B1705" s="798" t="s">
        <v>2459</v>
      </c>
      <c r="C1705" s="782">
        <v>94931</v>
      </c>
    </row>
    <row r="1706" spans="2:3" x14ac:dyDescent="0.25">
      <c r="B1706" s="798" t="s">
        <v>2460</v>
      </c>
      <c r="C1706" s="782">
        <v>96221</v>
      </c>
    </row>
    <row r="1707" spans="2:3" x14ac:dyDescent="0.25">
      <c r="B1707" s="798" t="s">
        <v>2461</v>
      </c>
      <c r="C1707" s="782">
        <v>97511</v>
      </c>
    </row>
    <row r="1708" spans="2:3" x14ac:dyDescent="0.25">
      <c r="B1708" s="798" t="s">
        <v>3918</v>
      </c>
      <c r="C1708" s="782">
        <v>95002</v>
      </c>
    </row>
    <row r="1709" spans="2:3" x14ac:dyDescent="0.25">
      <c r="B1709" s="798" t="s">
        <v>2462</v>
      </c>
      <c r="C1709" s="782">
        <v>98251</v>
      </c>
    </row>
    <row r="1710" spans="2:3" x14ac:dyDescent="0.25">
      <c r="B1710" s="798" t="s">
        <v>3919</v>
      </c>
      <c r="C1710" s="782">
        <v>98904</v>
      </c>
    </row>
    <row r="1711" spans="2:3" x14ac:dyDescent="0.25">
      <c r="B1711" s="798" t="s">
        <v>1927</v>
      </c>
      <c r="C1711" s="782">
        <v>98901</v>
      </c>
    </row>
    <row r="1712" spans="2:3" x14ac:dyDescent="0.25">
      <c r="B1712" s="798" t="s">
        <v>1930</v>
      </c>
      <c r="C1712" s="782">
        <v>99001</v>
      </c>
    </row>
    <row r="1713" spans="2:3" x14ac:dyDescent="0.25">
      <c r="B1713" s="798" t="s">
        <v>2463</v>
      </c>
      <c r="C1713" s="782">
        <v>99061</v>
      </c>
    </row>
    <row r="1714" spans="2:3" x14ac:dyDescent="0.25">
      <c r="B1714" s="798" t="s">
        <v>3920</v>
      </c>
      <c r="C1714" s="782">
        <v>93309</v>
      </c>
    </row>
    <row r="1715" spans="2:3" x14ac:dyDescent="0.25">
      <c r="B1715" s="798" t="s">
        <v>2464</v>
      </c>
      <c r="C1715" s="782">
        <v>91211</v>
      </c>
    </row>
    <row r="1716" spans="2:3" x14ac:dyDescent="0.25">
      <c r="B1716" s="798" t="s">
        <v>1279</v>
      </c>
      <c r="C1716" s="782">
        <v>91213</v>
      </c>
    </row>
    <row r="1717" spans="2:3" x14ac:dyDescent="0.25">
      <c r="B1717" s="798" t="s">
        <v>1944</v>
      </c>
      <c r="C1717" s="782">
        <v>99101</v>
      </c>
    </row>
    <row r="1718" spans="2:3" x14ac:dyDescent="0.25">
      <c r="B1718" s="798" t="s">
        <v>3921</v>
      </c>
      <c r="C1718" s="782">
        <v>99104</v>
      </c>
    </row>
    <row r="1719" spans="2:3" x14ac:dyDescent="0.25">
      <c r="B1719" s="798" t="s">
        <v>2465</v>
      </c>
      <c r="C1719" s="782">
        <v>92551</v>
      </c>
    </row>
    <row r="1720" spans="2:3" x14ac:dyDescent="0.25">
      <c r="B1720" s="798" t="s">
        <v>2466</v>
      </c>
      <c r="C1720" s="782">
        <v>96321</v>
      </c>
    </row>
    <row r="1721" spans="2:3" x14ac:dyDescent="0.25">
      <c r="B1721" s="798" t="s">
        <v>3922</v>
      </c>
      <c r="C1721" s="782">
        <v>95009</v>
      </c>
    </row>
    <row r="1722" spans="2:3" x14ac:dyDescent="0.25">
      <c r="B1722" s="798" t="s">
        <v>2467</v>
      </c>
      <c r="C1722" s="782">
        <v>92641</v>
      </c>
    </row>
    <row r="1723" spans="2:3" x14ac:dyDescent="0.25">
      <c r="B1723" s="798" t="s">
        <v>2468</v>
      </c>
      <c r="C1723" s="782">
        <v>90411</v>
      </c>
    </row>
    <row r="1724" spans="2:3" x14ac:dyDescent="0.25">
      <c r="B1724" s="798" t="s">
        <v>3923</v>
      </c>
      <c r="C1724" s="782">
        <v>90417</v>
      </c>
    </row>
    <row r="1725" spans="2:3" x14ac:dyDescent="0.25">
      <c r="B1725" s="798" t="s">
        <v>1185</v>
      </c>
      <c r="C1725" s="782">
        <v>90413</v>
      </c>
    </row>
    <row r="1726" spans="2:3" x14ac:dyDescent="0.25">
      <c r="B1726" s="798" t="s">
        <v>2469</v>
      </c>
      <c r="C1726" s="782">
        <v>98321</v>
      </c>
    </row>
    <row r="1727" spans="2:3" x14ac:dyDescent="0.25">
      <c r="B1727" s="798" t="s">
        <v>1949</v>
      </c>
      <c r="C1727" s="782">
        <v>99201</v>
      </c>
    </row>
    <row r="1728" spans="2:3" x14ac:dyDescent="0.25">
      <c r="B1728" s="798" t="s">
        <v>3924</v>
      </c>
      <c r="C1728" s="782">
        <v>99204</v>
      </c>
    </row>
    <row r="1729" spans="2:3" x14ac:dyDescent="0.25">
      <c r="B1729" s="798" t="s">
        <v>1954</v>
      </c>
      <c r="C1729" s="782">
        <v>99207</v>
      </c>
    </row>
    <row r="1730" spans="2:3" x14ac:dyDescent="0.25">
      <c r="B1730" s="798" t="s">
        <v>2470</v>
      </c>
      <c r="C1730" s="782">
        <v>99281</v>
      </c>
    </row>
    <row r="1731" spans="2:3" x14ac:dyDescent="0.25">
      <c r="B1731" s="798" t="s">
        <v>2471</v>
      </c>
      <c r="C1731" s="782">
        <v>93461</v>
      </c>
    </row>
    <row r="1732" spans="2:3" x14ac:dyDescent="0.25">
      <c r="B1732" s="798" t="s">
        <v>2472</v>
      </c>
      <c r="C1732" s="782">
        <v>93151</v>
      </c>
    </row>
    <row r="1733" spans="2:3" x14ac:dyDescent="0.25">
      <c r="B1733" s="798" t="s">
        <v>3925</v>
      </c>
      <c r="C1733" s="782">
        <v>93157</v>
      </c>
    </row>
    <row r="1734" spans="2:3" x14ac:dyDescent="0.25">
      <c r="B1734" s="798" t="s">
        <v>2473</v>
      </c>
      <c r="C1734" s="782">
        <v>98511</v>
      </c>
    </row>
    <row r="1735" spans="2:3" x14ac:dyDescent="0.25">
      <c r="B1735" s="798" t="s">
        <v>3926</v>
      </c>
      <c r="C1735" s="782">
        <v>98517</v>
      </c>
    </row>
    <row r="1736" spans="2:3" x14ac:dyDescent="0.25">
      <c r="B1736" s="798" t="s">
        <v>2474</v>
      </c>
      <c r="C1736" s="782">
        <v>99661</v>
      </c>
    </row>
    <row r="1737" spans="2:3" x14ac:dyDescent="0.25">
      <c r="B1737" s="798" t="s">
        <v>2475</v>
      </c>
      <c r="C1737" s="782">
        <v>94031</v>
      </c>
    </row>
    <row r="1738" spans="2:3" x14ac:dyDescent="0.25">
      <c r="B1738" s="798" t="s">
        <v>1971</v>
      </c>
      <c r="C1738" s="782">
        <v>99301</v>
      </c>
    </row>
    <row r="1739" spans="2:3" x14ac:dyDescent="0.25">
      <c r="B1739" s="798" t="s">
        <v>3927</v>
      </c>
      <c r="C1739" s="782">
        <v>99304</v>
      </c>
    </row>
    <row r="1740" spans="2:3" x14ac:dyDescent="0.25">
      <c r="B1740" s="798" t="s">
        <v>2476</v>
      </c>
      <c r="C1740" s="782">
        <v>99321</v>
      </c>
    </row>
    <row r="1741" spans="2:3" x14ac:dyDescent="0.25">
      <c r="B1741" s="798" t="s">
        <v>2477</v>
      </c>
      <c r="C1741" s="782">
        <v>93131</v>
      </c>
    </row>
    <row r="1742" spans="2:3" x14ac:dyDescent="0.25">
      <c r="B1742" s="798" t="s">
        <v>3928</v>
      </c>
      <c r="C1742" s="782">
        <v>93137</v>
      </c>
    </row>
    <row r="1743" spans="2:3" x14ac:dyDescent="0.25">
      <c r="B1743" s="798" t="s">
        <v>2478</v>
      </c>
      <c r="C1743" s="782">
        <v>90711</v>
      </c>
    </row>
    <row r="1744" spans="2:3" x14ac:dyDescent="0.25">
      <c r="B1744" s="798" t="s">
        <v>1975</v>
      </c>
      <c r="C1744" s="782">
        <v>99401</v>
      </c>
    </row>
    <row r="1745" spans="2:3" x14ac:dyDescent="0.25">
      <c r="B1745" s="798" t="s">
        <v>3929</v>
      </c>
      <c r="C1745" s="782">
        <v>99404</v>
      </c>
    </row>
    <row r="1746" spans="2:3" x14ac:dyDescent="0.25">
      <c r="B1746" s="798" t="s">
        <v>2479</v>
      </c>
      <c r="C1746" s="782">
        <v>90741</v>
      </c>
    </row>
    <row r="1747" spans="2:3" x14ac:dyDescent="0.25">
      <c r="B1747" s="798" t="s">
        <v>1982</v>
      </c>
      <c r="C1747" s="782">
        <v>99501</v>
      </c>
    </row>
    <row r="1748" spans="2:3" x14ac:dyDescent="0.25">
      <c r="B1748" s="798" t="s">
        <v>3930</v>
      </c>
      <c r="C1748" s="782">
        <v>99509</v>
      </c>
    </row>
    <row r="1749" spans="2:3" x14ac:dyDescent="0.25">
      <c r="B1749" s="798" t="s">
        <v>3931</v>
      </c>
      <c r="C1749" s="782">
        <v>91302</v>
      </c>
    </row>
    <row r="1750" spans="2:3" x14ac:dyDescent="0.25">
      <c r="B1750" s="798" t="s">
        <v>2480</v>
      </c>
      <c r="C1750" s="782">
        <v>99041</v>
      </c>
    </row>
    <row r="1751" spans="2:3" x14ac:dyDescent="0.25">
      <c r="B1751" s="798" t="s">
        <v>3932</v>
      </c>
      <c r="C1751" s="782">
        <v>99047</v>
      </c>
    </row>
    <row r="1752" spans="2:3" x14ac:dyDescent="0.25">
      <c r="B1752" s="798" t="s">
        <v>1990</v>
      </c>
      <c r="C1752" s="782">
        <v>99601</v>
      </c>
    </row>
    <row r="1753" spans="2:3" x14ac:dyDescent="0.25">
      <c r="B1753" s="798" t="s">
        <v>3933</v>
      </c>
      <c r="C1753" s="782">
        <v>99604</v>
      </c>
    </row>
    <row r="1754" spans="2:3" x14ac:dyDescent="0.25">
      <c r="B1754" s="798" t="s">
        <v>2481</v>
      </c>
      <c r="C1754" s="782">
        <v>94411</v>
      </c>
    </row>
    <row r="1755" spans="2:3" x14ac:dyDescent="0.25">
      <c r="B1755" s="798" t="s">
        <v>3934</v>
      </c>
      <c r="C1755" s="782">
        <v>94412</v>
      </c>
    </row>
    <row r="1756" spans="2:3" x14ac:dyDescent="0.25">
      <c r="B1756" s="798" t="s">
        <v>2482</v>
      </c>
      <c r="C1756" s="782">
        <v>91141</v>
      </c>
    </row>
    <row r="1757" spans="2:3" x14ac:dyDescent="0.25">
      <c r="B1757" s="798" t="s">
        <v>3935</v>
      </c>
      <c r="C1757" s="782">
        <v>91147</v>
      </c>
    </row>
    <row r="1758" spans="2:3" x14ac:dyDescent="0.25">
      <c r="B1758" s="798" t="s">
        <v>2483</v>
      </c>
      <c r="C1758" s="782">
        <v>99071</v>
      </c>
    </row>
    <row r="1759" spans="2:3" x14ac:dyDescent="0.25">
      <c r="B1759" s="798" t="s">
        <v>2484</v>
      </c>
      <c r="C1759" s="782">
        <v>94231</v>
      </c>
    </row>
    <row r="1760" spans="2:3" x14ac:dyDescent="0.25">
      <c r="B1760" s="798" t="s">
        <v>2485</v>
      </c>
      <c r="C1760" s="782">
        <v>99231</v>
      </c>
    </row>
    <row r="1761" spans="2:3" x14ac:dyDescent="0.25">
      <c r="B1761" s="798" t="s">
        <v>2486</v>
      </c>
      <c r="C1761" s="782">
        <v>99091</v>
      </c>
    </row>
    <row r="1762" spans="2:3" x14ac:dyDescent="0.25">
      <c r="B1762" s="798" t="s">
        <v>3936</v>
      </c>
      <c r="C1762" s="782">
        <v>91120</v>
      </c>
    </row>
    <row r="1763" spans="2:3" x14ac:dyDescent="0.25">
      <c r="B1763" s="798" t="s">
        <v>3544</v>
      </c>
      <c r="C1763" s="782">
        <v>92444</v>
      </c>
    </row>
    <row r="1764" spans="2:3" x14ac:dyDescent="0.25">
      <c r="B1764" s="798" t="s">
        <v>2487</v>
      </c>
      <c r="C1764" s="782">
        <v>90521</v>
      </c>
    </row>
    <row r="1765" spans="2:3" x14ac:dyDescent="0.25">
      <c r="B1765" s="798" t="s">
        <v>3937</v>
      </c>
      <c r="C1765" s="782">
        <v>90507</v>
      </c>
    </row>
    <row r="1766" spans="2:3" x14ac:dyDescent="0.25">
      <c r="B1766" s="798" t="s">
        <v>3938</v>
      </c>
      <c r="C1766" s="782">
        <v>92602</v>
      </c>
    </row>
    <row r="1767" spans="2:3" x14ac:dyDescent="0.25">
      <c r="B1767" s="798" t="s">
        <v>3939</v>
      </c>
      <c r="C1767" s="782">
        <v>91608</v>
      </c>
    </row>
    <row r="1768" spans="2:3" x14ac:dyDescent="0.25">
      <c r="B1768" s="798" t="s">
        <v>2488</v>
      </c>
      <c r="C1768" s="782">
        <v>91119</v>
      </c>
    </row>
    <row r="1769" spans="2:3" x14ac:dyDescent="0.25">
      <c r="B1769" s="798" t="s">
        <v>3940</v>
      </c>
      <c r="C1769" s="782">
        <v>91107</v>
      </c>
    </row>
    <row r="1770" spans="2:3" x14ac:dyDescent="0.25">
      <c r="B1770" s="798" t="s">
        <v>3941</v>
      </c>
      <c r="C1770" s="782">
        <v>91818</v>
      </c>
    </row>
    <row r="1771" spans="2:3" x14ac:dyDescent="0.25">
      <c r="B1771" s="798" t="s">
        <v>1332</v>
      </c>
      <c r="C1771" s="782">
        <v>91819</v>
      </c>
    </row>
    <row r="1772" spans="2:3" x14ac:dyDescent="0.25">
      <c r="B1772" s="798" t="s">
        <v>2489</v>
      </c>
      <c r="C1772" s="782">
        <v>96371</v>
      </c>
    </row>
    <row r="1773" spans="2:3" x14ac:dyDescent="0.25">
      <c r="B1773" s="798" t="s">
        <v>2490</v>
      </c>
      <c r="C1773" s="782">
        <v>96441</v>
      </c>
    </row>
    <row r="1774" spans="2:3" x14ac:dyDescent="0.25">
      <c r="B1774" s="798" t="s">
        <v>2491</v>
      </c>
      <c r="C1774" s="782">
        <v>90921</v>
      </c>
    </row>
    <row r="1775" spans="2:3" x14ac:dyDescent="0.25">
      <c r="B1775" s="798" t="s">
        <v>2492</v>
      </c>
      <c r="C1775" s="782">
        <v>92411</v>
      </c>
    </row>
    <row r="1776" spans="2:3" x14ac:dyDescent="0.25">
      <c r="B1776" s="798" t="s">
        <v>3942</v>
      </c>
      <c r="C1776" s="782">
        <v>92417</v>
      </c>
    </row>
    <row r="1777" spans="2:3" x14ac:dyDescent="0.25">
      <c r="B1777" s="798" t="s">
        <v>1368</v>
      </c>
      <c r="C1777" s="782">
        <v>92403</v>
      </c>
    </row>
    <row r="1778" spans="2:3" x14ac:dyDescent="0.25">
      <c r="B1778" s="798" t="s">
        <v>2002</v>
      </c>
      <c r="C1778" s="782">
        <v>99701</v>
      </c>
    </row>
    <row r="1779" spans="2:3" x14ac:dyDescent="0.25">
      <c r="B1779" s="798" t="s">
        <v>2493</v>
      </c>
      <c r="C1779" s="782">
        <v>99721</v>
      </c>
    </row>
    <row r="1780" spans="2:3" x14ac:dyDescent="0.25">
      <c r="B1780" s="798" t="s">
        <v>3943</v>
      </c>
      <c r="C1780" s="782">
        <v>99727</v>
      </c>
    </row>
    <row r="1781" spans="2:3" x14ac:dyDescent="0.25">
      <c r="B1781" s="798" t="s">
        <v>2494</v>
      </c>
      <c r="C1781" s="782">
        <v>95811</v>
      </c>
    </row>
    <row r="1782" spans="2:3" x14ac:dyDescent="0.25">
      <c r="B1782" s="798" t="s">
        <v>1657</v>
      </c>
      <c r="C1782" s="782">
        <v>95813</v>
      </c>
    </row>
    <row r="1783" spans="2:3" x14ac:dyDescent="0.25">
      <c r="B1783" s="798" t="s">
        <v>2495</v>
      </c>
      <c r="C1783" s="782">
        <v>96531</v>
      </c>
    </row>
    <row r="1784" spans="2:3" x14ac:dyDescent="0.25">
      <c r="B1784" s="798" t="s">
        <v>1719</v>
      </c>
      <c r="C1784" s="782">
        <v>96503</v>
      </c>
    </row>
    <row r="1785" spans="2:3" x14ac:dyDescent="0.25">
      <c r="B1785" s="798" t="s">
        <v>2496</v>
      </c>
      <c r="C1785" s="782">
        <v>99811</v>
      </c>
    </row>
    <row r="1786" spans="2:3" x14ac:dyDescent="0.25">
      <c r="B1786" s="798" t="s">
        <v>3944</v>
      </c>
      <c r="C1786" s="782">
        <v>99818</v>
      </c>
    </row>
    <row r="1787" spans="2:3" x14ac:dyDescent="0.25">
      <c r="B1787" s="798" t="s">
        <v>2008</v>
      </c>
      <c r="C1787" s="782">
        <v>99801</v>
      </c>
    </row>
    <row r="1788" spans="2:3" x14ac:dyDescent="0.25">
      <c r="B1788" s="798" t="s">
        <v>3945</v>
      </c>
      <c r="C1788" s="782">
        <v>99804</v>
      </c>
    </row>
    <row r="1789" spans="2:3" x14ac:dyDescent="0.25">
      <c r="B1789" s="798" t="s">
        <v>3946</v>
      </c>
      <c r="C1789" s="782">
        <v>99802</v>
      </c>
    </row>
    <row r="1790" spans="2:3" x14ac:dyDescent="0.25">
      <c r="B1790" s="798" t="s">
        <v>3947</v>
      </c>
      <c r="C1790" s="782">
        <v>99812</v>
      </c>
    </row>
    <row r="1791" spans="2:3" x14ac:dyDescent="0.25">
      <c r="B1791" s="798" t="s">
        <v>3948</v>
      </c>
      <c r="C1791" s="782">
        <v>95191</v>
      </c>
    </row>
    <row r="1792" spans="2:3" x14ac:dyDescent="0.25">
      <c r="B1792" s="798" t="s">
        <v>2497</v>
      </c>
      <c r="C1792" s="782">
        <v>90812</v>
      </c>
    </row>
    <row r="1793" spans="2:3" x14ac:dyDescent="0.25">
      <c r="B1793" s="798" t="s">
        <v>2498</v>
      </c>
      <c r="C1793" s="782">
        <v>97221</v>
      </c>
    </row>
    <row r="1794" spans="2:3" x14ac:dyDescent="0.25">
      <c r="B1794" s="798" t="s">
        <v>2499</v>
      </c>
      <c r="C1794" s="782">
        <v>99031</v>
      </c>
    </row>
    <row r="1795" spans="2:3" x14ac:dyDescent="0.25">
      <c r="B1795" s="798" t="s">
        <v>2500</v>
      </c>
      <c r="C1795" s="782">
        <v>93411</v>
      </c>
    </row>
    <row r="1796" spans="2:3" x14ac:dyDescent="0.25">
      <c r="B1796" s="798" t="s">
        <v>1465</v>
      </c>
      <c r="C1796" s="782">
        <v>93413</v>
      </c>
    </row>
    <row r="1797" spans="2:3" x14ac:dyDescent="0.25">
      <c r="B1797" s="798" t="s">
        <v>2501</v>
      </c>
      <c r="C1797" s="782">
        <v>97451</v>
      </c>
    </row>
    <row r="1798" spans="2:3" x14ac:dyDescent="0.25">
      <c r="B1798" s="798" t="s">
        <v>2502</v>
      </c>
      <c r="C1798" s="782">
        <v>94631</v>
      </c>
    </row>
    <row r="1799" spans="2:3" x14ac:dyDescent="0.25">
      <c r="B1799" s="798" t="s">
        <v>2503</v>
      </c>
      <c r="C1799" s="782">
        <v>91171</v>
      </c>
    </row>
    <row r="1800" spans="2:3" x14ac:dyDescent="0.25">
      <c r="B1800" s="798" t="s">
        <v>1257</v>
      </c>
      <c r="C1800" s="782">
        <v>91104</v>
      </c>
    </row>
    <row r="1801" spans="2:3" x14ac:dyDescent="0.25">
      <c r="B1801" s="798" t="s">
        <v>3949</v>
      </c>
      <c r="C1801" s="782">
        <v>91109</v>
      </c>
    </row>
    <row r="1802" spans="2:3" x14ac:dyDescent="0.25">
      <c r="B1802" s="798" t="s">
        <v>2504</v>
      </c>
      <c r="C1802" s="782">
        <v>96621</v>
      </c>
    </row>
    <row r="1803" spans="2:3" x14ac:dyDescent="0.25">
      <c r="B1803" s="798" t="s">
        <v>2505</v>
      </c>
      <c r="C1803" s="782">
        <v>96511</v>
      </c>
    </row>
    <row r="1804" spans="2:3" x14ac:dyDescent="0.25">
      <c r="B1804" s="798" t="s">
        <v>2018</v>
      </c>
      <c r="C1804" s="782">
        <v>99901</v>
      </c>
    </row>
    <row r="1805" spans="2:3" x14ac:dyDescent="0.25">
      <c r="B1805" s="798" t="s">
        <v>3545</v>
      </c>
      <c r="C1805" s="782">
        <v>98604</v>
      </c>
    </row>
    <row r="1806" spans="2:3" x14ac:dyDescent="0.25">
      <c r="B1806" s="798" t="s">
        <v>1913</v>
      </c>
      <c r="C1806" s="782">
        <v>98608</v>
      </c>
    </row>
    <row r="1807" spans="2:3" x14ac:dyDescent="0.25">
      <c r="B1807" s="798" t="s">
        <v>2506</v>
      </c>
      <c r="C1807" s="782">
        <v>99911</v>
      </c>
    </row>
    <row r="1808" spans="2:3" x14ac:dyDescent="0.25">
      <c r="B1808" s="798" t="s">
        <v>1161</v>
      </c>
      <c r="C1808" s="782">
        <v>90001</v>
      </c>
    </row>
    <row r="1809" spans="2:3" x14ac:dyDescent="0.25">
      <c r="B1809" s="798" t="s">
        <v>3950</v>
      </c>
      <c r="C1809" s="782">
        <v>90002</v>
      </c>
    </row>
    <row r="1810" spans="2:3" x14ac:dyDescent="0.25">
      <c r="B1810" s="798" t="s">
        <v>2507</v>
      </c>
      <c r="C1810" s="782">
        <v>91719</v>
      </c>
    </row>
    <row r="1811" spans="2:3" x14ac:dyDescent="0.25">
      <c r="B1811" s="798" t="s">
        <v>2508</v>
      </c>
      <c r="C1811" s="782">
        <v>93541</v>
      </c>
    </row>
    <row r="1812" spans="2:3" x14ac:dyDescent="0.25">
      <c r="B1812" s="798" t="s">
        <v>2509</v>
      </c>
      <c r="C1812" s="782">
        <v>99241</v>
      </c>
    </row>
    <row r="1813" spans="2:3" x14ac:dyDescent="0.25">
      <c r="B1813" s="642" t="s">
        <v>2620</v>
      </c>
      <c r="C1813" s="668" t="s">
        <v>2621</v>
      </c>
    </row>
  </sheetData>
  <sheetProtection algorithmName="SHA-512" hashValue="/ck1kxc/9YBcySa4UEh8d/Okqvuh3x2nGriAiNI4GfeyxGpFDCsDzCugAEBqvjRr7DN9Il9KTYi+RcNVmBF5jg==" saltValue="n8Dy1IKMB2MQrhLAvN5cDg==" spinCount="100000" sheet="1" objects="1" scenarios="1"/>
  <customSheetViews>
    <customSheetView guid="{D2B860EA-92EC-4999-9A59-C624E1F8C7FB}" state="hidden">
      <selection activeCell="B5" sqref="B5"/>
      <pageMargins left="0.7" right="0.7" top="0.75" bottom="0.75" header="0.3" footer="0.3"/>
    </customSheetView>
    <customSheetView guid="{C1197650-3ED8-49E4-8E4C-0D1D4B503FC0}" state="hidden">
      <selection activeCell="B5" sqref="B5"/>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451"/>
  <sheetViews>
    <sheetView topLeftCell="B1" workbookViewId="0">
      <pane xSplit="6720" ySplit="1920" topLeftCell="AR199" activePane="bottomRight"/>
      <selection activeCell="BH97" sqref="BH97"/>
      <selection pane="topRight" activeCell="D1" sqref="D1"/>
      <selection pane="bottomLeft" activeCell="C149" sqref="C149"/>
      <selection pane="bottomRight" activeCell="BD391" sqref="BD391"/>
    </sheetView>
  </sheetViews>
  <sheetFormatPr defaultRowHeight="12.75" x14ac:dyDescent="0.2"/>
  <cols>
    <col min="1" max="1" width="2.7109375" customWidth="1"/>
    <col min="2" max="2" width="2.28515625" customWidth="1"/>
    <col min="3" max="3" width="44.5703125" customWidth="1"/>
    <col min="4" max="6" width="13.42578125" style="520" customWidth="1"/>
    <col min="7" max="7" width="12.28515625" style="520" customWidth="1"/>
    <col min="8" max="8" width="10.7109375" style="369" customWidth="1"/>
    <col min="9" max="9" width="10.28515625" style="369" customWidth="1"/>
    <col min="10" max="10" width="7.28515625" style="369" customWidth="1"/>
    <col min="11" max="11" width="9.42578125" style="369" customWidth="1"/>
    <col min="12" max="12" width="9" style="369" customWidth="1"/>
    <col min="13" max="13" width="9.5703125" style="369" customWidth="1"/>
    <col min="14" max="14" width="10.5703125" style="369" customWidth="1"/>
    <col min="15" max="15" width="12" style="369" customWidth="1"/>
    <col min="16" max="16" width="8.5703125" style="480" customWidth="1"/>
    <col min="17" max="23" width="9" style="480" customWidth="1"/>
    <col min="24" max="25" width="10.28515625" style="480" customWidth="1"/>
    <col min="26" max="27" width="11.28515625" style="480" customWidth="1"/>
    <col min="28" max="28" width="10.28515625" style="480" customWidth="1"/>
    <col min="29" max="29" width="12" style="480" customWidth="1"/>
    <col min="30" max="30" width="10.28515625" style="369" customWidth="1"/>
    <col min="31" max="31" width="9.7109375" style="369" customWidth="1"/>
    <col min="32" max="32" width="9" style="369" customWidth="1"/>
    <col min="33" max="33" width="9.42578125" style="369" customWidth="1"/>
    <col min="34" max="35" width="12.28515625" style="369" customWidth="1"/>
    <col min="36" max="37" width="13.42578125" style="369" customWidth="1"/>
    <col min="38" max="38" width="16" style="369" customWidth="1"/>
    <col min="39" max="39" width="18.140625" style="369" customWidth="1"/>
    <col min="40" max="40" width="20" style="369" customWidth="1"/>
    <col min="41" max="41" width="12.7109375" style="369" customWidth="1"/>
    <col min="42" max="42" width="4.7109375" style="444" customWidth="1"/>
    <col min="43" max="43" width="13.140625" style="480" customWidth="1"/>
    <col min="44" max="44" width="0.85546875" style="369" customWidth="1"/>
    <col min="45" max="45" width="4.7109375" style="444" customWidth="1"/>
    <col min="46" max="46" width="13.140625" style="480" customWidth="1"/>
    <col min="47" max="47" width="5.140625" style="444" customWidth="1"/>
    <col min="48" max="48" width="12.5703125" style="369" customWidth="1"/>
    <col min="49" max="49" width="0.85546875" style="369" customWidth="1"/>
    <col min="50" max="50" width="5.140625" style="444" customWidth="1"/>
    <col min="51" max="51" width="12.5703125" style="369" customWidth="1"/>
    <col min="52" max="53" width="11.28515625" style="369" customWidth="1"/>
    <col min="54" max="54" width="14.28515625" style="489" customWidth="1"/>
    <col min="55" max="55" width="14.140625" style="489" customWidth="1"/>
    <col min="56" max="56" width="12.85546875" style="369" customWidth="1"/>
    <col min="57" max="57" width="13" style="369" bestFit="1" customWidth="1"/>
    <col min="58" max="59" width="13.7109375" style="480" bestFit="1" customWidth="1"/>
    <col min="60" max="60" width="14.5703125" style="936" customWidth="1"/>
    <col min="61" max="61" width="14" style="938" customWidth="1"/>
    <col min="62" max="62" width="14.85546875" style="949" customWidth="1"/>
  </cols>
  <sheetData>
    <row r="1" spans="1:61" x14ac:dyDescent="0.2">
      <c r="A1" s="22"/>
      <c r="B1" s="13"/>
      <c r="C1" s="20"/>
      <c r="D1" s="1033" t="s">
        <v>199</v>
      </c>
      <c r="E1" s="1034"/>
      <c r="F1" s="1034"/>
      <c r="G1" s="1034"/>
      <c r="H1" s="1035"/>
      <c r="I1" s="1035"/>
      <c r="J1" s="1035"/>
      <c r="K1" s="1036"/>
      <c r="L1" s="1034" t="s">
        <v>199</v>
      </c>
      <c r="M1" s="1034"/>
      <c r="N1" s="1035"/>
      <c r="O1" s="1035"/>
      <c r="P1" s="1035"/>
      <c r="Q1" s="376"/>
      <c r="R1" s="376"/>
      <c r="S1" s="376"/>
      <c r="T1" s="376"/>
      <c r="U1" s="376"/>
      <c r="V1" s="376"/>
      <c r="W1" s="376"/>
      <c r="X1" s="376"/>
      <c r="Y1" s="376"/>
      <c r="Z1" s="376"/>
      <c r="AA1" s="376"/>
      <c r="AB1" s="376"/>
      <c r="AC1" s="376"/>
      <c r="AD1" s="377"/>
      <c r="AE1" s="377"/>
      <c r="AF1" s="377"/>
      <c r="AG1" s="377"/>
      <c r="AH1" s="1090" t="s">
        <v>248</v>
      </c>
      <c r="AI1" s="1091"/>
      <c r="AJ1" s="1086" t="s">
        <v>249</v>
      </c>
      <c r="AK1" s="1087"/>
      <c r="AL1" s="1080" t="s">
        <v>4026</v>
      </c>
      <c r="AM1" s="1081"/>
      <c r="AN1" s="380" t="s">
        <v>200</v>
      </c>
      <c r="AO1" s="381"/>
      <c r="AP1" s="1074" t="s">
        <v>890</v>
      </c>
      <c r="AQ1" s="1075"/>
      <c r="AR1" s="1075"/>
      <c r="AS1" s="1075"/>
      <c r="AT1" s="1075"/>
      <c r="AU1" s="1063" t="s">
        <v>891</v>
      </c>
      <c r="AV1" s="1046"/>
      <c r="AW1" s="1046"/>
      <c r="AX1" s="1046"/>
      <c r="AY1" s="1064"/>
      <c r="AZ1" s="382" t="s">
        <v>79</v>
      </c>
      <c r="BA1" s="382"/>
      <c r="BB1" s="1047" t="s">
        <v>493</v>
      </c>
      <c r="BC1" s="1048"/>
      <c r="BD1" s="383"/>
      <c r="BE1" s="1045" t="s">
        <v>681</v>
      </c>
      <c r="BF1" s="1046"/>
      <c r="BG1" s="384"/>
    </row>
    <row r="2" spans="1:61" ht="23.25" customHeight="1" thickBot="1" x14ac:dyDescent="0.25">
      <c r="A2" s="19"/>
      <c r="C2" s="209" t="s">
        <v>78</v>
      </c>
      <c r="D2" s="385"/>
      <c r="E2" s="386"/>
      <c r="F2" s="386"/>
      <c r="G2" s="386"/>
      <c r="H2" s="387"/>
      <c r="I2" s="387"/>
      <c r="J2" s="387"/>
      <c r="K2" s="388"/>
      <c r="L2" s="389"/>
      <c r="M2" s="389"/>
      <c r="N2" s="389"/>
      <c r="O2" s="389"/>
      <c r="P2" s="390"/>
      <c r="Q2" s="390"/>
      <c r="R2" s="390"/>
      <c r="S2" s="390"/>
      <c r="T2" s="390"/>
      <c r="U2" s="390"/>
      <c r="V2" s="390"/>
      <c r="W2" s="390"/>
      <c r="X2" s="390"/>
      <c r="Y2" s="390"/>
      <c r="Z2" s="390"/>
      <c r="AA2" s="390"/>
      <c r="AB2" s="390"/>
      <c r="AC2" s="390"/>
      <c r="AD2" s="389"/>
      <c r="AE2" s="389"/>
      <c r="AF2" s="389"/>
      <c r="AG2" s="389"/>
      <c r="AH2" s="1092" t="s">
        <v>250</v>
      </c>
      <c r="AI2" s="1093"/>
      <c r="AJ2" s="1088"/>
      <c r="AK2" s="1089"/>
      <c r="AL2" s="1082"/>
      <c r="AM2" s="1083"/>
      <c r="AN2" s="1049" t="s">
        <v>89</v>
      </c>
      <c r="AO2" s="1050"/>
      <c r="AP2" s="1066" t="s">
        <v>3974</v>
      </c>
      <c r="AQ2" s="1076"/>
      <c r="AR2" s="1076"/>
      <c r="AS2" s="1076"/>
      <c r="AT2" s="1076"/>
      <c r="AU2" s="1065" t="s">
        <v>689</v>
      </c>
      <c r="AV2" s="1066"/>
      <c r="AW2" s="1066"/>
      <c r="AX2" s="1066"/>
      <c r="AY2" s="1067"/>
      <c r="AZ2" s="391" t="s">
        <v>80</v>
      </c>
      <c r="BA2" s="391"/>
      <c r="BB2" s="392"/>
      <c r="BC2" s="393"/>
      <c r="BD2" s="394"/>
      <c r="BE2" s="394"/>
      <c r="BF2" s="395"/>
      <c r="BG2" s="396"/>
    </row>
    <row r="3" spans="1:61" ht="17.25" customHeight="1" x14ac:dyDescent="0.2">
      <c r="A3" s="19"/>
      <c r="C3" s="209" t="s">
        <v>538</v>
      </c>
      <c r="D3" s="1041" t="s">
        <v>124</v>
      </c>
      <c r="E3" s="1042"/>
      <c r="F3" s="1042"/>
      <c r="G3" s="1042"/>
      <c r="H3" s="1043"/>
      <c r="I3" s="1043"/>
      <c r="J3" s="1043"/>
      <c r="K3" s="1044"/>
      <c r="L3" s="1084" t="s">
        <v>125</v>
      </c>
      <c r="M3" s="1043"/>
      <c r="N3" s="1043"/>
      <c r="O3" s="1043"/>
      <c r="P3" s="1043"/>
      <c r="Q3" s="1043"/>
      <c r="R3" s="1043"/>
      <c r="S3" s="1043"/>
      <c r="T3" s="1043"/>
      <c r="U3" s="1043"/>
      <c r="V3" s="1043"/>
      <c r="W3" s="1043"/>
      <c r="X3" s="1043"/>
      <c r="Y3" s="1043"/>
      <c r="Z3" s="374"/>
      <c r="AA3" s="374"/>
      <c r="AB3" s="374"/>
      <c r="AC3" s="374"/>
      <c r="AD3" s="375"/>
      <c r="AE3" s="375"/>
      <c r="AF3" s="375"/>
      <c r="AG3" s="375"/>
      <c r="AH3" s="378"/>
      <c r="AI3" s="379"/>
      <c r="AJ3" s="1051" t="s">
        <v>126</v>
      </c>
      <c r="AK3" s="1077"/>
      <c r="AL3" s="1069" t="s">
        <v>2619</v>
      </c>
      <c r="AM3" s="1070"/>
      <c r="AN3" s="1051" t="s">
        <v>289</v>
      </c>
      <c r="AO3" s="1052"/>
      <c r="AP3" s="397"/>
      <c r="AQ3" s="398"/>
      <c r="AR3" s="399"/>
      <c r="AS3" s="400"/>
      <c r="AT3" s="401"/>
      <c r="AU3" s="1053" t="s">
        <v>943</v>
      </c>
      <c r="AV3" s="1055"/>
      <c r="AW3" s="1055"/>
      <c r="AX3" s="1055"/>
      <c r="AY3" s="1054"/>
      <c r="AZ3" s="402" t="s">
        <v>1035</v>
      </c>
      <c r="BA3" s="403"/>
      <c r="BB3" s="404"/>
      <c r="BC3" s="404"/>
      <c r="BD3" s="1051" t="s">
        <v>903</v>
      </c>
      <c r="BE3" s="1052"/>
      <c r="BF3" s="1051" t="s">
        <v>903</v>
      </c>
      <c r="BG3" s="1052"/>
    </row>
    <row r="4" spans="1:61" ht="30" customHeight="1" x14ac:dyDescent="0.2">
      <c r="A4" s="19"/>
      <c r="C4" s="210"/>
      <c r="D4" s="1078" t="s">
        <v>908</v>
      </c>
      <c r="E4" s="1059"/>
      <c r="F4" s="1058" t="s">
        <v>4119</v>
      </c>
      <c r="G4" s="1061"/>
      <c r="H4" s="1058" t="s">
        <v>4212</v>
      </c>
      <c r="I4" s="1061"/>
      <c r="J4" s="1058" t="s">
        <v>171</v>
      </c>
      <c r="K4" s="1079"/>
      <c r="L4" s="1062"/>
      <c r="M4" s="1062"/>
      <c r="N4" s="1058" t="s">
        <v>910</v>
      </c>
      <c r="O4" s="1059"/>
      <c r="P4" s="1058" t="s">
        <v>578</v>
      </c>
      <c r="Q4" s="1059"/>
      <c r="R4" s="1094" t="s">
        <v>4094</v>
      </c>
      <c r="S4" s="1095"/>
      <c r="T4" s="1094" t="s">
        <v>4095</v>
      </c>
      <c r="U4" s="1096"/>
      <c r="V4" s="1094" t="s">
        <v>4096</v>
      </c>
      <c r="W4" s="1095"/>
      <c r="X4" s="1058" t="s">
        <v>251</v>
      </c>
      <c r="Y4" s="1085"/>
      <c r="Z4" s="1058" t="s">
        <v>579</v>
      </c>
      <c r="AA4" s="1059"/>
      <c r="AB4" s="1058" t="s">
        <v>4213</v>
      </c>
      <c r="AC4" s="1059"/>
      <c r="AD4" s="1058" t="s">
        <v>580</v>
      </c>
      <c r="AE4" s="1059"/>
      <c r="AF4" s="1058" t="s">
        <v>1043</v>
      </c>
      <c r="AG4" s="1059"/>
      <c r="AH4" s="1053" t="s">
        <v>911</v>
      </c>
      <c r="AI4" s="1073"/>
      <c r="AJ4" s="1053" t="s">
        <v>912</v>
      </c>
      <c r="AK4" s="1068"/>
      <c r="AL4" s="1071" t="s">
        <v>4025</v>
      </c>
      <c r="AM4" s="1072"/>
      <c r="AN4" s="1053" t="s">
        <v>290</v>
      </c>
      <c r="AO4" s="1054"/>
      <c r="AP4" s="1053" t="s">
        <v>901</v>
      </c>
      <c r="AQ4" s="1055"/>
      <c r="AR4" s="1055"/>
      <c r="AS4" s="1055"/>
      <c r="AT4" s="1054"/>
      <c r="AU4" s="1053" t="s">
        <v>944</v>
      </c>
      <c r="AV4" s="1055"/>
      <c r="AW4" s="1055"/>
      <c r="AX4" s="1055"/>
      <c r="AY4" s="1054"/>
      <c r="AZ4" s="402" t="s">
        <v>81</v>
      </c>
      <c r="BA4" s="405"/>
      <c r="BB4" s="1055" t="s">
        <v>516</v>
      </c>
      <c r="BC4" s="1055"/>
      <c r="BD4" s="1053" t="s">
        <v>904</v>
      </c>
      <c r="BE4" s="1054"/>
      <c r="BF4" s="1053" t="s">
        <v>1092</v>
      </c>
      <c r="BG4" s="1054"/>
    </row>
    <row r="5" spans="1:61" ht="13.5" thickBot="1" x14ac:dyDescent="0.25">
      <c r="A5" s="225"/>
      <c r="B5" s="8"/>
      <c r="C5" s="211" t="s">
        <v>47</v>
      </c>
      <c r="D5" s="406" t="s">
        <v>132</v>
      </c>
      <c r="E5" s="407" t="s">
        <v>133</v>
      </c>
      <c r="F5" s="408" t="s">
        <v>132</v>
      </c>
      <c r="G5" s="409" t="s">
        <v>133</v>
      </c>
      <c r="H5" s="408" t="s">
        <v>132</v>
      </c>
      <c r="I5" s="409" t="s">
        <v>133</v>
      </c>
      <c r="J5" s="408" t="s">
        <v>909</v>
      </c>
      <c r="K5" s="410" t="s">
        <v>133</v>
      </c>
      <c r="L5" s="1003" t="s">
        <v>132</v>
      </c>
      <c r="M5" s="1004" t="s">
        <v>133</v>
      </c>
      <c r="N5" s="408" t="s">
        <v>132</v>
      </c>
      <c r="O5" s="1004" t="s">
        <v>133</v>
      </c>
      <c r="P5" s="1005" t="s">
        <v>132</v>
      </c>
      <c r="Q5" s="1006" t="s">
        <v>133</v>
      </c>
      <c r="R5" s="408" t="s">
        <v>132</v>
      </c>
      <c r="S5" s="1004" t="s">
        <v>133</v>
      </c>
      <c r="T5" s="408" t="s">
        <v>132</v>
      </c>
      <c r="U5" s="1004" t="s">
        <v>133</v>
      </c>
      <c r="V5" s="408" t="s">
        <v>132</v>
      </c>
      <c r="W5" s="1004" t="s">
        <v>133</v>
      </c>
      <c r="X5" s="1005" t="s">
        <v>132</v>
      </c>
      <c r="Y5" s="1006" t="s">
        <v>133</v>
      </c>
      <c r="Z5" s="1005" t="s">
        <v>132</v>
      </c>
      <c r="AA5" s="1006" t="s">
        <v>133</v>
      </c>
      <c r="AB5" s="1005" t="s">
        <v>132</v>
      </c>
      <c r="AC5" s="1006" t="s">
        <v>133</v>
      </c>
      <c r="AD5" s="408" t="s">
        <v>132</v>
      </c>
      <c r="AE5" s="1004" t="s">
        <v>133</v>
      </c>
      <c r="AF5" s="408" t="s">
        <v>132</v>
      </c>
      <c r="AG5" s="410" t="s">
        <v>133</v>
      </c>
      <c r="AH5" s="411" t="s">
        <v>132</v>
      </c>
      <c r="AI5" s="412" t="s">
        <v>133</v>
      </c>
      <c r="AJ5" s="413" t="s">
        <v>132</v>
      </c>
      <c r="AK5" s="414" t="s">
        <v>133</v>
      </c>
      <c r="AL5" s="415" t="s">
        <v>132</v>
      </c>
      <c r="AM5" s="416" t="s">
        <v>133</v>
      </c>
      <c r="AN5" s="413" t="s">
        <v>132</v>
      </c>
      <c r="AO5" s="414" t="s">
        <v>133</v>
      </c>
      <c r="AP5" s="417" t="s">
        <v>136</v>
      </c>
      <c r="AQ5" s="418" t="s">
        <v>132</v>
      </c>
      <c r="AR5" s="419"/>
      <c r="AS5" s="420" t="s">
        <v>136</v>
      </c>
      <c r="AT5" s="421" t="s">
        <v>133</v>
      </c>
      <c r="AU5" s="417" t="s">
        <v>136</v>
      </c>
      <c r="AV5" s="419" t="s">
        <v>132</v>
      </c>
      <c r="AW5" s="419"/>
      <c r="AX5" s="420" t="s">
        <v>136</v>
      </c>
      <c r="AY5" s="414" t="s">
        <v>133</v>
      </c>
      <c r="AZ5" s="422" t="s">
        <v>132</v>
      </c>
      <c r="BA5" s="423" t="s">
        <v>133</v>
      </c>
      <c r="BB5" s="418" t="s">
        <v>132</v>
      </c>
      <c r="BC5" s="418" t="s">
        <v>133</v>
      </c>
      <c r="BD5" s="413" t="s">
        <v>132</v>
      </c>
      <c r="BE5" s="414" t="s">
        <v>133</v>
      </c>
      <c r="BF5" s="424" t="s">
        <v>132</v>
      </c>
      <c r="BG5" s="421" t="s">
        <v>133</v>
      </c>
    </row>
    <row r="6" spans="1:61" ht="18" customHeight="1" x14ac:dyDescent="0.2">
      <c r="A6" s="221" t="s">
        <v>48</v>
      </c>
      <c r="B6" s="17"/>
      <c r="C6" s="18"/>
      <c r="D6" s="425"/>
      <c r="E6" s="426"/>
      <c r="F6" s="427"/>
      <c r="G6" s="427"/>
      <c r="H6" s="427"/>
      <c r="I6" s="427"/>
      <c r="J6" s="427"/>
      <c r="K6" s="428"/>
      <c r="P6" s="429"/>
      <c r="Q6" s="429"/>
      <c r="R6" s="429"/>
      <c r="S6" s="429"/>
      <c r="T6" s="429"/>
      <c r="U6" s="429"/>
      <c r="V6" s="429"/>
      <c r="W6" s="429"/>
      <c r="X6" s="429"/>
      <c r="Y6" s="429"/>
      <c r="Z6" s="429"/>
      <c r="AA6" s="429"/>
      <c r="AB6" s="429"/>
      <c r="AC6" s="429"/>
      <c r="AH6" s="430"/>
      <c r="AJ6" s="431"/>
      <c r="AK6" s="428"/>
      <c r="AL6" s="427"/>
      <c r="AM6" s="427"/>
      <c r="AN6" s="432"/>
      <c r="AO6" s="428"/>
      <c r="AP6" s="433"/>
      <c r="AQ6" s="434"/>
      <c r="AR6" s="427"/>
      <c r="AS6" s="433"/>
      <c r="AT6" s="434"/>
      <c r="AU6" s="435"/>
      <c r="AV6" s="434"/>
      <c r="AW6" s="427"/>
      <c r="AX6" s="433"/>
      <c r="AY6" s="428"/>
      <c r="AZ6" s="295"/>
      <c r="BA6" s="436"/>
      <c r="BB6" s="395"/>
      <c r="BC6" s="395"/>
      <c r="BD6" s="432"/>
      <c r="BE6" s="428"/>
      <c r="BF6" s="434"/>
      <c r="BG6" s="437"/>
    </row>
    <row r="7" spans="1:61" ht="12.75" customHeight="1" x14ac:dyDescent="0.2">
      <c r="A7" s="223"/>
      <c r="B7" s="4" t="s">
        <v>640</v>
      </c>
      <c r="C7" s="33"/>
      <c r="D7" s="438"/>
      <c r="E7" s="439"/>
      <c r="F7" s="440"/>
      <c r="G7" s="440"/>
      <c r="H7" s="440"/>
      <c r="I7" s="440"/>
      <c r="J7" s="440"/>
      <c r="K7" s="441"/>
      <c r="L7" s="440"/>
      <c r="M7" s="440"/>
      <c r="N7" s="440"/>
      <c r="O7" s="440"/>
      <c r="P7" s="442"/>
      <c r="Q7" s="442"/>
      <c r="R7" s="442"/>
      <c r="S7" s="442"/>
      <c r="T7" s="442"/>
      <c r="U7" s="442"/>
      <c r="V7" s="442"/>
      <c r="W7" s="442"/>
      <c r="X7" s="442"/>
      <c r="Y7" s="442"/>
      <c r="Z7" s="442"/>
      <c r="AA7" s="442"/>
      <c r="AB7" s="442"/>
      <c r="AC7" s="442"/>
      <c r="AD7" s="440"/>
      <c r="AE7" s="440"/>
      <c r="AF7" s="440"/>
      <c r="AG7" s="440"/>
      <c r="AH7" s="430"/>
      <c r="AJ7" s="431"/>
      <c r="AK7" s="443"/>
      <c r="AL7" s="440"/>
      <c r="AM7" s="440"/>
      <c r="AN7" s="431"/>
      <c r="AO7" s="443"/>
      <c r="AQ7" s="429"/>
      <c r="AT7" s="429"/>
      <c r="AU7" s="445"/>
      <c r="AV7" s="429"/>
      <c r="AY7" s="446"/>
      <c r="AZ7" s="447"/>
      <c r="BA7" s="448"/>
      <c r="BB7" s="395"/>
      <c r="BC7" s="395"/>
      <c r="BD7" s="431"/>
      <c r="BE7" s="443"/>
      <c r="BF7" s="429"/>
      <c r="BG7" s="446"/>
    </row>
    <row r="8" spans="1:61" x14ac:dyDescent="0.2">
      <c r="A8" s="19"/>
      <c r="B8" t="s">
        <v>49</v>
      </c>
      <c r="C8" t="s">
        <v>1000</v>
      </c>
      <c r="D8" s="449">
        <f>10636622-294-21705+440000+1500000</f>
        <v>12554623</v>
      </c>
      <c r="E8" s="450"/>
      <c r="F8" s="440"/>
      <c r="G8" s="440"/>
      <c r="H8" s="440"/>
      <c r="I8" s="440"/>
      <c r="J8" s="440"/>
      <c r="K8" s="441"/>
      <c r="L8" s="440"/>
      <c r="M8" s="440"/>
      <c r="N8" s="440">
        <v>2450</v>
      </c>
      <c r="O8" s="440"/>
      <c r="P8" s="451">
        <v>1783</v>
      </c>
      <c r="Q8" s="451"/>
      <c r="R8" s="451">
        <v>53478</v>
      </c>
      <c r="S8" s="451"/>
      <c r="T8" s="451">
        <v>2724</v>
      </c>
      <c r="U8" s="451"/>
      <c r="V8" s="451">
        <v>72179</v>
      </c>
      <c r="W8" s="451"/>
      <c r="X8" s="451">
        <v>524</v>
      </c>
      <c r="Y8" s="451"/>
      <c r="Z8" s="451">
        <v>46000</v>
      </c>
      <c r="AA8" s="451"/>
      <c r="AB8" s="451"/>
      <c r="AC8" s="451"/>
      <c r="AD8" s="440"/>
      <c r="AE8" s="440"/>
      <c r="AF8" s="440"/>
      <c r="AG8" s="440"/>
      <c r="AH8" s="430">
        <f>L8+N8+P8+R8+T8+V8+X8+Z8+AB8+AD8+AF8</f>
        <v>179138</v>
      </c>
      <c r="AI8" s="369">
        <f>M8+O8+Q8+S8+U8+W8+Y8+AA8+AC8+AE8+AG8</f>
        <v>0</v>
      </c>
      <c r="AJ8" s="431">
        <f t="shared" ref="AJ8:AJ33" si="0">D8+F8+H8+J8+AH8</f>
        <v>12733761</v>
      </c>
      <c r="AK8" s="443">
        <f t="shared" ref="AK8:AK33" si="1">E8+G8+I8+K8+AI8</f>
        <v>0</v>
      </c>
      <c r="AL8" s="440"/>
      <c r="AM8" s="440"/>
      <c r="AN8" s="431"/>
      <c r="AO8" s="443"/>
      <c r="AQ8" s="429"/>
      <c r="AT8" s="446"/>
      <c r="AU8" s="452" t="s">
        <v>634</v>
      </c>
      <c r="AV8" s="429">
        <f>'K.1  Int. Service Fd Allocation'!E164+'K.2  Int. Service Fd Alloca'!E159+'K.3 Int. Service Fd Alloca'!E159</f>
        <v>0</v>
      </c>
      <c r="AY8" s="446"/>
      <c r="AZ8" s="447"/>
      <c r="BA8" s="448"/>
      <c r="BB8" s="395">
        <f t="shared" ref="BB8:BB16" si="2">ROUND(AJ8+AL8+AN8+AQ8+AV8+AZ8,0)</f>
        <v>12733761</v>
      </c>
      <c r="BC8" s="395">
        <f t="shared" ref="BC8:BC16" si="3">ROUND(AK8+AM8+AO8+AT8+AY8+BA8,0)</f>
        <v>0</v>
      </c>
      <c r="BD8" s="431"/>
      <c r="BE8" s="443"/>
      <c r="BF8" s="429">
        <f>IF(BB8-BC8&lt;=0," ",BB8-BC8)</f>
        <v>12733761</v>
      </c>
      <c r="BG8" s="446" t="str">
        <f>IF(BB8-BC8&gt;0," ",BC8-BB8)</f>
        <v xml:space="preserve"> </v>
      </c>
      <c r="BH8" s="937" t="s">
        <v>4180</v>
      </c>
    </row>
    <row r="9" spans="1:61" x14ac:dyDescent="0.2">
      <c r="A9" s="19"/>
      <c r="C9" t="s">
        <v>50</v>
      </c>
      <c r="D9" s="453">
        <v>751887</v>
      </c>
      <c r="E9" s="454"/>
      <c r="F9" s="440">
        <v>0</v>
      </c>
      <c r="G9" s="440"/>
      <c r="H9" s="440">
        <v>330000</v>
      </c>
      <c r="I9" s="440"/>
      <c r="J9" s="440"/>
      <c r="K9" s="441"/>
      <c r="L9" s="440"/>
      <c r="M9" s="440"/>
      <c r="N9" s="440"/>
      <c r="O9" s="440"/>
      <c r="P9" s="451"/>
      <c r="Q9" s="451"/>
      <c r="R9" s="451"/>
      <c r="S9" s="451"/>
      <c r="T9" s="451"/>
      <c r="U9" s="451"/>
      <c r="V9" s="451"/>
      <c r="W9" s="451"/>
      <c r="X9" s="451">
        <v>1720</v>
      </c>
      <c r="Y9" s="451"/>
      <c r="Z9" s="451">
        <v>558550</v>
      </c>
      <c r="AA9" s="451"/>
      <c r="AB9" s="451"/>
      <c r="AC9" s="451"/>
      <c r="AD9" s="440"/>
      <c r="AE9" s="440"/>
      <c r="AF9" s="440"/>
      <c r="AG9" s="440"/>
      <c r="AH9" s="430">
        <f t="shared" ref="AH9:AH13" si="4">L9+N9+P9+R9+T9+V9+X9+Z9+AB9+AD9+AF9</f>
        <v>560270</v>
      </c>
      <c r="AI9" s="369">
        <f t="shared" ref="AI9:AI13" si="5">M9+O9+Q9+S9+U9+W9+Y9+AA9+AC9+AE9+AG9</f>
        <v>0</v>
      </c>
      <c r="AJ9" s="431">
        <f t="shared" si="0"/>
        <v>1642157</v>
      </c>
      <c r="AK9" s="443">
        <f t="shared" si="1"/>
        <v>0</v>
      </c>
      <c r="AL9" s="440"/>
      <c r="AM9" s="440"/>
      <c r="AN9" s="431"/>
      <c r="AO9" s="443"/>
      <c r="AQ9" s="367"/>
      <c r="AT9" s="455"/>
      <c r="AV9" s="367"/>
      <c r="AY9" s="455"/>
      <c r="AZ9" s="447"/>
      <c r="BA9" s="448"/>
      <c r="BB9" s="395">
        <f t="shared" si="2"/>
        <v>1642157</v>
      </c>
      <c r="BC9" s="395">
        <f t="shared" si="3"/>
        <v>0</v>
      </c>
      <c r="BD9" s="431"/>
      <c r="BE9" s="443"/>
      <c r="BF9" s="429">
        <f>IF(BB9-BC9&lt;=0," ",BB9-BC9)</f>
        <v>1642157</v>
      </c>
      <c r="BG9" s="446" t="str">
        <f>IF(BB9-BC9&gt;0," ",BC9-BB9)</f>
        <v xml:space="preserve"> </v>
      </c>
      <c r="BH9" s="937" t="s">
        <v>4180</v>
      </c>
    </row>
    <row r="10" spans="1:61" x14ac:dyDescent="0.2">
      <c r="A10" s="19"/>
      <c r="C10" t="s">
        <v>239</v>
      </c>
      <c r="D10" s="453"/>
      <c r="E10" s="454"/>
      <c r="F10" s="440"/>
      <c r="G10" s="440"/>
      <c r="H10" s="440"/>
      <c r="I10" s="440"/>
      <c r="J10" s="440"/>
      <c r="K10" s="441"/>
      <c r="L10" s="440"/>
      <c r="M10" s="440"/>
      <c r="N10" s="440"/>
      <c r="O10" s="440"/>
      <c r="P10" s="451"/>
      <c r="Q10" s="451"/>
      <c r="R10" s="451"/>
      <c r="S10" s="451"/>
      <c r="T10" s="451"/>
      <c r="U10" s="451"/>
      <c r="V10" s="451"/>
      <c r="W10" s="451"/>
      <c r="X10" s="451"/>
      <c r="Y10" s="451"/>
      <c r="Z10" s="451"/>
      <c r="AA10" s="451"/>
      <c r="AB10" s="451"/>
      <c r="AC10" s="451"/>
      <c r="AD10" s="440"/>
      <c r="AE10" s="440"/>
      <c r="AF10" s="440"/>
      <c r="AG10" s="440"/>
      <c r="AH10" s="430">
        <f t="shared" si="4"/>
        <v>0</v>
      </c>
      <c r="AI10" s="369">
        <f t="shared" si="5"/>
        <v>0</v>
      </c>
      <c r="AJ10" s="431">
        <f t="shared" si="0"/>
        <v>0</v>
      </c>
      <c r="AK10" s="443">
        <f t="shared" si="1"/>
        <v>0</v>
      </c>
      <c r="AL10" s="440"/>
      <c r="AM10" s="440"/>
      <c r="AN10" s="431"/>
      <c r="AO10" s="443"/>
      <c r="AQ10" s="367"/>
      <c r="AT10" s="455"/>
      <c r="AU10" s="452" t="s">
        <v>634</v>
      </c>
      <c r="AV10" s="429">
        <f>'K.1  Int. Service Fd Allocation'!E165+'K.2  Int. Service Fd Alloca'!E160+'K.3 Int. Service Fd Alloca'!E160</f>
        <v>0</v>
      </c>
      <c r="AY10" s="455"/>
      <c r="AZ10" s="447"/>
      <c r="BA10" s="448"/>
      <c r="BB10" s="395">
        <f t="shared" si="2"/>
        <v>0</v>
      </c>
      <c r="BC10" s="395">
        <f t="shared" si="3"/>
        <v>0</v>
      </c>
      <c r="BD10" s="431"/>
      <c r="BE10" s="443"/>
      <c r="BF10" s="429" t="str">
        <f>IF(BB10-BC10&lt;=0," ",BB10-BC10)</f>
        <v xml:space="preserve"> </v>
      </c>
      <c r="BG10" s="446">
        <f>IF(BB10-BC10&gt;0," ",BC10-BB10)</f>
        <v>0</v>
      </c>
      <c r="BH10" s="937"/>
    </row>
    <row r="11" spans="1:61" x14ac:dyDescent="0.2">
      <c r="A11" s="19"/>
      <c r="C11" t="s">
        <v>51</v>
      </c>
      <c r="D11" s="449">
        <f>3981701</f>
        <v>3981701</v>
      </c>
      <c r="E11" s="450"/>
      <c r="F11" s="440"/>
      <c r="G11" s="440"/>
      <c r="H11" s="440"/>
      <c r="I11" s="440"/>
      <c r="J11" s="440"/>
      <c r="K11" s="441"/>
      <c r="L11" s="440"/>
      <c r="M11" s="440"/>
      <c r="N11" s="440">
        <v>4478</v>
      </c>
      <c r="O11" s="440"/>
      <c r="P11" s="442">
        <v>1345</v>
      </c>
      <c r="Q11" s="442"/>
      <c r="R11" s="442"/>
      <c r="S11" s="442"/>
      <c r="T11" s="442"/>
      <c r="U11" s="442"/>
      <c r="V11" s="442"/>
      <c r="W11" s="442"/>
      <c r="X11" s="442"/>
      <c r="Y11" s="442"/>
      <c r="Z11" s="442"/>
      <c r="AA11" s="442"/>
      <c r="AB11" s="442"/>
      <c r="AC11" s="442"/>
      <c r="AD11" s="440"/>
      <c r="AE11" s="440"/>
      <c r="AF11" s="440"/>
      <c r="AG11" s="440"/>
      <c r="AH11" s="430">
        <f t="shared" si="4"/>
        <v>5823</v>
      </c>
      <c r="AI11" s="369">
        <f t="shared" si="5"/>
        <v>0</v>
      </c>
      <c r="AJ11" s="431">
        <f t="shared" si="0"/>
        <v>3987524</v>
      </c>
      <c r="AK11" s="443">
        <f t="shared" si="1"/>
        <v>0</v>
      </c>
      <c r="AL11" s="440"/>
      <c r="AM11" s="440"/>
      <c r="AN11" s="431"/>
      <c r="AO11" s="443"/>
      <c r="AQ11" s="429"/>
      <c r="AT11" s="429"/>
      <c r="AU11" s="445"/>
      <c r="AV11" s="429"/>
      <c r="AY11" s="446"/>
      <c r="AZ11" s="447"/>
      <c r="BA11" s="448"/>
      <c r="BB11" s="395">
        <f t="shared" si="2"/>
        <v>3987524</v>
      </c>
      <c r="BC11" s="395">
        <f t="shared" si="3"/>
        <v>0</v>
      </c>
      <c r="BD11" s="431"/>
      <c r="BE11" s="443"/>
      <c r="BF11" s="429">
        <f>IF(BB11-BC11&lt;=0," ",BB11-BC11)</f>
        <v>3987524</v>
      </c>
      <c r="BG11" s="446" t="str">
        <f>IF(BB11-BC11&gt;0," ",BC11-BB11)</f>
        <v xml:space="preserve"> </v>
      </c>
      <c r="BH11" s="937" t="s">
        <v>4218</v>
      </c>
      <c r="BI11" s="938">
        <f>+BF11+BF14+BF18+BF20+BF21-BG13-BG19</f>
        <v>5979452</v>
      </c>
    </row>
    <row r="12" spans="1:61" x14ac:dyDescent="0.2">
      <c r="A12" s="19"/>
      <c r="C12" s="369"/>
      <c r="D12" s="449"/>
      <c r="E12" s="450"/>
      <c r="F12" s="440"/>
      <c r="G12" s="440"/>
      <c r="H12" s="440"/>
      <c r="I12" s="440"/>
      <c r="J12" s="440"/>
      <c r="K12" s="441"/>
      <c r="L12" s="440"/>
      <c r="M12" s="440"/>
      <c r="N12" s="440"/>
      <c r="O12" s="440"/>
      <c r="P12" s="442"/>
      <c r="Q12" s="442"/>
      <c r="R12" s="442"/>
      <c r="S12" s="442"/>
      <c r="T12" s="442"/>
      <c r="U12" s="442"/>
      <c r="V12" s="442"/>
      <c r="W12" s="442"/>
      <c r="X12" s="442"/>
      <c r="Y12" s="442"/>
      <c r="Z12" s="442"/>
      <c r="AA12" s="442"/>
      <c r="AB12" s="442"/>
      <c r="AC12" s="442"/>
      <c r="AD12" s="440"/>
      <c r="AE12" s="440"/>
      <c r="AF12" s="440"/>
      <c r="AG12" s="440"/>
      <c r="AH12" s="430"/>
      <c r="AJ12" s="431"/>
      <c r="AK12" s="443"/>
      <c r="AL12" s="440"/>
      <c r="AM12" s="440"/>
      <c r="AN12" s="431"/>
      <c r="AO12" s="443"/>
      <c r="AQ12" s="429"/>
      <c r="AT12" s="429"/>
      <c r="AU12" s="445"/>
      <c r="AV12" s="429"/>
      <c r="AY12" s="446"/>
      <c r="AZ12" s="447"/>
      <c r="BA12" s="448"/>
      <c r="BB12" s="395"/>
      <c r="BC12" s="395"/>
      <c r="BD12" s="431"/>
      <c r="BE12" s="443"/>
      <c r="BF12" s="429"/>
      <c r="BG12" s="446"/>
      <c r="BH12" s="937"/>
      <c r="BI12" s="1011">
        <v>1938038</v>
      </c>
    </row>
    <row r="13" spans="1:61" x14ac:dyDescent="0.2">
      <c r="A13" s="19"/>
      <c r="C13" t="s">
        <v>129</v>
      </c>
      <c r="D13" s="453">
        <v>-1425295</v>
      </c>
      <c r="E13" s="454"/>
      <c r="F13" s="440"/>
      <c r="G13" s="440"/>
      <c r="H13" s="440"/>
      <c r="I13" s="440"/>
      <c r="J13" s="440"/>
      <c r="K13" s="441"/>
      <c r="L13" s="440"/>
      <c r="M13" s="440"/>
      <c r="N13" s="440"/>
      <c r="O13" s="440"/>
      <c r="P13" s="451"/>
      <c r="Q13" s="451"/>
      <c r="R13" s="451"/>
      <c r="S13" s="451"/>
      <c r="T13" s="451"/>
      <c r="U13" s="451"/>
      <c r="V13" s="451"/>
      <c r="W13" s="451"/>
      <c r="X13" s="451"/>
      <c r="Y13" s="451"/>
      <c r="Z13" s="451"/>
      <c r="AA13" s="451"/>
      <c r="AB13" s="451"/>
      <c r="AC13" s="451"/>
      <c r="AD13" s="440"/>
      <c r="AE13" s="440"/>
      <c r="AF13" s="440"/>
      <c r="AG13" s="440"/>
      <c r="AH13" s="430">
        <f t="shared" si="4"/>
        <v>0</v>
      </c>
      <c r="AI13" s="369">
        <f t="shared" si="5"/>
        <v>0</v>
      </c>
      <c r="AJ13" s="431">
        <f t="shared" si="0"/>
        <v>-1425295</v>
      </c>
      <c r="AK13" s="443">
        <f t="shared" si="1"/>
        <v>0</v>
      </c>
      <c r="AL13" s="440"/>
      <c r="AM13" s="440"/>
      <c r="AN13" s="431"/>
      <c r="AO13" s="443"/>
      <c r="AQ13" s="367"/>
      <c r="AT13" s="367"/>
      <c r="AU13" s="445"/>
      <c r="AV13" s="367"/>
      <c r="AY13" s="455"/>
      <c r="AZ13" s="447"/>
      <c r="BA13" s="448"/>
      <c r="BB13" s="395">
        <f t="shared" si="2"/>
        <v>-1425295</v>
      </c>
      <c r="BC13" s="395">
        <f t="shared" si="3"/>
        <v>0</v>
      </c>
      <c r="BD13" s="431"/>
      <c r="BE13" s="443"/>
      <c r="BF13" s="429" t="str">
        <f>IF(BB13-BC13&lt;=0," ",BB13-BC13)</f>
        <v xml:space="preserve"> </v>
      </c>
      <c r="BG13" s="446">
        <f>IF(BB13-BC13&gt;0," ",BC13-BB13)</f>
        <v>1425295</v>
      </c>
      <c r="BH13" s="937" t="s">
        <v>4218</v>
      </c>
      <c r="BI13" s="939">
        <f>+BI11-BI12</f>
        <v>4041414</v>
      </c>
    </row>
    <row r="14" spans="1:61" x14ac:dyDescent="0.2">
      <c r="A14" s="19"/>
      <c r="C14" s="204" t="s">
        <v>140</v>
      </c>
      <c r="D14" s="456"/>
      <c r="E14" s="457"/>
      <c r="F14" s="458"/>
      <c r="G14" s="458"/>
      <c r="H14" s="458"/>
      <c r="I14" s="458"/>
      <c r="J14" s="458"/>
      <c r="K14" s="459"/>
      <c r="L14" s="458"/>
      <c r="M14" s="458"/>
      <c r="N14" s="458"/>
      <c r="O14" s="458"/>
      <c r="P14" s="460"/>
      <c r="Q14" s="460"/>
      <c r="R14" s="460"/>
      <c r="S14" s="460"/>
      <c r="T14" s="460"/>
      <c r="U14" s="460"/>
      <c r="V14" s="460"/>
      <c r="W14" s="460"/>
      <c r="X14" s="460"/>
      <c r="Y14" s="460"/>
      <c r="Z14" s="460"/>
      <c r="AA14" s="460"/>
      <c r="AB14" s="460"/>
      <c r="AC14" s="460"/>
      <c r="AD14" s="458"/>
      <c r="AE14" s="458"/>
      <c r="AF14" s="458"/>
      <c r="AG14" s="458"/>
      <c r="AH14" s="461">
        <f t="shared" ref="AH14:AH33" si="6">L14+N14+P14+R14+T14+V14+X14+Z14+AB14+AD14+AF14</f>
        <v>0</v>
      </c>
      <c r="AI14" s="462">
        <f t="shared" ref="AI14:AI33" si="7">M14+O14+Q14+S14+U14+W14+Y14+AA14+AC14+AE14+AG14</f>
        <v>0</v>
      </c>
      <c r="AJ14" s="463">
        <f t="shared" si="0"/>
        <v>0</v>
      </c>
      <c r="AK14" s="464">
        <f t="shared" si="1"/>
        <v>0</v>
      </c>
      <c r="AL14" s="458"/>
      <c r="AM14" s="458"/>
      <c r="AN14" s="463"/>
      <c r="AO14" s="464"/>
      <c r="AP14" s="465" t="str">
        <f>'B.  Property Taxes'!A53</f>
        <v>B.1</v>
      </c>
      <c r="AQ14" s="983">
        <f>'B.  Property Taxes'!J54</f>
        <v>326897</v>
      </c>
      <c r="AR14" s="462"/>
      <c r="AS14" s="465"/>
      <c r="AT14" s="466"/>
      <c r="AU14" s="467"/>
      <c r="AV14" s="466"/>
      <c r="AW14" s="462"/>
      <c r="AX14" s="465"/>
      <c r="AY14" s="468"/>
      <c r="AZ14" s="447"/>
      <c r="BA14" s="448"/>
      <c r="BB14" s="466">
        <f t="shared" si="2"/>
        <v>326897</v>
      </c>
      <c r="BC14" s="466">
        <f t="shared" si="3"/>
        <v>0</v>
      </c>
      <c r="BD14" s="463"/>
      <c r="BE14" s="464"/>
      <c r="BF14" s="466">
        <f>IF((BB14+BB15+BB16)-(BC14+BC15+BC16)&lt;0," ",(BB14+BB15+BB16)-(BC14+BC15+BC16))</f>
        <v>329219</v>
      </c>
      <c r="BG14" s="468" t="str">
        <f>IF((BB14+BB15+BB16)-(BC14+BC15+BC16)&gt;0," ",(BC14+BC15+BC16)-(BB14+BB15+BB16))</f>
        <v xml:space="preserve"> </v>
      </c>
      <c r="BH14" s="936" t="s">
        <v>4218</v>
      </c>
    </row>
    <row r="15" spans="1:61" x14ac:dyDescent="0.2">
      <c r="A15" s="19"/>
      <c r="C15" s="205"/>
      <c r="D15" s="456"/>
      <c r="E15" s="457"/>
      <c r="F15" s="458"/>
      <c r="G15" s="458"/>
      <c r="H15" s="458"/>
      <c r="I15" s="458"/>
      <c r="J15" s="458"/>
      <c r="K15" s="459"/>
      <c r="L15" s="458"/>
      <c r="M15" s="458"/>
      <c r="N15" s="458"/>
      <c r="O15" s="458"/>
      <c r="P15" s="460"/>
      <c r="Q15" s="460"/>
      <c r="R15" s="460"/>
      <c r="S15" s="460"/>
      <c r="T15" s="460"/>
      <c r="U15" s="460"/>
      <c r="V15" s="460"/>
      <c r="W15" s="460"/>
      <c r="X15" s="460"/>
      <c r="Y15" s="460"/>
      <c r="Z15" s="460"/>
      <c r="AA15" s="460"/>
      <c r="AB15" s="460"/>
      <c r="AC15" s="460"/>
      <c r="AD15" s="458"/>
      <c r="AE15" s="458"/>
      <c r="AF15" s="458"/>
      <c r="AG15" s="458"/>
      <c r="AH15" s="461">
        <f t="shared" si="6"/>
        <v>0</v>
      </c>
      <c r="AI15" s="462">
        <f t="shared" si="7"/>
        <v>0</v>
      </c>
      <c r="AJ15" s="463">
        <f t="shared" si="0"/>
        <v>0</v>
      </c>
      <c r="AK15" s="464">
        <f t="shared" si="1"/>
        <v>0</v>
      </c>
      <c r="AL15" s="458"/>
      <c r="AM15" s="458"/>
      <c r="AN15" s="463"/>
      <c r="AO15" s="464"/>
      <c r="AP15" s="465" t="str">
        <f>'B.  Property Taxes'!A57</f>
        <v>B.2</v>
      </c>
      <c r="AQ15" s="983">
        <f>'B.  Property Taxes'!J58</f>
        <v>2322</v>
      </c>
      <c r="AR15" s="462"/>
      <c r="AS15" s="465"/>
      <c r="AT15" s="466"/>
      <c r="AU15" s="467"/>
      <c r="AV15" s="466"/>
      <c r="AW15" s="462"/>
      <c r="AX15" s="465"/>
      <c r="AY15" s="468"/>
      <c r="AZ15" s="447"/>
      <c r="BA15" s="448"/>
      <c r="BB15" s="466">
        <f t="shared" si="2"/>
        <v>2322</v>
      </c>
      <c r="BC15" s="466">
        <f t="shared" si="3"/>
        <v>0</v>
      </c>
      <c r="BD15" s="463"/>
      <c r="BE15" s="464"/>
      <c r="BF15" s="466"/>
      <c r="BG15" s="468"/>
      <c r="BH15" s="937"/>
      <c r="BI15" s="938">
        <f>+BF11-BG13</f>
        <v>2562229</v>
      </c>
    </row>
    <row r="16" spans="1:61" x14ac:dyDescent="0.2">
      <c r="A16" s="19"/>
      <c r="C16" s="204"/>
      <c r="D16" s="456"/>
      <c r="E16" s="457"/>
      <c r="F16" s="458"/>
      <c r="G16" s="458"/>
      <c r="H16" s="458"/>
      <c r="I16" s="458"/>
      <c r="J16" s="458"/>
      <c r="K16" s="459"/>
      <c r="L16" s="458"/>
      <c r="M16" s="458"/>
      <c r="N16" s="458"/>
      <c r="O16" s="458"/>
      <c r="P16" s="460"/>
      <c r="Q16" s="460"/>
      <c r="R16" s="460"/>
      <c r="S16" s="460"/>
      <c r="T16" s="460"/>
      <c r="U16" s="460"/>
      <c r="V16" s="460"/>
      <c r="W16" s="460"/>
      <c r="X16" s="460"/>
      <c r="Y16" s="460"/>
      <c r="Z16" s="460"/>
      <c r="AA16" s="460"/>
      <c r="AB16" s="460"/>
      <c r="AC16" s="460"/>
      <c r="AD16" s="458"/>
      <c r="AE16" s="458"/>
      <c r="AF16" s="458"/>
      <c r="AG16" s="458"/>
      <c r="AH16" s="461">
        <f t="shared" si="6"/>
        <v>0</v>
      </c>
      <c r="AI16" s="462">
        <f t="shared" si="7"/>
        <v>0</v>
      </c>
      <c r="AJ16" s="463">
        <f t="shared" si="0"/>
        <v>0</v>
      </c>
      <c r="AK16" s="464">
        <f t="shared" si="1"/>
        <v>0</v>
      </c>
      <c r="AL16" s="458"/>
      <c r="AM16" s="458"/>
      <c r="AN16" s="463"/>
      <c r="AO16" s="464"/>
      <c r="AP16" s="465" t="str">
        <f>'C. Other Revenues'!B207</f>
        <v>C.1</v>
      </c>
      <c r="AQ16" s="466">
        <f>'C. Other Revenues'!K207</f>
        <v>0</v>
      </c>
      <c r="AR16" s="462"/>
      <c r="AS16" s="465"/>
      <c r="AT16" s="466"/>
      <c r="AU16" s="467"/>
      <c r="AV16" s="466"/>
      <c r="AW16" s="462"/>
      <c r="AX16" s="465"/>
      <c r="AY16" s="468"/>
      <c r="AZ16" s="447"/>
      <c r="BA16" s="448"/>
      <c r="BB16" s="466">
        <f t="shared" si="2"/>
        <v>0</v>
      </c>
      <c r="BC16" s="466">
        <f t="shared" si="3"/>
        <v>0</v>
      </c>
      <c r="BD16" s="463"/>
      <c r="BE16" s="464"/>
      <c r="BF16" s="466"/>
      <c r="BG16" s="468"/>
      <c r="BH16" s="942"/>
      <c r="BI16" s="1011">
        <f>+BF21</f>
        <v>28833</v>
      </c>
    </row>
    <row r="17" spans="1:61" x14ac:dyDescent="0.2">
      <c r="A17" s="19"/>
      <c r="C17" t="s">
        <v>128</v>
      </c>
      <c r="D17" s="453"/>
      <c r="E17" s="454"/>
      <c r="F17" s="440"/>
      <c r="G17" s="440"/>
      <c r="H17" s="440"/>
      <c r="I17" s="440"/>
      <c r="J17" s="440"/>
      <c r="K17" s="441"/>
      <c r="L17" s="440"/>
      <c r="M17" s="440"/>
      <c r="N17" s="440"/>
      <c r="O17" s="440"/>
      <c r="P17" s="451"/>
      <c r="Q17" s="451"/>
      <c r="R17" s="451"/>
      <c r="S17" s="451"/>
      <c r="T17" s="451"/>
      <c r="U17" s="451"/>
      <c r="V17" s="451"/>
      <c r="W17" s="451"/>
      <c r="X17" s="451"/>
      <c r="Y17" s="451"/>
      <c r="Z17" s="451"/>
      <c r="AA17" s="451"/>
      <c r="AB17" s="451"/>
      <c r="AC17" s="451"/>
      <c r="AD17" s="440"/>
      <c r="AE17" s="440"/>
      <c r="AF17" s="440"/>
      <c r="AG17" s="440"/>
      <c r="AH17" s="430">
        <f t="shared" si="6"/>
        <v>0</v>
      </c>
      <c r="AI17" s="369">
        <f t="shared" si="7"/>
        <v>0</v>
      </c>
      <c r="AJ17" s="431">
        <f t="shared" si="0"/>
        <v>0</v>
      </c>
      <c r="AK17" s="443">
        <f t="shared" si="1"/>
        <v>0</v>
      </c>
      <c r="AL17" s="440"/>
      <c r="AM17" s="440"/>
      <c r="AN17" s="431"/>
      <c r="AO17" s="443"/>
      <c r="AQ17" s="367"/>
      <c r="AT17" s="367"/>
      <c r="AU17" s="445"/>
      <c r="AV17" s="367"/>
      <c r="AY17" s="455"/>
      <c r="AZ17" s="447"/>
      <c r="BA17" s="448"/>
      <c r="BB17" s="395">
        <f t="shared" ref="BB17:BB24" si="8">ROUND(AJ17+AL17+AN17+AQ17+AV17+AZ17,0)</f>
        <v>0</v>
      </c>
      <c r="BC17" s="395">
        <f t="shared" ref="BC17:BC24" si="9">ROUND(AK17+AM17+AO17+AT17+AY17+BA17,0)</f>
        <v>0</v>
      </c>
      <c r="BD17" s="431"/>
      <c r="BE17" s="443"/>
      <c r="BF17" s="367" t="str">
        <f>IF(BB17-BC17&lt;=0," ",BB17-BC17)</f>
        <v xml:space="preserve"> </v>
      </c>
      <c r="BG17" s="446">
        <f>IF(BB17-BC17&gt;0," ",BC17-BB17)</f>
        <v>0</v>
      </c>
      <c r="BH17" s="937"/>
      <c r="BI17" s="939">
        <f>+BI15+BI16</f>
        <v>2591062</v>
      </c>
    </row>
    <row r="18" spans="1:61" x14ac:dyDescent="0.2">
      <c r="A18" s="19"/>
      <c r="C18" t="s">
        <v>52</v>
      </c>
      <c r="D18" s="449">
        <v>879789</v>
      </c>
      <c r="E18" s="450"/>
      <c r="F18" s="440"/>
      <c r="G18" s="440"/>
      <c r="H18" s="440">
        <v>2153376</v>
      </c>
      <c r="I18" s="440"/>
      <c r="J18" s="440"/>
      <c r="K18" s="441"/>
      <c r="L18" s="440"/>
      <c r="M18" s="440"/>
      <c r="N18" s="440"/>
      <c r="O18" s="440"/>
      <c r="P18" s="442"/>
      <c r="Q18" s="442"/>
      <c r="R18" s="442"/>
      <c r="S18" s="442"/>
      <c r="T18" s="442"/>
      <c r="U18" s="442"/>
      <c r="V18" s="442">
        <v>2687</v>
      </c>
      <c r="W18" s="442"/>
      <c r="X18" s="442">
        <v>9093</v>
      </c>
      <c r="Y18" s="442"/>
      <c r="Z18" s="442"/>
      <c r="AA18" s="442"/>
      <c r="AB18" s="442"/>
      <c r="AC18" s="442"/>
      <c r="AD18" s="440"/>
      <c r="AE18" s="440"/>
      <c r="AF18" s="440"/>
      <c r="AG18" s="440"/>
      <c r="AH18" s="430">
        <f t="shared" si="6"/>
        <v>11780</v>
      </c>
      <c r="AI18" s="369">
        <f t="shared" si="7"/>
        <v>0</v>
      </c>
      <c r="AJ18" s="431">
        <f t="shared" si="0"/>
        <v>3044945</v>
      </c>
      <c r="AK18" s="443">
        <f t="shared" si="1"/>
        <v>0</v>
      </c>
      <c r="AL18" s="440"/>
      <c r="AM18" s="440"/>
      <c r="AN18" s="431"/>
      <c r="AO18" s="443"/>
      <c r="AQ18" s="429"/>
      <c r="AT18" s="429"/>
      <c r="AU18" s="445"/>
      <c r="AV18" s="429"/>
      <c r="AY18" s="446"/>
      <c r="AZ18" s="447"/>
      <c r="BA18" s="448"/>
      <c r="BB18" s="395">
        <f t="shared" si="8"/>
        <v>3044945</v>
      </c>
      <c r="BC18" s="395">
        <f t="shared" si="9"/>
        <v>0</v>
      </c>
      <c r="BD18" s="431"/>
      <c r="BE18" s="443"/>
      <c r="BF18" s="429">
        <f>IF(BB18-BC18&lt;=0," ",BB18-BC18)</f>
        <v>3044945</v>
      </c>
      <c r="BG18" s="446" t="str">
        <f>IF(BB18-BC18&gt;0," ",BC18-BB18)</f>
        <v xml:space="preserve"> </v>
      </c>
      <c r="BH18" s="937" t="s">
        <v>4218</v>
      </c>
    </row>
    <row r="19" spans="1:61" x14ac:dyDescent="0.2">
      <c r="A19" s="19"/>
      <c r="C19" t="s">
        <v>127</v>
      </c>
      <c r="D19" s="453">
        <v>-168800</v>
      </c>
      <c r="E19" s="454"/>
      <c r="F19" s="440"/>
      <c r="G19" s="440"/>
      <c r="H19" s="440"/>
      <c r="I19" s="440">
        <v>215338</v>
      </c>
      <c r="J19" s="440"/>
      <c r="K19" s="441"/>
      <c r="L19" s="440"/>
      <c r="M19" s="440"/>
      <c r="N19" s="440"/>
      <c r="O19" s="440"/>
      <c r="P19" s="451"/>
      <c r="Q19" s="451"/>
      <c r="R19" s="451"/>
      <c r="S19" s="451"/>
      <c r="T19" s="451"/>
      <c r="U19" s="451"/>
      <c r="V19" s="451"/>
      <c r="W19" s="451"/>
      <c r="X19" s="451"/>
      <c r="Y19" s="451"/>
      <c r="Z19" s="451"/>
      <c r="AA19" s="451"/>
      <c r="AB19" s="451"/>
      <c r="AC19" s="451"/>
      <c r="AD19" s="440"/>
      <c r="AE19" s="440"/>
      <c r="AF19" s="440"/>
      <c r="AG19" s="440"/>
      <c r="AH19" s="430">
        <f t="shared" si="6"/>
        <v>0</v>
      </c>
      <c r="AI19" s="369">
        <f t="shared" si="7"/>
        <v>0</v>
      </c>
      <c r="AJ19" s="431">
        <f t="shared" si="0"/>
        <v>-168800</v>
      </c>
      <c r="AK19" s="443">
        <f t="shared" si="1"/>
        <v>215338</v>
      </c>
      <c r="AL19" s="440"/>
      <c r="AM19" s="440"/>
      <c r="AN19" s="431"/>
      <c r="AO19" s="443"/>
      <c r="AQ19" s="367"/>
      <c r="AT19" s="367"/>
      <c r="AU19" s="445"/>
      <c r="AV19" s="367"/>
      <c r="AY19" s="455"/>
      <c r="AZ19" s="447"/>
      <c r="BA19" s="448"/>
      <c r="BB19" s="395">
        <f t="shared" si="8"/>
        <v>-168800</v>
      </c>
      <c r="BC19" s="395">
        <f t="shared" si="9"/>
        <v>215338</v>
      </c>
      <c r="BD19" s="431"/>
      <c r="BE19" s="443"/>
      <c r="BF19" s="429" t="str">
        <f>IF(BB19-BC19&lt;=0," ",BB19-BC19)</f>
        <v xml:space="preserve"> </v>
      </c>
      <c r="BG19" s="446">
        <f>IF(BB19-BC19&gt;0," ",BC19-BB19)</f>
        <v>384138</v>
      </c>
      <c r="BH19" s="936" t="s">
        <v>4218</v>
      </c>
      <c r="BI19" s="939"/>
    </row>
    <row r="20" spans="1:61" x14ac:dyDescent="0.2">
      <c r="A20" s="19"/>
      <c r="C20" t="s">
        <v>4099</v>
      </c>
      <c r="D20" s="453">
        <v>398364</v>
      </c>
      <c r="E20" s="454"/>
      <c r="F20" s="440"/>
      <c r="G20" s="440"/>
      <c r="H20" s="440"/>
      <c r="I20" s="440"/>
      <c r="J20" s="440"/>
      <c r="K20" s="441"/>
      <c r="L20" s="440"/>
      <c r="M20" s="440"/>
      <c r="N20" s="440"/>
      <c r="O20" s="440"/>
      <c r="P20" s="451"/>
      <c r="Q20" s="451"/>
      <c r="R20" s="451"/>
      <c r="S20" s="451"/>
      <c r="T20" s="451"/>
      <c r="U20" s="451"/>
      <c r="V20" s="451"/>
      <c r="W20" s="451"/>
      <c r="X20" s="451"/>
      <c r="Y20" s="451"/>
      <c r="Z20" s="451"/>
      <c r="AA20" s="451"/>
      <c r="AB20" s="451"/>
      <c r="AC20" s="451"/>
      <c r="AD20" s="440"/>
      <c r="AE20" s="440"/>
      <c r="AF20" s="440"/>
      <c r="AG20" s="440"/>
      <c r="AH20" s="430">
        <f t="shared" ref="AH20" si="10">L20+N20+P20+R20+T20+V20+X20+Z20+AB20+AD20+AF20</f>
        <v>0</v>
      </c>
      <c r="AI20" s="369">
        <f t="shared" ref="AI20" si="11">M20+O20+Q20+S20+U20+W20+Y20+AA20+AC20+AE20+AG20</f>
        <v>0</v>
      </c>
      <c r="AJ20" s="431">
        <f t="shared" ref="AJ20" si="12">D20+F20+H20+J20+AH20</f>
        <v>398364</v>
      </c>
      <c r="AK20" s="443">
        <f t="shared" ref="AK20" si="13">E20+G20+I20+K20+AI20</f>
        <v>0</v>
      </c>
      <c r="AL20" s="440"/>
      <c r="AM20" s="440"/>
      <c r="AN20" s="431"/>
      <c r="AO20" s="443"/>
      <c r="AQ20" s="367"/>
      <c r="AT20" s="367"/>
      <c r="AU20" s="445"/>
      <c r="AV20" s="367"/>
      <c r="AY20" s="455"/>
      <c r="AZ20" s="447"/>
      <c r="BA20" s="448"/>
      <c r="BB20" s="395">
        <f t="shared" ref="BB20" si="14">ROUND(AJ20+AL20+AN20+AQ20+AV20+AZ20,0)</f>
        <v>398364</v>
      </c>
      <c r="BC20" s="395">
        <f t="shared" ref="BC20" si="15">ROUND(AK20+AM20+AO20+AT20+AY20+BA20,0)</f>
        <v>0</v>
      </c>
      <c r="BD20" s="431"/>
      <c r="BE20" s="443"/>
      <c r="BF20" s="429">
        <f>IF(BB20-BC20&lt;=0," ",BB20-BC20)</f>
        <v>398364</v>
      </c>
      <c r="BG20" s="446" t="str">
        <f>IF(BB20-BC20&gt;0," ",BC20-BB20)</f>
        <v xml:space="preserve"> </v>
      </c>
      <c r="BH20" s="936" t="s">
        <v>4218</v>
      </c>
      <c r="BI20" s="939"/>
    </row>
    <row r="21" spans="1:61" x14ac:dyDescent="0.2">
      <c r="A21" s="19"/>
      <c r="C21" t="s">
        <v>219</v>
      </c>
      <c r="D21" s="453">
        <v>28833</v>
      </c>
      <c r="E21" s="454"/>
      <c r="F21" s="440"/>
      <c r="G21" s="440"/>
      <c r="H21" s="440"/>
      <c r="I21" s="440"/>
      <c r="J21" s="440"/>
      <c r="K21" s="441"/>
      <c r="L21" s="440"/>
      <c r="M21" s="440"/>
      <c r="N21" s="440"/>
      <c r="O21" s="440"/>
      <c r="P21" s="451"/>
      <c r="Q21" s="451"/>
      <c r="R21" s="451"/>
      <c r="S21" s="451"/>
      <c r="T21" s="451"/>
      <c r="U21" s="451"/>
      <c r="V21" s="451"/>
      <c r="W21" s="451"/>
      <c r="X21" s="451"/>
      <c r="Y21" s="451"/>
      <c r="Z21" s="451"/>
      <c r="AA21" s="451"/>
      <c r="AB21" s="451"/>
      <c r="AC21" s="451"/>
      <c r="AD21" s="440"/>
      <c r="AE21" s="440"/>
      <c r="AF21" s="440"/>
      <c r="AG21" s="440"/>
      <c r="AH21" s="430">
        <f t="shared" si="6"/>
        <v>0</v>
      </c>
      <c r="AI21" s="369">
        <f t="shared" si="7"/>
        <v>0</v>
      </c>
      <c r="AJ21" s="431">
        <f t="shared" si="0"/>
        <v>28833</v>
      </c>
      <c r="AK21" s="443">
        <f t="shared" si="1"/>
        <v>0</v>
      </c>
      <c r="AL21" s="440"/>
      <c r="AM21" s="440"/>
      <c r="AN21" s="431"/>
      <c r="AO21" s="443"/>
      <c r="AQ21" s="367"/>
      <c r="AT21" s="367"/>
      <c r="AU21" s="445"/>
      <c r="AV21" s="367"/>
      <c r="AY21" s="455"/>
      <c r="AZ21" s="447"/>
      <c r="BA21" s="448"/>
      <c r="BB21" s="395">
        <f t="shared" si="8"/>
        <v>28833</v>
      </c>
      <c r="BC21" s="395">
        <f t="shared" si="9"/>
        <v>0</v>
      </c>
      <c r="BD21" s="431"/>
      <c r="BE21" s="443"/>
      <c r="BF21" s="429">
        <f>IF(BB21-BC21&lt;=0," ",BB21-BC21)</f>
        <v>28833</v>
      </c>
      <c r="BG21" s="446" t="str">
        <f>IF(BB21-BC21&gt;0," ",BC21-BB21)</f>
        <v xml:space="preserve"> </v>
      </c>
      <c r="BH21" s="936" t="s">
        <v>4218</v>
      </c>
      <c r="BI21" s="939"/>
    </row>
    <row r="22" spans="1:61" x14ac:dyDescent="0.2">
      <c r="A22" s="19"/>
      <c r="C22" s="204" t="s">
        <v>53</v>
      </c>
      <c r="D22" s="456"/>
      <c r="E22" s="457"/>
      <c r="F22" s="458"/>
      <c r="G22" s="458"/>
      <c r="H22" s="458"/>
      <c r="I22" s="458"/>
      <c r="J22" s="458"/>
      <c r="K22" s="459"/>
      <c r="L22" s="458"/>
      <c r="M22" s="458"/>
      <c r="N22" s="458"/>
      <c r="O22" s="458"/>
      <c r="P22" s="460"/>
      <c r="Q22" s="460"/>
      <c r="R22" s="460"/>
      <c r="S22" s="460"/>
      <c r="T22" s="460"/>
      <c r="U22" s="460"/>
      <c r="V22" s="460"/>
      <c r="W22" s="460"/>
      <c r="X22" s="460"/>
      <c r="Y22" s="460"/>
      <c r="Z22" s="460"/>
      <c r="AA22" s="460"/>
      <c r="AB22" s="460"/>
      <c r="AC22" s="460"/>
      <c r="AD22" s="458"/>
      <c r="AE22" s="458"/>
      <c r="AF22" s="458"/>
      <c r="AG22" s="458"/>
      <c r="AH22" s="461">
        <f t="shared" si="6"/>
        <v>0</v>
      </c>
      <c r="AI22" s="462">
        <f t="shared" si="7"/>
        <v>0</v>
      </c>
      <c r="AJ22" s="463">
        <f t="shared" si="0"/>
        <v>0</v>
      </c>
      <c r="AK22" s="464">
        <f t="shared" si="1"/>
        <v>0</v>
      </c>
      <c r="AL22" s="458"/>
      <c r="AM22" s="458"/>
      <c r="AN22" s="463"/>
      <c r="AO22" s="464"/>
      <c r="AP22" s="465"/>
      <c r="AQ22" s="466"/>
      <c r="AR22" s="462"/>
      <c r="AS22" s="465"/>
      <c r="AT22" s="466"/>
      <c r="AU22" s="469" t="s">
        <v>634</v>
      </c>
      <c r="AV22" s="466">
        <f>'K.1  Int. Service Fd Allocation'!E166+'K.2  Int. Service Fd Alloca'!E161+'K.3 Int. Service Fd Alloca'!E161</f>
        <v>0</v>
      </c>
      <c r="AW22" s="462"/>
      <c r="AX22" s="465" t="str">
        <f>'L. Eliminations-Consolidations'!A203</f>
        <v>L.2</v>
      </c>
      <c r="AY22" s="468">
        <f>'L. Eliminations-Consolidations'!L205</f>
        <v>0</v>
      </c>
      <c r="AZ22" s="447"/>
      <c r="BA22" s="448"/>
      <c r="BB22" s="466">
        <f t="shared" si="8"/>
        <v>0</v>
      </c>
      <c r="BC22" s="466">
        <f t="shared" si="9"/>
        <v>0</v>
      </c>
      <c r="BD22" s="463"/>
      <c r="BE22" s="464"/>
      <c r="BF22" s="466" t="str">
        <f>IF((BB22+BB23+BB24)-(BC22+BC23+BC24)&lt;=0," ",(BB22+BB23+BB24)-(BC22+BC23+BC24))</f>
        <v xml:space="preserve"> </v>
      </c>
      <c r="BG22" s="468">
        <f>IF((BB22+BB23+BB24)-(BC22+BC23+BC24)&gt;0," ",(BC22+BC23+BC24)-(BB22+BB23+BB24))</f>
        <v>0</v>
      </c>
    </row>
    <row r="23" spans="1:61" x14ac:dyDescent="0.2">
      <c r="A23" s="19"/>
      <c r="C23" s="204"/>
      <c r="D23" s="456"/>
      <c r="E23" s="457"/>
      <c r="F23" s="458"/>
      <c r="G23" s="458"/>
      <c r="H23" s="458"/>
      <c r="I23" s="458"/>
      <c r="J23" s="458"/>
      <c r="K23" s="459"/>
      <c r="L23" s="458"/>
      <c r="M23" s="458"/>
      <c r="N23" s="458"/>
      <c r="O23" s="458"/>
      <c r="P23" s="460"/>
      <c r="Q23" s="460"/>
      <c r="R23" s="460"/>
      <c r="S23" s="460"/>
      <c r="T23" s="460"/>
      <c r="U23" s="460"/>
      <c r="V23" s="460"/>
      <c r="W23" s="460"/>
      <c r="X23" s="460"/>
      <c r="Y23" s="460"/>
      <c r="Z23" s="460"/>
      <c r="AA23" s="460"/>
      <c r="AB23" s="460"/>
      <c r="AC23" s="460"/>
      <c r="AD23" s="458"/>
      <c r="AE23" s="458"/>
      <c r="AF23" s="458"/>
      <c r="AG23" s="458"/>
      <c r="AH23" s="461">
        <f t="shared" si="6"/>
        <v>0</v>
      </c>
      <c r="AI23" s="462">
        <f t="shared" si="7"/>
        <v>0</v>
      </c>
      <c r="AJ23" s="463">
        <f t="shared" si="0"/>
        <v>0</v>
      </c>
      <c r="AK23" s="464">
        <f t="shared" si="1"/>
        <v>0</v>
      </c>
      <c r="AL23" s="458"/>
      <c r="AM23" s="458"/>
      <c r="AN23" s="463"/>
      <c r="AO23" s="464"/>
      <c r="AP23" s="465"/>
      <c r="AQ23" s="466"/>
      <c r="AR23" s="462"/>
      <c r="AS23" s="465"/>
      <c r="AT23" s="466"/>
      <c r="AU23" s="467"/>
      <c r="AV23" s="466"/>
      <c r="AW23" s="462"/>
      <c r="AX23" s="465" t="str">
        <f>'L. Eliminations-Consolidations'!A208</f>
        <v>L.3</v>
      </c>
      <c r="AY23" s="468">
        <f>'L. Eliminations-Consolidations'!L212</f>
        <v>0</v>
      </c>
      <c r="AZ23" s="447"/>
      <c r="BA23" s="448"/>
      <c r="BB23" s="466">
        <f t="shared" si="8"/>
        <v>0</v>
      </c>
      <c r="BC23" s="466">
        <f t="shared" si="9"/>
        <v>0</v>
      </c>
      <c r="BD23" s="463"/>
      <c r="BE23" s="464"/>
      <c r="BF23" s="466"/>
      <c r="BG23" s="468"/>
    </row>
    <row r="24" spans="1:61" x14ac:dyDescent="0.2">
      <c r="A24" s="19"/>
      <c r="C24" s="204"/>
      <c r="D24" s="456"/>
      <c r="E24" s="457"/>
      <c r="F24" s="458"/>
      <c r="G24" s="458"/>
      <c r="H24" s="458"/>
      <c r="I24" s="458"/>
      <c r="J24" s="458"/>
      <c r="K24" s="459"/>
      <c r="L24" s="458"/>
      <c r="M24" s="458"/>
      <c r="N24" s="458"/>
      <c r="O24" s="458"/>
      <c r="P24" s="460"/>
      <c r="Q24" s="460"/>
      <c r="R24" s="460"/>
      <c r="S24" s="460"/>
      <c r="T24" s="460"/>
      <c r="U24" s="460"/>
      <c r="V24" s="460"/>
      <c r="W24" s="460"/>
      <c r="X24" s="460"/>
      <c r="Y24" s="460"/>
      <c r="Z24" s="460"/>
      <c r="AA24" s="460"/>
      <c r="AB24" s="460"/>
      <c r="AC24" s="460"/>
      <c r="AD24" s="458"/>
      <c r="AE24" s="458"/>
      <c r="AF24" s="458"/>
      <c r="AG24" s="458"/>
      <c r="AH24" s="461">
        <f t="shared" si="6"/>
        <v>0</v>
      </c>
      <c r="AI24" s="462">
        <f t="shared" si="7"/>
        <v>0</v>
      </c>
      <c r="AJ24" s="463">
        <f t="shared" si="0"/>
        <v>0</v>
      </c>
      <c r="AK24" s="464">
        <f t="shared" si="1"/>
        <v>0</v>
      </c>
      <c r="AL24" s="458"/>
      <c r="AM24" s="458"/>
      <c r="AN24" s="463"/>
      <c r="AO24" s="464"/>
      <c r="AP24" s="465"/>
      <c r="AQ24" s="466"/>
      <c r="AR24" s="462"/>
      <c r="AS24" s="465"/>
      <c r="AT24" s="466"/>
      <c r="AU24" s="467"/>
      <c r="AV24" s="466"/>
      <c r="AW24" s="462"/>
      <c r="AX24" s="465" t="str">
        <f>'L. Eliminations-Consolidations'!A214</f>
        <v>L.4</v>
      </c>
      <c r="AY24" s="468">
        <f>'L. Eliminations-Consolidations'!L215</f>
        <v>0</v>
      </c>
      <c r="AZ24" s="447"/>
      <c r="BA24" s="448"/>
      <c r="BB24" s="466">
        <f t="shared" si="8"/>
        <v>0</v>
      </c>
      <c r="BC24" s="466">
        <f t="shared" si="9"/>
        <v>0</v>
      </c>
      <c r="BD24" s="463"/>
      <c r="BE24" s="464"/>
      <c r="BF24" s="466"/>
      <c r="BG24" s="468"/>
    </row>
    <row r="25" spans="1:61" x14ac:dyDescent="0.2">
      <c r="A25" s="19"/>
      <c r="C25" t="s">
        <v>286</v>
      </c>
      <c r="D25" s="453"/>
      <c r="E25" s="454"/>
      <c r="F25" s="440"/>
      <c r="G25" s="440"/>
      <c r="H25" s="440"/>
      <c r="I25" s="440"/>
      <c r="J25" s="440"/>
      <c r="K25" s="441"/>
      <c r="L25" s="440"/>
      <c r="M25" s="440"/>
      <c r="N25" s="440"/>
      <c r="O25" s="440"/>
      <c r="P25" s="451"/>
      <c r="Q25" s="451"/>
      <c r="R25" s="451"/>
      <c r="S25" s="451"/>
      <c r="T25" s="451"/>
      <c r="U25" s="451"/>
      <c r="V25" s="451"/>
      <c r="W25" s="451"/>
      <c r="X25" s="451"/>
      <c r="Y25" s="451"/>
      <c r="Z25" s="451"/>
      <c r="AA25" s="451"/>
      <c r="AB25" s="451"/>
      <c r="AC25" s="451"/>
      <c r="AD25" s="440"/>
      <c r="AE25" s="440"/>
      <c r="AF25" s="440"/>
      <c r="AG25" s="440"/>
      <c r="AH25" s="430">
        <f t="shared" si="6"/>
        <v>0</v>
      </c>
      <c r="AI25" s="369">
        <f t="shared" si="7"/>
        <v>0</v>
      </c>
      <c r="AJ25" s="431">
        <f t="shared" si="0"/>
        <v>0</v>
      </c>
      <c r="AK25" s="443">
        <f t="shared" si="1"/>
        <v>0</v>
      </c>
      <c r="AL25" s="440"/>
      <c r="AM25" s="440"/>
      <c r="AN25" s="431"/>
      <c r="AO25" s="443"/>
      <c r="AQ25" s="367"/>
      <c r="AT25" s="367"/>
      <c r="AU25" s="445" t="str">
        <f>'L. Eliminations-Consolidations'!A214</f>
        <v>L.4</v>
      </c>
      <c r="AV25" s="367">
        <f>'L. Eliminations-Consolidations'!J214</f>
        <v>0</v>
      </c>
      <c r="AY25" s="455"/>
      <c r="AZ25" s="447"/>
      <c r="BA25" s="448"/>
      <c r="BB25" s="395">
        <f t="shared" ref="BB25:BB36" si="16">ROUND(AJ25+AL25+AN25+AQ25+AV25+AZ25,0)</f>
        <v>0</v>
      </c>
      <c r="BC25" s="395">
        <f t="shared" ref="BC25:BC36" si="17">ROUND(AK25+AM25+AO25+AT25+AY25+BA25,0)</f>
        <v>0</v>
      </c>
      <c r="BD25" s="431"/>
      <c r="BE25" s="443"/>
      <c r="BF25" s="429" t="str">
        <f>IF(BB25-BC25&lt;=0," ",BB25-BC25)</f>
        <v xml:space="preserve"> </v>
      </c>
      <c r="BG25" s="446">
        <f>IF(BB25-BC25&gt;0," ",BC25-BB25)</f>
        <v>0</v>
      </c>
      <c r="BI25" s="939"/>
    </row>
    <row r="26" spans="1:61" x14ac:dyDescent="0.2">
      <c r="A26" s="19"/>
      <c r="C26" t="s">
        <v>54</v>
      </c>
      <c r="D26" s="453">
        <v>3200000</v>
      </c>
      <c r="E26" s="454"/>
      <c r="F26" s="440"/>
      <c r="G26" s="440"/>
      <c r="H26" s="440"/>
      <c r="I26" s="440"/>
      <c r="J26" s="440"/>
      <c r="K26" s="441"/>
      <c r="L26" s="440"/>
      <c r="M26" s="440"/>
      <c r="N26" s="440"/>
      <c r="O26" s="440"/>
      <c r="P26" s="451"/>
      <c r="Q26" s="451"/>
      <c r="R26" s="451"/>
      <c r="S26" s="451"/>
      <c r="T26" s="451"/>
      <c r="U26" s="451"/>
      <c r="V26" s="451"/>
      <c r="W26" s="451"/>
      <c r="X26" s="451"/>
      <c r="Y26" s="451"/>
      <c r="Z26" s="451">
        <v>54800</v>
      </c>
      <c r="AA26" s="451"/>
      <c r="AB26" s="451"/>
      <c r="AC26" s="451"/>
      <c r="AD26" s="440"/>
      <c r="AE26" s="440"/>
      <c r="AF26" s="440"/>
      <c r="AG26" s="440"/>
      <c r="AH26" s="430">
        <f t="shared" si="6"/>
        <v>54800</v>
      </c>
      <c r="AI26" s="369">
        <f t="shared" si="7"/>
        <v>0</v>
      </c>
      <c r="AJ26" s="431">
        <f t="shared" si="0"/>
        <v>3254800</v>
      </c>
      <c r="AK26" s="443">
        <f t="shared" si="1"/>
        <v>0</v>
      </c>
      <c r="AL26" s="440"/>
      <c r="AM26" s="440"/>
      <c r="AN26" s="431"/>
      <c r="AO26" s="443"/>
      <c r="AQ26" s="367"/>
      <c r="AT26" s="367"/>
      <c r="AU26" s="445"/>
      <c r="AV26" s="367"/>
      <c r="AY26" s="455"/>
      <c r="AZ26" s="447"/>
      <c r="BA26" s="448"/>
      <c r="BB26" s="395">
        <f t="shared" si="16"/>
        <v>3254800</v>
      </c>
      <c r="BC26" s="395">
        <f t="shared" si="17"/>
        <v>0</v>
      </c>
      <c r="BD26" s="431"/>
      <c r="BE26" s="443"/>
      <c r="BF26" s="429">
        <f>IF(BB26-BC26&lt;=0," ",BB26-BC26)</f>
        <v>3254800</v>
      </c>
      <c r="BG26" s="446" t="str">
        <f>IF(BB26-BC26&gt;0," ",BC26-BB26)</f>
        <v xml:space="preserve"> </v>
      </c>
      <c r="BH26" s="937" t="s">
        <v>4180</v>
      </c>
      <c r="BI26" s="939"/>
    </row>
    <row r="27" spans="1:61" x14ac:dyDescent="0.2">
      <c r="A27" s="19"/>
      <c r="C27" t="s">
        <v>55</v>
      </c>
      <c r="D27" s="449">
        <v>36100</v>
      </c>
      <c r="E27" s="450"/>
      <c r="F27" s="440"/>
      <c r="G27" s="440"/>
      <c r="H27" s="440"/>
      <c r="I27" s="440"/>
      <c r="J27" s="440"/>
      <c r="K27" s="441"/>
      <c r="L27" s="440"/>
      <c r="M27" s="440"/>
      <c r="N27" s="440"/>
      <c r="O27" s="440"/>
      <c r="P27" s="442"/>
      <c r="Q27" s="442"/>
      <c r="R27" s="442"/>
      <c r="S27" s="442"/>
      <c r="T27" s="442"/>
      <c r="U27" s="442"/>
      <c r="V27" s="442"/>
      <c r="W27" s="442"/>
      <c r="X27" s="442"/>
      <c r="Y27" s="442"/>
      <c r="Z27" s="442"/>
      <c r="AA27" s="442"/>
      <c r="AB27" s="442"/>
      <c r="AC27" s="442"/>
      <c r="AD27" s="440"/>
      <c r="AE27" s="440"/>
      <c r="AF27" s="440"/>
      <c r="AG27" s="440"/>
      <c r="AH27" s="430">
        <f t="shared" si="6"/>
        <v>0</v>
      </c>
      <c r="AI27" s="369">
        <f t="shared" si="7"/>
        <v>0</v>
      </c>
      <c r="AJ27" s="431">
        <f t="shared" si="0"/>
        <v>36100</v>
      </c>
      <c r="AK27" s="443">
        <f t="shared" si="1"/>
        <v>0</v>
      </c>
      <c r="AL27" s="440"/>
      <c r="AM27" s="440"/>
      <c r="AN27" s="431"/>
      <c r="AO27" s="443"/>
      <c r="AQ27" s="429"/>
      <c r="AT27" s="429"/>
      <c r="AU27" s="445"/>
      <c r="AV27" s="429"/>
      <c r="AY27" s="446"/>
      <c r="AZ27" s="447"/>
      <c r="BA27" s="448"/>
      <c r="BB27" s="395">
        <f t="shared" si="16"/>
        <v>36100</v>
      </c>
      <c r="BC27" s="395">
        <f t="shared" si="17"/>
        <v>0</v>
      </c>
      <c r="BD27" s="431"/>
      <c r="BE27" s="443"/>
      <c r="BF27" s="429">
        <f>IF(BB27-BC27&lt;=0," ",BB27-BC27)</f>
        <v>36100</v>
      </c>
      <c r="BG27" s="446" t="str">
        <f>IF(BB27-BC27&gt;0," ",BC27-BB27)</f>
        <v xml:space="preserve"> </v>
      </c>
      <c r="BH27" s="937" t="s">
        <v>4180</v>
      </c>
    </row>
    <row r="28" spans="1:61" x14ac:dyDescent="0.2">
      <c r="A28" s="19"/>
      <c r="C28" s="204" t="s">
        <v>415</v>
      </c>
      <c r="D28" s="456"/>
      <c r="E28" s="457"/>
      <c r="F28" s="458"/>
      <c r="G28" s="458"/>
      <c r="H28" s="458"/>
      <c r="I28" s="458"/>
      <c r="J28" s="458"/>
      <c r="K28" s="459"/>
      <c r="L28" s="458"/>
      <c r="M28" s="458"/>
      <c r="N28" s="458"/>
      <c r="O28" s="458"/>
      <c r="P28" s="460"/>
      <c r="Q28" s="460"/>
      <c r="R28" s="460"/>
      <c r="S28" s="460"/>
      <c r="T28" s="460"/>
      <c r="U28" s="460"/>
      <c r="V28" s="460"/>
      <c r="W28" s="460"/>
      <c r="X28" s="460"/>
      <c r="Y28" s="460"/>
      <c r="Z28" s="460"/>
      <c r="AA28" s="460"/>
      <c r="AB28" s="460"/>
      <c r="AC28" s="460"/>
      <c r="AD28" s="458"/>
      <c r="AE28" s="458"/>
      <c r="AF28" s="458"/>
      <c r="AG28" s="458"/>
      <c r="AH28" s="461">
        <f t="shared" si="6"/>
        <v>0</v>
      </c>
      <c r="AI28" s="462">
        <f t="shared" si="7"/>
        <v>0</v>
      </c>
      <c r="AJ28" s="463">
        <f t="shared" si="0"/>
        <v>0</v>
      </c>
      <c r="AK28" s="464">
        <f t="shared" si="1"/>
        <v>0</v>
      </c>
      <c r="AL28" s="458"/>
      <c r="AM28" s="458"/>
      <c r="AN28" s="463"/>
      <c r="AO28" s="464"/>
      <c r="AP28" s="465"/>
      <c r="AQ28" s="466"/>
      <c r="AR28" s="462"/>
      <c r="AS28" s="465"/>
      <c r="AT28" s="466"/>
      <c r="AU28" s="467" t="str">
        <f>'L. Eliminations-Consolidations'!A208</f>
        <v>L.3</v>
      </c>
      <c r="AV28" s="466">
        <f>'L. Eliminations-Consolidations'!J210</f>
        <v>0</v>
      </c>
      <c r="AW28" s="462"/>
      <c r="AX28" s="470" t="s">
        <v>634</v>
      </c>
      <c r="AY28" s="466">
        <f>'K.1  Int. Service Fd Allocation'!G218+'K.2  Int. Service Fd Alloca'!G213+'K.3 Int. Service Fd Alloca'!G213</f>
        <v>0</v>
      </c>
      <c r="AZ28" s="471"/>
      <c r="BA28" s="448"/>
      <c r="BB28" s="466">
        <f t="shared" si="16"/>
        <v>0</v>
      </c>
      <c r="BC28" s="466">
        <f t="shared" si="17"/>
        <v>0</v>
      </c>
      <c r="BD28" s="463"/>
      <c r="BE28" s="464"/>
      <c r="BF28" s="466" t="str">
        <f>IF((BB28+BB29)-(BC28+BC29)&lt;=0," ",(BB28+BB29)-(BC28+BC29))</f>
        <v xml:space="preserve"> </v>
      </c>
      <c r="BG28" s="468">
        <f>IF((BB28+BB29)-(BC28+BC29)&gt;0," ",(BC28+BC29)-(BB28+BB29))</f>
        <v>0</v>
      </c>
      <c r="BH28" s="937"/>
    </row>
    <row r="29" spans="1:61" x14ac:dyDescent="0.2">
      <c r="A29" s="19"/>
      <c r="C29" s="204"/>
      <c r="D29" s="456"/>
      <c r="E29" s="457"/>
      <c r="F29" s="458"/>
      <c r="G29" s="458"/>
      <c r="H29" s="458"/>
      <c r="I29" s="458"/>
      <c r="J29" s="458"/>
      <c r="K29" s="459"/>
      <c r="L29" s="458"/>
      <c r="M29" s="458"/>
      <c r="N29" s="458"/>
      <c r="O29" s="458"/>
      <c r="P29" s="460"/>
      <c r="Q29" s="460"/>
      <c r="R29" s="460"/>
      <c r="S29" s="460"/>
      <c r="T29" s="460"/>
      <c r="U29" s="460"/>
      <c r="V29" s="460"/>
      <c r="W29" s="460"/>
      <c r="X29" s="460"/>
      <c r="Y29" s="460"/>
      <c r="Z29" s="460"/>
      <c r="AA29" s="460"/>
      <c r="AB29" s="460"/>
      <c r="AC29" s="460"/>
      <c r="AD29" s="458"/>
      <c r="AE29" s="458"/>
      <c r="AF29" s="458"/>
      <c r="AG29" s="458"/>
      <c r="AH29" s="461">
        <f t="shared" si="6"/>
        <v>0</v>
      </c>
      <c r="AI29" s="462">
        <f t="shared" si="7"/>
        <v>0</v>
      </c>
      <c r="AJ29" s="463">
        <f t="shared" si="0"/>
        <v>0</v>
      </c>
      <c r="AK29" s="464">
        <f t="shared" si="1"/>
        <v>0</v>
      </c>
      <c r="AL29" s="458"/>
      <c r="AM29" s="458"/>
      <c r="AN29" s="463"/>
      <c r="AO29" s="464"/>
      <c r="AP29" s="465"/>
      <c r="AQ29" s="466"/>
      <c r="AR29" s="462"/>
      <c r="AS29" s="465"/>
      <c r="AT29" s="466"/>
      <c r="AU29" s="467" t="str">
        <f>'L. Eliminations-Consolidations'!B273</f>
        <v>L.8</v>
      </c>
      <c r="AV29" s="466">
        <f>'L. Eliminations-Consolidations'!J273</f>
        <v>0</v>
      </c>
      <c r="AW29" s="462"/>
      <c r="AX29" s="465" t="str">
        <f>'L. Eliminations-Consolidations'!B273</f>
        <v>L.8</v>
      </c>
      <c r="AY29" s="468">
        <f>'L. Eliminations-Consolidations'!L273</f>
        <v>0</v>
      </c>
      <c r="AZ29" s="447"/>
      <c r="BA29" s="448"/>
      <c r="BB29" s="466">
        <f t="shared" si="16"/>
        <v>0</v>
      </c>
      <c r="BC29" s="466">
        <f t="shared" si="17"/>
        <v>0</v>
      </c>
      <c r="BD29" s="463"/>
      <c r="BE29" s="464"/>
      <c r="BF29" s="466"/>
      <c r="BG29" s="468"/>
      <c r="BH29" s="937"/>
    </row>
    <row r="30" spans="1:61" x14ac:dyDescent="0.2">
      <c r="A30" s="19"/>
      <c r="C30" t="s">
        <v>56</v>
      </c>
      <c r="D30" s="453">
        <v>2551800</v>
      </c>
      <c r="E30" s="454"/>
      <c r="F30" s="440"/>
      <c r="G30" s="440"/>
      <c r="H30" s="440"/>
      <c r="I30" s="440"/>
      <c r="J30" s="440"/>
      <c r="K30" s="441"/>
      <c r="L30" s="440"/>
      <c r="M30" s="440"/>
      <c r="N30" s="440"/>
      <c r="O30" s="440"/>
      <c r="P30" s="451"/>
      <c r="Q30" s="451"/>
      <c r="R30" s="451"/>
      <c r="S30" s="451"/>
      <c r="T30" s="451"/>
      <c r="U30" s="451"/>
      <c r="V30" s="451"/>
      <c r="W30" s="451"/>
      <c r="X30" s="451"/>
      <c r="Y30" s="451"/>
      <c r="Z30" s="451"/>
      <c r="AA30" s="451"/>
      <c r="AB30" s="451"/>
      <c r="AC30" s="451"/>
      <c r="AD30" s="440"/>
      <c r="AE30" s="440"/>
      <c r="AF30" s="440"/>
      <c r="AG30" s="440"/>
      <c r="AH30" s="430">
        <f t="shared" si="6"/>
        <v>0</v>
      </c>
      <c r="AI30" s="369">
        <f t="shared" si="7"/>
        <v>0</v>
      </c>
      <c r="AJ30" s="431">
        <f t="shared" si="0"/>
        <v>2551800</v>
      </c>
      <c r="AK30" s="443">
        <f t="shared" si="1"/>
        <v>0</v>
      </c>
      <c r="AL30" s="440"/>
      <c r="AM30" s="440"/>
      <c r="AN30" s="431"/>
      <c r="AO30" s="443"/>
      <c r="AP30" s="472"/>
      <c r="AQ30" s="367"/>
      <c r="AT30" s="367"/>
      <c r="AU30" s="473" t="s">
        <v>634</v>
      </c>
      <c r="AV30" s="429">
        <f>'K.1  Int. Service Fd Allocation'!E168+'K.2  Int. Service Fd Alloca'!E163+'K.3 Int. Service Fd Alloca'!E163</f>
        <v>0</v>
      </c>
      <c r="AY30" s="455"/>
      <c r="AZ30" s="447"/>
      <c r="BA30" s="448"/>
      <c r="BB30" s="395">
        <f t="shared" si="16"/>
        <v>2551800</v>
      </c>
      <c r="BC30" s="395">
        <f t="shared" si="17"/>
        <v>0</v>
      </c>
      <c r="BD30" s="431"/>
      <c r="BE30" s="443"/>
      <c r="BF30" s="429">
        <f>IF(BB30-BC30&lt;=0," ",BB30-BC30)</f>
        <v>2551800</v>
      </c>
      <c r="BG30" s="446" t="str">
        <f>IF(BB30-BC30&gt;0," ",BC30-BB30)</f>
        <v xml:space="preserve"> </v>
      </c>
      <c r="BH30" s="937" t="s">
        <v>4180</v>
      </c>
      <c r="BI30" s="939"/>
    </row>
    <row r="31" spans="1:61" x14ac:dyDescent="0.2">
      <c r="A31" s="19"/>
      <c r="C31" t="s">
        <v>57</v>
      </c>
      <c r="D31" s="449"/>
      <c r="E31" s="450"/>
      <c r="F31" s="440"/>
      <c r="G31" s="440"/>
      <c r="H31" s="440"/>
      <c r="I31" s="440"/>
      <c r="J31" s="440"/>
      <c r="K31" s="441"/>
      <c r="L31" s="440"/>
      <c r="M31" s="440"/>
      <c r="N31" s="440"/>
      <c r="O31" s="440"/>
      <c r="P31" s="442"/>
      <c r="Q31" s="442"/>
      <c r="R31" s="442"/>
      <c r="S31" s="442"/>
      <c r="T31" s="442"/>
      <c r="U31" s="442"/>
      <c r="V31" s="442"/>
      <c r="W31" s="442"/>
      <c r="X31" s="442"/>
      <c r="Y31" s="442"/>
      <c r="Z31" s="442"/>
      <c r="AA31" s="442"/>
      <c r="AB31" s="442"/>
      <c r="AC31" s="442"/>
      <c r="AD31" s="440"/>
      <c r="AE31" s="440"/>
      <c r="AF31" s="440"/>
      <c r="AG31" s="440"/>
      <c r="AH31" s="430">
        <f t="shared" si="6"/>
        <v>0</v>
      </c>
      <c r="AI31" s="369">
        <f t="shared" si="7"/>
        <v>0</v>
      </c>
      <c r="AJ31" s="431">
        <f t="shared" si="0"/>
        <v>0</v>
      </c>
      <c r="AK31" s="443">
        <f t="shared" si="1"/>
        <v>0</v>
      </c>
      <c r="AL31" s="440"/>
      <c r="AM31" s="440"/>
      <c r="AN31" s="431"/>
      <c r="AO31" s="443"/>
      <c r="AP31" s="472"/>
      <c r="AQ31" s="429"/>
      <c r="AT31" s="429"/>
      <c r="AU31" s="473" t="s">
        <v>634</v>
      </c>
      <c r="AV31" s="429">
        <f>'K.1  Int. Service Fd Allocation'!E169+'K.2  Int. Service Fd Alloca'!E164+'K.3 Int. Service Fd Alloca'!E164</f>
        <v>0</v>
      </c>
      <c r="AY31" s="446"/>
      <c r="AZ31" s="447"/>
      <c r="BA31" s="448"/>
      <c r="BB31" s="395">
        <f t="shared" si="16"/>
        <v>0</v>
      </c>
      <c r="BC31" s="395">
        <f t="shared" si="17"/>
        <v>0</v>
      </c>
      <c r="BD31" s="431"/>
      <c r="BE31" s="443"/>
      <c r="BF31" s="429" t="str">
        <f>IF(BB31-BC31&lt;=0," ",BB31-BC31)</f>
        <v xml:space="preserve"> </v>
      </c>
      <c r="BG31" s="446">
        <f>IF(BB31-BC31&gt;0," ",BC31-BB31)</f>
        <v>0</v>
      </c>
      <c r="BH31" s="937"/>
    </row>
    <row r="32" spans="1:61" x14ac:dyDescent="0.2">
      <c r="A32" s="19"/>
      <c r="C32" t="s">
        <v>2612</v>
      </c>
      <c r="D32" s="449"/>
      <c r="E32" s="450"/>
      <c r="F32" s="440"/>
      <c r="G32" s="440"/>
      <c r="H32" s="440"/>
      <c r="I32" s="440"/>
      <c r="J32" s="440"/>
      <c r="K32" s="441"/>
      <c r="L32" s="440"/>
      <c r="M32" s="440"/>
      <c r="N32" s="440"/>
      <c r="O32" s="440"/>
      <c r="P32" s="442"/>
      <c r="Q32" s="442"/>
      <c r="R32" s="442"/>
      <c r="S32" s="442"/>
      <c r="T32" s="442"/>
      <c r="U32" s="442"/>
      <c r="V32" s="442"/>
      <c r="W32" s="442"/>
      <c r="X32" s="442"/>
      <c r="Y32" s="442"/>
      <c r="Z32" s="442"/>
      <c r="AA32" s="442"/>
      <c r="AB32" s="442"/>
      <c r="AC32" s="442"/>
      <c r="AD32" s="440"/>
      <c r="AE32" s="440"/>
      <c r="AF32" s="440"/>
      <c r="AG32" s="440"/>
      <c r="AH32" s="430">
        <f t="shared" si="6"/>
        <v>0</v>
      </c>
      <c r="AI32" s="369">
        <f t="shared" si="7"/>
        <v>0</v>
      </c>
      <c r="AJ32" s="431">
        <f t="shared" si="0"/>
        <v>0</v>
      </c>
      <c r="AK32" s="443">
        <f t="shared" si="1"/>
        <v>0</v>
      </c>
      <c r="AL32" s="440"/>
      <c r="AM32" s="440"/>
      <c r="AN32" s="431"/>
      <c r="AO32" s="443"/>
      <c r="AP32" s="472" t="s">
        <v>2047</v>
      </c>
      <c r="AQ32" s="429">
        <f>'N.1 GASB 68 LGERS'!C95</f>
        <v>0</v>
      </c>
      <c r="AS32" s="444" t="s">
        <v>2047</v>
      </c>
      <c r="AT32" s="429">
        <f>'N.1 GASB 68 LGERS'!D95</f>
        <v>0</v>
      </c>
      <c r="AU32" s="473"/>
      <c r="AV32" s="429"/>
      <c r="AY32" s="446"/>
      <c r="AZ32" s="447"/>
      <c r="BA32" s="448"/>
      <c r="BB32" s="395">
        <f>ROUND(AJ32+AL32+AN32+AQ32+AV32+AZ32,0)</f>
        <v>0</v>
      </c>
      <c r="BC32" s="395">
        <f>ROUND(AK32+AM32+AO32+AT32+AY32+BA32,0)</f>
        <v>0</v>
      </c>
      <c r="BD32" s="431"/>
      <c r="BE32" s="443"/>
      <c r="BF32" s="429" t="str">
        <f>IF(BB32-BC32&lt;=0," ",BB32-BC32)</f>
        <v xml:space="preserve"> </v>
      </c>
      <c r="BG32" s="455">
        <f>IF(BB32-BC32&gt;0," ",BC32-BB32)</f>
        <v>0</v>
      </c>
      <c r="BH32" s="937"/>
    </row>
    <row r="33" spans="1:61" x14ac:dyDescent="0.2">
      <c r="A33" s="19"/>
      <c r="C33" s="579" t="s">
        <v>2613</v>
      </c>
      <c r="D33" s="449"/>
      <c r="E33" s="450"/>
      <c r="F33" s="440"/>
      <c r="G33" s="440"/>
      <c r="H33" s="440"/>
      <c r="I33" s="440"/>
      <c r="J33" s="440"/>
      <c r="K33" s="441"/>
      <c r="L33" s="440"/>
      <c r="M33" s="440"/>
      <c r="N33" s="440"/>
      <c r="O33" s="440"/>
      <c r="P33" s="442"/>
      <c r="Q33" s="442"/>
      <c r="R33" s="442"/>
      <c r="S33" s="442"/>
      <c r="T33" s="442"/>
      <c r="U33" s="442"/>
      <c r="V33" s="442"/>
      <c r="W33" s="442"/>
      <c r="X33" s="442"/>
      <c r="Y33" s="442"/>
      <c r="Z33" s="442"/>
      <c r="AA33" s="442"/>
      <c r="AB33" s="442"/>
      <c r="AC33" s="442"/>
      <c r="AD33" s="440"/>
      <c r="AE33" s="440"/>
      <c r="AF33" s="440"/>
      <c r="AG33" s="440"/>
      <c r="AH33" s="430">
        <f t="shared" si="6"/>
        <v>0</v>
      </c>
      <c r="AI33" s="369">
        <f t="shared" si="7"/>
        <v>0</v>
      </c>
      <c r="AJ33" s="431">
        <f t="shared" si="0"/>
        <v>0</v>
      </c>
      <c r="AK33" s="443">
        <f t="shared" si="1"/>
        <v>0</v>
      </c>
      <c r="AL33" s="440">
        <f>'N.2 GASB 68 ROD'!C63*-'N.2 GASB 68 ROD'!H28</f>
        <v>77702</v>
      </c>
      <c r="AM33" s="440"/>
      <c r="AN33" s="431"/>
      <c r="AO33" s="443"/>
      <c r="AP33" s="472" t="s">
        <v>2048</v>
      </c>
      <c r="AQ33" s="429">
        <f>'N.2 GASB 68 ROD'!C67</f>
        <v>0</v>
      </c>
      <c r="AS33" s="444" t="s">
        <v>2048</v>
      </c>
      <c r="AT33" s="367">
        <f>'N.2 GASB 68 ROD'!D67</f>
        <v>1679</v>
      </c>
      <c r="AU33" s="473"/>
      <c r="AV33" s="429"/>
      <c r="AY33" s="446"/>
      <c r="AZ33" s="447"/>
      <c r="BA33" s="448"/>
      <c r="BB33" s="395">
        <f>ROUND(AJ33+AL33+AN33+AQ33+AV33+AZ33,0)</f>
        <v>77702</v>
      </c>
      <c r="BC33" s="395">
        <f>ROUND(AK33+AM33+AO33+AT33+AY33+BA33,0)</f>
        <v>1679</v>
      </c>
      <c r="BD33" s="431"/>
      <c r="BE33" s="443"/>
      <c r="BF33" s="367">
        <f>IF(BB33-BC33&lt;=0," ",BB33-BC33)</f>
        <v>76023</v>
      </c>
      <c r="BG33" s="446" t="str">
        <f>IF(BB33-BC33&gt;0," ",BC33-BB33)</f>
        <v xml:space="preserve"> </v>
      </c>
      <c r="BH33" s="937" t="s">
        <v>4180</v>
      </c>
    </row>
    <row r="34" spans="1:61" x14ac:dyDescent="0.2">
      <c r="A34" s="19"/>
      <c r="C34" s="579"/>
      <c r="D34" s="449"/>
      <c r="E34" s="450"/>
      <c r="F34" s="440"/>
      <c r="G34" s="440"/>
      <c r="H34" s="440"/>
      <c r="I34" s="440"/>
      <c r="J34" s="440"/>
      <c r="K34" s="441"/>
      <c r="L34" s="440"/>
      <c r="M34" s="440"/>
      <c r="N34" s="440"/>
      <c r="O34" s="440"/>
      <c r="P34" s="442"/>
      <c r="Q34" s="442"/>
      <c r="R34" s="442"/>
      <c r="S34" s="442"/>
      <c r="T34" s="442"/>
      <c r="U34" s="442"/>
      <c r="V34" s="442"/>
      <c r="W34" s="442"/>
      <c r="X34" s="442"/>
      <c r="Y34" s="442"/>
      <c r="Z34" s="442"/>
      <c r="AA34" s="442"/>
      <c r="AB34" s="442"/>
      <c r="AC34" s="442"/>
      <c r="AD34" s="440"/>
      <c r="AE34" s="440"/>
      <c r="AF34" s="440"/>
      <c r="AG34" s="440"/>
      <c r="AH34" s="430"/>
      <c r="AJ34" s="431"/>
      <c r="AK34" s="443"/>
      <c r="AL34" s="440"/>
      <c r="AM34" s="440"/>
      <c r="AN34" s="431"/>
      <c r="AO34" s="443"/>
      <c r="AP34" s="472"/>
      <c r="AQ34" s="429"/>
      <c r="AT34" s="429"/>
      <c r="AU34" s="473"/>
      <c r="AV34" s="429"/>
      <c r="AY34" s="446"/>
      <c r="AZ34" s="447"/>
      <c r="BA34" s="448"/>
      <c r="BB34" s="395"/>
      <c r="BC34" s="395"/>
      <c r="BD34" s="431"/>
      <c r="BE34" s="443"/>
      <c r="BF34" s="429"/>
      <c r="BG34" s="446"/>
      <c r="BH34" s="937"/>
    </row>
    <row r="35" spans="1:61" x14ac:dyDescent="0.2">
      <c r="A35" s="19"/>
      <c r="C35" s="204" t="s">
        <v>835</v>
      </c>
      <c r="D35" s="456"/>
      <c r="E35" s="457"/>
      <c r="F35" s="458"/>
      <c r="G35" s="458"/>
      <c r="H35" s="458"/>
      <c r="I35" s="458"/>
      <c r="J35" s="458"/>
      <c r="K35" s="459"/>
      <c r="L35" s="458"/>
      <c r="M35" s="458"/>
      <c r="N35" s="458"/>
      <c r="O35" s="458"/>
      <c r="P35" s="460"/>
      <c r="Q35" s="460"/>
      <c r="R35" s="460"/>
      <c r="S35" s="460"/>
      <c r="T35" s="460"/>
      <c r="U35" s="460"/>
      <c r="V35" s="460"/>
      <c r="W35" s="460"/>
      <c r="X35" s="460"/>
      <c r="Y35" s="460"/>
      <c r="Z35" s="460"/>
      <c r="AA35" s="460"/>
      <c r="AB35" s="460"/>
      <c r="AC35" s="460"/>
      <c r="AD35" s="458"/>
      <c r="AE35" s="458"/>
      <c r="AF35" s="458"/>
      <c r="AG35" s="458"/>
      <c r="AH35" s="461">
        <f t="shared" ref="AH35:AH42" si="18">L35+N35+P35+R35+T35+V35+X35+Z35+AB35+AD35+AF35</f>
        <v>0</v>
      </c>
      <c r="AI35" s="462">
        <f t="shared" ref="AI35:AI42" si="19">M35+O35+Q35+S35+U35+W35+Y35+AA35+AC35+AE35+AG35</f>
        <v>0</v>
      </c>
      <c r="AJ35" s="463">
        <f t="shared" ref="AJ35:AJ78" si="20">D35+F35+H35+J35+AH35</f>
        <v>0</v>
      </c>
      <c r="AK35" s="464">
        <f t="shared" ref="AK35:AK78" si="21">E35+G35+I35+K35+AI35</f>
        <v>0</v>
      </c>
      <c r="AL35" s="458"/>
      <c r="AM35" s="458"/>
      <c r="AN35" s="463"/>
      <c r="AO35" s="464"/>
      <c r="AP35" s="465"/>
      <c r="AQ35" s="466"/>
      <c r="AR35" s="462"/>
      <c r="AS35" s="465"/>
      <c r="AT35" s="466"/>
      <c r="AU35" s="469" t="s">
        <v>634</v>
      </c>
      <c r="AV35" s="466">
        <f>'K.1  Int. Service Fd Allocation'!E167+'K.2  Int. Service Fd Alloca'!E162+'K.3 Int. Service Fd Alloca'!E162</f>
        <v>0</v>
      </c>
      <c r="AW35" s="462"/>
      <c r="AX35" s="465" t="str">
        <f>'L. Eliminations-Consolidations'!A203</f>
        <v>L.2</v>
      </c>
      <c r="AY35" s="468">
        <f>'L. Eliminations-Consolidations'!L206</f>
        <v>0</v>
      </c>
      <c r="AZ35" s="447"/>
      <c r="BA35" s="448"/>
      <c r="BB35" s="466">
        <f t="shared" si="16"/>
        <v>0</v>
      </c>
      <c r="BC35" s="466">
        <f t="shared" si="17"/>
        <v>0</v>
      </c>
      <c r="BD35" s="463"/>
      <c r="BE35" s="464"/>
      <c r="BF35" s="466" t="str">
        <f>IF((BB35+BB36)-(BC35+BC36)&lt;=0," ",(BB35+BB36)-(BC35+BC36))</f>
        <v xml:space="preserve"> </v>
      </c>
      <c r="BG35" s="468">
        <f>IF((BB35+BB36)-(BC35+BC36)&gt;0," ",(BC35+BC36)-(BB35+BB36))</f>
        <v>0</v>
      </c>
    </row>
    <row r="36" spans="1:61" x14ac:dyDescent="0.2">
      <c r="A36" s="19"/>
      <c r="C36" s="204"/>
      <c r="D36" s="456"/>
      <c r="E36" s="457"/>
      <c r="F36" s="458"/>
      <c r="G36" s="458"/>
      <c r="H36" s="458"/>
      <c r="I36" s="458"/>
      <c r="J36" s="458"/>
      <c r="K36" s="459"/>
      <c r="L36" s="458"/>
      <c r="M36" s="458"/>
      <c r="N36" s="458"/>
      <c r="O36" s="458"/>
      <c r="P36" s="460"/>
      <c r="Q36" s="460"/>
      <c r="R36" s="460"/>
      <c r="S36" s="460"/>
      <c r="T36" s="460"/>
      <c r="U36" s="460"/>
      <c r="V36" s="460"/>
      <c r="W36" s="460"/>
      <c r="X36" s="460"/>
      <c r="Y36" s="460"/>
      <c r="Z36" s="460"/>
      <c r="AA36" s="460"/>
      <c r="AB36" s="460"/>
      <c r="AC36" s="460"/>
      <c r="AD36" s="458"/>
      <c r="AE36" s="458"/>
      <c r="AF36" s="458"/>
      <c r="AG36" s="458"/>
      <c r="AH36" s="461">
        <f t="shared" si="18"/>
        <v>0</v>
      </c>
      <c r="AI36" s="462">
        <f t="shared" si="19"/>
        <v>0</v>
      </c>
      <c r="AJ36" s="463">
        <f t="shared" si="20"/>
        <v>0</v>
      </c>
      <c r="AK36" s="464">
        <f t="shared" si="21"/>
        <v>0</v>
      </c>
      <c r="AL36" s="458"/>
      <c r="AM36" s="458"/>
      <c r="AN36" s="463"/>
      <c r="AO36" s="464"/>
      <c r="AP36" s="465"/>
      <c r="AQ36" s="466"/>
      <c r="AR36" s="462"/>
      <c r="AS36" s="465"/>
      <c r="AT36" s="466"/>
      <c r="AU36" s="467"/>
      <c r="AV36" s="466"/>
      <c r="AW36" s="462"/>
      <c r="AX36" s="465" t="str">
        <f>'L. Eliminations-Consolidations'!A208</f>
        <v>L.3</v>
      </c>
      <c r="AY36" s="468">
        <f>'L. Eliminations-Consolidations'!L211</f>
        <v>0</v>
      </c>
      <c r="AZ36" s="447"/>
      <c r="BA36" s="448"/>
      <c r="BB36" s="466">
        <f t="shared" si="16"/>
        <v>0</v>
      </c>
      <c r="BC36" s="466">
        <f t="shared" si="17"/>
        <v>0</v>
      </c>
      <c r="BD36" s="463"/>
      <c r="BE36" s="464"/>
      <c r="BF36" s="466"/>
      <c r="BG36" s="468"/>
    </row>
    <row r="37" spans="1:61" ht="25.5" x14ac:dyDescent="0.2">
      <c r="A37" s="19"/>
      <c r="C37" s="24" t="s">
        <v>1001</v>
      </c>
      <c r="D37" s="449"/>
      <c r="E37" s="450"/>
      <c r="F37" s="440"/>
      <c r="G37" s="440"/>
      <c r="H37" s="440"/>
      <c r="I37" s="440"/>
      <c r="J37" s="440"/>
      <c r="K37" s="441"/>
      <c r="L37" s="440"/>
      <c r="M37" s="440"/>
      <c r="N37" s="440"/>
      <c r="O37" s="440"/>
      <c r="P37" s="442"/>
      <c r="Q37" s="442"/>
      <c r="R37" s="442"/>
      <c r="S37" s="442"/>
      <c r="T37" s="442"/>
      <c r="U37" s="442"/>
      <c r="V37" s="442"/>
      <c r="W37" s="442"/>
      <c r="X37" s="442"/>
      <c r="Y37" s="442"/>
      <c r="Z37" s="442"/>
      <c r="AA37" s="442"/>
      <c r="AB37" s="442"/>
      <c r="AC37" s="442"/>
      <c r="AD37" s="440"/>
      <c r="AE37" s="440"/>
      <c r="AF37" s="440"/>
      <c r="AG37" s="440"/>
      <c r="AH37" s="430">
        <f>L37+N37+P37+R37+T37+V37+X37+Z37+AB37+AD37+AF37</f>
        <v>0</v>
      </c>
      <c r="AI37" s="369">
        <f>M37+O37+Q37+S37+U37+W37+Y37+AA37+AC37+AE37+AG37</f>
        <v>0</v>
      </c>
      <c r="AJ37" s="431">
        <f>D37+F37+H37+J37+AH37</f>
        <v>0</v>
      </c>
      <c r="AK37" s="443">
        <f>E37+G37+I37+K37+AI37</f>
        <v>0</v>
      </c>
      <c r="AL37" s="440"/>
      <c r="AN37" s="431"/>
      <c r="AO37" s="443"/>
      <c r="AP37" s="472" t="str">
        <f>'I.  Other Asset Entries'!B108</f>
        <v>I.1</v>
      </c>
      <c r="AQ37" s="429">
        <f>'I.  Other Asset Entries'!L112</f>
        <v>0</v>
      </c>
      <c r="AT37" s="429"/>
      <c r="AU37" s="445"/>
      <c r="AV37" s="429"/>
      <c r="AY37" s="446"/>
      <c r="AZ37" s="447"/>
      <c r="BA37" s="448"/>
      <c r="BB37" s="395">
        <f>ROUND(AJ37+AL37+AN37+AQ37+AV37+AZ37,0)</f>
        <v>0</v>
      </c>
      <c r="BC37" s="395">
        <f>ROUND(AK37+AL37+AO37+AT37+AY37+BA37,0)</f>
        <v>0</v>
      </c>
      <c r="BD37" s="431"/>
      <c r="BE37" s="443"/>
      <c r="BF37" s="429" t="str">
        <f>IF(BB37-BC37&lt;=0," ",BB37-BC37)</f>
        <v xml:space="preserve"> </v>
      </c>
      <c r="BG37" s="446">
        <f>IF(BB37-BC37&gt;0," ",BC37-BB37)</f>
        <v>0</v>
      </c>
    </row>
    <row r="38" spans="1:61" x14ac:dyDescent="0.2">
      <c r="A38" s="19"/>
      <c r="C38" s="24" t="s">
        <v>4120</v>
      </c>
      <c r="D38" s="449"/>
      <c r="E38" s="450"/>
      <c r="F38" s="440"/>
      <c r="G38" s="440"/>
      <c r="H38" s="440"/>
      <c r="I38" s="440"/>
      <c r="J38" s="440"/>
      <c r="K38" s="441"/>
      <c r="L38" s="440"/>
      <c r="M38" s="440"/>
      <c r="N38" s="440"/>
      <c r="O38" s="440"/>
      <c r="P38" s="442"/>
      <c r="Q38" s="442"/>
      <c r="R38" s="442"/>
      <c r="S38" s="442"/>
      <c r="T38" s="442"/>
      <c r="U38" s="442"/>
      <c r="V38" s="442"/>
      <c r="W38" s="442"/>
      <c r="X38" s="442"/>
      <c r="Y38" s="442"/>
      <c r="Z38" s="442"/>
      <c r="AA38" s="442"/>
      <c r="AB38" s="442"/>
      <c r="AC38" s="442"/>
      <c r="AD38" s="440"/>
      <c r="AE38" s="440"/>
      <c r="AF38" s="440"/>
      <c r="AG38" s="440"/>
      <c r="AH38" s="430">
        <f t="shared" ref="AH38:AH41" si="22">L38+N38+P38+R38+T38+V38+X38+Z38+AB38+AD38+AF38</f>
        <v>0</v>
      </c>
      <c r="AI38" s="369">
        <f t="shared" ref="AI38:AI41" si="23">M38+O38+Q38+S38+U38+W38+Y38+AA38+AC38+AE38+AG38</f>
        <v>0</v>
      </c>
      <c r="AJ38" s="431">
        <f t="shared" ref="AJ38:AJ41" si="24">D38+F38+H38+J38+AH38</f>
        <v>0</v>
      </c>
      <c r="AK38" s="443">
        <f t="shared" ref="AK38:AK41" si="25">E38+G38+I38+K38+AI38</f>
        <v>0</v>
      </c>
      <c r="AL38" s="440"/>
      <c r="AM38" s="440"/>
      <c r="AN38" s="431"/>
      <c r="AO38" s="443"/>
      <c r="AP38" s="472" t="s">
        <v>4110</v>
      </c>
      <c r="AQ38" s="983">
        <f>'Q. GASB 87 Lease Entries'!M31</f>
        <v>279755</v>
      </c>
      <c r="AS38"/>
      <c r="AT38" s="429"/>
      <c r="AU38" s="445"/>
      <c r="AV38" s="429"/>
      <c r="AY38" s="446"/>
      <c r="AZ38" s="447"/>
      <c r="BA38" s="448"/>
      <c r="BB38" s="395">
        <f>ROUND(AJ38+AL38+AN38+AQ38+AV38+AZ38,0)</f>
        <v>279755</v>
      </c>
      <c r="BC38" s="395">
        <f>ROUND(AK38+AM38+AO38+AT38+AY38+BA38,0)</f>
        <v>0</v>
      </c>
      <c r="BD38" s="431"/>
      <c r="BE38" s="443"/>
      <c r="BF38" s="429">
        <f t="shared" ref="BF38:BF40" si="26">IF(BB38-BC38&lt;=0," ",BB38-BC38)</f>
        <v>279755</v>
      </c>
      <c r="BG38" s="446" t="str">
        <f t="shared" ref="BG38:BG41" si="27">IF(BB38-BC38&gt;0," ",BC38-BB38)</f>
        <v xml:space="preserve"> </v>
      </c>
      <c r="BH38" s="936" t="s">
        <v>4219</v>
      </c>
      <c r="BI38" s="938">
        <f>+BF38+BF40-BG39-BG41</f>
        <v>307559</v>
      </c>
    </row>
    <row r="39" spans="1:61" ht="25.5" x14ac:dyDescent="0.2">
      <c r="A39" s="19"/>
      <c r="C39" s="24" t="s">
        <v>4121</v>
      </c>
      <c r="D39" s="449"/>
      <c r="E39" s="450"/>
      <c r="F39" s="440"/>
      <c r="G39" s="440"/>
      <c r="H39" s="440"/>
      <c r="I39" s="440"/>
      <c r="J39" s="440"/>
      <c r="K39" s="441"/>
      <c r="L39" s="440"/>
      <c r="M39" s="440"/>
      <c r="N39" s="440"/>
      <c r="O39" s="440"/>
      <c r="P39" s="442"/>
      <c r="Q39" s="442"/>
      <c r="R39" s="442"/>
      <c r="S39" s="442"/>
      <c r="T39" s="442"/>
      <c r="U39" s="442"/>
      <c r="V39" s="442"/>
      <c r="W39" s="442"/>
      <c r="X39" s="442"/>
      <c r="Y39" s="442"/>
      <c r="Z39" s="442"/>
      <c r="AA39" s="442"/>
      <c r="AB39" s="442"/>
      <c r="AC39" s="442"/>
      <c r="AD39" s="440"/>
      <c r="AE39" s="440"/>
      <c r="AF39" s="440"/>
      <c r="AG39" s="440"/>
      <c r="AH39" s="430">
        <f t="shared" si="22"/>
        <v>0</v>
      </c>
      <c r="AI39" s="369">
        <f t="shared" si="23"/>
        <v>0</v>
      </c>
      <c r="AJ39" s="431">
        <f t="shared" si="24"/>
        <v>0</v>
      </c>
      <c r="AK39" s="443">
        <f t="shared" si="25"/>
        <v>0</v>
      </c>
      <c r="AL39" s="440"/>
      <c r="AM39" s="440"/>
      <c r="AN39" s="431"/>
      <c r="AO39" s="443"/>
      <c r="AP39" s="472"/>
      <c r="AQ39" s="429"/>
      <c r="AS39" s="444" t="s">
        <v>4114</v>
      </c>
      <c r="AT39" s="983">
        <f>'Q. GASB 87 Lease Entries'!O77</f>
        <v>22999</v>
      </c>
      <c r="AU39" s="445"/>
      <c r="AV39" s="429"/>
      <c r="AY39" s="446"/>
      <c r="AZ39" s="447"/>
      <c r="BA39" s="448"/>
      <c r="BB39" s="395">
        <f>ROUND(AJ39+AL39+AN39+AQ39+AV39+AZ39,0)</f>
        <v>0</v>
      </c>
      <c r="BC39" s="395">
        <f>ROUND(AK39+AM39+AO39+AT39+AY39+BA39,0)</f>
        <v>22999</v>
      </c>
      <c r="BD39" s="431"/>
      <c r="BE39" s="443"/>
      <c r="BF39" s="429" t="str">
        <f t="shared" si="26"/>
        <v xml:space="preserve"> </v>
      </c>
      <c r="BG39" s="446">
        <f t="shared" si="27"/>
        <v>22999</v>
      </c>
      <c r="BH39" s="936" t="s">
        <v>4219</v>
      </c>
    </row>
    <row r="40" spans="1:61" x14ac:dyDescent="0.2">
      <c r="A40" s="19"/>
      <c r="C40" s="24" t="s">
        <v>4122</v>
      </c>
      <c r="D40" s="449"/>
      <c r="E40" s="450"/>
      <c r="F40" s="440"/>
      <c r="G40" s="440"/>
      <c r="H40" s="440"/>
      <c r="I40" s="440"/>
      <c r="J40" s="440"/>
      <c r="K40" s="441"/>
      <c r="L40" s="440"/>
      <c r="M40" s="440"/>
      <c r="N40" s="440"/>
      <c r="O40" s="440"/>
      <c r="P40" s="442"/>
      <c r="Q40" s="442"/>
      <c r="R40" s="442"/>
      <c r="S40" s="442"/>
      <c r="T40" s="442"/>
      <c r="U40" s="442"/>
      <c r="V40" s="442"/>
      <c r="W40" s="442"/>
      <c r="X40" s="442"/>
      <c r="Y40" s="442"/>
      <c r="Z40" s="442"/>
      <c r="AA40" s="442"/>
      <c r="AB40" s="442"/>
      <c r="AC40" s="442"/>
      <c r="AD40" s="440"/>
      <c r="AE40" s="440"/>
      <c r="AF40" s="440"/>
      <c r="AG40" s="440"/>
      <c r="AH40" s="430">
        <f t="shared" si="22"/>
        <v>0</v>
      </c>
      <c r="AI40" s="369">
        <f t="shared" si="23"/>
        <v>0</v>
      </c>
      <c r="AJ40" s="431">
        <f t="shared" si="24"/>
        <v>0</v>
      </c>
      <c r="AK40" s="443">
        <f t="shared" si="25"/>
        <v>0</v>
      </c>
      <c r="AL40" s="440">
        <v>23557</v>
      </c>
      <c r="AM40" s="440"/>
      <c r="AN40" s="431"/>
      <c r="AO40" s="443"/>
      <c r="AP40" s="472" t="s">
        <v>4175</v>
      </c>
      <c r="AQ40" s="983">
        <f>'R. GASB 96 Subscription Entries'!M31</f>
        <v>48781</v>
      </c>
      <c r="AT40" s="429"/>
      <c r="AU40" s="445"/>
      <c r="AV40" s="429"/>
      <c r="AY40" s="446"/>
      <c r="AZ40" s="447"/>
      <c r="BA40" s="448"/>
      <c r="BB40" s="395">
        <f>ROUND(AJ40+AL40+AN40+AQ40+AV40+AZ40,0)</f>
        <v>72338</v>
      </c>
      <c r="BC40" s="395">
        <f>ROUND(AK40+AM40+AO40+AT40+AY40+BA40,0)</f>
        <v>0</v>
      </c>
      <c r="BD40" s="431"/>
      <c r="BE40" s="443"/>
      <c r="BF40" s="429">
        <f t="shared" si="26"/>
        <v>72338</v>
      </c>
      <c r="BG40" s="446" t="str">
        <f t="shared" si="27"/>
        <v xml:space="preserve"> </v>
      </c>
      <c r="BH40" s="936" t="s">
        <v>4219</v>
      </c>
    </row>
    <row r="41" spans="1:61" ht="25.5" x14ac:dyDescent="0.2">
      <c r="A41" s="19"/>
      <c r="C41" s="24" t="s">
        <v>4123</v>
      </c>
      <c r="D41" s="449"/>
      <c r="E41" s="450"/>
      <c r="F41" s="440"/>
      <c r="G41" s="440"/>
      <c r="H41" s="440"/>
      <c r="I41" s="440"/>
      <c r="J41" s="440"/>
      <c r="K41" s="441"/>
      <c r="L41" s="440"/>
      <c r="M41" s="440"/>
      <c r="N41" s="440"/>
      <c r="O41" s="440"/>
      <c r="P41" s="442"/>
      <c r="Q41" s="442"/>
      <c r="R41" s="442"/>
      <c r="S41" s="442"/>
      <c r="T41" s="442"/>
      <c r="U41" s="442"/>
      <c r="V41" s="442"/>
      <c r="W41" s="442"/>
      <c r="X41" s="442"/>
      <c r="Y41" s="442"/>
      <c r="Z41" s="442"/>
      <c r="AA41" s="442"/>
      <c r="AB41" s="442"/>
      <c r="AC41" s="442"/>
      <c r="AD41" s="440"/>
      <c r="AE41" s="440"/>
      <c r="AF41" s="440"/>
      <c r="AG41" s="440"/>
      <c r="AH41" s="430">
        <f t="shared" si="22"/>
        <v>0</v>
      </c>
      <c r="AI41" s="369">
        <f t="shared" si="23"/>
        <v>0</v>
      </c>
      <c r="AJ41" s="431">
        <f t="shared" si="24"/>
        <v>0</v>
      </c>
      <c r="AK41" s="443">
        <f t="shared" si="25"/>
        <v>0</v>
      </c>
      <c r="AL41" s="440"/>
      <c r="AM41" s="440"/>
      <c r="AN41" s="431"/>
      <c r="AO41" s="443"/>
      <c r="AP41" s="472"/>
      <c r="AQ41" s="429"/>
      <c r="AS41" s="444" t="s">
        <v>4127</v>
      </c>
      <c r="AT41" s="983">
        <f>'R. GASB 96 Subscription Entries'!O77</f>
        <v>21535</v>
      </c>
      <c r="AU41" s="445"/>
      <c r="AV41" s="429"/>
      <c r="AY41" s="446"/>
      <c r="AZ41" s="447"/>
      <c r="BA41" s="448"/>
      <c r="BB41" s="395"/>
      <c r="BC41" s="395">
        <f>ROUND(AK41+AM41+AO41+AT41+AY41+BA41,0)</f>
        <v>21535</v>
      </c>
      <c r="BD41" s="431"/>
      <c r="BE41" s="443"/>
      <c r="BF41" s="429">
        <v>0</v>
      </c>
      <c r="BG41" s="446">
        <f t="shared" si="27"/>
        <v>21535</v>
      </c>
      <c r="BH41" s="936" t="s">
        <v>4219</v>
      </c>
    </row>
    <row r="42" spans="1:61" x14ac:dyDescent="0.2">
      <c r="A42" s="19"/>
      <c r="C42" t="s">
        <v>1119</v>
      </c>
      <c r="D42" s="449"/>
      <c r="E42" s="450"/>
      <c r="F42" s="440"/>
      <c r="G42" s="440"/>
      <c r="H42" s="440"/>
      <c r="I42" s="440"/>
      <c r="J42" s="440"/>
      <c r="K42" s="441"/>
      <c r="L42" s="440"/>
      <c r="M42" s="440"/>
      <c r="N42" s="440"/>
      <c r="O42" s="440"/>
      <c r="P42" s="442"/>
      <c r="Q42" s="442"/>
      <c r="R42" s="442"/>
      <c r="S42" s="442"/>
      <c r="T42" s="442"/>
      <c r="U42" s="442"/>
      <c r="V42" s="442"/>
      <c r="W42" s="442"/>
      <c r="X42" s="442"/>
      <c r="Y42" s="442"/>
      <c r="Z42" s="442"/>
      <c r="AA42" s="442"/>
      <c r="AB42" s="442"/>
      <c r="AC42" s="442"/>
      <c r="AD42" s="440"/>
      <c r="AE42" s="440"/>
      <c r="AF42" s="440"/>
      <c r="AG42" s="440"/>
      <c r="AH42" s="430">
        <f t="shared" si="18"/>
        <v>0</v>
      </c>
      <c r="AI42" s="369">
        <f t="shared" si="19"/>
        <v>0</v>
      </c>
      <c r="AJ42" s="431">
        <f t="shared" si="20"/>
        <v>0</v>
      </c>
      <c r="AK42" s="443">
        <f t="shared" si="21"/>
        <v>0</v>
      </c>
      <c r="AL42" s="440"/>
      <c r="AM42" s="440"/>
      <c r="AN42" s="431"/>
      <c r="AO42" s="443"/>
      <c r="AP42" s="444" t="str">
        <f>'H. Debt Issues'!D78</f>
        <v>H.1</v>
      </c>
      <c r="AQ42" s="429">
        <f>'H. Debt Issues'!L84</f>
        <v>0</v>
      </c>
      <c r="AS42" s="444" t="str">
        <f>'H. Debt Issues'!D78</f>
        <v>H.1</v>
      </c>
      <c r="AT42" s="429">
        <f>'H. Debt Issues'!N84</f>
        <v>0</v>
      </c>
      <c r="AU42" s="445"/>
      <c r="AV42" s="429"/>
      <c r="AY42" s="446"/>
      <c r="AZ42" s="447"/>
      <c r="BA42" s="448"/>
      <c r="BB42" s="395">
        <f t="shared" ref="BB42:BB45" si="28">ROUND(AJ42+AL42+AN42+AQ42+AV42+AZ42,0)</f>
        <v>0</v>
      </c>
      <c r="BC42" s="395">
        <f t="shared" ref="BC42:BC45" si="29">ROUND(AK42+AM42+AO42+AT42+AY42+BA42,0)</f>
        <v>0</v>
      </c>
      <c r="BD42" s="431"/>
      <c r="BE42" s="443"/>
      <c r="BF42" s="429" t="str">
        <f>IF(BB42-BC42&lt;=0," ",BB42-BC42)</f>
        <v xml:space="preserve"> </v>
      </c>
      <c r="BG42" s="446">
        <f>IF(BB42-BC42&gt;0," ",BC42-BB42)</f>
        <v>0</v>
      </c>
    </row>
    <row r="43" spans="1:61" x14ac:dyDescent="0.2">
      <c r="A43" s="19"/>
      <c r="B43" s="2"/>
      <c r="C43" s="204" t="s">
        <v>811</v>
      </c>
      <c r="D43" s="456"/>
      <c r="E43" s="457"/>
      <c r="F43" s="458"/>
      <c r="G43" s="458"/>
      <c r="H43" s="458"/>
      <c r="I43" s="458"/>
      <c r="J43" s="458"/>
      <c r="K43" s="459"/>
      <c r="L43" s="458"/>
      <c r="M43" s="458"/>
      <c r="N43" s="458"/>
      <c r="O43" s="458"/>
      <c r="P43" s="460"/>
      <c r="Q43" s="460"/>
      <c r="R43" s="460"/>
      <c r="S43" s="460"/>
      <c r="T43" s="460"/>
      <c r="U43" s="460"/>
      <c r="V43" s="460"/>
      <c r="W43" s="460"/>
      <c r="X43" s="460"/>
      <c r="Y43" s="460"/>
      <c r="Z43" s="460"/>
      <c r="AA43" s="460"/>
      <c r="AB43" s="460"/>
      <c r="AC43" s="460"/>
      <c r="AD43" s="458"/>
      <c r="AE43" s="458"/>
      <c r="AF43" s="458"/>
      <c r="AG43" s="458"/>
      <c r="AH43" s="461">
        <f t="shared" ref="AH43:AH47" si="30">L43+N43+P43+R43+T43+V43+X43+Z43+AB43+AD43+AF43</f>
        <v>0</v>
      </c>
      <c r="AI43" s="462">
        <f t="shared" ref="AI43:AI47" si="31">M43+O43+Q43+S43+U43+W43+Y43+AA43+AC43+AE43+AG43</f>
        <v>0</v>
      </c>
      <c r="AJ43" s="463">
        <f t="shared" si="20"/>
        <v>0</v>
      </c>
      <c r="AK43" s="464">
        <f t="shared" si="21"/>
        <v>0</v>
      </c>
      <c r="AL43" s="984">
        <v>1795206</v>
      </c>
      <c r="AM43" s="458"/>
      <c r="AN43" s="463"/>
      <c r="AO43" s="464"/>
      <c r="AP43" s="465" t="str">
        <f>'E. Capital Outlay'!D54</f>
        <v>E.1</v>
      </c>
      <c r="AQ43" s="466">
        <f>'E. Capital Outlay'!L54</f>
        <v>0</v>
      </c>
      <c r="AR43" s="462"/>
      <c r="AS43" s="465" t="str">
        <f>'F.  Other Cap Asset Entries'!D220</f>
        <v>F.1</v>
      </c>
      <c r="AT43" s="983">
        <f>'F.  Other Cap Asset Entries'!O232</f>
        <v>1000</v>
      </c>
      <c r="AU43" s="469" t="s">
        <v>634</v>
      </c>
      <c r="AV43" s="466">
        <f>'K.1  Int. Service Fd Allocation'!E170+'K.2  Int. Service Fd Alloca'!E165+'K.3 Int. Service Fd Alloca'!E165</f>
        <v>0</v>
      </c>
      <c r="AW43" s="462"/>
      <c r="AX43" s="465"/>
      <c r="AY43" s="468"/>
      <c r="AZ43" s="447"/>
      <c r="BA43" s="448"/>
      <c r="BB43" s="466">
        <f t="shared" si="28"/>
        <v>1795206</v>
      </c>
      <c r="BC43" s="466">
        <f t="shared" si="29"/>
        <v>1000</v>
      </c>
      <c r="BD43" s="463"/>
      <c r="BE43" s="464"/>
      <c r="BF43" s="466">
        <f>IF((BB43+BB44+BB45)-(BC43+BC44+BC45)&lt;=0," ",(BB43+BB44+BB45)-(BC43+BC44+BC45))</f>
        <v>1831706</v>
      </c>
      <c r="BG43" s="468" t="str">
        <f>IF((BB43+BB44+BB45)-(BC43+BC44+BC45)&gt;0," ",(BC43+BC44+BC45)-(BB43+BB44+BB45))</f>
        <v xml:space="preserve"> </v>
      </c>
      <c r="BH43" s="937" t="s">
        <v>4220</v>
      </c>
      <c r="BI43" s="938">
        <f>+BF43+BF46</f>
        <v>2126173</v>
      </c>
    </row>
    <row r="44" spans="1:61" x14ac:dyDescent="0.2">
      <c r="A44" s="19"/>
      <c r="B44" s="2"/>
      <c r="C44" s="204"/>
      <c r="D44" s="456"/>
      <c r="E44" s="457"/>
      <c r="F44" s="458"/>
      <c r="G44" s="458"/>
      <c r="H44" s="458"/>
      <c r="I44" s="458"/>
      <c r="J44" s="458"/>
      <c r="K44" s="459"/>
      <c r="L44" s="458"/>
      <c r="M44" s="458"/>
      <c r="N44" s="458"/>
      <c r="O44" s="458"/>
      <c r="P44" s="460"/>
      <c r="Q44" s="460"/>
      <c r="R44" s="460"/>
      <c r="S44" s="460"/>
      <c r="T44" s="460"/>
      <c r="U44" s="460"/>
      <c r="V44" s="460"/>
      <c r="W44" s="460"/>
      <c r="X44" s="460"/>
      <c r="Y44" s="460"/>
      <c r="Z44" s="460"/>
      <c r="AA44" s="460"/>
      <c r="AB44" s="460"/>
      <c r="AC44" s="460"/>
      <c r="AD44" s="458"/>
      <c r="AE44" s="458"/>
      <c r="AF44" s="458"/>
      <c r="AG44" s="458"/>
      <c r="AH44" s="461">
        <f t="shared" si="30"/>
        <v>0</v>
      </c>
      <c r="AI44" s="462">
        <f t="shared" si="31"/>
        <v>0</v>
      </c>
      <c r="AJ44" s="463">
        <f t="shared" si="20"/>
        <v>0</v>
      </c>
      <c r="AK44" s="464">
        <f t="shared" si="21"/>
        <v>0</v>
      </c>
      <c r="AL44" s="463"/>
      <c r="AM44" s="458"/>
      <c r="AN44" s="463"/>
      <c r="AO44" s="464"/>
      <c r="AP44" s="465" t="str">
        <f>'F.  Other Cap Asset Entries'!D220</f>
        <v>F.1</v>
      </c>
      <c r="AQ44" s="466">
        <f>'F.  Other Cap Asset Entries'!M232</f>
        <v>0</v>
      </c>
      <c r="AR44" s="462"/>
      <c r="AS44" s="465" t="s">
        <v>621</v>
      </c>
      <c r="AT44" s="474">
        <f>'F.  Other Cap Asset Entries'!O267</f>
        <v>0</v>
      </c>
      <c r="AU44" s="467"/>
      <c r="AV44" s="466"/>
      <c r="AW44" s="462"/>
      <c r="AX44" s="465"/>
      <c r="AY44" s="468"/>
      <c r="AZ44" s="447"/>
      <c r="BA44" s="448"/>
      <c r="BB44" s="466">
        <f t="shared" si="28"/>
        <v>0</v>
      </c>
      <c r="BC44" s="466">
        <f t="shared" si="29"/>
        <v>0</v>
      </c>
      <c r="BD44" s="463"/>
      <c r="BE44" s="464"/>
      <c r="BF44" s="466"/>
      <c r="BG44" s="468"/>
      <c r="BI44" s="939"/>
    </row>
    <row r="45" spans="1:61" x14ac:dyDescent="0.2">
      <c r="A45" s="19"/>
      <c r="B45" s="2"/>
      <c r="C45" s="204"/>
      <c r="D45" s="456"/>
      <c r="E45" s="457"/>
      <c r="F45" s="458"/>
      <c r="G45" s="458"/>
      <c r="H45" s="458"/>
      <c r="I45" s="458"/>
      <c r="J45" s="458"/>
      <c r="K45" s="459"/>
      <c r="L45" s="458"/>
      <c r="M45" s="458"/>
      <c r="N45" s="458"/>
      <c r="O45" s="458"/>
      <c r="P45" s="460"/>
      <c r="Q45" s="460"/>
      <c r="R45" s="460"/>
      <c r="S45" s="460"/>
      <c r="T45" s="460"/>
      <c r="U45" s="460"/>
      <c r="V45" s="460"/>
      <c r="W45" s="460"/>
      <c r="X45" s="460"/>
      <c r="Y45" s="460"/>
      <c r="Z45" s="460"/>
      <c r="AA45" s="460"/>
      <c r="AB45" s="460"/>
      <c r="AC45" s="460"/>
      <c r="AD45" s="458"/>
      <c r="AE45" s="458"/>
      <c r="AF45" s="458"/>
      <c r="AG45" s="458"/>
      <c r="AH45" s="461">
        <f t="shared" si="30"/>
        <v>0</v>
      </c>
      <c r="AI45" s="462">
        <f t="shared" si="31"/>
        <v>0</v>
      </c>
      <c r="AJ45" s="463">
        <f t="shared" si="20"/>
        <v>0</v>
      </c>
      <c r="AK45" s="464">
        <f t="shared" si="21"/>
        <v>0</v>
      </c>
      <c r="AL45" s="463"/>
      <c r="AM45" s="458"/>
      <c r="AN45" s="463"/>
      <c r="AO45" s="464"/>
      <c r="AP45" s="465" t="str">
        <f>'F.  Other Cap Asset Entries'!D244</f>
        <v>F.2</v>
      </c>
      <c r="AQ45" s="466">
        <f>'F.  Other Cap Asset Entries'!M244</f>
        <v>37500</v>
      </c>
      <c r="AR45" s="462"/>
      <c r="AS45" s="465"/>
      <c r="AT45" s="474"/>
      <c r="AU45" s="467"/>
      <c r="AV45" s="466"/>
      <c r="AW45" s="462"/>
      <c r="AX45" s="465"/>
      <c r="AY45" s="468"/>
      <c r="AZ45" s="447"/>
      <c r="BA45" s="448"/>
      <c r="BB45" s="466">
        <f t="shared" si="28"/>
        <v>37500</v>
      </c>
      <c r="BC45" s="466">
        <f t="shared" si="29"/>
        <v>0</v>
      </c>
      <c r="BD45" s="463"/>
      <c r="BE45" s="464"/>
      <c r="BF45" s="466"/>
      <c r="BG45" s="468"/>
      <c r="BI45" s="939"/>
    </row>
    <row r="46" spans="1:61" x14ac:dyDescent="0.2">
      <c r="A46" s="19"/>
      <c r="B46" s="2"/>
      <c r="C46" t="s">
        <v>824</v>
      </c>
      <c r="D46" s="453"/>
      <c r="E46" s="454"/>
      <c r="F46" s="440"/>
      <c r="G46" s="440"/>
      <c r="H46" s="440"/>
      <c r="I46" s="440"/>
      <c r="J46" s="440"/>
      <c r="K46" s="441"/>
      <c r="L46" s="440"/>
      <c r="M46" s="440"/>
      <c r="N46" s="440"/>
      <c r="O46" s="440"/>
      <c r="P46" s="451"/>
      <c r="Q46" s="451"/>
      <c r="R46" s="451"/>
      <c r="S46" s="451"/>
      <c r="T46" s="451"/>
      <c r="U46" s="451"/>
      <c r="V46" s="451"/>
      <c r="W46" s="451"/>
      <c r="X46" s="451"/>
      <c r="Y46" s="451"/>
      <c r="Z46" s="451"/>
      <c r="AA46" s="451"/>
      <c r="AB46" s="451"/>
      <c r="AC46" s="451"/>
      <c r="AD46" s="440"/>
      <c r="AE46" s="440"/>
      <c r="AF46" s="440"/>
      <c r="AG46" s="440"/>
      <c r="AH46" s="430">
        <f t="shared" si="30"/>
        <v>0</v>
      </c>
      <c r="AI46" s="369">
        <f t="shared" si="31"/>
        <v>0</v>
      </c>
      <c r="AJ46" s="431">
        <f t="shared" si="20"/>
        <v>0</v>
      </c>
      <c r="AK46" s="443">
        <f t="shared" si="21"/>
        <v>0</v>
      </c>
      <c r="AL46" s="984">
        <v>294467</v>
      </c>
      <c r="AM46" s="440"/>
      <c r="AN46" s="431"/>
      <c r="AO46" s="443"/>
      <c r="AP46" s="444" t="str">
        <f>'E. Capital Outlay'!D54</f>
        <v>E.1</v>
      </c>
      <c r="AQ46" s="367">
        <f>'E. Capital Outlay'!L55</f>
        <v>0</v>
      </c>
      <c r="AT46" s="367"/>
      <c r="AU46" s="445"/>
      <c r="AV46" s="367"/>
      <c r="AY46" s="455"/>
      <c r="AZ46" s="447"/>
      <c r="BA46" s="448"/>
      <c r="BB46" s="395">
        <f t="shared" ref="BB46:BB78" si="32">ROUND(AJ46+AL46+AN46+AQ46+AV46+AZ46,0)</f>
        <v>294467</v>
      </c>
      <c r="BC46" s="395">
        <f t="shared" ref="BC46:BC78" si="33">ROUND(AK46+AM46+AO46+AT46+AY46+BA46,0)</f>
        <v>0</v>
      </c>
      <c r="BD46" s="431"/>
      <c r="BE46" s="443"/>
      <c r="BF46" s="429">
        <f t="shared" ref="BF46:BF51" si="34">IF(BB46-BC46&lt;=0," ",BB46-BC46)</f>
        <v>294467</v>
      </c>
      <c r="BG46" s="446" t="str">
        <f>IF(BB46-BC46&gt;0," ",BC46-BB46)</f>
        <v xml:space="preserve"> </v>
      </c>
      <c r="BH46" s="937" t="s">
        <v>4220</v>
      </c>
      <c r="BI46" s="939"/>
    </row>
    <row r="47" spans="1:61" x14ac:dyDescent="0.2">
      <c r="A47" s="19"/>
      <c r="B47" s="2"/>
      <c r="C47" t="s">
        <v>700</v>
      </c>
      <c r="D47" s="453"/>
      <c r="E47" s="454"/>
      <c r="F47" s="440"/>
      <c r="G47" s="440"/>
      <c r="H47" s="440"/>
      <c r="I47" s="440"/>
      <c r="J47" s="440"/>
      <c r="K47" s="441"/>
      <c r="L47" s="440"/>
      <c r="M47" s="440"/>
      <c r="N47" s="440"/>
      <c r="O47" s="440"/>
      <c r="P47" s="451"/>
      <c r="Q47" s="451"/>
      <c r="R47" s="451"/>
      <c r="S47" s="451"/>
      <c r="T47" s="451"/>
      <c r="U47" s="451"/>
      <c r="V47" s="451"/>
      <c r="W47" s="451"/>
      <c r="X47" s="451"/>
      <c r="Y47" s="451"/>
      <c r="Z47" s="451"/>
      <c r="AA47" s="451"/>
      <c r="AB47" s="451"/>
      <c r="AC47" s="451"/>
      <c r="AD47" s="440"/>
      <c r="AE47" s="440"/>
      <c r="AF47" s="440"/>
      <c r="AG47" s="440"/>
      <c r="AH47" s="430">
        <f t="shared" si="30"/>
        <v>0</v>
      </c>
      <c r="AI47" s="369">
        <f t="shared" si="31"/>
        <v>0</v>
      </c>
      <c r="AJ47" s="431">
        <f t="shared" si="20"/>
        <v>0</v>
      </c>
      <c r="AK47" s="443">
        <f t="shared" si="21"/>
        <v>0</v>
      </c>
      <c r="AL47" s="431"/>
      <c r="AM47" s="440"/>
      <c r="AN47" s="431"/>
      <c r="AO47" s="443"/>
      <c r="AQ47" s="367"/>
      <c r="AT47" s="367"/>
      <c r="AU47" s="445"/>
      <c r="AV47" s="367"/>
      <c r="AY47" s="455"/>
      <c r="AZ47" s="447"/>
      <c r="BA47" s="448"/>
      <c r="BB47" s="395">
        <f t="shared" si="32"/>
        <v>0</v>
      </c>
      <c r="BC47" s="395">
        <f t="shared" si="33"/>
        <v>0</v>
      </c>
      <c r="BD47" s="431"/>
      <c r="BE47" s="443"/>
      <c r="BF47" s="429" t="str">
        <f t="shared" si="34"/>
        <v xml:space="preserve"> </v>
      </c>
      <c r="BG47" s="446">
        <f>IF(BB47-BC47&gt;0," ",BC47-BB47)</f>
        <v>0</v>
      </c>
      <c r="BI47" s="939"/>
    </row>
    <row r="48" spans="1:61" x14ac:dyDescent="0.2">
      <c r="A48" s="19"/>
      <c r="B48" s="2"/>
      <c r="C48" s="204" t="s">
        <v>812</v>
      </c>
      <c r="D48" s="456"/>
      <c r="E48" s="457"/>
      <c r="F48" s="458"/>
      <c r="G48" s="458"/>
      <c r="H48" s="458"/>
      <c r="I48" s="458"/>
      <c r="J48" s="458"/>
      <c r="K48" s="459"/>
      <c r="L48" s="458"/>
      <c r="M48" s="458"/>
      <c r="N48" s="458"/>
      <c r="O48" s="458"/>
      <c r="P48" s="460"/>
      <c r="Q48" s="460"/>
      <c r="R48" s="460"/>
      <c r="S48" s="460"/>
      <c r="T48" s="460"/>
      <c r="U48" s="460"/>
      <c r="V48" s="460"/>
      <c r="W48" s="460"/>
      <c r="X48" s="460"/>
      <c r="Y48" s="460"/>
      <c r="Z48" s="460"/>
      <c r="AA48" s="460"/>
      <c r="AB48" s="460"/>
      <c r="AC48" s="460"/>
      <c r="AD48" s="458"/>
      <c r="AE48" s="458"/>
      <c r="AF48" s="458"/>
      <c r="AG48" s="458"/>
      <c r="AH48" s="461">
        <f t="shared" ref="AH48:AH51" si="35">L48+N48+P48+R48+T48+V48+X48+Z48+AB48+AD48+AF48</f>
        <v>0</v>
      </c>
      <c r="AI48" s="462">
        <f t="shared" ref="AI48:AI51" si="36">M48+O48+Q48+S48+U48+W48+Y48+AA48+AC48+AE48+AG48</f>
        <v>0</v>
      </c>
      <c r="AJ48" s="463">
        <f t="shared" si="20"/>
        <v>0</v>
      </c>
      <c r="AK48" s="464">
        <f t="shared" si="21"/>
        <v>0</v>
      </c>
      <c r="AL48" s="984">
        <v>14513340</v>
      </c>
      <c r="AM48" s="458"/>
      <c r="AN48" s="463"/>
      <c r="AO48" s="464"/>
      <c r="AP48" s="465" t="str">
        <f>'E. Capital Outlay'!D54</f>
        <v>E.1</v>
      </c>
      <c r="AQ48" s="466">
        <f>'E. Capital Outlay'!L56</f>
        <v>92650</v>
      </c>
      <c r="AR48" s="462"/>
      <c r="AS48" s="465" t="str">
        <f>'F.  Other Cap Asset Entries'!D220</f>
        <v>F.1</v>
      </c>
      <c r="AT48" s="466">
        <f>'F.  Other Cap Asset Entries'!O233</f>
        <v>0</v>
      </c>
      <c r="AU48" s="469" t="s">
        <v>634</v>
      </c>
      <c r="AV48" s="466">
        <f>'K.1  Int. Service Fd Allocation'!E171+'K.2  Int. Service Fd Alloca'!E166+'K.3 Int. Service Fd Alloca'!E166</f>
        <v>0</v>
      </c>
      <c r="AW48" s="462"/>
      <c r="AX48" s="465"/>
      <c r="AY48" s="468"/>
      <c r="AZ48" s="447"/>
      <c r="BA48" s="448"/>
      <c r="BB48" s="466">
        <f t="shared" si="32"/>
        <v>14605990</v>
      </c>
      <c r="BC48" s="466">
        <f t="shared" si="33"/>
        <v>0</v>
      </c>
      <c r="BD48" s="463"/>
      <c r="BE48" s="464"/>
      <c r="BF48" s="466">
        <f>IF(BB48+BB49+BB50-(BC48+BC49+BC50)&lt;=0," ",BB48+BB49+BB50-(BC48+BC49+BC50))</f>
        <v>10605990</v>
      </c>
      <c r="BG48" s="468" t="str">
        <f>IF(BB48+BB49+BB50-(BC48+BC49+BC50)&gt;0," ",BC48+BC49+BC50-(BB48+BB49+BB50))</f>
        <v xml:space="preserve"> </v>
      </c>
      <c r="BH48" s="1012" t="s">
        <v>4180</v>
      </c>
      <c r="BI48" s="939">
        <f>+BF48+BF52+BF56+BF60+BF62+BF66+BF70</f>
        <v>15899090</v>
      </c>
    </row>
    <row r="49" spans="1:61" x14ac:dyDescent="0.2">
      <c r="A49" s="19"/>
      <c r="B49" s="2"/>
      <c r="C49" s="204"/>
      <c r="D49" s="456"/>
      <c r="E49" s="457"/>
      <c r="F49" s="458"/>
      <c r="G49" s="458"/>
      <c r="H49" s="458"/>
      <c r="I49" s="458"/>
      <c r="J49" s="458"/>
      <c r="K49" s="459"/>
      <c r="L49" s="458"/>
      <c r="M49" s="458"/>
      <c r="N49" s="458"/>
      <c r="O49" s="458"/>
      <c r="P49" s="460"/>
      <c r="Q49" s="460"/>
      <c r="R49" s="460"/>
      <c r="S49" s="460"/>
      <c r="T49" s="460"/>
      <c r="U49" s="460"/>
      <c r="V49" s="460"/>
      <c r="W49" s="460"/>
      <c r="X49" s="460"/>
      <c r="Y49" s="460"/>
      <c r="Z49" s="460"/>
      <c r="AA49" s="460"/>
      <c r="AB49" s="460"/>
      <c r="AC49" s="460"/>
      <c r="AD49" s="458"/>
      <c r="AE49" s="458"/>
      <c r="AF49" s="458"/>
      <c r="AG49" s="458"/>
      <c r="AH49" s="461">
        <f t="shared" si="35"/>
        <v>0</v>
      </c>
      <c r="AI49" s="462">
        <f t="shared" si="36"/>
        <v>0</v>
      </c>
      <c r="AJ49" s="463">
        <f t="shared" si="20"/>
        <v>0</v>
      </c>
      <c r="AK49" s="464">
        <f t="shared" si="21"/>
        <v>0</v>
      </c>
      <c r="AL49" s="463"/>
      <c r="AM49" s="458"/>
      <c r="AN49" s="463"/>
      <c r="AO49" s="464"/>
      <c r="AP49" s="465" t="str">
        <f>'F.  Other Cap Asset Entries'!D220</f>
        <v>F.1</v>
      </c>
      <c r="AQ49" s="466">
        <f>'F.  Other Cap Asset Entries'!M233</f>
        <v>0</v>
      </c>
      <c r="AR49" s="462"/>
      <c r="AS49" s="465" t="s">
        <v>621</v>
      </c>
      <c r="AT49" s="466">
        <f>'F.  Other Cap Asset Entries'!O268</f>
        <v>4000000</v>
      </c>
      <c r="AU49" s="467"/>
      <c r="AV49" s="466"/>
      <c r="AW49" s="462"/>
      <c r="AX49" s="465"/>
      <c r="AY49" s="468"/>
      <c r="AZ49" s="447"/>
      <c r="BA49" s="448"/>
      <c r="BB49" s="466">
        <f t="shared" si="32"/>
        <v>0</v>
      </c>
      <c r="BC49" s="466">
        <f t="shared" si="33"/>
        <v>4000000</v>
      </c>
      <c r="BD49" s="463"/>
      <c r="BE49" s="464"/>
      <c r="BF49" s="466"/>
      <c r="BG49" s="468"/>
      <c r="BH49" s="1012"/>
      <c r="BI49" s="939">
        <f>+BG51+BG55+BG59+BG61+BG65+BG69+BG73</f>
        <v>7785512</v>
      </c>
    </row>
    <row r="50" spans="1:61" x14ac:dyDescent="0.2">
      <c r="A50" s="19"/>
      <c r="B50" s="2"/>
      <c r="C50" s="204"/>
      <c r="D50" s="456"/>
      <c r="E50" s="457"/>
      <c r="F50" s="458"/>
      <c r="G50" s="458"/>
      <c r="H50" s="458"/>
      <c r="I50" s="458"/>
      <c r="J50" s="458"/>
      <c r="K50" s="459"/>
      <c r="L50" s="458"/>
      <c r="M50" s="458"/>
      <c r="N50" s="458"/>
      <c r="O50" s="458"/>
      <c r="P50" s="460"/>
      <c r="Q50" s="460"/>
      <c r="R50" s="460"/>
      <c r="S50" s="460"/>
      <c r="T50" s="460"/>
      <c r="U50" s="460"/>
      <c r="V50" s="460"/>
      <c r="W50" s="460"/>
      <c r="X50" s="460"/>
      <c r="Y50" s="460"/>
      <c r="Z50" s="460"/>
      <c r="AA50" s="460"/>
      <c r="AB50" s="460"/>
      <c r="AC50" s="460"/>
      <c r="AD50" s="458"/>
      <c r="AE50" s="458"/>
      <c r="AF50" s="458"/>
      <c r="AG50" s="458"/>
      <c r="AH50" s="461">
        <f t="shared" si="35"/>
        <v>0</v>
      </c>
      <c r="AI50" s="462">
        <f t="shared" si="36"/>
        <v>0</v>
      </c>
      <c r="AJ50" s="463">
        <f t="shared" si="20"/>
        <v>0</v>
      </c>
      <c r="AK50" s="464">
        <f t="shared" si="21"/>
        <v>0</v>
      </c>
      <c r="AL50" s="463"/>
      <c r="AM50" s="458"/>
      <c r="AN50" s="463"/>
      <c r="AO50" s="464"/>
      <c r="AP50" s="465" t="str">
        <f>'F.  Other Cap Asset Entries'!D244</f>
        <v>F.2</v>
      </c>
      <c r="AQ50" s="466">
        <f>'F.  Other Cap Asset Entries'!M245</f>
        <v>0</v>
      </c>
      <c r="AR50" s="462"/>
      <c r="AS50" s="465"/>
      <c r="AT50" s="466"/>
      <c r="AU50" s="467"/>
      <c r="AV50" s="466"/>
      <c r="AW50" s="462"/>
      <c r="AX50" s="465"/>
      <c r="AY50" s="468"/>
      <c r="AZ50" s="447"/>
      <c r="BA50" s="448"/>
      <c r="BB50" s="466">
        <f t="shared" si="32"/>
        <v>0</v>
      </c>
      <c r="BC50" s="466">
        <f t="shared" si="33"/>
        <v>0</v>
      </c>
      <c r="BD50" s="463"/>
      <c r="BE50" s="464"/>
      <c r="BF50" s="466"/>
      <c r="BG50" s="468"/>
      <c r="BH50" s="1012"/>
      <c r="BI50" s="939">
        <f>+BI48-BI49</f>
        <v>8113578</v>
      </c>
    </row>
    <row r="51" spans="1:61" x14ac:dyDescent="0.2">
      <c r="A51" s="19"/>
      <c r="B51" s="2"/>
      <c r="C51" s="16" t="s">
        <v>492</v>
      </c>
      <c r="D51" s="453"/>
      <c r="E51" s="454"/>
      <c r="F51" s="440"/>
      <c r="G51" s="440"/>
      <c r="H51" s="440"/>
      <c r="I51" s="440"/>
      <c r="J51" s="440"/>
      <c r="K51" s="441"/>
      <c r="L51" s="440"/>
      <c r="M51" s="440"/>
      <c r="N51" s="440"/>
      <c r="O51" s="440"/>
      <c r="P51" s="451"/>
      <c r="Q51" s="451"/>
      <c r="R51" s="451"/>
      <c r="S51" s="451"/>
      <c r="T51" s="451"/>
      <c r="U51" s="451"/>
      <c r="V51" s="451"/>
      <c r="W51" s="451"/>
      <c r="X51" s="451"/>
      <c r="Y51" s="451"/>
      <c r="Z51" s="451"/>
      <c r="AA51" s="451"/>
      <c r="AB51" s="451"/>
      <c r="AC51" s="451"/>
      <c r="AD51" s="440"/>
      <c r="AE51" s="440"/>
      <c r="AF51" s="440"/>
      <c r="AG51" s="440"/>
      <c r="AH51" s="430">
        <f t="shared" si="35"/>
        <v>0</v>
      </c>
      <c r="AI51" s="369">
        <f t="shared" si="36"/>
        <v>0</v>
      </c>
      <c r="AJ51" s="431">
        <f t="shared" si="20"/>
        <v>0</v>
      </c>
      <c r="AK51" s="443">
        <f t="shared" si="21"/>
        <v>0</v>
      </c>
      <c r="AL51" s="431"/>
      <c r="AM51" s="985">
        <v>4355382</v>
      </c>
      <c r="AN51" s="431"/>
      <c r="AO51" s="443"/>
      <c r="AP51" s="444" t="str">
        <f>'F.  Other Cap Asset Entries'!D220</f>
        <v>F.1</v>
      </c>
      <c r="AQ51" s="367">
        <f>'F.  Other Cap Asset Entries'!M220</f>
        <v>0</v>
      </c>
      <c r="AS51" s="444" t="str">
        <f>'D. Depreciation'!A55</f>
        <v>D.1</v>
      </c>
      <c r="AT51" s="367">
        <f>'D. Depreciation'!L65</f>
        <v>725792</v>
      </c>
      <c r="AU51" s="445"/>
      <c r="AV51" s="367"/>
      <c r="AX51" s="452" t="s">
        <v>634</v>
      </c>
      <c r="AY51" s="367">
        <f>'K.1  Int. Service Fd Allocation'!G183+'K.2  Int. Service Fd Alloca'!G178+'K.3 Int. Service Fd Alloca'!G178</f>
        <v>0</v>
      </c>
      <c r="AZ51" s="471"/>
      <c r="BA51" s="448"/>
      <c r="BB51" s="395">
        <f t="shared" si="32"/>
        <v>0</v>
      </c>
      <c r="BC51" s="395">
        <f t="shared" si="33"/>
        <v>5081174</v>
      </c>
      <c r="BD51" s="431"/>
      <c r="BE51" s="443"/>
      <c r="BF51" s="429" t="str">
        <f t="shared" si="34"/>
        <v xml:space="preserve"> </v>
      </c>
      <c r="BG51" s="446">
        <f>IF(BB51-BC51&gt;0," ",BC51-BB51)</f>
        <v>5081174</v>
      </c>
      <c r="BH51" s="1012"/>
      <c r="BI51" s="939"/>
    </row>
    <row r="52" spans="1:61" x14ac:dyDescent="0.2">
      <c r="A52" s="19"/>
      <c r="C52" s="204" t="s">
        <v>163</v>
      </c>
      <c r="D52" s="456"/>
      <c r="E52" s="457"/>
      <c r="F52" s="458"/>
      <c r="G52" s="458"/>
      <c r="H52" s="458"/>
      <c r="I52" s="458"/>
      <c r="J52" s="458"/>
      <c r="K52" s="459"/>
      <c r="L52" s="458"/>
      <c r="M52" s="458"/>
      <c r="N52" s="458"/>
      <c r="O52" s="458"/>
      <c r="P52" s="460"/>
      <c r="Q52" s="460"/>
      <c r="R52" s="460"/>
      <c r="S52" s="460"/>
      <c r="T52" s="460"/>
      <c r="U52" s="460"/>
      <c r="V52" s="460"/>
      <c r="W52" s="460"/>
      <c r="X52" s="460"/>
      <c r="Y52" s="460"/>
      <c r="Z52" s="460"/>
      <c r="AA52" s="460"/>
      <c r="AB52" s="460"/>
      <c r="AC52" s="460"/>
      <c r="AD52" s="458"/>
      <c r="AE52" s="458"/>
      <c r="AF52" s="458"/>
      <c r="AG52" s="458"/>
      <c r="AH52" s="461">
        <f t="shared" ref="AH52:AH55" si="37">L52+N52+P52+R52+T52+V52+X52+Z52+AB52+AD52+AF52</f>
        <v>0</v>
      </c>
      <c r="AI52" s="462">
        <f t="shared" ref="AI52:AI55" si="38">M52+O52+Q52+S52+U52+W52+Y52+AA52+AC52+AE52+AG52</f>
        <v>0</v>
      </c>
      <c r="AJ52" s="463">
        <f t="shared" si="20"/>
        <v>0</v>
      </c>
      <c r="AK52" s="464">
        <f t="shared" si="21"/>
        <v>0</v>
      </c>
      <c r="AL52" s="984">
        <v>1382098</v>
      </c>
      <c r="AM52" s="464"/>
      <c r="AN52" s="463"/>
      <c r="AO52" s="464"/>
      <c r="AP52" s="465" t="str">
        <f>'E. Capital Outlay'!D54</f>
        <v>E.1</v>
      </c>
      <c r="AQ52" s="466">
        <f>'E. Capital Outlay'!L57</f>
        <v>0</v>
      </c>
      <c r="AR52" s="462"/>
      <c r="AS52" s="465" t="str">
        <f>'F.  Other Cap Asset Entries'!D220</f>
        <v>F.1</v>
      </c>
      <c r="AT52" s="466">
        <f>'F.  Other Cap Asset Entries'!O234</f>
        <v>9150</v>
      </c>
      <c r="AU52" s="467"/>
      <c r="AV52" s="466"/>
      <c r="AW52" s="462"/>
      <c r="AX52" s="465"/>
      <c r="AY52" s="468"/>
      <c r="AZ52" s="447"/>
      <c r="BA52" s="448"/>
      <c r="BB52" s="466">
        <f t="shared" si="32"/>
        <v>1382098</v>
      </c>
      <c r="BC52" s="466">
        <f t="shared" si="33"/>
        <v>9150</v>
      </c>
      <c r="BD52" s="463"/>
      <c r="BE52" s="464"/>
      <c r="BF52" s="466">
        <f>IF((BB52+BB53+BB54)-(BC52+BC53+BC54)&lt;=0," ",(BB52+BB53+BB54)-(BC52+BC53+BC54))</f>
        <v>1372948</v>
      </c>
      <c r="BG52" s="468" t="str">
        <f>IF((BB52+BB53+BB54)-(BC52+BC53+BC54)&gt;0," ",(BC52+BC53+BC54)-(BB52+BB53+BB54))</f>
        <v xml:space="preserve"> </v>
      </c>
      <c r="BH52" s="1015"/>
      <c r="BI52" s="939"/>
    </row>
    <row r="53" spans="1:61" x14ac:dyDescent="0.2">
      <c r="A53" s="19"/>
      <c r="C53" s="204"/>
      <c r="D53" s="456"/>
      <c r="E53" s="457"/>
      <c r="F53" s="458"/>
      <c r="G53" s="458"/>
      <c r="H53" s="458"/>
      <c r="I53" s="458"/>
      <c r="J53" s="458"/>
      <c r="K53" s="459"/>
      <c r="L53" s="458"/>
      <c r="M53" s="458"/>
      <c r="N53" s="458"/>
      <c r="O53" s="458"/>
      <c r="P53" s="460"/>
      <c r="Q53" s="460"/>
      <c r="R53" s="460"/>
      <c r="S53" s="460"/>
      <c r="T53" s="460"/>
      <c r="U53" s="460"/>
      <c r="V53" s="460"/>
      <c r="W53" s="460"/>
      <c r="X53" s="460"/>
      <c r="Y53" s="460"/>
      <c r="Z53" s="460"/>
      <c r="AA53" s="460"/>
      <c r="AB53" s="460"/>
      <c r="AC53" s="460"/>
      <c r="AD53" s="458"/>
      <c r="AE53" s="458"/>
      <c r="AF53" s="458"/>
      <c r="AG53" s="458"/>
      <c r="AH53" s="461">
        <f t="shared" si="37"/>
        <v>0</v>
      </c>
      <c r="AI53" s="462">
        <f t="shared" si="38"/>
        <v>0</v>
      </c>
      <c r="AJ53" s="463">
        <f t="shared" si="20"/>
        <v>0</v>
      </c>
      <c r="AK53" s="464">
        <f t="shared" si="21"/>
        <v>0</v>
      </c>
      <c r="AL53" s="463"/>
      <c r="AM53" s="464"/>
      <c r="AN53" s="463"/>
      <c r="AO53" s="464"/>
      <c r="AP53" s="465" t="str">
        <f>'F.  Other Cap Asset Entries'!D220</f>
        <v>F.1</v>
      </c>
      <c r="AQ53" s="466">
        <f>'F.  Other Cap Asset Entries'!M234</f>
        <v>0</v>
      </c>
      <c r="AR53" s="462"/>
      <c r="AS53" s="465" t="s">
        <v>621</v>
      </c>
      <c r="AT53" s="466">
        <f>'F.  Other Cap Asset Entries'!O269</f>
        <v>0</v>
      </c>
      <c r="AU53" s="467"/>
      <c r="AV53" s="466"/>
      <c r="AW53" s="462"/>
      <c r="AX53" s="465"/>
      <c r="AY53" s="468"/>
      <c r="AZ53" s="447"/>
      <c r="BA53" s="448"/>
      <c r="BB53" s="466">
        <f t="shared" si="32"/>
        <v>0</v>
      </c>
      <c r="BC53" s="466">
        <f t="shared" si="33"/>
        <v>0</v>
      </c>
      <c r="BD53" s="463"/>
      <c r="BE53" s="464"/>
      <c r="BF53" s="466"/>
      <c r="BG53" s="468"/>
      <c r="BH53" s="1012"/>
      <c r="BI53" s="939"/>
    </row>
    <row r="54" spans="1:61" x14ac:dyDescent="0.2">
      <c r="A54" s="19"/>
      <c r="C54" s="204"/>
      <c r="D54" s="456"/>
      <c r="E54" s="457"/>
      <c r="F54" s="458"/>
      <c r="G54" s="458"/>
      <c r="H54" s="458"/>
      <c r="I54" s="458"/>
      <c r="J54" s="458"/>
      <c r="K54" s="459"/>
      <c r="L54" s="458"/>
      <c r="M54" s="458"/>
      <c r="N54" s="458"/>
      <c r="O54" s="458"/>
      <c r="P54" s="460"/>
      <c r="Q54" s="460"/>
      <c r="R54" s="460"/>
      <c r="S54" s="460"/>
      <c r="T54" s="460"/>
      <c r="U54" s="460"/>
      <c r="V54" s="460"/>
      <c r="W54" s="460"/>
      <c r="X54" s="460"/>
      <c r="Y54" s="460"/>
      <c r="Z54" s="460"/>
      <c r="AA54" s="460"/>
      <c r="AB54" s="460"/>
      <c r="AC54" s="460"/>
      <c r="AD54" s="458"/>
      <c r="AE54" s="458"/>
      <c r="AF54" s="458"/>
      <c r="AG54" s="458"/>
      <c r="AH54" s="461">
        <f t="shared" si="37"/>
        <v>0</v>
      </c>
      <c r="AI54" s="462">
        <f t="shared" si="38"/>
        <v>0</v>
      </c>
      <c r="AJ54" s="463">
        <f t="shared" si="20"/>
        <v>0</v>
      </c>
      <c r="AK54" s="464">
        <f t="shared" si="21"/>
        <v>0</v>
      </c>
      <c r="AL54" s="463"/>
      <c r="AM54" s="464"/>
      <c r="AN54" s="463"/>
      <c r="AO54" s="464"/>
      <c r="AP54" s="465" t="str">
        <f>'F.  Other Cap Asset Entries'!D244</f>
        <v>F.2</v>
      </c>
      <c r="AQ54" s="466">
        <f>'F.  Other Cap Asset Entries'!M246</f>
        <v>0</v>
      </c>
      <c r="AR54" s="462"/>
      <c r="AS54" s="465"/>
      <c r="AT54" s="466"/>
      <c r="AU54" s="467"/>
      <c r="AV54" s="466"/>
      <c r="AW54" s="462"/>
      <c r="AX54" s="465"/>
      <c r="AY54" s="468"/>
      <c r="AZ54" s="447"/>
      <c r="BA54" s="448"/>
      <c r="BB54" s="466">
        <f t="shared" si="32"/>
        <v>0</v>
      </c>
      <c r="BC54" s="466">
        <f t="shared" si="33"/>
        <v>0</v>
      </c>
      <c r="BD54" s="463"/>
      <c r="BE54" s="464"/>
      <c r="BF54" s="466"/>
      <c r="BG54" s="468"/>
      <c r="BH54" s="1013"/>
      <c r="BI54" s="939"/>
    </row>
    <row r="55" spans="1:61" x14ac:dyDescent="0.2">
      <c r="A55" s="19"/>
      <c r="B55" s="2"/>
      <c r="C55" t="s">
        <v>134</v>
      </c>
      <c r="D55" s="453"/>
      <c r="E55" s="454"/>
      <c r="F55" s="440"/>
      <c r="G55" s="440"/>
      <c r="H55" s="440"/>
      <c r="I55" s="440"/>
      <c r="J55" s="440"/>
      <c r="K55" s="441"/>
      <c r="L55" s="440"/>
      <c r="M55" s="440"/>
      <c r="N55" s="440"/>
      <c r="O55" s="440"/>
      <c r="P55" s="451"/>
      <c r="Q55" s="451"/>
      <c r="R55" s="451"/>
      <c r="S55" s="451"/>
      <c r="T55" s="451"/>
      <c r="U55" s="451"/>
      <c r="V55" s="451"/>
      <c r="W55" s="451"/>
      <c r="X55" s="451"/>
      <c r="Y55" s="451"/>
      <c r="Z55" s="451"/>
      <c r="AA55" s="451"/>
      <c r="AB55" s="451"/>
      <c r="AC55" s="451"/>
      <c r="AD55" s="440"/>
      <c r="AE55" s="440"/>
      <c r="AF55" s="440"/>
      <c r="AG55" s="440"/>
      <c r="AH55" s="430">
        <f t="shared" si="37"/>
        <v>0</v>
      </c>
      <c r="AI55" s="369">
        <f t="shared" si="38"/>
        <v>0</v>
      </c>
      <c r="AJ55" s="431">
        <f t="shared" si="20"/>
        <v>0</v>
      </c>
      <c r="AK55" s="443">
        <f t="shared" si="21"/>
        <v>0</v>
      </c>
      <c r="AL55" s="431"/>
      <c r="AM55" s="985">
        <v>442271</v>
      </c>
      <c r="AN55" s="431"/>
      <c r="AO55" s="443"/>
      <c r="AP55" s="444" t="str">
        <f>'F.  Other Cap Asset Entries'!D220</f>
        <v>F.1</v>
      </c>
      <c r="AQ55" s="367">
        <f>'F.  Other Cap Asset Entries'!M221</f>
        <v>9150</v>
      </c>
      <c r="AS55" s="444" t="str">
        <f>'D. Depreciation'!A55</f>
        <v>D.1</v>
      </c>
      <c r="AT55" s="367">
        <f>'D. Depreciation'!L66</f>
        <v>92600</v>
      </c>
      <c r="AU55" s="445"/>
      <c r="AV55" s="367"/>
      <c r="AY55" s="455"/>
      <c r="AZ55" s="447"/>
      <c r="BA55" s="448"/>
      <c r="BB55" s="395">
        <f t="shared" si="32"/>
        <v>9150</v>
      </c>
      <c r="BC55" s="395">
        <f t="shared" si="33"/>
        <v>534871</v>
      </c>
      <c r="BD55" s="431"/>
      <c r="BE55" s="443"/>
      <c r="BF55" s="429" t="str">
        <f>IF(BB55-BC55&lt;=0," ",BB55-BC55)</f>
        <v xml:space="preserve"> </v>
      </c>
      <c r="BG55" s="446">
        <f>IF(BB55-BC55&gt;0," ",BC55-BB55)</f>
        <v>525721</v>
      </c>
      <c r="BH55" s="1013"/>
      <c r="BI55" s="939"/>
    </row>
    <row r="56" spans="1:61" x14ac:dyDescent="0.2">
      <c r="A56" s="19"/>
      <c r="B56" s="2"/>
      <c r="C56" s="204" t="s">
        <v>70</v>
      </c>
      <c r="D56" s="456"/>
      <c r="E56" s="457"/>
      <c r="F56" s="458"/>
      <c r="G56" s="458"/>
      <c r="H56" s="458"/>
      <c r="I56" s="458"/>
      <c r="J56" s="458"/>
      <c r="K56" s="459"/>
      <c r="L56" s="458"/>
      <c r="M56" s="458"/>
      <c r="N56" s="458"/>
      <c r="O56" s="458"/>
      <c r="P56" s="460"/>
      <c r="Q56" s="460"/>
      <c r="R56" s="460"/>
      <c r="S56" s="460"/>
      <c r="T56" s="460"/>
      <c r="U56" s="460"/>
      <c r="V56" s="460"/>
      <c r="W56" s="460"/>
      <c r="X56" s="460"/>
      <c r="Y56" s="460"/>
      <c r="Z56" s="460"/>
      <c r="AA56" s="460"/>
      <c r="AB56" s="460"/>
      <c r="AC56" s="460"/>
      <c r="AD56" s="458"/>
      <c r="AE56" s="458"/>
      <c r="AF56" s="458"/>
      <c r="AG56" s="458"/>
      <c r="AH56" s="461">
        <f t="shared" ref="AH56:AH59" si="39">L56+N56+P56+R56+T56+V56+X56+Z56+AB56+AD56+AF56</f>
        <v>0</v>
      </c>
      <c r="AI56" s="462">
        <f t="shared" ref="AI56:AI59" si="40">M56+O56+Q56+S56+U56+W56+Y56+AA56+AC56+AE56+AG56</f>
        <v>0</v>
      </c>
      <c r="AJ56" s="463">
        <f t="shared" si="20"/>
        <v>0</v>
      </c>
      <c r="AK56" s="464">
        <f t="shared" si="21"/>
        <v>0</v>
      </c>
      <c r="AL56" s="984">
        <f>1961318-100000</f>
        <v>1861318</v>
      </c>
      <c r="AM56" s="464"/>
      <c r="AN56" s="463"/>
      <c r="AO56" s="464"/>
      <c r="AP56" s="465" t="str">
        <f>'E. Capital Outlay'!D54</f>
        <v>E.1</v>
      </c>
      <c r="AQ56" s="466">
        <f>'E. Capital Outlay'!L58</f>
        <v>226433</v>
      </c>
      <c r="AR56" s="462"/>
      <c r="AS56" s="465" t="str">
        <f>'F.  Other Cap Asset Entries'!D220</f>
        <v>F.1</v>
      </c>
      <c r="AT56" s="466">
        <f>'F.  Other Cap Asset Entries'!O235</f>
        <v>125058</v>
      </c>
      <c r="AU56" s="469" t="s">
        <v>634</v>
      </c>
      <c r="AV56" s="466">
        <f>'K.1  Int. Service Fd Allocation'!E172+'K.2  Int. Service Fd Alloca'!E167+'K.3 Int. Service Fd Alloca'!E167</f>
        <v>0</v>
      </c>
      <c r="AW56" s="462"/>
      <c r="AX56" s="465"/>
      <c r="AY56" s="468"/>
      <c r="AZ56" s="447"/>
      <c r="BA56" s="448"/>
      <c r="BB56" s="466">
        <f t="shared" si="32"/>
        <v>2087751</v>
      </c>
      <c r="BC56" s="466">
        <f t="shared" si="33"/>
        <v>125058</v>
      </c>
      <c r="BD56" s="463"/>
      <c r="BE56" s="464"/>
      <c r="BF56" s="466">
        <f>IF((BB56+BB57+BB58)-(BC56+BC57+BC58)&lt;=0," ",(BB56+BB57+BB58)-(BC56+BC57+BC58))</f>
        <v>1962693</v>
      </c>
      <c r="BG56" s="468" t="str">
        <f>IF((BB56+BB57+BB58)-(BC56+BC57+BC58)&gt;0," ",(BC56+BC57+BC58)-(BB56+BB57+BB58))</f>
        <v xml:space="preserve"> </v>
      </c>
      <c r="BH56" s="1014"/>
      <c r="BI56" s="939"/>
    </row>
    <row r="57" spans="1:61" x14ac:dyDescent="0.2">
      <c r="A57" s="19"/>
      <c r="B57" s="2"/>
      <c r="C57" s="204"/>
      <c r="D57" s="456"/>
      <c r="E57" s="457"/>
      <c r="F57" s="458"/>
      <c r="G57" s="458"/>
      <c r="H57" s="458"/>
      <c r="I57" s="458"/>
      <c r="J57" s="458"/>
      <c r="K57" s="459"/>
      <c r="L57" s="458"/>
      <c r="M57" s="458"/>
      <c r="N57" s="458"/>
      <c r="O57" s="458"/>
      <c r="P57" s="460"/>
      <c r="Q57" s="460"/>
      <c r="R57" s="460"/>
      <c r="S57" s="460"/>
      <c r="T57" s="460"/>
      <c r="U57" s="460"/>
      <c r="V57" s="460"/>
      <c r="W57" s="460"/>
      <c r="X57" s="460"/>
      <c r="Y57" s="460"/>
      <c r="Z57" s="460"/>
      <c r="AA57" s="460"/>
      <c r="AB57" s="460"/>
      <c r="AC57" s="460"/>
      <c r="AD57" s="458"/>
      <c r="AE57" s="458"/>
      <c r="AF57" s="458"/>
      <c r="AG57" s="458"/>
      <c r="AH57" s="461">
        <f t="shared" si="39"/>
        <v>0</v>
      </c>
      <c r="AI57" s="462">
        <f t="shared" si="40"/>
        <v>0</v>
      </c>
      <c r="AJ57" s="463">
        <f t="shared" si="20"/>
        <v>0</v>
      </c>
      <c r="AK57" s="464">
        <f t="shared" si="21"/>
        <v>0</v>
      </c>
      <c r="AL57" s="463"/>
      <c r="AM57" s="464"/>
      <c r="AN57" s="463"/>
      <c r="AO57" s="464"/>
      <c r="AP57" s="465" t="str">
        <f>'F.  Other Cap Asset Entries'!D220</f>
        <v>F.1</v>
      </c>
      <c r="AQ57" s="466">
        <f>'F.  Other Cap Asset Entries'!M235</f>
        <v>0</v>
      </c>
      <c r="AR57" s="462"/>
      <c r="AS57" s="465" t="s">
        <v>621</v>
      </c>
      <c r="AT57" s="466">
        <f>'F.  Other Cap Asset Entries'!O270</f>
        <v>0</v>
      </c>
      <c r="AU57" s="467"/>
      <c r="AV57" s="466"/>
      <c r="AW57" s="462"/>
      <c r="AX57" s="465"/>
      <c r="AY57" s="468"/>
      <c r="AZ57" s="447"/>
      <c r="BA57" s="448"/>
      <c r="BB57" s="466">
        <f t="shared" si="32"/>
        <v>0</v>
      </c>
      <c r="BC57" s="466">
        <f t="shared" si="33"/>
        <v>0</v>
      </c>
      <c r="BD57" s="463"/>
      <c r="BE57" s="464"/>
      <c r="BF57" s="466"/>
      <c r="BG57" s="468"/>
      <c r="BH57" s="1013"/>
      <c r="BI57" s="939"/>
    </row>
    <row r="58" spans="1:61" x14ac:dyDescent="0.2">
      <c r="A58" s="19"/>
      <c r="B58" s="2"/>
      <c r="C58" s="204"/>
      <c r="D58" s="456"/>
      <c r="E58" s="457"/>
      <c r="F58" s="458"/>
      <c r="G58" s="458"/>
      <c r="H58" s="458"/>
      <c r="I58" s="458"/>
      <c r="J58" s="458"/>
      <c r="K58" s="459"/>
      <c r="L58" s="458"/>
      <c r="M58" s="458"/>
      <c r="N58" s="458"/>
      <c r="O58" s="458"/>
      <c r="P58" s="460"/>
      <c r="Q58" s="460"/>
      <c r="R58" s="460"/>
      <c r="S58" s="460"/>
      <c r="T58" s="460"/>
      <c r="U58" s="460"/>
      <c r="V58" s="460"/>
      <c r="W58" s="460"/>
      <c r="X58" s="460"/>
      <c r="Y58" s="460"/>
      <c r="Z58" s="460"/>
      <c r="AA58" s="460"/>
      <c r="AB58" s="460"/>
      <c r="AC58" s="460"/>
      <c r="AD58" s="458"/>
      <c r="AE58" s="458"/>
      <c r="AF58" s="458"/>
      <c r="AG58" s="458"/>
      <c r="AH58" s="461">
        <f t="shared" si="39"/>
        <v>0</v>
      </c>
      <c r="AI58" s="462">
        <f t="shared" si="40"/>
        <v>0</v>
      </c>
      <c r="AJ58" s="463">
        <f t="shared" si="20"/>
        <v>0</v>
      </c>
      <c r="AK58" s="464">
        <f t="shared" si="21"/>
        <v>0</v>
      </c>
      <c r="AL58" s="463"/>
      <c r="AM58" s="464"/>
      <c r="AN58" s="463"/>
      <c r="AO58" s="464"/>
      <c r="AP58" s="465" t="str">
        <f>'F.  Other Cap Asset Entries'!D244</f>
        <v>F.2</v>
      </c>
      <c r="AQ58" s="466">
        <f>'F.  Other Cap Asset Entries'!M247</f>
        <v>0</v>
      </c>
      <c r="AR58" s="462"/>
      <c r="AS58" s="465"/>
      <c r="AT58" s="466"/>
      <c r="AU58" s="467"/>
      <c r="AV58" s="466"/>
      <c r="AW58" s="462"/>
      <c r="AX58" s="465"/>
      <c r="AY58" s="468"/>
      <c r="AZ58" s="447"/>
      <c r="BA58" s="448"/>
      <c r="BB58" s="466">
        <f t="shared" si="32"/>
        <v>0</v>
      </c>
      <c r="BC58" s="466">
        <f t="shared" si="33"/>
        <v>0</v>
      </c>
      <c r="BD58" s="463"/>
      <c r="BE58" s="464"/>
      <c r="BF58" s="466"/>
      <c r="BG58" s="468"/>
      <c r="BH58" s="1013"/>
      <c r="BI58" s="939"/>
    </row>
    <row r="59" spans="1:61" x14ac:dyDescent="0.2">
      <c r="A59" s="19"/>
      <c r="B59" s="2"/>
      <c r="C59" t="s">
        <v>71</v>
      </c>
      <c r="D59" s="453"/>
      <c r="E59" s="454"/>
      <c r="F59" s="440"/>
      <c r="G59" s="440"/>
      <c r="H59" s="440"/>
      <c r="I59" s="440"/>
      <c r="J59" s="440"/>
      <c r="K59" s="441"/>
      <c r="L59" s="440"/>
      <c r="M59" s="440"/>
      <c r="N59" s="440"/>
      <c r="O59" s="440"/>
      <c r="P59" s="451"/>
      <c r="Q59" s="451"/>
      <c r="R59" s="451"/>
      <c r="S59" s="451"/>
      <c r="T59" s="451"/>
      <c r="U59" s="451"/>
      <c r="V59" s="451"/>
      <c r="W59" s="451"/>
      <c r="X59" s="451"/>
      <c r="Y59" s="451"/>
      <c r="Z59" s="451"/>
      <c r="AA59" s="451"/>
      <c r="AB59" s="451"/>
      <c r="AC59" s="451"/>
      <c r="AD59" s="440"/>
      <c r="AE59" s="440"/>
      <c r="AF59" s="440"/>
      <c r="AG59" s="440"/>
      <c r="AH59" s="430">
        <f t="shared" si="39"/>
        <v>0</v>
      </c>
      <c r="AI59" s="369">
        <f t="shared" si="40"/>
        <v>0</v>
      </c>
      <c r="AJ59" s="431">
        <f t="shared" si="20"/>
        <v>0</v>
      </c>
      <c r="AK59" s="443">
        <f t="shared" si="21"/>
        <v>0</v>
      </c>
      <c r="AL59" s="431"/>
      <c r="AM59" s="985">
        <f>1274857-65018</f>
        <v>1209839</v>
      </c>
      <c r="AN59" s="431"/>
      <c r="AO59" s="443"/>
      <c r="AP59" s="444" t="str">
        <f>'F.  Other Cap Asset Entries'!D220</f>
        <v>F.1</v>
      </c>
      <c r="AQ59" s="367">
        <f>'F.  Other Cap Asset Entries'!M222</f>
        <v>125058</v>
      </c>
      <c r="AS59" s="444" t="str">
        <f>'D. Depreciation'!A55</f>
        <v>D.1</v>
      </c>
      <c r="AT59" s="367">
        <f>'D. Depreciation'!L67</f>
        <v>161652</v>
      </c>
      <c r="AU59" s="445"/>
      <c r="AV59" s="367"/>
      <c r="AW59" s="475"/>
      <c r="AX59" s="452" t="s">
        <v>634</v>
      </c>
      <c r="AY59" s="367">
        <f>'K.1  Int. Service Fd Allocation'!G184+'K.2  Int. Service Fd Alloca'!G179+'K.3 Int. Service Fd Alloca'!G179</f>
        <v>0</v>
      </c>
      <c r="AZ59" s="471"/>
      <c r="BA59" s="448"/>
      <c r="BB59" s="395">
        <f t="shared" si="32"/>
        <v>125058</v>
      </c>
      <c r="BC59" s="395">
        <f t="shared" si="33"/>
        <v>1371491</v>
      </c>
      <c r="BD59" s="431"/>
      <c r="BE59" s="443"/>
      <c r="BF59" s="429" t="str">
        <f>IF(BB59-BC59&lt;=0," ",BB59-BC59)</f>
        <v xml:space="preserve"> </v>
      </c>
      <c r="BG59" s="446">
        <f>IF(BB59-BC59&gt;0," ",BC59-BB59)</f>
        <v>1246433</v>
      </c>
      <c r="BH59" s="1013"/>
      <c r="BI59" s="939"/>
    </row>
    <row r="60" spans="1:61" x14ac:dyDescent="0.2">
      <c r="A60" s="19"/>
      <c r="B60" s="2"/>
      <c r="C60" s="204" t="s">
        <v>4164</v>
      </c>
      <c r="D60" s="456"/>
      <c r="E60" s="457"/>
      <c r="F60" s="458"/>
      <c r="G60" s="458"/>
      <c r="H60" s="458"/>
      <c r="I60" s="458"/>
      <c r="J60" s="458"/>
      <c r="K60" s="459"/>
      <c r="L60" s="458"/>
      <c r="M60" s="458"/>
      <c r="N60" s="458"/>
      <c r="O60" s="458"/>
      <c r="P60" s="460"/>
      <c r="Q60" s="460"/>
      <c r="R60" s="460"/>
      <c r="S60" s="460"/>
      <c r="T60" s="460"/>
      <c r="U60" s="460"/>
      <c r="V60" s="460"/>
      <c r="W60" s="460"/>
      <c r="X60" s="460"/>
      <c r="Y60" s="460"/>
      <c r="Z60" s="460"/>
      <c r="AA60" s="460"/>
      <c r="AB60" s="460"/>
      <c r="AC60" s="460"/>
      <c r="AD60" s="458"/>
      <c r="AE60" s="458"/>
      <c r="AF60" s="458"/>
      <c r="AG60" s="458"/>
      <c r="AH60" s="461">
        <f t="shared" ref="AH60:AH61" si="41">L60+N60+P60+R60+T60+V60+X60+Z60+AB60+AD60+AF60</f>
        <v>0</v>
      </c>
      <c r="AI60" s="462">
        <f t="shared" ref="AI60:AI61" si="42">M60+O60+Q60+S60+U60+W60+Y60+AA60+AC60+AE60+AG60</f>
        <v>0</v>
      </c>
      <c r="AJ60" s="463">
        <f t="shared" ref="AJ60:AJ61" si="43">D60+F60+H60+J60+AH60</f>
        <v>0</v>
      </c>
      <c r="AK60" s="464">
        <f t="shared" ref="AK60:AK61" si="44">E60+G60+I60+K60+AI60</f>
        <v>0</v>
      </c>
      <c r="AL60" s="984">
        <v>100000</v>
      </c>
      <c r="AM60" s="464"/>
      <c r="AN60" s="431"/>
      <c r="AO60" s="443"/>
      <c r="AP60" s="465" t="str">
        <f>'E. Capital Outlay'!D54</f>
        <v>E.1</v>
      </c>
      <c r="AQ60" s="466">
        <f>'E. Capital Outlay'!L60</f>
        <v>0</v>
      </c>
      <c r="AR60" s="465"/>
      <c r="AS60" s="465" t="str">
        <f>'F.  Other Cap Asset Entries'!D220</f>
        <v>F.1</v>
      </c>
      <c r="AT60" s="466">
        <f>'F.  Other Cap Asset Entries'!O236</f>
        <v>6721</v>
      </c>
      <c r="AU60" s="465"/>
      <c r="AV60" s="466"/>
      <c r="AW60" s="465"/>
      <c r="AX60" s="466"/>
      <c r="AY60" s="465"/>
      <c r="AZ60" s="447"/>
      <c r="BA60" s="448"/>
      <c r="BB60" s="395">
        <f t="shared" ref="BB60:BB61" si="45">ROUND(AJ60+AL60+AN60+AQ60+AV60+AZ60,0)</f>
        <v>100000</v>
      </c>
      <c r="BC60" s="395">
        <f t="shared" ref="BC60:BC61" si="46">ROUND(AK60+AM60+AO60+AT60+AY60+BA60,0)</f>
        <v>6721</v>
      </c>
      <c r="BD60" s="465"/>
      <c r="BE60" s="466"/>
      <c r="BF60" s="466">
        <f t="shared" ref="BF60" si="47">IF(BB60-BC60&lt;=0," ",BB60-BC60)</f>
        <v>93279</v>
      </c>
      <c r="BG60" s="466" t="str">
        <f>IF(BB60-BC60&gt;0," ",BC60-BB60)</f>
        <v xml:space="preserve"> </v>
      </c>
      <c r="BH60" s="1013" t="s">
        <v>4180</v>
      </c>
      <c r="BI60" s="939"/>
    </row>
    <row r="61" spans="1:61" x14ac:dyDescent="0.2">
      <c r="A61" s="19"/>
      <c r="B61" s="2"/>
      <c r="C61" t="s">
        <v>4165</v>
      </c>
      <c r="D61" s="453"/>
      <c r="E61" s="454"/>
      <c r="F61" s="440"/>
      <c r="G61" s="440"/>
      <c r="H61" s="440"/>
      <c r="I61" s="440"/>
      <c r="J61" s="440"/>
      <c r="K61" s="441"/>
      <c r="L61" s="440"/>
      <c r="M61" s="440"/>
      <c r="N61" s="440"/>
      <c r="O61" s="440"/>
      <c r="P61" s="451"/>
      <c r="Q61" s="451"/>
      <c r="R61" s="451"/>
      <c r="S61" s="451"/>
      <c r="T61" s="451"/>
      <c r="U61" s="451"/>
      <c r="V61" s="451"/>
      <c r="W61" s="451"/>
      <c r="X61" s="451"/>
      <c r="Y61" s="451"/>
      <c r="Z61" s="451"/>
      <c r="AA61" s="451"/>
      <c r="AB61" s="451"/>
      <c r="AC61" s="451"/>
      <c r="AD61" s="440"/>
      <c r="AE61" s="440"/>
      <c r="AF61" s="440"/>
      <c r="AG61" s="440"/>
      <c r="AH61" s="430">
        <f t="shared" si="41"/>
        <v>0</v>
      </c>
      <c r="AI61" s="369">
        <f t="shared" si="42"/>
        <v>0</v>
      </c>
      <c r="AJ61" s="431">
        <f t="shared" si="43"/>
        <v>0</v>
      </c>
      <c r="AK61" s="443">
        <f t="shared" si="44"/>
        <v>0</v>
      </c>
      <c r="AL61" s="431"/>
      <c r="AM61" s="985">
        <v>65018</v>
      </c>
      <c r="AN61" s="431"/>
      <c r="AO61" s="443"/>
      <c r="AP61" s="444" t="str">
        <f>'F.  Other Cap Asset Entries'!D220</f>
        <v>F.1</v>
      </c>
      <c r="AQ61" s="367">
        <f>'F.  Other Cap Asset Entries'!M223</f>
        <v>6721</v>
      </c>
      <c r="AS61" s="444" t="str">
        <f>'D. Depreciation'!A55</f>
        <v>D.1</v>
      </c>
      <c r="AT61" s="367">
        <f>'D. Depreciation'!L68</f>
        <v>14480</v>
      </c>
      <c r="AU61" s="445"/>
      <c r="AV61" s="367"/>
      <c r="AW61" s="475"/>
      <c r="AX61" s="452"/>
      <c r="AY61" s="367"/>
      <c r="AZ61" s="447"/>
      <c r="BA61" s="448"/>
      <c r="BB61" s="395">
        <f t="shared" si="45"/>
        <v>6721</v>
      </c>
      <c r="BC61" s="395">
        <f t="shared" si="46"/>
        <v>79498</v>
      </c>
      <c r="BD61" s="431"/>
      <c r="BE61" s="443"/>
      <c r="BF61" s="429" t="str">
        <f>IF(BB61-BC61&lt;=0," ",BB61-BC61)</f>
        <v xml:space="preserve"> </v>
      </c>
      <c r="BG61" s="446">
        <f>IF(BB61-BC61&gt;0," ",BC61-BB61)</f>
        <v>72777</v>
      </c>
      <c r="BH61" s="1013"/>
      <c r="BI61" s="939"/>
    </row>
    <row r="62" spans="1:61" x14ac:dyDescent="0.2">
      <c r="A62" s="19"/>
      <c r="B62" s="2"/>
      <c r="C62" s="204" t="s">
        <v>821</v>
      </c>
      <c r="D62" s="456"/>
      <c r="E62" s="457"/>
      <c r="F62" s="458"/>
      <c r="G62" s="458"/>
      <c r="H62" s="458"/>
      <c r="I62" s="458"/>
      <c r="J62" s="458"/>
      <c r="K62" s="459"/>
      <c r="L62" s="458"/>
      <c r="M62" s="458"/>
      <c r="N62" s="458"/>
      <c r="O62" s="458"/>
      <c r="P62" s="460"/>
      <c r="Q62" s="460"/>
      <c r="R62" s="460"/>
      <c r="S62" s="460"/>
      <c r="T62" s="460"/>
      <c r="U62" s="460"/>
      <c r="V62" s="460"/>
      <c r="W62" s="460"/>
      <c r="X62" s="460"/>
      <c r="Y62" s="460"/>
      <c r="Z62" s="460"/>
      <c r="AA62" s="460"/>
      <c r="AB62" s="460"/>
      <c r="AC62" s="460"/>
      <c r="AD62" s="458"/>
      <c r="AE62" s="458"/>
      <c r="AF62" s="458"/>
      <c r="AG62" s="458"/>
      <c r="AH62" s="461">
        <f t="shared" ref="AH62:AH65" si="48">L62+N62+P62+R62+T62+V62+X62+Z62+AB62+AD62+AF62</f>
        <v>0</v>
      </c>
      <c r="AI62" s="462">
        <f t="shared" ref="AI62:AI65" si="49">M62+O62+Q62+S62+U62+W62+Y62+AA62+AC62+AE62+AG62</f>
        <v>0</v>
      </c>
      <c r="AJ62" s="463">
        <f t="shared" si="20"/>
        <v>0</v>
      </c>
      <c r="AK62" s="464">
        <f t="shared" si="21"/>
        <v>0</v>
      </c>
      <c r="AL62" s="984">
        <v>682247</v>
      </c>
      <c r="AM62" s="464"/>
      <c r="AN62" s="463"/>
      <c r="AO62" s="464"/>
      <c r="AP62" s="465" t="str">
        <f>'E. Capital Outlay'!D54</f>
        <v>E.1</v>
      </c>
      <c r="AQ62" s="466">
        <f>'E. Capital Outlay'!L59</f>
        <v>138900</v>
      </c>
      <c r="AR62" s="462"/>
      <c r="AS62" s="465" t="str">
        <f>'F.  Other Cap Asset Entries'!D220</f>
        <v>F.1</v>
      </c>
      <c r="AT62" s="466">
        <f>'F.  Other Cap Asset Entries'!O237</f>
        <v>2639</v>
      </c>
      <c r="AU62" s="467" t="s">
        <v>634</v>
      </c>
      <c r="AV62" s="466">
        <f>'K.1  Int. Service Fd Allocation'!E173+'K.2  Int. Service Fd Alloca'!E168+'K.3 Int. Service Fd Alloca'!E168</f>
        <v>0</v>
      </c>
      <c r="AW62" s="462"/>
      <c r="AX62" s="465"/>
      <c r="AY62" s="468"/>
      <c r="AZ62" s="447"/>
      <c r="BA62" s="448"/>
      <c r="BB62" s="466">
        <f t="shared" si="32"/>
        <v>821147</v>
      </c>
      <c r="BC62" s="466">
        <f t="shared" si="33"/>
        <v>2639</v>
      </c>
      <c r="BD62" s="463"/>
      <c r="BE62" s="464"/>
      <c r="BF62" s="466">
        <f>IF((BB62+BB63+BB64)-(BC62+BC63+BC64)&lt;=0," ",(BB62+BB63+BB64)-(BC62+BC63+BC64))</f>
        <v>818508</v>
      </c>
      <c r="BG62" s="468" t="str">
        <f>IF((BB62+BB63+BB64)-(BC62+BC63+BC64)&gt;0," ",(BC62+BC63+BC64)-(BB62+BB63+BB64))</f>
        <v xml:space="preserve"> </v>
      </c>
      <c r="BH62" s="1014"/>
      <c r="BI62" s="939"/>
    </row>
    <row r="63" spans="1:61" x14ac:dyDescent="0.2">
      <c r="A63" s="19"/>
      <c r="B63" s="2"/>
      <c r="C63" s="204"/>
      <c r="D63" s="456"/>
      <c r="E63" s="457"/>
      <c r="F63" s="458"/>
      <c r="G63" s="458"/>
      <c r="H63" s="458"/>
      <c r="I63" s="458"/>
      <c r="J63" s="458"/>
      <c r="K63" s="459"/>
      <c r="L63" s="458"/>
      <c r="M63" s="458"/>
      <c r="N63" s="458"/>
      <c r="O63" s="458"/>
      <c r="P63" s="460"/>
      <c r="Q63" s="460"/>
      <c r="R63" s="460"/>
      <c r="S63" s="460"/>
      <c r="T63" s="460"/>
      <c r="U63" s="460"/>
      <c r="V63" s="460"/>
      <c r="W63" s="460"/>
      <c r="X63" s="460"/>
      <c r="Y63" s="460"/>
      <c r="Z63" s="460"/>
      <c r="AA63" s="460"/>
      <c r="AB63" s="460"/>
      <c r="AC63" s="460"/>
      <c r="AD63" s="458"/>
      <c r="AE63" s="458"/>
      <c r="AF63" s="458"/>
      <c r="AG63" s="458"/>
      <c r="AH63" s="461">
        <f t="shared" si="48"/>
        <v>0</v>
      </c>
      <c r="AI63" s="462">
        <f t="shared" si="49"/>
        <v>0</v>
      </c>
      <c r="AJ63" s="463">
        <f t="shared" si="20"/>
        <v>0</v>
      </c>
      <c r="AK63" s="464">
        <f t="shared" si="21"/>
        <v>0</v>
      </c>
      <c r="AL63" s="463"/>
      <c r="AM63" s="464"/>
      <c r="AN63" s="463"/>
      <c r="AO63" s="464"/>
      <c r="AP63" s="465" t="str">
        <f>'F.  Other Cap Asset Entries'!D220</f>
        <v>F.1</v>
      </c>
      <c r="AQ63" s="466">
        <f>'F.  Other Cap Asset Entries'!M237</f>
        <v>0</v>
      </c>
      <c r="AR63" s="462"/>
      <c r="AS63" s="465" t="s">
        <v>621</v>
      </c>
      <c r="AT63" s="466">
        <f>'F.  Other Cap Asset Entries'!O271</f>
        <v>0</v>
      </c>
      <c r="AU63" s="467"/>
      <c r="AV63" s="466"/>
      <c r="AW63" s="462"/>
      <c r="AX63" s="465"/>
      <c r="AY63" s="468"/>
      <c r="AZ63" s="447"/>
      <c r="BA63" s="448"/>
      <c r="BB63" s="466">
        <f t="shared" si="32"/>
        <v>0</v>
      </c>
      <c r="BC63" s="466">
        <f t="shared" si="33"/>
        <v>0</v>
      </c>
      <c r="BD63" s="463"/>
      <c r="BE63" s="464"/>
      <c r="BF63" s="466"/>
      <c r="BG63" s="468"/>
      <c r="BH63" s="1013"/>
      <c r="BI63" s="939"/>
    </row>
    <row r="64" spans="1:61" x14ac:dyDescent="0.2">
      <c r="A64" s="19"/>
      <c r="B64" s="2"/>
      <c r="C64" s="204"/>
      <c r="D64" s="456"/>
      <c r="E64" s="457"/>
      <c r="F64" s="458"/>
      <c r="G64" s="458"/>
      <c r="H64" s="458"/>
      <c r="I64" s="458"/>
      <c r="J64" s="458"/>
      <c r="K64" s="459"/>
      <c r="L64" s="458"/>
      <c r="M64" s="458"/>
      <c r="N64" s="458"/>
      <c r="O64" s="458"/>
      <c r="P64" s="460"/>
      <c r="Q64" s="460"/>
      <c r="R64" s="460"/>
      <c r="S64" s="460"/>
      <c r="T64" s="460"/>
      <c r="U64" s="460"/>
      <c r="V64" s="460"/>
      <c r="W64" s="460"/>
      <c r="X64" s="460"/>
      <c r="Y64" s="460"/>
      <c r="Z64" s="460"/>
      <c r="AA64" s="460"/>
      <c r="AB64" s="460"/>
      <c r="AC64" s="460"/>
      <c r="AD64" s="458"/>
      <c r="AE64" s="458"/>
      <c r="AF64" s="458"/>
      <c r="AG64" s="458"/>
      <c r="AH64" s="461">
        <f t="shared" si="48"/>
        <v>0</v>
      </c>
      <c r="AI64" s="462">
        <f t="shared" si="49"/>
        <v>0</v>
      </c>
      <c r="AJ64" s="463">
        <f t="shared" si="20"/>
        <v>0</v>
      </c>
      <c r="AK64" s="464">
        <f t="shared" si="21"/>
        <v>0</v>
      </c>
      <c r="AL64" s="463"/>
      <c r="AM64" s="464"/>
      <c r="AN64" s="463"/>
      <c r="AO64" s="464"/>
      <c r="AP64" s="465" t="str">
        <f>'F.  Other Cap Asset Entries'!D244</f>
        <v>F.2</v>
      </c>
      <c r="AQ64" s="466">
        <f>'F.  Other Cap Asset Entries'!M248</f>
        <v>0</v>
      </c>
      <c r="AR64" s="462"/>
      <c r="AS64" s="465"/>
      <c r="AT64" s="466"/>
      <c r="AU64" s="467"/>
      <c r="AV64" s="466"/>
      <c r="AW64" s="462"/>
      <c r="AX64" s="465"/>
      <c r="AY64" s="468"/>
      <c r="AZ64" s="447"/>
      <c r="BA64" s="448"/>
      <c r="BB64" s="466">
        <f t="shared" si="32"/>
        <v>0</v>
      </c>
      <c r="BC64" s="466">
        <f t="shared" si="33"/>
        <v>0</v>
      </c>
      <c r="BD64" s="463"/>
      <c r="BE64" s="464"/>
      <c r="BF64" s="466"/>
      <c r="BG64" s="468"/>
      <c r="BH64" s="1013"/>
      <c r="BI64" s="939"/>
    </row>
    <row r="65" spans="1:61" x14ac:dyDescent="0.2">
      <c r="A65" s="19"/>
      <c r="B65" s="2"/>
      <c r="C65" t="s">
        <v>848</v>
      </c>
      <c r="D65" s="453"/>
      <c r="E65" s="454"/>
      <c r="F65" s="440"/>
      <c r="G65" s="440"/>
      <c r="H65" s="440"/>
      <c r="I65" s="440"/>
      <c r="J65" s="440"/>
      <c r="K65" s="441"/>
      <c r="L65" s="440"/>
      <c r="M65" s="440"/>
      <c r="N65" s="440"/>
      <c r="O65" s="440"/>
      <c r="P65" s="451"/>
      <c r="Q65" s="451"/>
      <c r="R65" s="451"/>
      <c r="S65" s="451"/>
      <c r="T65" s="451"/>
      <c r="U65" s="451"/>
      <c r="V65" s="451"/>
      <c r="W65" s="451"/>
      <c r="X65" s="451"/>
      <c r="Y65" s="451"/>
      <c r="Z65" s="451"/>
      <c r="AA65" s="451"/>
      <c r="AB65" s="451"/>
      <c r="AC65" s="451"/>
      <c r="AD65" s="440"/>
      <c r="AE65" s="440"/>
      <c r="AF65" s="440"/>
      <c r="AG65" s="440"/>
      <c r="AH65" s="430">
        <f t="shared" si="48"/>
        <v>0</v>
      </c>
      <c r="AI65" s="369">
        <f t="shared" si="49"/>
        <v>0</v>
      </c>
      <c r="AJ65" s="431">
        <f t="shared" si="20"/>
        <v>0</v>
      </c>
      <c r="AK65" s="443">
        <f t="shared" si="21"/>
        <v>0</v>
      </c>
      <c r="AL65" s="431"/>
      <c r="AM65" s="985">
        <v>396049</v>
      </c>
      <c r="AN65" s="431"/>
      <c r="AO65" s="443"/>
      <c r="AP65" s="444" t="str">
        <f>'F.  Other Cap Asset Entries'!D220</f>
        <v>F.1</v>
      </c>
      <c r="AQ65" s="367">
        <f>'F.  Other Cap Asset Entries'!M224</f>
        <v>2639</v>
      </c>
      <c r="AS65" s="444" t="str">
        <f>'D. Depreciation'!A55</f>
        <v>D.1</v>
      </c>
      <c r="AT65" s="367">
        <f>'D. Depreciation'!L69</f>
        <v>127719</v>
      </c>
      <c r="AU65" s="445"/>
      <c r="AV65" s="367"/>
      <c r="AX65" s="452" t="s">
        <v>634</v>
      </c>
      <c r="AY65" s="367">
        <f>'K.1  Int. Service Fd Allocation'!G185+'K.2  Int. Service Fd Alloca'!G180+'K.3 Int. Service Fd Alloca'!G180</f>
        <v>0</v>
      </c>
      <c r="AZ65" s="471"/>
      <c r="BA65" s="448"/>
      <c r="BB65" s="395">
        <f t="shared" si="32"/>
        <v>2639</v>
      </c>
      <c r="BC65" s="395">
        <f t="shared" si="33"/>
        <v>523768</v>
      </c>
      <c r="BD65" s="431"/>
      <c r="BE65" s="443"/>
      <c r="BF65" s="429" t="str">
        <f>IF(BB65-BC65&lt;=0," ",BB65-BC65)</f>
        <v xml:space="preserve"> </v>
      </c>
      <c r="BG65" s="446">
        <f>IF(BB65-BC65&gt;0," ",BC65-BB65)</f>
        <v>521129</v>
      </c>
      <c r="BH65" s="1013"/>
      <c r="BI65" s="939"/>
    </row>
    <row r="66" spans="1:61" x14ac:dyDescent="0.2">
      <c r="A66" s="19"/>
      <c r="C66" s="204" t="s">
        <v>810</v>
      </c>
      <c r="D66" s="456"/>
      <c r="E66" s="457"/>
      <c r="F66" s="458"/>
      <c r="G66" s="458"/>
      <c r="H66" s="458"/>
      <c r="I66" s="458"/>
      <c r="J66" s="458"/>
      <c r="K66" s="459"/>
      <c r="L66" s="458"/>
      <c r="M66" s="458"/>
      <c r="N66" s="458"/>
      <c r="O66" s="458"/>
      <c r="P66" s="460"/>
      <c r="Q66" s="460"/>
      <c r="R66" s="460"/>
      <c r="S66" s="460"/>
      <c r="T66" s="460"/>
      <c r="U66" s="460"/>
      <c r="V66" s="460"/>
      <c r="W66" s="460"/>
      <c r="X66" s="460"/>
      <c r="Y66" s="460"/>
      <c r="Z66" s="460"/>
      <c r="AA66" s="460"/>
      <c r="AB66" s="460"/>
      <c r="AC66" s="460"/>
      <c r="AD66" s="458"/>
      <c r="AE66" s="458"/>
      <c r="AF66" s="458"/>
      <c r="AG66" s="458"/>
      <c r="AH66" s="461">
        <f t="shared" ref="AH66:AH69" si="50">L66+N66+P66+R66+T66+V66+X66+Z66+AB66+AD66+AF66</f>
        <v>0</v>
      </c>
      <c r="AI66" s="462">
        <f t="shared" ref="AI66:AI69" si="51">M66+O66+Q66+S66+U66+W66+Y66+AA66+AC66+AE66+AG66</f>
        <v>0</v>
      </c>
      <c r="AJ66" s="463">
        <f t="shared" si="20"/>
        <v>0</v>
      </c>
      <c r="AK66" s="464">
        <f t="shared" si="21"/>
        <v>0</v>
      </c>
      <c r="AL66" s="984">
        <v>1040672</v>
      </c>
      <c r="AM66" s="464"/>
      <c r="AN66" s="463"/>
      <c r="AO66" s="464"/>
      <c r="AP66" s="465" t="str">
        <f>'E. Capital Outlay'!D54</f>
        <v>E.1</v>
      </c>
      <c r="AQ66" s="466">
        <f>'E. Capital Outlay'!L62</f>
        <v>0</v>
      </c>
      <c r="AR66" s="462"/>
      <c r="AS66" s="465" t="str">
        <f>'F.  Other Cap Asset Entries'!D220</f>
        <v>F.1</v>
      </c>
      <c r="AT66" s="466">
        <f>'F.  Other Cap Asset Entries'!O238</f>
        <v>0</v>
      </c>
      <c r="AU66" s="467"/>
      <c r="AV66" s="466"/>
      <c r="AW66" s="462"/>
      <c r="AX66" s="465"/>
      <c r="AY66" s="468"/>
      <c r="AZ66" s="447"/>
      <c r="BA66" s="448"/>
      <c r="BB66" s="466">
        <f t="shared" si="32"/>
        <v>1040672</v>
      </c>
      <c r="BC66" s="466">
        <f t="shared" si="33"/>
        <v>0</v>
      </c>
      <c r="BD66" s="463"/>
      <c r="BE66" s="464"/>
      <c r="BF66" s="466">
        <f>IF((BB66+BB67+BB68)-(BC66+BC67+BC68)&lt;=0," ",(BB66+BB67+BB68)-(BC66+BC67+BC68))</f>
        <v>1040672</v>
      </c>
      <c r="BG66" s="468" t="str">
        <f>IF((BB66+BB67+BB68)-(BC66+BC67+BC68)&gt;0," ",(BC66+BC67+BC68)-(BB66+BB67+BB68))</f>
        <v xml:space="preserve"> </v>
      </c>
      <c r="BH66" s="1013" t="s">
        <v>4180</v>
      </c>
      <c r="BI66" s="939"/>
    </row>
    <row r="67" spans="1:61" x14ac:dyDescent="0.2">
      <c r="A67" s="19"/>
      <c r="C67" s="204"/>
      <c r="D67" s="456"/>
      <c r="E67" s="457"/>
      <c r="F67" s="458"/>
      <c r="G67" s="458"/>
      <c r="H67" s="458"/>
      <c r="I67" s="458"/>
      <c r="J67" s="458"/>
      <c r="K67" s="459"/>
      <c r="L67" s="458"/>
      <c r="M67" s="458"/>
      <c r="N67" s="458"/>
      <c r="O67" s="458"/>
      <c r="P67" s="460"/>
      <c r="Q67" s="460"/>
      <c r="R67" s="460"/>
      <c r="S67" s="460"/>
      <c r="T67" s="460"/>
      <c r="U67" s="460"/>
      <c r="V67" s="460"/>
      <c r="W67" s="460"/>
      <c r="X67" s="460"/>
      <c r="Y67" s="460"/>
      <c r="Z67" s="460"/>
      <c r="AA67" s="460"/>
      <c r="AB67" s="460"/>
      <c r="AC67" s="460"/>
      <c r="AD67" s="458"/>
      <c r="AE67" s="458"/>
      <c r="AF67" s="458"/>
      <c r="AG67" s="458"/>
      <c r="AH67" s="461">
        <f t="shared" si="50"/>
        <v>0</v>
      </c>
      <c r="AI67" s="462">
        <f t="shared" si="51"/>
        <v>0</v>
      </c>
      <c r="AJ67" s="463">
        <f t="shared" si="20"/>
        <v>0</v>
      </c>
      <c r="AK67" s="464">
        <f t="shared" si="21"/>
        <v>0</v>
      </c>
      <c r="AL67" s="463"/>
      <c r="AM67" s="464"/>
      <c r="AN67" s="463"/>
      <c r="AO67" s="464"/>
      <c r="AP67" s="465" t="str">
        <f>'F.  Other Cap Asset Entries'!D220</f>
        <v>F.1</v>
      </c>
      <c r="AQ67" s="466">
        <f>'F.  Other Cap Asset Entries'!M238</f>
        <v>0</v>
      </c>
      <c r="AR67" s="462"/>
      <c r="AS67" s="465" t="s">
        <v>621</v>
      </c>
      <c r="AT67" s="466">
        <f>'F.  Other Cap Asset Entries'!O272</f>
        <v>0</v>
      </c>
      <c r="AU67" s="467"/>
      <c r="AV67" s="466"/>
      <c r="AW67" s="462"/>
      <c r="AX67" s="465"/>
      <c r="AY67" s="468"/>
      <c r="AZ67" s="447"/>
      <c r="BA67" s="448"/>
      <c r="BB67" s="466">
        <f t="shared" si="32"/>
        <v>0</v>
      </c>
      <c r="BC67" s="466">
        <f t="shared" si="33"/>
        <v>0</v>
      </c>
      <c r="BD67" s="463"/>
      <c r="BE67" s="464"/>
      <c r="BF67" s="466"/>
      <c r="BG67" s="468"/>
      <c r="BH67" s="1013"/>
      <c r="BI67" s="939"/>
    </row>
    <row r="68" spans="1:61" x14ac:dyDescent="0.2">
      <c r="A68" s="19"/>
      <c r="C68" s="204"/>
      <c r="D68" s="456"/>
      <c r="E68" s="457"/>
      <c r="F68" s="458"/>
      <c r="G68" s="458"/>
      <c r="H68" s="458"/>
      <c r="I68" s="458"/>
      <c r="J68" s="458"/>
      <c r="K68" s="459"/>
      <c r="L68" s="458"/>
      <c r="M68" s="458"/>
      <c r="N68" s="458"/>
      <c r="O68" s="458"/>
      <c r="P68" s="460"/>
      <c r="Q68" s="460"/>
      <c r="R68" s="460"/>
      <c r="S68" s="460"/>
      <c r="T68" s="460"/>
      <c r="U68" s="460"/>
      <c r="V68" s="460"/>
      <c r="W68" s="460"/>
      <c r="X68" s="460"/>
      <c r="Y68" s="460"/>
      <c r="Z68" s="460"/>
      <c r="AA68" s="460"/>
      <c r="AB68" s="460"/>
      <c r="AC68" s="460"/>
      <c r="AD68" s="458"/>
      <c r="AE68" s="458"/>
      <c r="AF68" s="458"/>
      <c r="AG68" s="458"/>
      <c r="AH68" s="461">
        <f t="shared" si="50"/>
        <v>0</v>
      </c>
      <c r="AI68" s="462">
        <f t="shared" si="51"/>
        <v>0</v>
      </c>
      <c r="AJ68" s="463">
        <f t="shared" si="20"/>
        <v>0</v>
      </c>
      <c r="AK68" s="464">
        <f t="shared" si="21"/>
        <v>0</v>
      </c>
      <c r="AL68" s="463"/>
      <c r="AM68" s="464"/>
      <c r="AN68" s="463"/>
      <c r="AO68" s="464"/>
      <c r="AP68" s="465" t="str">
        <f>'F.  Other Cap Asset Entries'!D244</f>
        <v>F.2</v>
      </c>
      <c r="AQ68" s="466">
        <f>'F.  Other Cap Asset Entries'!M249</f>
        <v>0</v>
      </c>
      <c r="AR68" s="462"/>
      <c r="AS68" s="465"/>
      <c r="AT68" s="466"/>
      <c r="AU68" s="467"/>
      <c r="AV68" s="466"/>
      <c r="AW68" s="462"/>
      <c r="AX68" s="465"/>
      <c r="AY68" s="468"/>
      <c r="AZ68" s="447"/>
      <c r="BA68" s="448"/>
      <c r="BB68" s="466">
        <f t="shared" si="32"/>
        <v>0</v>
      </c>
      <c r="BC68" s="466">
        <f t="shared" si="33"/>
        <v>0</v>
      </c>
      <c r="BD68" s="463"/>
      <c r="BE68" s="464"/>
      <c r="BF68" s="466"/>
      <c r="BG68" s="468"/>
      <c r="BH68" s="1013"/>
      <c r="BI68" s="939"/>
    </row>
    <row r="69" spans="1:61" x14ac:dyDescent="0.2">
      <c r="A69" s="19"/>
      <c r="C69" t="s">
        <v>135</v>
      </c>
      <c r="D69" s="449"/>
      <c r="E69" s="450"/>
      <c r="F69" s="440"/>
      <c r="G69" s="440"/>
      <c r="H69" s="440"/>
      <c r="I69" s="440"/>
      <c r="J69" s="440"/>
      <c r="K69" s="441"/>
      <c r="L69" s="440"/>
      <c r="M69" s="440"/>
      <c r="N69" s="440"/>
      <c r="O69" s="440"/>
      <c r="P69" s="442"/>
      <c r="Q69" s="442"/>
      <c r="R69" s="442"/>
      <c r="S69" s="442"/>
      <c r="T69" s="442"/>
      <c r="U69" s="442"/>
      <c r="V69" s="442"/>
      <c r="W69" s="442"/>
      <c r="X69" s="442"/>
      <c r="Y69" s="442"/>
      <c r="Z69" s="442"/>
      <c r="AA69" s="442"/>
      <c r="AB69" s="442"/>
      <c r="AC69" s="442"/>
      <c r="AD69" s="440"/>
      <c r="AE69" s="440"/>
      <c r="AF69" s="440"/>
      <c r="AG69" s="440"/>
      <c r="AH69" s="430">
        <f t="shared" si="50"/>
        <v>0</v>
      </c>
      <c r="AI69" s="369">
        <f t="shared" si="51"/>
        <v>0</v>
      </c>
      <c r="AJ69" s="431">
        <f t="shared" si="20"/>
        <v>0</v>
      </c>
      <c r="AK69" s="443">
        <f t="shared" si="21"/>
        <v>0</v>
      </c>
      <c r="AL69" s="431"/>
      <c r="AM69" s="985">
        <v>312016</v>
      </c>
      <c r="AN69" s="431"/>
      <c r="AO69" s="443"/>
      <c r="AP69" s="444" t="str">
        <f>'F.  Other Cap Asset Entries'!D220</f>
        <v>F.1</v>
      </c>
      <c r="AQ69" s="429">
        <f>'F.  Other Cap Asset Entries'!M227</f>
        <v>0</v>
      </c>
      <c r="AS69" s="444" t="str">
        <f>'D. Depreciation'!A55</f>
        <v>D.1</v>
      </c>
      <c r="AT69" s="429">
        <f>'D. Depreciation'!L70</f>
        <v>26017</v>
      </c>
      <c r="AU69" s="445"/>
      <c r="AV69" s="429"/>
      <c r="AY69" s="446"/>
      <c r="AZ69" s="447"/>
      <c r="BA69" s="448"/>
      <c r="BB69" s="395">
        <f t="shared" si="32"/>
        <v>0</v>
      </c>
      <c r="BC69" s="395">
        <f t="shared" si="33"/>
        <v>338033</v>
      </c>
      <c r="BD69" s="431"/>
      <c r="BE69" s="443"/>
      <c r="BF69" s="429" t="str">
        <f>IF(BB69-BC69&lt;=0," ",BB69-BC69)</f>
        <v xml:space="preserve"> </v>
      </c>
      <c r="BG69" s="446">
        <f>IF(BB69-BC69&gt;0," ",BC69-BB69)</f>
        <v>338033</v>
      </c>
      <c r="BH69" s="1013"/>
    </row>
    <row r="70" spans="1:61" x14ac:dyDescent="0.2">
      <c r="A70" s="19"/>
      <c r="C70" s="538" t="s">
        <v>1037</v>
      </c>
      <c r="D70" s="456"/>
      <c r="E70" s="457"/>
      <c r="F70" s="458"/>
      <c r="G70" s="458"/>
      <c r="H70" s="458"/>
      <c r="I70" s="458"/>
      <c r="J70" s="458"/>
      <c r="K70" s="459"/>
      <c r="L70" s="458"/>
      <c r="M70" s="458"/>
      <c r="N70" s="458"/>
      <c r="O70" s="458"/>
      <c r="P70" s="460"/>
      <c r="Q70" s="460"/>
      <c r="R70" s="460"/>
      <c r="S70" s="460"/>
      <c r="T70" s="460"/>
      <c r="U70" s="460"/>
      <c r="V70" s="460"/>
      <c r="W70" s="460"/>
      <c r="X70" s="460"/>
      <c r="Y70" s="460"/>
      <c r="Z70" s="460"/>
      <c r="AA70" s="460"/>
      <c r="AB70" s="460"/>
      <c r="AC70" s="460"/>
      <c r="AD70" s="458"/>
      <c r="AE70" s="458"/>
      <c r="AF70" s="458"/>
      <c r="AG70" s="458"/>
      <c r="AH70" s="461">
        <f t="shared" ref="AH70:AH73" si="52">L70+N70+P70+R70+T70+V70+X70+Z70+AB70+AD70+AF70</f>
        <v>0</v>
      </c>
      <c r="AI70" s="462">
        <f t="shared" ref="AI70:AI73" si="53">M70+O70+Q70+S70+U70+W70+Y70+AA70+AC70+AE70+AG70</f>
        <v>0</v>
      </c>
      <c r="AJ70" s="463">
        <f t="shared" si="20"/>
        <v>0</v>
      </c>
      <c r="AK70" s="464">
        <f t="shared" si="21"/>
        <v>0</v>
      </c>
      <c r="AL70" s="984">
        <v>5000</v>
      </c>
      <c r="AM70" s="464"/>
      <c r="AN70" s="463"/>
      <c r="AO70" s="464"/>
      <c r="AP70" s="465" t="str">
        <f>'E. Capital Outlay'!D54</f>
        <v>E.1</v>
      </c>
      <c r="AQ70" s="466">
        <f>'E. Capital Outlay'!L61</f>
        <v>0</v>
      </c>
      <c r="AR70" s="462"/>
      <c r="AS70" s="465" t="str">
        <f>'F.  Other Cap Asset Entries'!D220</f>
        <v>F.1</v>
      </c>
      <c r="AT70" s="466">
        <f>'F.  Other Cap Asset Entries'!O239</f>
        <v>0</v>
      </c>
      <c r="AU70" s="467"/>
      <c r="AV70" s="466"/>
      <c r="AW70" s="462"/>
      <c r="AX70" s="465"/>
      <c r="AY70" s="468"/>
      <c r="AZ70" s="447"/>
      <c r="BA70" s="448"/>
      <c r="BB70" s="466">
        <f t="shared" si="32"/>
        <v>5000</v>
      </c>
      <c r="BC70" s="466">
        <f t="shared" si="33"/>
        <v>0</v>
      </c>
      <c r="BD70" s="463"/>
      <c r="BE70" s="464"/>
      <c r="BF70" s="466">
        <f>IF((BB70+BB71+BB72)-(BC70+BC71+BC72)&lt;=0," ",(BB70+BB71+BB72)-(BC70+BC71+BC72))</f>
        <v>5000</v>
      </c>
      <c r="BG70" s="468" t="str">
        <f>IF((BB70+BB71+BB72)-(BC70+BC71+BC72)&gt;0," ",(BC70+BC71+BC72)-(BB70+BB71+BB72))</f>
        <v xml:space="preserve"> </v>
      </c>
      <c r="BH70" s="1013" t="s">
        <v>4180</v>
      </c>
    </row>
    <row r="71" spans="1:61" x14ac:dyDescent="0.2">
      <c r="A71" s="19"/>
      <c r="C71" s="204"/>
      <c r="D71" s="456"/>
      <c r="E71" s="457"/>
      <c r="F71" s="458"/>
      <c r="G71" s="458"/>
      <c r="H71" s="458"/>
      <c r="I71" s="458"/>
      <c r="J71" s="458"/>
      <c r="K71" s="459"/>
      <c r="L71" s="458"/>
      <c r="M71" s="458"/>
      <c r="N71" s="458"/>
      <c r="O71" s="458"/>
      <c r="P71" s="460"/>
      <c r="Q71" s="460"/>
      <c r="R71" s="460"/>
      <c r="S71" s="460"/>
      <c r="T71" s="460"/>
      <c r="U71" s="460"/>
      <c r="V71" s="460"/>
      <c r="W71" s="460"/>
      <c r="X71" s="460"/>
      <c r="Y71" s="460"/>
      <c r="Z71" s="460"/>
      <c r="AA71" s="460"/>
      <c r="AB71" s="460"/>
      <c r="AC71" s="460"/>
      <c r="AD71" s="458"/>
      <c r="AE71" s="458"/>
      <c r="AF71" s="458"/>
      <c r="AG71" s="458"/>
      <c r="AH71" s="461">
        <f t="shared" si="52"/>
        <v>0</v>
      </c>
      <c r="AI71" s="462">
        <f t="shared" si="53"/>
        <v>0</v>
      </c>
      <c r="AJ71" s="463">
        <f t="shared" si="20"/>
        <v>0</v>
      </c>
      <c r="AK71" s="464">
        <f t="shared" si="21"/>
        <v>0</v>
      </c>
      <c r="AL71" s="463"/>
      <c r="AM71" s="464"/>
      <c r="AN71" s="463"/>
      <c r="AO71" s="464"/>
      <c r="AP71" s="465" t="str">
        <f>'F.  Other Cap Asset Entries'!D220</f>
        <v>F.1</v>
      </c>
      <c r="AQ71" s="466">
        <f>'F.  Other Cap Asset Entries'!M239</f>
        <v>0</v>
      </c>
      <c r="AR71" s="462"/>
      <c r="AS71" s="465" t="s">
        <v>621</v>
      </c>
      <c r="AT71" s="466">
        <f>'F.  Other Cap Asset Entries'!O273</f>
        <v>0</v>
      </c>
      <c r="AU71" s="467"/>
      <c r="AV71" s="466"/>
      <c r="AW71" s="462"/>
      <c r="AX71" s="465"/>
      <c r="AY71" s="468"/>
      <c r="AZ71" s="447"/>
      <c r="BA71" s="448"/>
      <c r="BB71" s="466">
        <f t="shared" si="32"/>
        <v>0</v>
      </c>
      <c r="BC71" s="466">
        <f t="shared" si="33"/>
        <v>0</v>
      </c>
      <c r="BD71" s="463"/>
      <c r="BE71" s="464"/>
      <c r="BF71" s="466"/>
      <c r="BG71" s="468"/>
    </row>
    <row r="72" spans="1:61" x14ac:dyDescent="0.2">
      <c r="A72" s="19"/>
      <c r="C72" s="204"/>
      <c r="D72" s="456"/>
      <c r="E72" s="457"/>
      <c r="F72" s="458"/>
      <c r="G72" s="458"/>
      <c r="H72" s="458"/>
      <c r="I72" s="458"/>
      <c r="J72" s="458"/>
      <c r="K72" s="459"/>
      <c r="L72" s="458"/>
      <c r="M72" s="458"/>
      <c r="N72" s="458"/>
      <c r="O72" s="458"/>
      <c r="P72" s="460"/>
      <c r="Q72" s="460"/>
      <c r="R72" s="460"/>
      <c r="S72" s="460"/>
      <c r="T72" s="460"/>
      <c r="U72" s="460"/>
      <c r="V72" s="460"/>
      <c r="W72" s="460"/>
      <c r="X72" s="460"/>
      <c r="Y72" s="460"/>
      <c r="Z72" s="460"/>
      <c r="AA72" s="460"/>
      <c r="AB72" s="460"/>
      <c r="AC72" s="460"/>
      <c r="AD72" s="458"/>
      <c r="AE72" s="458"/>
      <c r="AF72" s="458"/>
      <c r="AG72" s="458"/>
      <c r="AH72" s="461">
        <f t="shared" si="52"/>
        <v>0</v>
      </c>
      <c r="AI72" s="462">
        <f t="shared" si="53"/>
        <v>0</v>
      </c>
      <c r="AJ72" s="463">
        <f t="shared" si="20"/>
        <v>0</v>
      </c>
      <c r="AK72" s="464">
        <f t="shared" si="21"/>
        <v>0</v>
      </c>
      <c r="AL72" s="463"/>
      <c r="AM72" s="464"/>
      <c r="AN72" s="463"/>
      <c r="AO72" s="464"/>
      <c r="AP72" s="465" t="str">
        <f>'F.  Other Cap Asset Entries'!D244</f>
        <v>F.2</v>
      </c>
      <c r="AQ72" s="466">
        <f>'F.  Other Cap Asset Entries'!M250</f>
        <v>0</v>
      </c>
      <c r="AR72" s="462"/>
      <c r="AS72" s="465"/>
      <c r="AT72" s="466"/>
      <c r="AU72" s="467"/>
      <c r="AV72" s="466"/>
      <c r="AW72" s="462"/>
      <c r="AX72" s="465"/>
      <c r="AY72" s="468"/>
      <c r="AZ72" s="447"/>
      <c r="BA72" s="448"/>
      <c r="BB72" s="466">
        <f t="shared" si="32"/>
        <v>0</v>
      </c>
      <c r="BC72" s="466">
        <f t="shared" si="33"/>
        <v>0</v>
      </c>
      <c r="BD72" s="463"/>
      <c r="BE72" s="464"/>
      <c r="BF72" s="466"/>
      <c r="BG72" s="468"/>
    </row>
    <row r="73" spans="1:61" x14ac:dyDescent="0.2">
      <c r="A73" s="19"/>
      <c r="C73" s="539" t="s">
        <v>1038</v>
      </c>
      <c r="D73" s="449"/>
      <c r="E73" s="450"/>
      <c r="F73" s="440"/>
      <c r="G73" s="440"/>
      <c r="H73" s="440"/>
      <c r="I73" s="440"/>
      <c r="J73" s="440"/>
      <c r="K73" s="441"/>
      <c r="L73" s="440"/>
      <c r="M73" s="440"/>
      <c r="N73" s="440"/>
      <c r="O73" s="440"/>
      <c r="P73" s="442"/>
      <c r="Q73" s="442"/>
      <c r="R73" s="442"/>
      <c r="S73" s="442"/>
      <c r="T73" s="442"/>
      <c r="U73" s="442"/>
      <c r="V73" s="442"/>
      <c r="W73" s="442"/>
      <c r="X73" s="442"/>
      <c r="Y73" s="442"/>
      <c r="Z73" s="442"/>
      <c r="AA73" s="442"/>
      <c r="AB73" s="442"/>
      <c r="AC73" s="442"/>
      <c r="AD73" s="440"/>
      <c r="AE73" s="440"/>
      <c r="AF73" s="440"/>
      <c r="AG73" s="440"/>
      <c r="AH73" s="430">
        <f t="shared" si="52"/>
        <v>0</v>
      </c>
      <c r="AI73" s="369">
        <f t="shared" si="53"/>
        <v>0</v>
      </c>
      <c r="AJ73" s="431">
        <f t="shared" si="20"/>
        <v>0</v>
      </c>
      <c r="AK73" s="443">
        <f t="shared" si="21"/>
        <v>0</v>
      </c>
      <c r="AL73" s="431"/>
      <c r="AM73" s="985">
        <v>120</v>
      </c>
      <c r="AN73" s="431"/>
      <c r="AO73" s="443"/>
      <c r="AP73" s="444" t="str">
        <f>'F.  Other Cap Asset Entries'!D220</f>
        <v>F.1</v>
      </c>
      <c r="AQ73" s="429">
        <f>'F.  Other Cap Asset Entries'!M225</f>
        <v>0</v>
      </c>
      <c r="AS73" s="444" t="str">
        <f>'D. Depreciation'!A55</f>
        <v>D.1</v>
      </c>
      <c r="AT73" s="429">
        <f>'D. Depreciation'!L71</f>
        <v>125</v>
      </c>
      <c r="AU73" s="445"/>
      <c r="AV73" s="429"/>
      <c r="AY73" s="446"/>
      <c r="AZ73" s="447"/>
      <c r="BA73" s="448"/>
      <c r="BB73" s="395">
        <f t="shared" si="32"/>
        <v>0</v>
      </c>
      <c r="BC73" s="395">
        <f t="shared" si="33"/>
        <v>245</v>
      </c>
      <c r="BD73" s="431"/>
      <c r="BE73" s="443"/>
      <c r="BF73" s="429" t="str">
        <f>IF(BB73-BC73&lt;=0," ",BB73-BC73)</f>
        <v xml:space="preserve"> </v>
      </c>
      <c r="BG73" s="446">
        <f>IF(BB73-BC73&gt;0," ",BC73-BB73)</f>
        <v>245</v>
      </c>
      <c r="BH73" s="937"/>
    </row>
    <row r="74" spans="1:61" x14ac:dyDescent="0.2">
      <c r="A74" s="19"/>
      <c r="C74" s="538" t="s">
        <v>893</v>
      </c>
      <c r="D74" s="456"/>
      <c r="E74" s="457"/>
      <c r="F74" s="458"/>
      <c r="G74" s="458"/>
      <c r="H74" s="458"/>
      <c r="I74" s="458"/>
      <c r="J74" s="458"/>
      <c r="K74" s="459"/>
      <c r="L74" s="458"/>
      <c r="M74" s="458"/>
      <c r="N74" s="458"/>
      <c r="O74" s="458"/>
      <c r="P74" s="460"/>
      <c r="Q74" s="460"/>
      <c r="R74" s="460"/>
      <c r="S74" s="460"/>
      <c r="T74" s="460"/>
      <c r="U74" s="460"/>
      <c r="V74" s="460"/>
      <c r="W74" s="460"/>
      <c r="X74" s="460"/>
      <c r="Y74" s="460"/>
      <c r="Z74" s="460"/>
      <c r="AA74" s="460"/>
      <c r="AB74" s="460"/>
      <c r="AC74" s="460"/>
      <c r="AD74" s="458"/>
      <c r="AE74" s="458"/>
      <c r="AF74" s="458"/>
      <c r="AG74" s="458"/>
      <c r="AH74" s="461">
        <f t="shared" ref="AH74:AH78" si="54">L74+N74+P74+R74+T74+V74+X74+Z74+AB74+AD74+AF74</f>
        <v>0</v>
      </c>
      <c r="AI74" s="462">
        <f t="shared" ref="AI74:AI78" si="55">M74+O74+Q74+S74+U74+W74+Y74+AA74+AC74+AE74+AG74</f>
        <v>0</v>
      </c>
      <c r="AJ74" s="463">
        <f t="shared" si="20"/>
        <v>0</v>
      </c>
      <c r="AK74" s="464">
        <f t="shared" si="21"/>
        <v>0</v>
      </c>
      <c r="AL74" s="463"/>
      <c r="AM74" s="464"/>
      <c r="AN74" s="463"/>
      <c r="AO74" s="464"/>
      <c r="AP74" s="465" t="str">
        <f>'E. Capital Outlay'!D54</f>
        <v>E.1</v>
      </c>
      <c r="AQ74" s="466">
        <f>'E. Capital Outlay'!L64</f>
        <v>0</v>
      </c>
      <c r="AR74" s="462"/>
      <c r="AS74" s="465" t="str">
        <f>'F.  Other Cap Asset Entries'!D220</f>
        <v>F.1</v>
      </c>
      <c r="AT74" s="466">
        <f>'F.  Other Cap Asset Entries'!O240</f>
        <v>0</v>
      </c>
      <c r="AU74" s="467"/>
      <c r="AV74" s="466"/>
      <c r="AW74" s="462"/>
      <c r="AX74" s="465"/>
      <c r="AY74" s="468"/>
      <c r="AZ74" s="447"/>
      <c r="BA74" s="448"/>
      <c r="BB74" s="466">
        <f t="shared" si="32"/>
        <v>0</v>
      </c>
      <c r="BC74" s="466">
        <f t="shared" si="33"/>
        <v>0</v>
      </c>
      <c r="BD74" s="463"/>
      <c r="BE74" s="464"/>
      <c r="BF74" s="466" t="str">
        <f>IF((BB74+BB75+BB76)-(BC74+BC75+BC76)&lt;=0," ",(BB74+BB75+BB76)-(BC74+BC75+BC76))</f>
        <v xml:space="preserve"> </v>
      </c>
      <c r="BG74" s="468">
        <f>IF((BB74+BB75+BB76)-(BC74+BC75+BC76)&gt;0," ",(BC74+BC75+BC76)-(BB74+BB75+BB76))</f>
        <v>0</v>
      </c>
    </row>
    <row r="75" spans="1:61" x14ac:dyDescent="0.2">
      <c r="A75" s="19"/>
      <c r="C75" s="204"/>
      <c r="D75" s="456"/>
      <c r="E75" s="457"/>
      <c r="F75" s="458"/>
      <c r="G75" s="458"/>
      <c r="H75" s="458"/>
      <c r="I75" s="458"/>
      <c r="J75" s="458"/>
      <c r="K75" s="459"/>
      <c r="L75" s="458"/>
      <c r="M75" s="458"/>
      <c r="N75" s="458"/>
      <c r="O75" s="458"/>
      <c r="P75" s="460"/>
      <c r="Q75" s="460"/>
      <c r="R75" s="460"/>
      <c r="S75" s="460"/>
      <c r="T75" s="460"/>
      <c r="U75" s="460"/>
      <c r="V75" s="460"/>
      <c r="W75" s="460"/>
      <c r="X75" s="460"/>
      <c r="Y75" s="460"/>
      <c r="Z75" s="460"/>
      <c r="AA75" s="460"/>
      <c r="AB75" s="460"/>
      <c r="AC75" s="460"/>
      <c r="AD75" s="458"/>
      <c r="AE75" s="458"/>
      <c r="AF75" s="458"/>
      <c r="AG75" s="458"/>
      <c r="AH75" s="461">
        <f t="shared" si="54"/>
        <v>0</v>
      </c>
      <c r="AI75" s="462">
        <f t="shared" si="55"/>
        <v>0</v>
      </c>
      <c r="AJ75" s="463">
        <f t="shared" si="20"/>
        <v>0</v>
      </c>
      <c r="AK75" s="464">
        <f t="shared" si="21"/>
        <v>0</v>
      </c>
      <c r="AL75" s="463"/>
      <c r="AM75" s="464"/>
      <c r="AN75" s="463"/>
      <c r="AO75" s="464"/>
      <c r="AP75" s="465" t="str">
        <f>'F.  Other Cap Asset Entries'!D220</f>
        <v>F.1</v>
      </c>
      <c r="AQ75" s="466">
        <f>'F.  Other Cap Asset Entries'!M240</f>
        <v>0</v>
      </c>
      <c r="AR75" s="462"/>
      <c r="AS75" s="465" t="s">
        <v>621</v>
      </c>
      <c r="AT75" s="466">
        <f>'F.  Other Cap Asset Entries'!O274</f>
        <v>0</v>
      </c>
      <c r="AU75" s="467"/>
      <c r="AV75" s="466"/>
      <c r="AW75" s="462"/>
      <c r="AX75" s="465"/>
      <c r="AY75" s="468"/>
      <c r="AZ75" s="447"/>
      <c r="BA75" s="448"/>
      <c r="BB75" s="466">
        <f t="shared" si="32"/>
        <v>0</v>
      </c>
      <c r="BC75" s="466">
        <f t="shared" si="33"/>
        <v>0</v>
      </c>
      <c r="BD75" s="463"/>
      <c r="BE75" s="464"/>
      <c r="BF75" s="466"/>
      <c r="BG75" s="468"/>
    </row>
    <row r="76" spans="1:61" x14ac:dyDescent="0.2">
      <c r="A76" s="19"/>
      <c r="C76" s="204"/>
      <c r="D76" s="456"/>
      <c r="E76" s="457"/>
      <c r="F76" s="458"/>
      <c r="G76" s="458"/>
      <c r="H76" s="458"/>
      <c r="I76" s="458"/>
      <c r="J76" s="458"/>
      <c r="K76" s="459"/>
      <c r="L76" s="458"/>
      <c r="M76" s="458"/>
      <c r="N76" s="458"/>
      <c r="O76" s="458"/>
      <c r="P76" s="460"/>
      <c r="Q76" s="460"/>
      <c r="R76" s="460"/>
      <c r="S76" s="460"/>
      <c r="T76" s="460"/>
      <c r="U76" s="460"/>
      <c r="V76" s="460"/>
      <c r="W76" s="460"/>
      <c r="X76" s="460"/>
      <c r="Y76" s="460"/>
      <c r="Z76" s="460"/>
      <c r="AA76" s="460"/>
      <c r="AB76" s="460"/>
      <c r="AC76" s="460"/>
      <c r="AD76" s="458"/>
      <c r="AE76" s="458"/>
      <c r="AF76" s="458"/>
      <c r="AG76" s="458"/>
      <c r="AH76" s="461">
        <f t="shared" si="54"/>
        <v>0</v>
      </c>
      <c r="AI76" s="462">
        <f t="shared" si="55"/>
        <v>0</v>
      </c>
      <c r="AJ76" s="463">
        <f t="shared" si="20"/>
        <v>0</v>
      </c>
      <c r="AK76" s="464">
        <f t="shared" si="21"/>
        <v>0</v>
      </c>
      <c r="AL76" s="463"/>
      <c r="AM76" s="464"/>
      <c r="AN76" s="463"/>
      <c r="AO76" s="464"/>
      <c r="AP76" s="465" t="str">
        <f>'F.  Other Cap Asset Entries'!D244</f>
        <v>F.2</v>
      </c>
      <c r="AQ76" s="466">
        <f>'F.  Other Cap Asset Entries'!M251</f>
        <v>0</v>
      </c>
      <c r="AR76" s="462"/>
      <c r="AS76" s="465"/>
      <c r="AT76" s="466"/>
      <c r="AU76" s="467"/>
      <c r="AV76" s="466"/>
      <c r="AW76" s="462"/>
      <c r="AX76" s="465"/>
      <c r="AY76" s="468"/>
      <c r="AZ76" s="447"/>
      <c r="BA76" s="448"/>
      <c r="BB76" s="466">
        <f t="shared" si="32"/>
        <v>0</v>
      </c>
      <c r="BC76" s="466">
        <f t="shared" si="33"/>
        <v>0</v>
      </c>
      <c r="BD76" s="463"/>
      <c r="BE76" s="464"/>
      <c r="BF76" s="466"/>
      <c r="BG76" s="468"/>
    </row>
    <row r="77" spans="1:61" x14ac:dyDescent="0.2">
      <c r="A77" s="19"/>
      <c r="C77" s="539" t="s">
        <v>1039</v>
      </c>
      <c r="D77" s="449"/>
      <c r="E77" s="450"/>
      <c r="F77" s="440"/>
      <c r="G77" s="440"/>
      <c r="H77" s="440"/>
      <c r="I77" s="440"/>
      <c r="J77" s="440"/>
      <c r="K77" s="441"/>
      <c r="L77" s="440"/>
      <c r="M77" s="440"/>
      <c r="N77" s="440"/>
      <c r="O77" s="440"/>
      <c r="P77" s="442"/>
      <c r="Q77" s="442"/>
      <c r="R77" s="442"/>
      <c r="S77" s="442"/>
      <c r="T77" s="442"/>
      <c r="U77" s="442"/>
      <c r="V77" s="442"/>
      <c r="W77" s="442"/>
      <c r="X77" s="442"/>
      <c r="Y77" s="442"/>
      <c r="Z77" s="442"/>
      <c r="AA77" s="442"/>
      <c r="AB77" s="442"/>
      <c r="AC77" s="442"/>
      <c r="AD77" s="440"/>
      <c r="AE77" s="440"/>
      <c r="AF77" s="440"/>
      <c r="AG77" s="440"/>
      <c r="AH77" s="430">
        <f t="shared" si="54"/>
        <v>0</v>
      </c>
      <c r="AI77" s="369">
        <f t="shared" si="55"/>
        <v>0</v>
      </c>
      <c r="AJ77" s="431">
        <f t="shared" si="20"/>
        <v>0</v>
      </c>
      <c r="AK77" s="443">
        <f t="shared" si="21"/>
        <v>0</v>
      </c>
      <c r="AL77" s="440"/>
      <c r="AM77" s="440"/>
      <c r="AN77" s="431"/>
      <c r="AO77" s="443"/>
      <c r="AP77" s="444" t="str">
        <f>'F.  Other Cap Asset Entries'!D220</f>
        <v>F.1</v>
      </c>
      <c r="AQ77" s="429">
        <f>'F.  Other Cap Asset Entries'!M226</f>
        <v>0</v>
      </c>
      <c r="AS77" s="444" t="str">
        <f>'D. Depreciation'!A55</f>
        <v>D.1</v>
      </c>
      <c r="AT77" s="429">
        <f>'D. Depreciation'!L72</f>
        <v>0</v>
      </c>
      <c r="AU77" s="445"/>
      <c r="AV77" s="429"/>
      <c r="AY77" s="446"/>
      <c r="AZ77" s="447"/>
      <c r="BA77" s="448"/>
      <c r="BB77" s="395">
        <f t="shared" si="32"/>
        <v>0</v>
      </c>
      <c r="BC77" s="395">
        <f t="shared" si="33"/>
        <v>0</v>
      </c>
      <c r="BD77" s="431"/>
      <c r="BE77" s="443"/>
      <c r="BF77" s="429" t="str">
        <f>IF(BB77-BC77&lt;=0," ",BB77-BC77)</f>
        <v xml:space="preserve"> </v>
      </c>
      <c r="BG77" s="446">
        <f>IF(BB77-BC77&gt;0," ",BC77-BB77)</f>
        <v>0</v>
      </c>
    </row>
    <row r="78" spans="1:61" x14ac:dyDescent="0.2">
      <c r="A78" s="19"/>
      <c r="C78" t="s">
        <v>729</v>
      </c>
      <c r="D78" s="449"/>
      <c r="E78" s="450"/>
      <c r="F78" s="440"/>
      <c r="G78" s="440"/>
      <c r="H78" s="440"/>
      <c r="I78" s="440"/>
      <c r="J78" s="440"/>
      <c r="K78" s="441"/>
      <c r="L78" s="440"/>
      <c r="M78" s="440"/>
      <c r="N78" s="440"/>
      <c r="O78" s="440"/>
      <c r="P78" s="442"/>
      <c r="Q78" s="442"/>
      <c r="R78" s="442"/>
      <c r="S78" s="442"/>
      <c r="T78" s="442"/>
      <c r="U78" s="442"/>
      <c r="V78" s="442"/>
      <c r="W78" s="442"/>
      <c r="X78" s="442"/>
      <c r="Y78" s="442"/>
      <c r="Z78" s="442"/>
      <c r="AA78" s="442"/>
      <c r="AB78" s="442"/>
      <c r="AC78" s="442"/>
      <c r="AD78" s="440"/>
      <c r="AE78" s="440"/>
      <c r="AF78" s="440"/>
      <c r="AG78" s="440"/>
      <c r="AH78" s="430">
        <f t="shared" si="54"/>
        <v>0</v>
      </c>
      <c r="AI78" s="369">
        <f t="shared" si="55"/>
        <v>0</v>
      </c>
      <c r="AJ78" s="431">
        <f t="shared" si="20"/>
        <v>0</v>
      </c>
      <c r="AK78" s="443">
        <f t="shared" si="21"/>
        <v>0</v>
      </c>
      <c r="AL78" s="440"/>
      <c r="AM78" s="440"/>
      <c r="AN78" s="431"/>
      <c r="AO78" s="443"/>
      <c r="AP78" s="472" t="str">
        <f>'I.  Other Asset Entries'!B108</f>
        <v>I.1</v>
      </c>
      <c r="AQ78" s="429">
        <f>'I.  Other Asset Entries'!L108</f>
        <v>8932</v>
      </c>
      <c r="AT78" s="429"/>
      <c r="AU78" s="445"/>
      <c r="AV78" s="429"/>
      <c r="AY78" s="446"/>
      <c r="AZ78" s="447"/>
      <c r="BA78" s="448"/>
      <c r="BB78" s="395">
        <f t="shared" si="32"/>
        <v>8932</v>
      </c>
      <c r="BC78" s="395">
        <f t="shared" si="33"/>
        <v>0</v>
      </c>
      <c r="BD78" s="431"/>
      <c r="BE78" s="443"/>
      <c r="BF78" s="429">
        <f>IF(BB78-BC78&lt;=0," ",BB78-BC78)</f>
        <v>8932</v>
      </c>
      <c r="BG78" s="446" t="str">
        <f>IF(BB78-BC78&gt;0," ",BC78-BB78)</f>
        <v xml:space="preserve"> </v>
      </c>
      <c r="BH78" s="936" t="s">
        <v>4180</v>
      </c>
    </row>
    <row r="79" spans="1:61" ht="5.25" customHeight="1" x14ac:dyDescent="0.2">
      <c r="A79" s="19"/>
      <c r="D79" s="453"/>
      <c r="E79" s="454"/>
      <c r="F79" s="440"/>
      <c r="G79" s="440"/>
      <c r="H79" s="440"/>
      <c r="I79" s="440"/>
      <c r="J79" s="440"/>
      <c r="K79" s="441"/>
      <c r="L79" s="440"/>
      <c r="M79" s="440"/>
      <c r="N79" s="440"/>
      <c r="O79" s="440"/>
      <c r="P79" s="451"/>
      <c r="Q79" s="451"/>
      <c r="R79" s="451"/>
      <c r="S79" s="451"/>
      <c r="T79" s="451"/>
      <c r="U79" s="451"/>
      <c r="V79" s="451"/>
      <c r="W79" s="451"/>
      <c r="X79" s="451"/>
      <c r="Y79" s="451"/>
      <c r="Z79" s="451"/>
      <c r="AA79" s="451"/>
      <c r="AB79" s="451"/>
      <c r="AC79" s="451"/>
      <c r="AD79" s="440"/>
      <c r="AE79" s="440"/>
      <c r="AF79" s="440"/>
      <c r="AG79" s="440"/>
      <c r="AH79" s="430"/>
      <c r="AJ79" s="431"/>
      <c r="AK79" s="443"/>
      <c r="AL79" s="440"/>
      <c r="AM79" s="440"/>
      <c r="AN79" s="431"/>
      <c r="AO79" s="443"/>
      <c r="AQ79" s="367"/>
      <c r="AT79" s="367"/>
      <c r="AU79" s="445"/>
      <c r="AV79" s="367"/>
      <c r="AY79" s="455"/>
      <c r="AZ79" s="447"/>
      <c r="BA79" s="448"/>
      <c r="BB79" s="367"/>
      <c r="BC79" s="367"/>
      <c r="BD79" s="431"/>
      <c r="BE79" s="443"/>
      <c r="BF79" s="367"/>
      <c r="BG79" s="455"/>
      <c r="BI79" s="939"/>
    </row>
    <row r="80" spans="1:61" ht="12.75" customHeight="1" x14ac:dyDescent="0.2">
      <c r="A80" s="19"/>
      <c r="B80" s="4" t="s">
        <v>1050</v>
      </c>
      <c r="D80" s="453"/>
      <c r="E80" s="454"/>
      <c r="F80" s="440"/>
      <c r="G80" s="440"/>
      <c r="H80" s="440"/>
      <c r="I80" s="440"/>
      <c r="J80" s="440"/>
      <c r="K80" s="441"/>
      <c r="L80" s="440"/>
      <c r="M80" s="440"/>
      <c r="N80" s="440"/>
      <c r="O80" s="440"/>
      <c r="P80" s="451"/>
      <c r="Q80" s="451"/>
      <c r="R80" s="451"/>
      <c r="S80" s="451"/>
      <c r="T80" s="451"/>
      <c r="U80" s="451"/>
      <c r="V80" s="451"/>
      <c r="W80" s="451"/>
      <c r="X80" s="451"/>
      <c r="Y80" s="451"/>
      <c r="Z80" s="451"/>
      <c r="AA80" s="451"/>
      <c r="AB80" s="451"/>
      <c r="AC80" s="451"/>
      <c r="AD80" s="440"/>
      <c r="AE80" s="440"/>
      <c r="AF80" s="440"/>
      <c r="AG80" s="440"/>
      <c r="AH80" s="430"/>
      <c r="AJ80" s="431"/>
      <c r="AK80" s="443"/>
      <c r="AL80" s="440"/>
      <c r="AM80" s="440"/>
      <c r="AN80" s="431"/>
      <c r="AO80" s="443"/>
      <c r="AQ80" s="367"/>
      <c r="AT80" s="367"/>
      <c r="AU80" s="445"/>
      <c r="AV80" s="367"/>
      <c r="AY80" s="455"/>
      <c r="AZ80" s="447"/>
      <c r="BA80" s="448"/>
      <c r="BB80" s="367"/>
      <c r="BC80" s="367"/>
      <c r="BD80" s="431"/>
      <c r="BE80" s="443"/>
      <c r="BF80" s="367"/>
      <c r="BG80" s="455"/>
      <c r="BI80" s="939"/>
    </row>
    <row r="81" spans="1:61" x14ac:dyDescent="0.2">
      <c r="A81" s="19"/>
      <c r="C81" t="s">
        <v>471</v>
      </c>
      <c r="D81" s="453"/>
      <c r="E81" s="454"/>
      <c r="F81" s="440"/>
      <c r="G81" s="440"/>
      <c r="H81" s="440"/>
      <c r="I81" s="440"/>
      <c r="J81" s="440"/>
      <c r="K81" s="441"/>
      <c r="L81" s="440"/>
      <c r="M81" s="440"/>
      <c r="N81" s="440"/>
      <c r="O81" s="440"/>
      <c r="P81" s="543"/>
      <c r="Q81" s="543"/>
      <c r="R81" s="543"/>
      <c r="S81" s="543"/>
      <c r="T81" s="543"/>
      <c r="U81" s="543"/>
      <c r="V81" s="543"/>
      <c r="W81" s="543"/>
      <c r="X81" s="543"/>
      <c r="Y81" s="543"/>
      <c r="Z81" s="543"/>
      <c r="AA81" s="543"/>
      <c r="AB81" s="543"/>
      <c r="AC81" s="543"/>
      <c r="AD81" s="440"/>
      <c r="AE81" s="440"/>
      <c r="AF81" s="440"/>
      <c r="AG81" s="440"/>
      <c r="AH81" s="430">
        <f t="shared" ref="AH81" si="56">L81+N81+P81+R81+T81+V81+X81+Z81+AB81+AD81+AF81</f>
        <v>0</v>
      </c>
      <c r="AI81" s="369">
        <f t="shared" ref="AI81" si="57">M81+O81+Q81+S81+U81+W81+Y81+AA81+AC81+AE81+AG81</f>
        <v>0</v>
      </c>
      <c r="AJ81" s="431">
        <f t="shared" ref="AJ81:AK83" si="58">D81+F81+H81+J81+AH81</f>
        <v>0</v>
      </c>
      <c r="AK81" s="443">
        <f t="shared" si="58"/>
        <v>0</v>
      </c>
      <c r="AL81" s="440"/>
      <c r="AM81" s="440"/>
      <c r="AN81" s="431"/>
      <c r="AO81" s="443"/>
      <c r="AP81" s="444" t="str">
        <f>'H. Debt Issues'!D78</f>
        <v>H.1</v>
      </c>
      <c r="AQ81" s="986">
        <f>'H. Debt Issues'!L85</f>
        <v>315000</v>
      </c>
      <c r="AS81" s="444" t="str">
        <f>'H. Debt Issues'!D78</f>
        <v>H.1</v>
      </c>
      <c r="AT81" s="986">
        <f>'H. Debt Issues'!N85</f>
        <v>22500</v>
      </c>
      <c r="AU81" s="445"/>
      <c r="AV81" s="544"/>
      <c r="AY81" s="545"/>
      <c r="AZ81" s="447"/>
      <c r="BA81" s="448"/>
      <c r="BB81" s="395">
        <f>ROUND(AJ81+AL81+AN81+AQ81+AV81+AZ81,0)</f>
        <v>315000</v>
      </c>
      <c r="BC81" s="395">
        <f>ROUND(AK81+AM81+AO81+AT81+AY81+BA81,0)</f>
        <v>22500</v>
      </c>
      <c r="BD81" s="431"/>
      <c r="BE81" s="443"/>
      <c r="BF81" s="367">
        <f>IF(BB81-BC81&lt;=0," ",BB81-BC81)</f>
        <v>292500</v>
      </c>
      <c r="BG81" s="455" t="str">
        <f>IF(BB81-BC81&gt;0," ",BC81-BB81)</f>
        <v xml:space="preserve"> </v>
      </c>
      <c r="BH81" s="937"/>
      <c r="BI81" s="938">
        <f>+BF81+BF82+BF85+BF88+BF90+BF96+BF102</f>
        <v>4988910</v>
      </c>
    </row>
    <row r="82" spans="1:61" x14ac:dyDescent="0.2">
      <c r="A82" s="19"/>
      <c r="C82" s="849" t="s">
        <v>2042</v>
      </c>
      <c r="D82" s="716"/>
      <c r="E82" s="717"/>
      <c r="F82" s="718"/>
      <c r="G82" s="718"/>
      <c r="H82" s="718"/>
      <c r="I82" s="718"/>
      <c r="J82" s="718"/>
      <c r="K82" s="719"/>
      <c r="L82" s="718"/>
      <c r="M82" s="718"/>
      <c r="N82" s="718"/>
      <c r="O82" s="718"/>
      <c r="P82" s="720"/>
      <c r="Q82" s="720"/>
      <c r="R82" s="720"/>
      <c r="S82" s="720"/>
      <c r="T82" s="720"/>
      <c r="U82" s="720"/>
      <c r="V82" s="720"/>
      <c r="W82" s="720"/>
      <c r="X82" s="720"/>
      <c r="Y82" s="720"/>
      <c r="Z82" s="720"/>
      <c r="AA82" s="720"/>
      <c r="AB82" s="720"/>
      <c r="AC82" s="720"/>
      <c r="AD82" s="718"/>
      <c r="AE82" s="718"/>
      <c r="AF82" s="718"/>
      <c r="AG82" s="718"/>
      <c r="AH82" s="461">
        <f t="shared" ref="AH82:AH83" si="59">L82+N82+P82+R82+T82+V82+X82+Z82+AB82+AD82+AF82</f>
        <v>0</v>
      </c>
      <c r="AI82" s="462">
        <f t="shared" ref="AI82:AI83" si="60">M82+O82+Q82+S82+U82+W82+Y82+AA82+AC82+AE82+AG82</f>
        <v>0</v>
      </c>
      <c r="AJ82" s="712">
        <f t="shared" si="58"/>
        <v>0</v>
      </c>
      <c r="AK82" s="713">
        <f t="shared" si="58"/>
        <v>0</v>
      </c>
      <c r="AL82" s="718">
        <f>'N.1 GASB 68 LGERS'!C75*'N.1 GASB 68 LGERS'!C17+'N.2 GASB 68 ROD'!C63*'N.2 GASB 68 ROD'!C16+'O. GASB 73 LEO Entries'!D77</f>
        <v>970422</v>
      </c>
      <c r="AM82" s="718"/>
      <c r="AN82" s="712"/>
      <c r="AO82" s="713"/>
      <c r="AP82" s="723" t="s">
        <v>474</v>
      </c>
      <c r="AQ82" s="724">
        <f>'J. Other Liability &amp; Expenses'!L215</f>
        <v>1221075</v>
      </c>
      <c r="AR82" s="722"/>
      <c r="AS82" s="723" t="s">
        <v>2047</v>
      </c>
      <c r="AT82" s="726">
        <f>'N.1 GASB 68 LGERS'!D114</f>
        <v>950950</v>
      </c>
      <c r="AU82" s="911" t="s">
        <v>634</v>
      </c>
      <c r="AV82" s="724">
        <f>'K.1  Int. Service Fd Allocation'!E174+'K.2  Int. Service Fd Alloca'!E169+'K.3 Int. Service Fd Alloca'!E169</f>
        <v>0</v>
      </c>
      <c r="AW82" s="722"/>
      <c r="AX82" s="723"/>
      <c r="AY82" s="726"/>
      <c r="AZ82" s="447"/>
      <c r="BA82" s="448"/>
      <c r="BB82" s="711">
        <f>ROUND(AJ82+AL82+AN82+AQ82+AV82+AZ82,0)</f>
        <v>2191497</v>
      </c>
      <c r="BC82" s="711">
        <f>ROUND(AK82+AM82+AO82+AT82+AY82+BA82,0)</f>
        <v>950950</v>
      </c>
      <c r="BD82" s="712"/>
      <c r="BE82" s="713"/>
      <c r="BF82" s="711">
        <f>IF(SUM(BB82:BB84)-SUM(BC82:BC84)&lt;=0," ",SUM(BB82:BB84)-SUM(BC82:BC84))</f>
        <v>1242354</v>
      </c>
      <c r="BG82" s="714" t="str">
        <f>IF(SUM(BB82:BB84)-SUM(BC82:BC84)&gt;0," ",SUM(BC82:BC84)-SUM(BB82:BB84))</f>
        <v xml:space="preserve"> </v>
      </c>
      <c r="BH82" s="939"/>
    </row>
    <row r="83" spans="1:61" x14ac:dyDescent="0.2">
      <c r="A83" s="19"/>
      <c r="C83" s="715"/>
      <c r="D83" s="716"/>
      <c r="E83" s="717"/>
      <c r="F83" s="718"/>
      <c r="G83" s="718"/>
      <c r="H83" s="718"/>
      <c r="I83" s="718"/>
      <c r="J83" s="718"/>
      <c r="K83" s="719"/>
      <c r="L83" s="718"/>
      <c r="M83" s="718"/>
      <c r="N83" s="718"/>
      <c r="O83" s="718"/>
      <c r="P83" s="720"/>
      <c r="Q83" s="720"/>
      <c r="R83" s="720"/>
      <c r="S83" s="720"/>
      <c r="T83" s="720"/>
      <c r="U83" s="720"/>
      <c r="V83" s="720"/>
      <c r="W83" s="720"/>
      <c r="X83" s="720"/>
      <c r="Y83" s="720"/>
      <c r="Z83" s="720"/>
      <c r="AA83" s="720"/>
      <c r="AB83" s="720"/>
      <c r="AC83" s="720"/>
      <c r="AD83" s="718"/>
      <c r="AE83" s="718"/>
      <c r="AF83" s="718"/>
      <c r="AG83" s="718"/>
      <c r="AH83" s="461">
        <f t="shared" si="59"/>
        <v>0</v>
      </c>
      <c r="AI83" s="462">
        <f t="shared" si="60"/>
        <v>0</v>
      </c>
      <c r="AJ83" s="712">
        <f t="shared" si="58"/>
        <v>0</v>
      </c>
      <c r="AK83" s="713">
        <f t="shared" si="58"/>
        <v>0</v>
      </c>
      <c r="AL83" s="718"/>
      <c r="AM83" s="718"/>
      <c r="AN83" s="712"/>
      <c r="AO83" s="713"/>
      <c r="AP83" s="723" t="s">
        <v>474</v>
      </c>
      <c r="AQ83" s="724">
        <f>'J. Other Liability &amp; Expenses'!L216</f>
        <v>4000</v>
      </c>
      <c r="AR83" s="722"/>
      <c r="AS83" s="723" t="s">
        <v>2048</v>
      </c>
      <c r="AT83" s="726">
        <f>'N.2 GASB 68 ROD'!D86</f>
        <v>3200</v>
      </c>
      <c r="AU83" s="715"/>
      <c r="AV83" s="715"/>
      <c r="AW83" s="722"/>
      <c r="AX83" s="723"/>
      <c r="AY83" s="726"/>
      <c r="AZ83" s="447"/>
      <c r="BA83" s="448"/>
      <c r="BB83" s="711">
        <f>ROUND(AJ83+AL83+AN83+AQ83+AV85+AZ83,0)</f>
        <v>4000</v>
      </c>
      <c r="BC83" s="711">
        <f t="shared" ref="BC83:BC102" si="61">ROUND(AK83+AM83+AO83+AT83+AY83+BA83,0)</f>
        <v>3200</v>
      </c>
      <c r="BD83" s="712"/>
      <c r="BE83" s="713"/>
      <c r="BF83" s="711"/>
      <c r="BG83" s="714"/>
      <c r="BH83" s="937"/>
    </row>
    <row r="84" spans="1:61" x14ac:dyDescent="0.2">
      <c r="A84" s="19"/>
      <c r="C84" s="715"/>
      <c r="D84" s="716"/>
      <c r="E84" s="717"/>
      <c r="F84" s="718"/>
      <c r="G84" s="718"/>
      <c r="H84" s="718"/>
      <c r="I84" s="718"/>
      <c r="J84" s="718"/>
      <c r="K84" s="719"/>
      <c r="L84" s="718"/>
      <c r="M84" s="718"/>
      <c r="N84" s="718"/>
      <c r="O84" s="718"/>
      <c r="P84" s="720"/>
      <c r="Q84" s="720"/>
      <c r="R84" s="720"/>
      <c r="S84" s="720"/>
      <c r="T84" s="720"/>
      <c r="U84" s="720"/>
      <c r="V84" s="720"/>
      <c r="W84" s="720"/>
      <c r="X84" s="720"/>
      <c r="Y84" s="720"/>
      <c r="Z84" s="720"/>
      <c r="AA84" s="720"/>
      <c r="AB84" s="720"/>
      <c r="AC84" s="720"/>
      <c r="AD84" s="718"/>
      <c r="AE84" s="718"/>
      <c r="AF84" s="718"/>
      <c r="AG84" s="718"/>
      <c r="AH84" s="721"/>
      <c r="AI84" s="722"/>
      <c r="AJ84" s="712"/>
      <c r="AK84" s="713"/>
      <c r="AL84" s="718"/>
      <c r="AM84" s="718"/>
      <c r="AN84" s="712"/>
      <c r="AO84" s="713"/>
      <c r="AP84" s="723" t="s">
        <v>3614</v>
      </c>
      <c r="AQ84" s="724">
        <f>'O. GASB 73 LEO Entries'!C77+'O. GASB 73 LEO Entries'!C78</f>
        <v>17279</v>
      </c>
      <c r="AR84" s="722"/>
      <c r="AS84" s="723" t="s">
        <v>3614</v>
      </c>
      <c r="AT84" s="724">
        <f>'O. GASB 73 LEO Entries'!D77+'O. GASB 73 LEO Entries'!D78</f>
        <v>16272</v>
      </c>
      <c r="AU84" s="725"/>
      <c r="AV84" s="724"/>
      <c r="AW84" s="722"/>
      <c r="AX84" s="723"/>
      <c r="AY84" s="726"/>
      <c r="AZ84" s="447"/>
      <c r="BA84" s="448"/>
      <c r="BB84" s="711">
        <f>ROUND(AJ84+AL84+AN84+AQ84+AV84+AZ84,0)</f>
        <v>17279</v>
      </c>
      <c r="BC84" s="711">
        <f>ROUND(AK84+AM84+AO84+AT84+AY84+BA84,0)</f>
        <v>16272</v>
      </c>
      <c r="BD84" s="712"/>
      <c r="BE84" s="713"/>
      <c r="BF84" s="711"/>
      <c r="BG84" s="714"/>
    </row>
    <row r="85" spans="1:61" x14ac:dyDescent="0.2">
      <c r="A85" s="19"/>
      <c r="C85" s="849" t="s">
        <v>3975</v>
      </c>
      <c r="D85" s="716"/>
      <c r="E85" s="717"/>
      <c r="F85" s="718"/>
      <c r="G85" s="718"/>
      <c r="H85" s="718"/>
      <c r="I85" s="718"/>
      <c r="J85" s="718"/>
      <c r="K85" s="719"/>
      <c r="L85" s="718"/>
      <c r="M85" s="718"/>
      <c r="N85" s="718"/>
      <c r="O85" s="718"/>
      <c r="P85" s="720"/>
      <c r="Q85" s="720"/>
      <c r="R85" s="720"/>
      <c r="S85" s="720"/>
      <c r="T85" s="720"/>
      <c r="U85" s="720"/>
      <c r="V85" s="720"/>
      <c r="W85" s="720"/>
      <c r="X85" s="720"/>
      <c r="Y85" s="720"/>
      <c r="Z85" s="720"/>
      <c r="AA85" s="720"/>
      <c r="AB85" s="720"/>
      <c r="AC85" s="720"/>
      <c r="AD85" s="718"/>
      <c r="AE85" s="718"/>
      <c r="AF85" s="718"/>
      <c r="AG85" s="718"/>
      <c r="AH85" s="461">
        <f t="shared" ref="AH85:AH89" si="62">L85+N85+P85+R85+T85+V85+X85+Z85+AB85+AD85+AF85</f>
        <v>0</v>
      </c>
      <c r="AI85" s="462">
        <f t="shared" ref="AI85:AI89" si="63">M85+O85+Q85+S85+U85+W85+Y85+AA85+AC85+AE85+AG85</f>
        <v>0</v>
      </c>
      <c r="AJ85" s="712">
        <f t="shared" ref="AJ85:AJ98" si="64">D85+F85+H85+J85+AH85</f>
        <v>0</v>
      </c>
      <c r="AK85" s="713">
        <f t="shared" ref="AK85:AK98" si="65">E85+G85+I85+K85+AI85</f>
        <v>0</v>
      </c>
      <c r="AL85" s="724"/>
      <c r="AM85" s="724"/>
      <c r="AN85" s="712"/>
      <c r="AO85" s="713"/>
      <c r="AP85" s="723" t="s">
        <v>4019</v>
      </c>
      <c r="AQ85" s="724">
        <f>'P.1 GASB 75 OPEB  - plan 1'!C138+'P.1 GASB 75 OPEB  - plan 1'!C139</f>
        <v>40850</v>
      </c>
      <c r="AR85" s="722"/>
      <c r="AS85" s="723"/>
      <c r="AT85" s="724"/>
      <c r="AU85" s="725" t="s">
        <v>634</v>
      </c>
      <c r="AV85" s="724">
        <f>'K.1  Int. Service Fd Allocation'!E179+'K.2  Int. Service Fd Alloca'!E174+'K.2  Int. Service Fd Alloca'!E174</f>
        <v>0</v>
      </c>
      <c r="AW85" s="722"/>
      <c r="AX85" s="723"/>
      <c r="AY85" s="726"/>
      <c r="AZ85" s="447"/>
      <c r="BA85" s="448"/>
      <c r="BB85" s="711">
        <f>ROUND(AJ85+AL85+AN85+AQ85+AV85+AZ85,0)</f>
        <v>40850</v>
      </c>
      <c r="BC85" s="711">
        <f>ROUND(AK85+AM85+AO85+AT85+AY85+BA85,0)</f>
        <v>0</v>
      </c>
      <c r="BD85" s="712"/>
      <c r="BE85" s="713"/>
      <c r="BF85" s="711">
        <f>IF(SUM(BB85:BB87)-SUM(BC85:BC87)&lt;=0," ",SUM(BB85:BB87)-SUM(BC85:BC87))</f>
        <v>40850</v>
      </c>
      <c r="BG85" s="714" t="str">
        <f>IF(SUM(BB85:BB87)-SUM(BC85:BC87)&gt;0," ",SUM(BC85:BC87)-SUM(BB85:BB87))</f>
        <v xml:space="preserve"> </v>
      </c>
    </row>
    <row r="86" spans="1:61" x14ac:dyDescent="0.2">
      <c r="A86" s="19"/>
      <c r="C86" s="715"/>
      <c r="D86" s="716"/>
      <c r="E86" s="717"/>
      <c r="F86" s="718"/>
      <c r="G86" s="718"/>
      <c r="H86" s="718"/>
      <c r="I86" s="718"/>
      <c r="J86" s="718"/>
      <c r="K86" s="719"/>
      <c r="L86" s="718"/>
      <c r="M86" s="718"/>
      <c r="N86" s="718"/>
      <c r="O86" s="718"/>
      <c r="P86" s="720"/>
      <c r="Q86" s="720"/>
      <c r="R86" s="720"/>
      <c r="S86" s="720"/>
      <c r="T86" s="720"/>
      <c r="U86" s="720"/>
      <c r="V86" s="720"/>
      <c r="W86" s="720"/>
      <c r="X86" s="720"/>
      <c r="Y86" s="720"/>
      <c r="Z86" s="720"/>
      <c r="AA86" s="720"/>
      <c r="AB86" s="720"/>
      <c r="AC86" s="720"/>
      <c r="AD86" s="718"/>
      <c r="AE86" s="718"/>
      <c r="AF86" s="718"/>
      <c r="AG86" s="718"/>
      <c r="AH86" s="461">
        <f t="shared" si="62"/>
        <v>0</v>
      </c>
      <c r="AI86" s="462">
        <f t="shared" si="63"/>
        <v>0</v>
      </c>
      <c r="AJ86" s="712">
        <f t="shared" si="64"/>
        <v>0</v>
      </c>
      <c r="AK86" s="713">
        <f t="shared" si="65"/>
        <v>0</v>
      </c>
      <c r="AL86" s="724"/>
      <c r="AM86" s="724"/>
      <c r="AN86" s="712"/>
      <c r="AO86" s="713"/>
      <c r="AP86" s="723" t="s">
        <v>4020</v>
      </c>
      <c r="AQ86" s="724">
        <f>'P.2 GASB 75 OPEB - plan 2'!C138+'P.2 GASB 75 OPEB - plan 2'!C139</f>
        <v>0</v>
      </c>
      <c r="AR86" s="722"/>
      <c r="AS86" s="723"/>
      <c r="AT86" s="724"/>
      <c r="AU86" s="725"/>
      <c r="AV86" s="724"/>
      <c r="AW86" s="722"/>
      <c r="AX86" s="723"/>
      <c r="AY86" s="726"/>
      <c r="AZ86" s="447"/>
      <c r="BA86" s="448"/>
      <c r="BB86" s="711">
        <f t="shared" ref="BB86:BB87" si="66">ROUND(AJ86+AL86+AN86+AQ86+AV86+AZ86,0)</f>
        <v>0</v>
      </c>
      <c r="BC86" s="711">
        <f t="shared" ref="BC86:BC87" si="67">ROUND(AK86+AM86+AO86+AT86+AY86+BA86,0)</f>
        <v>0</v>
      </c>
      <c r="BD86" s="712"/>
      <c r="BE86" s="713"/>
      <c r="BF86" s="711"/>
      <c r="BG86" s="714"/>
    </row>
    <row r="87" spans="1:61" x14ac:dyDescent="0.2">
      <c r="A87" s="19"/>
      <c r="C87" s="715"/>
      <c r="D87" s="716"/>
      <c r="E87" s="717"/>
      <c r="F87" s="718"/>
      <c r="G87" s="718"/>
      <c r="H87" s="718"/>
      <c r="I87" s="718"/>
      <c r="J87" s="718"/>
      <c r="K87" s="719"/>
      <c r="L87" s="718"/>
      <c r="M87" s="718"/>
      <c r="N87" s="718"/>
      <c r="O87" s="718"/>
      <c r="P87" s="720"/>
      <c r="Q87" s="720"/>
      <c r="R87" s="720"/>
      <c r="S87" s="720"/>
      <c r="T87" s="720"/>
      <c r="U87" s="720"/>
      <c r="V87" s="720"/>
      <c r="W87" s="720"/>
      <c r="X87" s="720"/>
      <c r="Y87" s="720"/>
      <c r="Z87" s="720"/>
      <c r="AA87" s="720"/>
      <c r="AB87" s="720"/>
      <c r="AC87" s="720"/>
      <c r="AD87" s="718"/>
      <c r="AE87" s="718"/>
      <c r="AF87" s="718"/>
      <c r="AG87" s="718"/>
      <c r="AH87" s="461">
        <f t="shared" si="62"/>
        <v>0</v>
      </c>
      <c r="AI87" s="462">
        <f t="shared" si="63"/>
        <v>0</v>
      </c>
      <c r="AJ87" s="712">
        <f t="shared" si="64"/>
        <v>0</v>
      </c>
      <c r="AK87" s="713">
        <f t="shared" si="65"/>
        <v>0</v>
      </c>
      <c r="AL87" s="724"/>
      <c r="AM87" s="724"/>
      <c r="AN87" s="712"/>
      <c r="AO87" s="713"/>
      <c r="AP87" s="723" t="s">
        <v>4021</v>
      </c>
      <c r="AQ87" s="724">
        <f>'P.3 GASB 75 OPEB - plan 3'!C138+'P.3 GASB 75 OPEB - plan 3'!C139</f>
        <v>0</v>
      </c>
      <c r="AR87" s="722"/>
      <c r="AS87" s="723"/>
      <c r="AT87" s="724"/>
      <c r="AU87" s="725"/>
      <c r="AV87" s="724"/>
      <c r="AW87" s="722"/>
      <c r="AX87" s="723"/>
      <c r="AY87" s="726"/>
      <c r="AZ87" s="447"/>
      <c r="BA87" s="448"/>
      <c r="BB87" s="711">
        <f t="shared" si="66"/>
        <v>0</v>
      </c>
      <c r="BC87" s="711">
        <f t="shared" si="67"/>
        <v>0</v>
      </c>
      <c r="BD87" s="712"/>
      <c r="BE87" s="713"/>
      <c r="BF87" s="711"/>
      <c r="BG87" s="714"/>
    </row>
    <row r="88" spans="1:61" ht="38.25" x14ac:dyDescent="0.2">
      <c r="A88" s="19"/>
      <c r="C88" s="590" t="s">
        <v>4013</v>
      </c>
      <c r="D88" s="453"/>
      <c r="E88" s="454"/>
      <c r="F88" s="440"/>
      <c r="G88" s="440"/>
      <c r="H88" s="440"/>
      <c r="I88" s="440"/>
      <c r="J88" s="440"/>
      <c r="K88" s="441"/>
      <c r="L88" s="440"/>
      <c r="M88" s="440"/>
      <c r="N88" s="440"/>
      <c r="O88" s="440"/>
      <c r="P88" s="543"/>
      <c r="Q88" s="543"/>
      <c r="R88" s="543"/>
      <c r="S88" s="543"/>
      <c r="T88" s="543"/>
      <c r="U88" s="543"/>
      <c r="V88" s="543"/>
      <c r="W88" s="543"/>
      <c r="X88" s="543"/>
      <c r="Y88" s="543"/>
      <c r="Z88" s="543"/>
      <c r="AA88" s="543"/>
      <c r="AB88" s="543"/>
      <c r="AC88" s="543"/>
      <c r="AD88" s="440"/>
      <c r="AE88" s="440"/>
      <c r="AF88" s="440"/>
      <c r="AG88" s="440"/>
      <c r="AH88" s="430">
        <f t="shared" si="62"/>
        <v>0</v>
      </c>
      <c r="AI88" s="369">
        <f t="shared" si="63"/>
        <v>0</v>
      </c>
      <c r="AJ88" s="431">
        <f t="shared" si="64"/>
        <v>0</v>
      </c>
      <c r="AK88" s="443">
        <f t="shared" si="65"/>
        <v>0</v>
      </c>
      <c r="AL88" s="440">
        <f>'N.1 GASB 68 LGERS'!C75*'N.1 GASB 68 LGERS'!M39+'N.2 GASB 68 ROD'!C63*'N.2 GASB 68 ROD'!M28</f>
        <v>124664</v>
      </c>
      <c r="AM88" s="440"/>
      <c r="AN88" s="431"/>
      <c r="AO88" s="443"/>
      <c r="AP88" s="444" t="s">
        <v>2047</v>
      </c>
      <c r="AQ88" s="544">
        <f>'N.1 GASB 68 LGERS'!C109</f>
        <v>0</v>
      </c>
      <c r="AS88" s="444" t="s">
        <v>2047</v>
      </c>
      <c r="AT88" s="544">
        <f>'N.1 GASB 68 LGERS'!D109</f>
        <v>43764</v>
      </c>
      <c r="AU88" s="473" t="s">
        <v>634</v>
      </c>
      <c r="AV88" s="544">
        <f>'K.1  Int. Service Fd Allocation'!E175+'K.2  Int. Service Fd Alloca'!E170+'K.3 Int. Service Fd Alloca'!E170</f>
        <v>0</v>
      </c>
      <c r="AY88" s="545"/>
      <c r="AZ88" s="447"/>
      <c r="BA88" s="448"/>
      <c r="BB88" s="395">
        <f t="shared" ref="BB88:BB102" si="68">ROUND(AJ88+AL88+AN88+AQ88+AV88+AZ88,0)</f>
        <v>124664</v>
      </c>
      <c r="BC88" s="395">
        <f t="shared" si="61"/>
        <v>43764</v>
      </c>
      <c r="BD88" s="431"/>
      <c r="BE88" s="443"/>
      <c r="BF88" s="367">
        <f>IF(SUM(BB88:BB89)-SUM(BC88:BC89)&lt;=0," ",SUM(BB88:BB89)-SUM(BC88:BC89))</f>
        <v>80513</v>
      </c>
      <c r="BG88" s="455" t="str">
        <f>IF(SUM(BB88:BB89)-SUM(BC88:BC89)&gt;0," ",SUM(BC88:BC89)-SUM(BB88:BB89))</f>
        <v xml:space="preserve"> </v>
      </c>
    </row>
    <row r="89" spans="1:61" x14ac:dyDescent="0.2">
      <c r="A89" s="19"/>
      <c r="C89" s="24"/>
      <c r="D89" s="453"/>
      <c r="E89" s="454"/>
      <c r="F89" s="440"/>
      <c r="G89" s="440"/>
      <c r="H89" s="440"/>
      <c r="I89" s="440"/>
      <c r="J89" s="440"/>
      <c r="K89" s="441"/>
      <c r="L89" s="440"/>
      <c r="M89" s="440"/>
      <c r="N89" s="440"/>
      <c r="O89" s="440"/>
      <c r="P89" s="543"/>
      <c r="Q89" s="543"/>
      <c r="R89" s="543"/>
      <c r="S89" s="543"/>
      <c r="T89" s="543"/>
      <c r="U89" s="543"/>
      <c r="V89" s="543"/>
      <c r="W89" s="543"/>
      <c r="X89" s="543"/>
      <c r="Y89" s="543"/>
      <c r="Z89" s="543"/>
      <c r="AA89" s="543"/>
      <c r="AB89" s="543"/>
      <c r="AC89" s="543"/>
      <c r="AD89" s="440"/>
      <c r="AE89" s="440"/>
      <c r="AF89" s="440"/>
      <c r="AG89" s="440"/>
      <c r="AH89" s="430">
        <f t="shared" si="62"/>
        <v>0</v>
      </c>
      <c r="AI89" s="369">
        <f t="shared" si="63"/>
        <v>0</v>
      </c>
      <c r="AJ89" s="431">
        <f t="shared" si="64"/>
        <v>0</v>
      </c>
      <c r="AK89" s="443">
        <f t="shared" si="65"/>
        <v>0</v>
      </c>
      <c r="AL89" s="440"/>
      <c r="AM89" s="440"/>
      <c r="AN89" s="431"/>
      <c r="AO89" s="443"/>
      <c r="AP89" s="444" t="s">
        <v>2048</v>
      </c>
      <c r="AQ89" s="544">
        <f>'N.2 GASB 68 ROD'!C81</f>
        <v>0</v>
      </c>
      <c r="AS89" s="444" t="s">
        <v>2048</v>
      </c>
      <c r="AT89" s="544">
        <f>'N.2 GASB 68 ROD'!D81</f>
        <v>387</v>
      </c>
      <c r="AU89" s="473"/>
      <c r="AV89" s="544"/>
      <c r="AY89" s="545"/>
      <c r="AZ89" s="447"/>
      <c r="BA89" s="448"/>
      <c r="BB89" s="395">
        <f t="shared" si="68"/>
        <v>0</v>
      </c>
      <c r="BC89" s="395">
        <f t="shared" si="61"/>
        <v>387</v>
      </c>
      <c r="BD89" s="431"/>
      <c r="BE89" s="443"/>
      <c r="BF89" s="367"/>
      <c r="BG89" s="455"/>
    </row>
    <row r="90" spans="1:61" ht="25.5" x14ac:dyDescent="0.2">
      <c r="A90" s="19"/>
      <c r="C90" s="850" t="s">
        <v>4015</v>
      </c>
      <c r="D90" s="716"/>
      <c r="E90" s="717"/>
      <c r="F90" s="718"/>
      <c r="G90" s="718"/>
      <c r="H90" s="718"/>
      <c r="I90" s="718"/>
      <c r="J90" s="718"/>
      <c r="K90" s="719"/>
      <c r="L90" s="718"/>
      <c r="M90" s="718"/>
      <c r="N90" s="718"/>
      <c r="O90" s="718"/>
      <c r="P90" s="720"/>
      <c r="Q90" s="720"/>
      <c r="R90" s="720"/>
      <c r="S90" s="720"/>
      <c r="T90" s="720"/>
      <c r="U90" s="720"/>
      <c r="V90" s="720"/>
      <c r="W90" s="720"/>
      <c r="X90" s="720"/>
      <c r="Y90" s="720"/>
      <c r="Z90" s="720"/>
      <c r="AA90" s="720"/>
      <c r="AB90" s="720"/>
      <c r="AC90" s="720"/>
      <c r="AD90" s="718"/>
      <c r="AE90" s="718"/>
      <c r="AF90" s="718"/>
      <c r="AG90" s="718"/>
      <c r="AH90" s="721">
        <f t="shared" ref="AH90:AH92" si="69">L90+N90+P90+X90+Z90+AB90+AD90+AF90</f>
        <v>0</v>
      </c>
      <c r="AI90" s="722">
        <f t="shared" ref="AI90:AI92" si="70">M90+O90+Q90+Y90+AA90+AC90+AE90+AG90</f>
        <v>0</v>
      </c>
      <c r="AJ90" s="712">
        <f t="shared" si="64"/>
        <v>0</v>
      </c>
      <c r="AK90" s="713">
        <f t="shared" si="65"/>
        <v>0</v>
      </c>
      <c r="AL90" s="718">
        <f>'N.1 GASB 68 LGERS'!C75*'N.1 GASB 68 LGERS'!J39+'N.2 GASB 68 ROD'!C63*'N.2 GASB 68 ROD'!J28+'O. GASB 73 LEO Entries'!D19</f>
        <v>233287</v>
      </c>
      <c r="AM90" s="718"/>
      <c r="AN90" s="712"/>
      <c r="AO90" s="713"/>
      <c r="AP90" s="723" t="s">
        <v>2047</v>
      </c>
      <c r="AQ90" s="724">
        <f>'N.1 GASB 68 LGERS'!C106</f>
        <v>693169</v>
      </c>
      <c r="AR90" s="722"/>
      <c r="AS90" s="723" t="s">
        <v>2047</v>
      </c>
      <c r="AT90" s="724">
        <f>'N.1 GASB 68 LGERS'!D106</f>
        <v>0</v>
      </c>
      <c r="AU90" s="725" t="s">
        <v>634</v>
      </c>
      <c r="AV90" s="724">
        <f>'K.1  Int. Service Fd Allocation'!E176+'K.2  Int. Service Fd Alloca'!E171+'K.3 Int. Service Fd Alloca'!E171</f>
        <v>0</v>
      </c>
      <c r="AW90" s="722"/>
      <c r="AX90" s="723"/>
      <c r="AY90" s="726"/>
      <c r="AZ90" s="447"/>
      <c r="BA90" s="448"/>
      <c r="BB90" s="711">
        <f t="shared" si="68"/>
        <v>926456</v>
      </c>
      <c r="BC90" s="711">
        <f t="shared" si="61"/>
        <v>0</v>
      </c>
      <c r="BD90" s="712"/>
      <c r="BE90" s="713"/>
      <c r="BF90" s="711">
        <f>IF(SUM(BB90:BB92)-SUM(BC90:BC92)&lt;=0," ",SUM(BB90:BB92)-SUM(BC90:BC92))</f>
        <v>924232</v>
      </c>
      <c r="BG90" s="714" t="str">
        <f>IF(SUM(BB90:BB92)-SUM(BC90:BC92)&gt;0," ",SUM(BC90:BC92)-SUM(BB90:BB92))</f>
        <v xml:space="preserve"> </v>
      </c>
    </row>
    <row r="91" spans="1:61" x14ac:dyDescent="0.2">
      <c r="A91" s="19"/>
      <c r="C91" s="727"/>
      <c r="D91" s="716"/>
      <c r="E91" s="717"/>
      <c r="F91" s="718"/>
      <c r="G91" s="718"/>
      <c r="H91" s="718"/>
      <c r="I91" s="718"/>
      <c r="J91" s="718"/>
      <c r="K91" s="719"/>
      <c r="L91" s="718"/>
      <c r="M91" s="718"/>
      <c r="N91" s="718"/>
      <c r="O91" s="718"/>
      <c r="P91" s="720"/>
      <c r="Q91" s="720"/>
      <c r="R91" s="720"/>
      <c r="S91" s="720"/>
      <c r="T91" s="720"/>
      <c r="U91" s="720"/>
      <c r="V91" s="720"/>
      <c r="W91" s="720"/>
      <c r="X91" s="720"/>
      <c r="Y91" s="720"/>
      <c r="Z91" s="720"/>
      <c r="AA91" s="720"/>
      <c r="AB91" s="720"/>
      <c r="AC91" s="720"/>
      <c r="AD91" s="718"/>
      <c r="AE91" s="718"/>
      <c r="AF91" s="718"/>
      <c r="AG91" s="718"/>
      <c r="AH91" s="721">
        <f t="shared" si="69"/>
        <v>0</v>
      </c>
      <c r="AI91" s="722">
        <f t="shared" si="70"/>
        <v>0</v>
      </c>
      <c r="AJ91" s="712">
        <f t="shared" si="64"/>
        <v>0</v>
      </c>
      <c r="AK91" s="713">
        <f t="shared" si="65"/>
        <v>0</v>
      </c>
      <c r="AL91" s="718"/>
      <c r="AM91" s="718"/>
      <c r="AN91" s="712"/>
      <c r="AO91" s="713"/>
      <c r="AP91" s="723" t="s">
        <v>2048</v>
      </c>
      <c r="AQ91" s="724">
        <f>'N.2 GASB 68 ROD'!C78</f>
        <v>0</v>
      </c>
      <c r="AR91" s="722"/>
      <c r="AS91" s="723" t="s">
        <v>2048</v>
      </c>
      <c r="AT91" s="724">
        <f>'N.2 GASB 68 ROD'!D78</f>
        <v>664</v>
      </c>
      <c r="AU91" s="725"/>
      <c r="AV91" s="724"/>
      <c r="AW91" s="722"/>
      <c r="AX91" s="723"/>
      <c r="AY91" s="726"/>
      <c r="AZ91" s="447"/>
      <c r="BA91" s="448"/>
      <c r="BB91" s="711">
        <f t="shared" si="68"/>
        <v>0</v>
      </c>
      <c r="BC91" s="711">
        <f t="shared" si="61"/>
        <v>664</v>
      </c>
      <c r="BD91" s="712"/>
      <c r="BE91" s="713"/>
      <c r="BF91" s="711"/>
      <c r="BG91" s="714"/>
    </row>
    <row r="92" spans="1:61" x14ac:dyDescent="0.2">
      <c r="A92" s="19"/>
      <c r="C92" s="727"/>
      <c r="D92" s="716"/>
      <c r="E92" s="717"/>
      <c r="F92" s="718"/>
      <c r="G92" s="718"/>
      <c r="H92" s="718"/>
      <c r="I92" s="718"/>
      <c r="J92" s="718"/>
      <c r="K92" s="719"/>
      <c r="L92" s="718"/>
      <c r="M92" s="718"/>
      <c r="N92" s="718"/>
      <c r="O92" s="718"/>
      <c r="P92" s="720"/>
      <c r="Q92" s="720"/>
      <c r="R92" s="720"/>
      <c r="S92" s="720"/>
      <c r="T92" s="720"/>
      <c r="U92" s="720"/>
      <c r="V92" s="720"/>
      <c r="W92" s="720"/>
      <c r="X92" s="720"/>
      <c r="Y92" s="720"/>
      <c r="Z92" s="720"/>
      <c r="AA92" s="720"/>
      <c r="AB92" s="720"/>
      <c r="AC92" s="720"/>
      <c r="AD92" s="718"/>
      <c r="AE92" s="718"/>
      <c r="AF92" s="718"/>
      <c r="AG92" s="718"/>
      <c r="AH92" s="721">
        <f t="shared" si="69"/>
        <v>0</v>
      </c>
      <c r="AI92" s="722">
        <f t="shared" si="70"/>
        <v>0</v>
      </c>
      <c r="AJ92" s="712">
        <f t="shared" si="64"/>
        <v>0</v>
      </c>
      <c r="AK92" s="713">
        <f t="shared" si="65"/>
        <v>0</v>
      </c>
      <c r="AL92" s="718"/>
      <c r="AM92" s="718"/>
      <c r="AN92" s="712"/>
      <c r="AO92" s="713"/>
      <c r="AP92" s="723" t="s">
        <v>3614</v>
      </c>
      <c r="AQ92" s="724">
        <f>'O. GASB 73 LEO Entries'!C73</f>
        <v>0</v>
      </c>
      <c r="AR92" s="722"/>
      <c r="AS92" s="723" t="s">
        <v>3614</v>
      </c>
      <c r="AT92" s="724">
        <f>'O. GASB 73 LEO Entries'!D73</f>
        <v>1560</v>
      </c>
      <c r="AU92" s="725"/>
      <c r="AV92" s="724"/>
      <c r="AW92" s="722"/>
      <c r="AX92" s="723"/>
      <c r="AY92" s="726"/>
      <c r="AZ92" s="447"/>
      <c r="BA92" s="448"/>
      <c r="BB92" s="711">
        <f t="shared" si="68"/>
        <v>0</v>
      </c>
      <c r="BC92" s="711">
        <f t="shared" si="61"/>
        <v>1560</v>
      </c>
      <c r="BD92" s="712"/>
      <c r="BE92" s="713"/>
      <c r="BF92" s="711"/>
      <c r="BG92" s="714"/>
    </row>
    <row r="93" spans="1:61" ht="25.5" x14ac:dyDescent="0.2">
      <c r="A93" s="19"/>
      <c r="C93" s="850" t="s">
        <v>4014</v>
      </c>
      <c r="D93" s="716"/>
      <c r="E93" s="717"/>
      <c r="F93" s="718"/>
      <c r="G93" s="718"/>
      <c r="H93" s="718"/>
      <c r="I93" s="718"/>
      <c r="J93" s="718"/>
      <c r="K93" s="719"/>
      <c r="L93" s="718"/>
      <c r="M93" s="718"/>
      <c r="N93" s="718"/>
      <c r="O93" s="718"/>
      <c r="P93" s="720"/>
      <c r="Q93" s="720"/>
      <c r="R93" s="720"/>
      <c r="S93" s="720"/>
      <c r="T93" s="720"/>
      <c r="U93" s="720"/>
      <c r="V93" s="720"/>
      <c r="W93" s="720"/>
      <c r="X93" s="720"/>
      <c r="Y93" s="720"/>
      <c r="Z93" s="720"/>
      <c r="AA93" s="720"/>
      <c r="AB93" s="720"/>
      <c r="AC93" s="720"/>
      <c r="AD93" s="718"/>
      <c r="AE93" s="718"/>
      <c r="AF93" s="718"/>
      <c r="AG93" s="718"/>
      <c r="AH93" s="721">
        <f t="shared" ref="AH93" si="71">L93+N93+P93+X93+Z93+AB93+AD93+AF93</f>
        <v>0</v>
      </c>
      <c r="AI93" s="722">
        <f t="shared" ref="AI93" si="72">M93+O93+Q93+Y93+AA93+AC93+AE93+AG93</f>
        <v>0</v>
      </c>
      <c r="AJ93" s="712">
        <f t="shared" si="64"/>
        <v>0</v>
      </c>
      <c r="AK93" s="713">
        <f t="shared" si="65"/>
        <v>0</v>
      </c>
      <c r="AL93" s="724"/>
      <c r="AM93" s="724"/>
      <c r="AN93" s="712"/>
      <c r="AO93" s="713"/>
      <c r="AP93" s="723" t="s">
        <v>4019</v>
      </c>
      <c r="AQ93" s="724">
        <f>'P.1 GASB 75 OPEB  - plan 1'!C132</f>
        <v>0</v>
      </c>
      <c r="AR93" s="722"/>
      <c r="AS93" s="723"/>
      <c r="AT93" s="724"/>
      <c r="AU93" s="725" t="s">
        <v>634</v>
      </c>
      <c r="AV93" s="724">
        <f>'K.1  Int. Service Fd Allocation'!E180+'K.2  Int. Service Fd Alloca'!E175+'K.3 Int. Service Fd Alloca'!E175</f>
        <v>0</v>
      </c>
      <c r="AW93" s="722"/>
      <c r="AX93" s="723"/>
      <c r="AY93" s="726"/>
      <c r="AZ93" s="447"/>
      <c r="BA93" s="448"/>
      <c r="BB93" s="711">
        <f t="shared" ref="BB93:BB95" si="73">ROUND(AJ93+AL93+AN93+AQ93+AV93+AZ93,0)</f>
        <v>0</v>
      </c>
      <c r="BC93" s="711">
        <f t="shared" ref="BC93:BC95" si="74">ROUND(AK93+AM93+AO93+AT93+AY93+BA93,0)</f>
        <v>0</v>
      </c>
      <c r="BD93" s="712"/>
      <c r="BE93" s="713"/>
      <c r="BF93" s="711" t="str">
        <f>IF(SUM(BB93:BB95)-SUM(BC93:BC95)&lt;=0," ",SUM(BB93:BB95)-SUM(BC93:BC95))</f>
        <v xml:space="preserve"> </v>
      </c>
      <c r="BG93" s="714">
        <f>IF(SUM(BB93:BB95)-SUM(BC93:BC95)&gt;0," ",SUM(BC93:BC95)-SUM(BB93:BB95))</f>
        <v>0</v>
      </c>
    </row>
    <row r="94" spans="1:61" x14ac:dyDescent="0.2">
      <c r="A94" s="19"/>
      <c r="C94" s="727"/>
      <c r="D94" s="716"/>
      <c r="E94" s="717"/>
      <c r="F94" s="718"/>
      <c r="G94" s="718"/>
      <c r="H94" s="718"/>
      <c r="I94" s="718"/>
      <c r="J94" s="718"/>
      <c r="K94" s="719"/>
      <c r="L94" s="718"/>
      <c r="M94" s="718"/>
      <c r="N94" s="718"/>
      <c r="O94" s="718"/>
      <c r="P94" s="720"/>
      <c r="Q94" s="720"/>
      <c r="R94" s="720"/>
      <c r="S94" s="720"/>
      <c r="T94" s="720"/>
      <c r="U94" s="720"/>
      <c r="V94" s="720"/>
      <c r="W94" s="720"/>
      <c r="X94" s="720"/>
      <c r="Y94" s="720"/>
      <c r="Z94" s="720"/>
      <c r="AA94" s="720"/>
      <c r="AB94" s="720"/>
      <c r="AC94" s="720"/>
      <c r="AD94" s="718"/>
      <c r="AE94" s="718"/>
      <c r="AF94" s="718"/>
      <c r="AG94" s="718"/>
      <c r="AH94" s="721">
        <f t="shared" ref="AH94:AH95" si="75">L94+N94+P94+X94+Z94+AB94+AD94+AF94</f>
        <v>0</v>
      </c>
      <c r="AI94" s="722">
        <f t="shared" ref="AI94:AI95" si="76">M94+O94+Q94+Y94+AA94+AC94+AE94+AG94</f>
        <v>0</v>
      </c>
      <c r="AJ94" s="712">
        <f t="shared" si="64"/>
        <v>0</v>
      </c>
      <c r="AK94" s="713">
        <f t="shared" si="65"/>
        <v>0</v>
      </c>
      <c r="AL94" s="724"/>
      <c r="AM94" s="724"/>
      <c r="AN94" s="712"/>
      <c r="AO94" s="713"/>
      <c r="AP94" s="723" t="s">
        <v>4020</v>
      </c>
      <c r="AQ94" s="724">
        <f>'P.2 GASB 75 OPEB - plan 2'!C132</f>
        <v>0</v>
      </c>
      <c r="AR94" s="722"/>
      <c r="AS94" s="723"/>
      <c r="AT94" s="724"/>
      <c r="AU94" s="725"/>
      <c r="AV94" s="724"/>
      <c r="AW94" s="722"/>
      <c r="AX94" s="723"/>
      <c r="AY94" s="726"/>
      <c r="AZ94" s="447"/>
      <c r="BA94" s="448"/>
      <c r="BB94" s="711">
        <f t="shared" si="73"/>
        <v>0</v>
      </c>
      <c r="BC94" s="711">
        <f t="shared" si="74"/>
        <v>0</v>
      </c>
      <c r="BD94" s="712"/>
      <c r="BE94" s="713"/>
      <c r="BF94" s="711"/>
      <c r="BG94" s="714"/>
    </row>
    <row r="95" spans="1:61" x14ac:dyDescent="0.2">
      <c r="A95" s="19"/>
      <c r="C95" s="727"/>
      <c r="D95" s="716"/>
      <c r="E95" s="717"/>
      <c r="F95" s="718"/>
      <c r="G95" s="718"/>
      <c r="H95" s="718"/>
      <c r="I95" s="718"/>
      <c r="J95" s="718"/>
      <c r="K95" s="719"/>
      <c r="L95" s="718"/>
      <c r="M95" s="718"/>
      <c r="N95" s="718"/>
      <c r="O95" s="718"/>
      <c r="P95" s="720"/>
      <c r="Q95" s="720"/>
      <c r="R95" s="720"/>
      <c r="S95" s="720"/>
      <c r="T95" s="720"/>
      <c r="U95" s="720"/>
      <c r="V95" s="720"/>
      <c r="W95" s="720"/>
      <c r="X95" s="720"/>
      <c r="Y95" s="720"/>
      <c r="Z95" s="720"/>
      <c r="AA95" s="720"/>
      <c r="AB95" s="720"/>
      <c r="AC95" s="720"/>
      <c r="AD95" s="718"/>
      <c r="AE95" s="718"/>
      <c r="AF95" s="718"/>
      <c r="AG95" s="718"/>
      <c r="AH95" s="721">
        <f t="shared" si="75"/>
        <v>0</v>
      </c>
      <c r="AI95" s="722">
        <f t="shared" si="76"/>
        <v>0</v>
      </c>
      <c r="AJ95" s="712">
        <f t="shared" si="64"/>
        <v>0</v>
      </c>
      <c r="AK95" s="713">
        <f t="shared" si="65"/>
        <v>0</v>
      </c>
      <c r="AL95" s="724"/>
      <c r="AM95" s="724"/>
      <c r="AN95" s="712"/>
      <c r="AO95" s="713"/>
      <c r="AP95" s="723" t="s">
        <v>4021</v>
      </c>
      <c r="AQ95" s="724">
        <f>'P.3 GASB 75 OPEB - plan 3'!C132</f>
        <v>0</v>
      </c>
      <c r="AR95" s="722"/>
      <c r="AS95" s="723"/>
      <c r="AT95" s="724"/>
      <c r="AU95" s="725"/>
      <c r="AV95" s="724"/>
      <c r="AW95" s="722"/>
      <c r="AX95" s="723"/>
      <c r="AY95" s="726"/>
      <c r="AZ95" s="447"/>
      <c r="BA95" s="448"/>
      <c r="BB95" s="711">
        <f t="shared" si="73"/>
        <v>0</v>
      </c>
      <c r="BC95" s="711">
        <f t="shared" si="74"/>
        <v>0</v>
      </c>
      <c r="BD95" s="712"/>
      <c r="BE95" s="713"/>
      <c r="BF95" s="711"/>
      <c r="BG95" s="714"/>
    </row>
    <row r="96" spans="1:61" x14ac:dyDescent="0.2">
      <c r="A96" s="19"/>
      <c r="C96" s="590" t="s">
        <v>4016</v>
      </c>
      <c r="D96" s="453"/>
      <c r="E96" s="454"/>
      <c r="F96" s="440"/>
      <c r="G96" s="440"/>
      <c r="H96" s="440"/>
      <c r="I96" s="440"/>
      <c r="J96" s="440"/>
      <c r="K96" s="441"/>
      <c r="L96" s="440"/>
      <c r="M96" s="440"/>
      <c r="N96" s="440"/>
      <c r="O96" s="440"/>
      <c r="P96" s="543"/>
      <c r="Q96" s="543"/>
      <c r="R96" s="543"/>
      <c r="S96" s="543"/>
      <c r="T96" s="543"/>
      <c r="U96" s="543"/>
      <c r="V96" s="543"/>
      <c r="W96" s="543"/>
      <c r="X96" s="543"/>
      <c r="Y96" s="543"/>
      <c r="Z96" s="543"/>
      <c r="AA96" s="543"/>
      <c r="AB96" s="543"/>
      <c r="AC96" s="543"/>
      <c r="AD96" s="440"/>
      <c r="AE96" s="440"/>
      <c r="AF96" s="440"/>
      <c r="AG96" s="440"/>
      <c r="AH96" s="430">
        <f t="shared" ref="AH96:AH98" si="77">L96+N96+P96+R96+T96+V96+X96+Z96+AB96+AD96+AF96</f>
        <v>0</v>
      </c>
      <c r="AI96" s="369">
        <f t="shared" ref="AI96:AI98" si="78">M96+O96+Q96+S96+U96+W96+Y96+AA96+AC96+AE96+AG96</f>
        <v>0</v>
      </c>
      <c r="AJ96" s="431">
        <f t="shared" si="64"/>
        <v>0</v>
      </c>
      <c r="AK96" s="443">
        <f t="shared" si="65"/>
        <v>0</v>
      </c>
      <c r="AL96" s="440">
        <f>'N.1 GASB 68 LGERS'!C75*'N.1 GASB 68 LGERS'!L39+'N.2 GASB 68 ROD'!C63*'N.2 GASB 68 ROD'!L28+3711</f>
        <v>567768</v>
      </c>
      <c r="AM96" s="440"/>
      <c r="AN96" s="431"/>
      <c r="AO96" s="443"/>
      <c r="AP96" s="444" t="s">
        <v>2047</v>
      </c>
      <c r="AQ96" s="544">
        <f>'N.1 GASB 68 LGERS'!C108</f>
        <v>1023603</v>
      </c>
      <c r="AS96" s="444" t="s">
        <v>2047</v>
      </c>
      <c r="AT96" s="544">
        <f>'N.1 GASB 68 LGERS'!D108</f>
        <v>0</v>
      </c>
      <c r="AU96" s="473" t="s">
        <v>634</v>
      </c>
      <c r="AV96" s="544">
        <f>'K.1  Int. Service Fd Allocation'!E177+'K.2  Int. Service Fd Alloca'!E172+'K.3 Int. Service Fd Alloca'!E172</f>
        <v>0</v>
      </c>
      <c r="AY96" s="545"/>
      <c r="AZ96" s="447"/>
      <c r="BA96" s="448"/>
      <c r="BB96" s="395">
        <f t="shared" si="68"/>
        <v>1591371</v>
      </c>
      <c r="BC96" s="395">
        <f t="shared" si="61"/>
        <v>0</v>
      </c>
      <c r="BD96" s="431"/>
      <c r="BE96" s="443"/>
      <c r="BF96" s="367">
        <f>IF(SUM(BB96:BB98)-SUM(BC96:BC98)&lt;=0," ",SUM(BB96:BB98)-SUM(BC96:BC98))</f>
        <v>1581837</v>
      </c>
      <c r="BG96" s="455" t="str">
        <f>IF(SUM(BB96:BB98)-SUM(BC96:BC98)&gt;0," ",SUM(BC96:BC98)-SUM(BB96:BB98))</f>
        <v xml:space="preserve"> </v>
      </c>
      <c r="BH96" s="936">
        <f>1574550+3576</f>
        <v>1578126</v>
      </c>
    </row>
    <row r="97" spans="1:63" x14ac:dyDescent="0.2">
      <c r="A97" s="19"/>
      <c r="C97" s="24"/>
      <c r="D97" s="453"/>
      <c r="E97" s="454"/>
      <c r="F97" s="440"/>
      <c r="G97" s="440"/>
      <c r="H97" s="440"/>
      <c r="I97" s="440"/>
      <c r="J97" s="440"/>
      <c r="K97" s="441"/>
      <c r="L97" s="440"/>
      <c r="M97" s="440"/>
      <c r="N97" s="440"/>
      <c r="O97" s="440"/>
      <c r="P97" s="543"/>
      <c r="Q97" s="543"/>
      <c r="R97" s="543"/>
      <c r="S97" s="543"/>
      <c r="T97" s="543"/>
      <c r="U97" s="543"/>
      <c r="V97" s="543"/>
      <c r="W97" s="543"/>
      <c r="X97" s="543"/>
      <c r="Y97" s="543"/>
      <c r="Z97" s="543"/>
      <c r="AA97" s="543"/>
      <c r="AB97" s="543"/>
      <c r="AC97" s="543"/>
      <c r="AD97" s="440"/>
      <c r="AE97" s="440"/>
      <c r="AF97" s="440"/>
      <c r="AG97" s="440"/>
      <c r="AH97" s="430">
        <f t="shared" si="77"/>
        <v>0</v>
      </c>
      <c r="AI97" s="369">
        <f t="shared" si="78"/>
        <v>0</v>
      </c>
      <c r="AJ97" s="431">
        <f t="shared" si="64"/>
        <v>0</v>
      </c>
      <c r="AK97" s="443">
        <f t="shared" si="65"/>
        <v>0</v>
      </c>
      <c r="AL97" s="440"/>
      <c r="AM97" s="440"/>
      <c r="AN97" s="431"/>
      <c r="AO97" s="443"/>
      <c r="AP97" s="444" t="s">
        <v>2048</v>
      </c>
      <c r="AQ97" s="544">
        <f>'N.2 GASB 68 ROD'!C80</f>
        <v>0</v>
      </c>
      <c r="AS97" s="444" t="s">
        <v>2048</v>
      </c>
      <c r="AT97" s="544">
        <f>'N.2 GASB 68 ROD'!D80</f>
        <v>9534</v>
      </c>
      <c r="AU97" s="473"/>
      <c r="AV97" s="544"/>
      <c r="AY97" s="545"/>
      <c r="AZ97" s="447"/>
      <c r="BA97" s="448"/>
      <c r="BB97" s="395">
        <f t="shared" si="68"/>
        <v>0</v>
      </c>
      <c r="BC97" s="395">
        <f t="shared" si="61"/>
        <v>9534</v>
      </c>
      <c r="BD97" s="431"/>
      <c r="BE97" s="443"/>
      <c r="BF97" s="367"/>
      <c r="BG97" s="455"/>
      <c r="BH97" s="936">
        <v>-1581837</v>
      </c>
    </row>
    <row r="98" spans="1:63" x14ac:dyDescent="0.2">
      <c r="A98" s="19"/>
      <c r="C98" s="24"/>
      <c r="D98" s="453"/>
      <c r="E98" s="454"/>
      <c r="F98" s="440"/>
      <c r="G98" s="440"/>
      <c r="H98" s="440"/>
      <c r="I98" s="440"/>
      <c r="J98" s="440"/>
      <c r="K98" s="441"/>
      <c r="L98" s="440"/>
      <c r="M98" s="440"/>
      <c r="N98" s="440"/>
      <c r="O98" s="440"/>
      <c r="P98" s="543"/>
      <c r="Q98" s="543"/>
      <c r="R98" s="543"/>
      <c r="S98" s="543"/>
      <c r="T98" s="543"/>
      <c r="U98" s="543"/>
      <c r="V98" s="543"/>
      <c r="W98" s="543"/>
      <c r="X98" s="543"/>
      <c r="Y98" s="543"/>
      <c r="Z98" s="543"/>
      <c r="AA98" s="543"/>
      <c r="AB98" s="543"/>
      <c r="AC98" s="543"/>
      <c r="AD98" s="440"/>
      <c r="AE98" s="440"/>
      <c r="AF98" s="440"/>
      <c r="AG98" s="440"/>
      <c r="AH98" s="430">
        <f t="shared" si="77"/>
        <v>0</v>
      </c>
      <c r="AI98" s="369">
        <f t="shared" si="78"/>
        <v>0</v>
      </c>
      <c r="AJ98" s="431">
        <f t="shared" si="64"/>
        <v>0</v>
      </c>
      <c r="AK98" s="443">
        <f t="shared" si="65"/>
        <v>0</v>
      </c>
      <c r="AL98" s="440"/>
      <c r="AM98" s="440"/>
      <c r="AN98" s="431"/>
      <c r="AO98" s="443"/>
      <c r="AP98" s="444" t="s">
        <v>3614</v>
      </c>
      <c r="AQ98" s="544">
        <f>'O. GASB 73 LEO Entries'!C74</f>
        <v>0</v>
      </c>
      <c r="AS98" s="444" t="s">
        <v>3614</v>
      </c>
      <c r="AT98" s="544">
        <f>'O. GASB 73 LEO Entries'!D74</f>
        <v>0</v>
      </c>
      <c r="AU98" s="473"/>
      <c r="AV98" s="544"/>
      <c r="AY98" s="545"/>
      <c r="AZ98" s="447"/>
      <c r="BA98" s="448"/>
      <c r="BB98" s="395">
        <f t="shared" si="68"/>
        <v>0</v>
      </c>
      <c r="BC98" s="395">
        <f t="shared" si="61"/>
        <v>0</v>
      </c>
      <c r="BD98" s="431"/>
      <c r="BE98" s="443"/>
      <c r="BF98" s="367"/>
      <c r="BG98" s="455"/>
    </row>
    <row r="99" spans="1:63" x14ac:dyDescent="0.2">
      <c r="A99" s="19"/>
      <c r="C99" s="590" t="s">
        <v>4017</v>
      </c>
      <c r="D99" s="453"/>
      <c r="E99" s="454"/>
      <c r="F99" s="440"/>
      <c r="G99" s="440"/>
      <c r="H99" s="440"/>
      <c r="I99" s="440"/>
      <c r="J99" s="440"/>
      <c r="K99" s="441"/>
      <c r="L99" s="440"/>
      <c r="M99" s="440"/>
      <c r="N99" s="440"/>
      <c r="O99" s="440"/>
      <c r="P99" s="543"/>
      <c r="Q99" s="543"/>
      <c r="R99" s="543"/>
      <c r="S99" s="543"/>
      <c r="T99" s="543"/>
      <c r="U99" s="543"/>
      <c r="V99" s="543"/>
      <c r="W99" s="543"/>
      <c r="X99" s="543"/>
      <c r="Y99" s="543"/>
      <c r="Z99" s="543"/>
      <c r="AA99" s="543"/>
      <c r="AB99" s="543"/>
      <c r="AC99" s="543"/>
      <c r="AD99" s="440"/>
      <c r="AE99" s="440"/>
      <c r="AF99" s="440"/>
      <c r="AG99" s="440"/>
      <c r="AH99" s="430"/>
      <c r="AJ99" s="431"/>
      <c r="AK99" s="443"/>
      <c r="AL99"/>
      <c r="AM99" s="544"/>
      <c r="AN99" s="431"/>
      <c r="AO99" s="443"/>
      <c r="AP99" s="444" t="s">
        <v>4019</v>
      </c>
      <c r="AQ99" s="544">
        <f>'P.1 GASB 75 OPEB  - plan 1'!C133</f>
        <v>0</v>
      </c>
      <c r="AT99" s="544"/>
      <c r="AU99" s="473" t="s">
        <v>634</v>
      </c>
      <c r="AV99" s="544">
        <f>'K.1  Int. Service Fd Allocation'!E181+'K.2  Int. Service Fd Alloca'!E176+'K.3 Int. Service Fd Alloca'!E176</f>
        <v>0</v>
      </c>
      <c r="AY99" s="545"/>
      <c r="AZ99" s="447"/>
      <c r="BA99" s="448"/>
      <c r="BB99" s="395">
        <f t="shared" si="68"/>
        <v>0</v>
      </c>
      <c r="BC99" s="395">
        <f t="shared" ref="BC99:BC101" si="79">ROUND(AK99+AM99+AO99+AT99+AY99+BA99,0)</f>
        <v>0</v>
      </c>
      <c r="BD99" s="431"/>
      <c r="BE99" s="443"/>
      <c r="BF99" s="367" t="str">
        <f>IF(SUM(BB99:BB101)-SUM(BC99:BC101)&lt;=0," ",SUM(BB99:BB101)-SUM(BC99:BC101))</f>
        <v xml:space="preserve"> </v>
      </c>
      <c r="BG99" s="455">
        <f>IF(SUM(BB99:BB101)-SUM(BC99:BC101)&gt;0," ",SUM(BC99:BC101)-SUM(BB99:BB101))</f>
        <v>0</v>
      </c>
      <c r="BH99" s="937"/>
      <c r="BI99" s="939"/>
      <c r="BK99" s="5"/>
    </row>
    <row r="100" spans="1:63" x14ac:dyDescent="0.2">
      <c r="A100" s="19"/>
      <c r="C100" s="24"/>
      <c r="D100" s="453"/>
      <c r="E100" s="454"/>
      <c r="F100" s="440"/>
      <c r="G100" s="440"/>
      <c r="H100" s="440"/>
      <c r="I100" s="440"/>
      <c r="J100" s="440"/>
      <c r="K100" s="441"/>
      <c r="L100" s="440"/>
      <c r="M100" s="440"/>
      <c r="N100" s="440"/>
      <c r="O100" s="440"/>
      <c r="P100" s="543"/>
      <c r="Q100" s="543"/>
      <c r="R100" s="543"/>
      <c r="S100" s="543"/>
      <c r="T100" s="543"/>
      <c r="U100" s="543"/>
      <c r="V100" s="543"/>
      <c r="W100" s="543"/>
      <c r="X100" s="543"/>
      <c r="Y100" s="543"/>
      <c r="Z100" s="543"/>
      <c r="AA100" s="543"/>
      <c r="AB100" s="543"/>
      <c r="AC100" s="543"/>
      <c r="AD100" s="440"/>
      <c r="AE100" s="440"/>
      <c r="AF100" s="440"/>
      <c r="AG100" s="440"/>
      <c r="AH100" s="430"/>
      <c r="AJ100" s="431"/>
      <c r="AK100" s="443"/>
      <c r="AL100"/>
      <c r="AM100" s="544"/>
      <c r="AN100" s="431"/>
      <c r="AO100" s="443"/>
      <c r="AP100" s="444" t="s">
        <v>4020</v>
      </c>
      <c r="AQ100" s="544">
        <f>'P.2 GASB 75 OPEB - plan 2'!C133</f>
        <v>0</v>
      </c>
      <c r="AT100" s="544"/>
      <c r="AU100" s="473"/>
      <c r="AV100" s="544"/>
      <c r="AY100" s="545"/>
      <c r="AZ100" s="447"/>
      <c r="BA100" s="448"/>
      <c r="BB100" s="395">
        <f t="shared" si="68"/>
        <v>0</v>
      </c>
      <c r="BC100" s="395">
        <f t="shared" si="79"/>
        <v>0</v>
      </c>
      <c r="BD100" s="431"/>
      <c r="BE100" s="443"/>
      <c r="BF100" s="367"/>
      <c r="BG100" s="455"/>
    </row>
    <row r="101" spans="1:63" x14ac:dyDescent="0.2">
      <c r="A101" s="19"/>
      <c r="C101" s="24"/>
      <c r="D101" s="453"/>
      <c r="E101" s="454"/>
      <c r="F101" s="440"/>
      <c r="G101" s="440"/>
      <c r="H101" s="440"/>
      <c r="I101" s="440"/>
      <c r="J101" s="440"/>
      <c r="K101" s="441"/>
      <c r="L101" s="440"/>
      <c r="M101" s="440"/>
      <c r="N101" s="440"/>
      <c r="O101" s="440"/>
      <c r="P101" s="543"/>
      <c r="Q101" s="543"/>
      <c r="R101" s="543"/>
      <c r="S101" s="543"/>
      <c r="T101" s="543"/>
      <c r="U101" s="543"/>
      <c r="V101" s="543"/>
      <c r="W101" s="543"/>
      <c r="X101" s="543"/>
      <c r="Y101" s="543"/>
      <c r="Z101" s="543"/>
      <c r="AA101" s="543"/>
      <c r="AB101" s="543"/>
      <c r="AC101" s="543"/>
      <c r="AD101" s="440"/>
      <c r="AE101" s="440"/>
      <c r="AF101" s="440"/>
      <c r="AG101" s="440"/>
      <c r="AH101" s="430"/>
      <c r="AJ101" s="431"/>
      <c r="AK101" s="443"/>
      <c r="AL101"/>
      <c r="AM101" s="544"/>
      <c r="AN101" s="431"/>
      <c r="AO101" s="443"/>
      <c r="AP101" s="444" t="s">
        <v>4021</v>
      </c>
      <c r="AQ101" s="544">
        <f>'P.3 GASB 75 OPEB - plan 3'!C133</f>
        <v>0</v>
      </c>
      <c r="AT101" s="544"/>
      <c r="AU101" s="473"/>
      <c r="AV101" s="544"/>
      <c r="AY101" s="545"/>
      <c r="AZ101" s="447"/>
      <c r="BA101" s="448"/>
      <c r="BB101" s="395">
        <f t="shared" si="68"/>
        <v>0</v>
      </c>
      <c r="BC101" s="395">
        <f t="shared" si="79"/>
        <v>0</v>
      </c>
      <c r="BD101" s="431"/>
      <c r="BE101" s="443"/>
      <c r="BF101" s="367"/>
      <c r="BG101" s="455"/>
    </row>
    <row r="102" spans="1:63" ht="25.5" x14ac:dyDescent="0.2">
      <c r="A102" s="19"/>
      <c r="C102" s="850" t="s">
        <v>4018</v>
      </c>
      <c r="D102" s="716"/>
      <c r="E102" s="717"/>
      <c r="F102" s="718"/>
      <c r="G102" s="718"/>
      <c r="H102" s="718"/>
      <c r="I102" s="718"/>
      <c r="J102" s="718"/>
      <c r="K102" s="719"/>
      <c r="L102" s="718"/>
      <c r="M102" s="718"/>
      <c r="N102" s="718"/>
      <c r="O102" s="718"/>
      <c r="P102" s="720"/>
      <c r="Q102" s="720"/>
      <c r="R102" s="720"/>
      <c r="S102" s="720"/>
      <c r="T102" s="720"/>
      <c r="U102" s="720"/>
      <c r="V102" s="720"/>
      <c r="W102" s="720"/>
      <c r="X102" s="720"/>
      <c r="Y102" s="720"/>
      <c r="Z102" s="720"/>
      <c r="AA102" s="720"/>
      <c r="AB102" s="720"/>
      <c r="AC102" s="720"/>
      <c r="AD102" s="718"/>
      <c r="AE102" s="718"/>
      <c r="AF102" s="718"/>
      <c r="AG102" s="718"/>
      <c r="AH102" s="461">
        <f t="shared" ref="AH102:AH106" si="80">L102+N102+P102+R102+T102+V102+X102+Z102+AB102+AD102+AF102</f>
        <v>0</v>
      </c>
      <c r="AI102" s="462">
        <f t="shared" ref="AI102:AI106" si="81">M102+O102+Q102+S102+U102+W102+Y102+AA102+AC102+AE102+AG102</f>
        <v>0</v>
      </c>
      <c r="AJ102" s="712">
        <f t="shared" ref="AJ102:AK106" si="82">D102+F102+H102+J102+AH102</f>
        <v>0</v>
      </c>
      <c r="AK102" s="713">
        <f t="shared" si="82"/>
        <v>0</v>
      </c>
      <c r="AL102" s="718">
        <f>IF('N.1 GASB 68 LGERS'!K43&gt;0,'N.1 GASB 68 LGERS'!K43*'N.1 GASB 68 LGERS'!C75,0)</f>
        <v>936678</v>
      </c>
      <c r="AM102" s="718"/>
      <c r="AN102" s="712"/>
      <c r="AO102" s="713"/>
      <c r="AP102" s="723" t="s">
        <v>2047</v>
      </c>
      <c r="AQ102" s="724">
        <f>'N.1 GASB 68 LGERS'!C107</f>
        <v>0</v>
      </c>
      <c r="AR102" s="722"/>
      <c r="AS102" s="723" t="s">
        <v>2047</v>
      </c>
      <c r="AT102" s="724">
        <f>'N.1 GASB 68 LGERS'!D107</f>
        <v>122171</v>
      </c>
      <c r="AU102" s="725"/>
      <c r="AV102" s="724"/>
      <c r="AW102" s="722"/>
      <c r="AX102" s="723"/>
      <c r="AY102" s="726"/>
      <c r="AZ102" s="447"/>
      <c r="BA102" s="448"/>
      <c r="BB102" s="711">
        <f t="shared" si="68"/>
        <v>936678</v>
      </c>
      <c r="BC102" s="711">
        <f t="shared" si="61"/>
        <v>122171</v>
      </c>
      <c r="BD102" s="712"/>
      <c r="BE102" s="713"/>
      <c r="BF102" s="711">
        <f>IF(SUM(BB102:BB103)-SUM(BC102:BC103)&lt;=0," ",SUM(BB102:BB103)-SUM(BC102:BC103))</f>
        <v>826624</v>
      </c>
      <c r="BG102" s="714" t="str">
        <f>IF(SUM(BB102:BB103)-SUM(BC102:BC103)&gt;0," ",SUM(BC102:BC103)-SUM(BB102:BB103))</f>
        <v xml:space="preserve"> </v>
      </c>
    </row>
    <row r="103" spans="1:63" x14ac:dyDescent="0.2">
      <c r="A103" s="19"/>
      <c r="C103" s="727"/>
      <c r="D103" s="716"/>
      <c r="E103" s="717"/>
      <c r="F103" s="718"/>
      <c r="G103" s="718"/>
      <c r="H103" s="718"/>
      <c r="I103" s="718"/>
      <c r="J103" s="718"/>
      <c r="K103" s="719"/>
      <c r="L103" s="718"/>
      <c r="M103" s="718"/>
      <c r="N103" s="718"/>
      <c r="O103" s="718"/>
      <c r="P103" s="720"/>
      <c r="Q103" s="720"/>
      <c r="R103" s="720"/>
      <c r="S103" s="720"/>
      <c r="T103" s="720"/>
      <c r="U103" s="720"/>
      <c r="V103" s="720"/>
      <c r="W103" s="720"/>
      <c r="X103" s="720"/>
      <c r="Y103" s="720"/>
      <c r="Z103" s="720"/>
      <c r="AA103" s="720"/>
      <c r="AB103" s="720"/>
      <c r="AC103" s="720"/>
      <c r="AD103" s="718"/>
      <c r="AE103" s="718"/>
      <c r="AF103" s="718"/>
      <c r="AG103" s="718"/>
      <c r="AH103" s="461">
        <f t="shared" si="80"/>
        <v>0</v>
      </c>
      <c r="AI103" s="462">
        <f t="shared" si="81"/>
        <v>0</v>
      </c>
      <c r="AJ103" s="712">
        <f t="shared" si="82"/>
        <v>0</v>
      </c>
      <c r="AK103" s="713">
        <f t="shared" si="82"/>
        <v>0</v>
      </c>
      <c r="AL103" s="718">
        <f>IF('N.2 GASB 68 ROD'!K32&gt;0,'N.2 GASB 68 ROD'!K32*'N.2 GASB 68 ROD'!C63,0)</f>
        <v>6605</v>
      </c>
      <c r="AM103" s="718"/>
      <c r="AN103" s="712"/>
      <c r="AO103" s="713"/>
      <c r="AP103" s="723" t="s">
        <v>2048</v>
      </c>
      <c r="AQ103" s="724">
        <f>'N.2 GASB 68 ROD'!C79</f>
        <v>5512</v>
      </c>
      <c r="AR103" s="722"/>
      <c r="AS103" s="723" t="s">
        <v>2048</v>
      </c>
      <c r="AT103" s="724">
        <f>'N.2 GASB 68 ROD'!D79</f>
        <v>0</v>
      </c>
      <c r="AU103" s="725" t="s">
        <v>634</v>
      </c>
      <c r="AV103" s="724">
        <f>'K.1  Int. Service Fd Allocation'!E178+'K.2  Int. Service Fd Alloca'!E173+'K.3 Int. Service Fd Alloca'!E173</f>
        <v>0</v>
      </c>
      <c r="AW103" s="722"/>
      <c r="AX103" s="723"/>
      <c r="AY103" s="726"/>
      <c r="AZ103" s="832"/>
      <c r="BA103" s="833"/>
      <c r="BB103" s="711">
        <f>ROUND(AJ103+AL103+AN103+AQ103+AV103+AZ103,0)</f>
        <v>12117</v>
      </c>
      <c r="BC103" s="711">
        <f>ROUND(AK103+AM103+AO103+AT103+AY103+BA103,0)</f>
        <v>0</v>
      </c>
      <c r="BD103" s="712"/>
      <c r="BE103" s="713"/>
      <c r="BF103" s="711"/>
      <c r="BG103" s="714"/>
      <c r="BI103" s="939"/>
    </row>
    <row r="104" spans="1:63" ht="25.5" x14ac:dyDescent="0.2">
      <c r="A104" s="19"/>
      <c r="C104" s="850" t="s">
        <v>4022</v>
      </c>
      <c r="D104" s="716"/>
      <c r="E104" s="717"/>
      <c r="F104" s="718"/>
      <c r="G104" s="718"/>
      <c r="H104" s="718"/>
      <c r="I104" s="718"/>
      <c r="J104" s="718"/>
      <c r="K104" s="719"/>
      <c r="L104" s="718"/>
      <c r="M104" s="718"/>
      <c r="N104" s="718"/>
      <c r="O104" s="718"/>
      <c r="P104" s="720"/>
      <c r="Q104" s="720"/>
      <c r="R104" s="720"/>
      <c r="S104" s="720"/>
      <c r="T104" s="720"/>
      <c r="U104" s="720"/>
      <c r="V104" s="720"/>
      <c r="W104" s="720"/>
      <c r="X104" s="720"/>
      <c r="Y104" s="720"/>
      <c r="Z104" s="720"/>
      <c r="AA104" s="720"/>
      <c r="AB104" s="720"/>
      <c r="AC104" s="720"/>
      <c r="AD104" s="718"/>
      <c r="AE104" s="718"/>
      <c r="AF104" s="718"/>
      <c r="AG104" s="718"/>
      <c r="AH104" s="461">
        <f t="shared" si="80"/>
        <v>0</v>
      </c>
      <c r="AI104" s="462">
        <f t="shared" si="81"/>
        <v>0</v>
      </c>
      <c r="AJ104" s="712">
        <f t="shared" si="82"/>
        <v>0</v>
      </c>
      <c r="AK104" s="713">
        <f t="shared" si="82"/>
        <v>0</v>
      </c>
      <c r="AL104" s="724"/>
      <c r="AM104" s="724"/>
      <c r="AN104" s="712"/>
      <c r="AO104" s="713"/>
      <c r="AP104" s="723" t="s">
        <v>4019</v>
      </c>
      <c r="AQ104" s="724">
        <f>'P.1 GASB 75 OPEB  - plan 1'!C134</f>
        <v>0</v>
      </c>
      <c r="AR104" s="722"/>
      <c r="AS104" s="723"/>
      <c r="AT104" s="724"/>
      <c r="AU104" s="725" t="s">
        <v>634</v>
      </c>
      <c r="AV104" s="724">
        <f>'K.1  Int. Service Fd Allocation'!E182+'K.2  Int. Service Fd Alloca'!E177+'K.3 Int. Service Fd Alloca'!E177</f>
        <v>0</v>
      </c>
      <c r="AW104" s="722"/>
      <c r="AX104" s="723"/>
      <c r="AY104" s="726"/>
      <c r="AZ104" s="832"/>
      <c r="BA104" s="833"/>
      <c r="BB104" s="711">
        <f t="shared" ref="BB104:BB106" si="83">ROUND(AJ104+AL104+AN104+AQ104+AV104+AZ104,0)</f>
        <v>0</v>
      </c>
      <c r="BC104" s="711">
        <f t="shared" ref="BC104:BC106" si="84">ROUND(AK104+AM104+AO104+AT104+AY104+BA104,0)</f>
        <v>0</v>
      </c>
      <c r="BD104" s="712"/>
      <c r="BE104" s="713"/>
      <c r="BF104" s="711" t="str">
        <f>IF(SUM(BB104:BB106)-SUM(BC104:BC106)&lt;=0," ",SUM(BB104:BB106)-SUM(BC104:BC106))</f>
        <v xml:space="preserve"> </v>
      </c>
      <c r="BG104" s="714">
        <f>IF(SUM(BB104:BB106)-SUM(BC104:BC106)&gt;0," ",SUM(BC104:BC106)-SUM(BB104:BB106))</f>
        <v>0</v>
      </c>
      <c r="BI104" s="939"/>
    </row>
    <row r="105" spans="1:63" x14ac:dyDescent="0.2">
      <c r="A105" s="19"/>
      <c r="C105" s="727"/>
      <c r="D105" s="716"/>
      <c r="E105" s="717"/>
      <c r="F105" s="718"/>
      <c r="G105" s="718"/>
      <c r="H105" s="718"/>
      <c r="I105" s="718"/>
      <c r="J105" s="718"/>
      <c r="K105" s="719"/>
      <c r="L105" s="718"/>
      <c r="M105" s="718"/>
      <c r="N105" s="718"/>
      <c r="O105" s="718"/>
      <c r="P105" s="720"/>
      <c r="Q105" s="720"/>
      <c r="R105" s="720"/>
      <c r="S105" s="720"/>
      <c r="T105" s="720"/>
      <c r="U105" s="720"/>
      <c r="V105" s="720"/>
      <c r="W105" s="720"/>
      <c r="X105" s="720"/>
      <c r="Y105" s="720"/>
      <c r="Z105" s="720"/>
      <c r="AA105" s="720"/>
      <c r="AB105" s="720"/>
      <c r="AC105" s="720"/>
      <c r="AD105" s="718"/>
      <c r="AE105" s="718"/>
      <c r="AF105" s="718"/>
      <c r="AG105" s="718"/>
      <c r="AH105" s="461">
        <f t="shared" si="80"/>
        <v>0</v>
      </c>
      <c r="AI105" s="462">
        <f t="shared" si="81"/>
        <v>0</v>
      </c>
      <c r="AJ105" s="712">
        <f t="shared" si="82"/>
        <v>0</v>
      </c>
      <c r="AK105" s="713">
        <f t="shared" si="82"/>
        <v>0</v>
      </c>
      <c r="AL105" s="724"/>
      <c r="AM105" s="724"/>
      <c r="AN105" s="712"/>
      <c r="AO105" s="713"/>
      <c r="AP105" s="723" t="s">
        <v>4020</v>
      </c>
      <c r="AQ105" s="724">
        <f>'P.2 GASB 75 OPEB - plan 2'!C134</f>
        <v>0</v>
      </c>
      <c r="AR105" s="722"/>
      <c r="AS105" s="723"/>
      <c r="AT105" s="724"/>
      <c r="AU105" s="725"/>
      <c r="AV105" s="724"/>
      <c r="AW105" s="722"/>
      <c r="AX105" s="723"/>
      <c r="AY105" s="726"/>
      <c r="AZ105" s="832"/>
      <c r="BA105" s="833"/>
      <c r="BB105" s="711">
        <f t="shared" si="83"/>
        <v>0</v>
      </c>
      <c r="BC105" s="711">
        <f t="shared" si="84"/>
        <v>0</v>
      </c>
      <c r="BD105" s="712"/>
      <c r="BE105" s="713"/>
      <c r="BF105" s="711"/>
      <c r="BG105" s="714"/>
      <c r="BI105" s="939"/>
    </row>
    <row r="106" spans="1:63" x14ac:dyDescent="0.2">
      <c r="A106" s="19"/>
      <c r="C106" s="727"/>
      <c r="D106" s="716"/>
      <c r="E106" s="717"/>
      <c r="F106" s="718"/>
      <c r="G106" s="718"/>
      <c r="H106" s="718"/>
      <c r="I106" s="718"/>
      <c r="J106" s="718"/>
      <c r="K106" s="719"/>
      <c r="L106" s="718"/>
      <c r="M106" s="718"/>
      <c r="N106" s="718"/>
      <c r="O106" s="718"/>
      <c r="P106" s="720"/>
      <c r="Q106" s="720"/>
      <c r="R106" s="720"/>
      <c r="S106" s="720"/>
      <c r="T106" s="720"/>
      <c r="U106" s="720"/>
      <c r="V106" s="720"/>
      <c r="W106" s="720"/>
      <c r="X106" s="720"/>
      <c r="Y106" s="720"/>
      <c r="Z106" s="720"/>
      <c r="AA106" s="720"/>
      <c r="AB106" s="720"/>
      <c r="AC106" s="720"/>
      <c r="AD106" s="718"/>
      <c r="AE106" s="718"/>
      <c r="AF106" s="718"/>
      <c r="AG106" s="718"/>
      <c r="AH106" s="461">
        <f t="shared" si="80"/>
        <v>0</v>
      </c>
      <c r="AI106" s="462">
        <f t="shared" si="81"/>
        <v>0</v>
      </c>
      <c r="AJ106" s="712">
        <f t="shared" si="82"/>
        <v>0</v>
      </c>
      <c r="AK106" s="713">
        <f t="shared" si="82"/>
        <v>0</v>
      </c>
      <c r="AL106" s="724"/>
      <c r="AM106" s="724"/>
      <c r="AN106" s="712"/>
      <c r="AO106" s="713"/>
      <c r="AP106" s="723" t="s">
        <v>4021</v>
      </c>
      <c r="AQ106" s="724">
        <f>'P.3 GASB 75 OPEB - plan 3'!C134</f>
        <v>0</v>
      </c>
      <c r="AR106" s="722"/>
      <c r="AS106" s="723"/>
      <c r="AT106" s="724"/>
      <c r="AU106" s="725"/>
      <c r="AV106" s="724"/>
      <c r="AW106" s="722"/>
      <c r="AX106" s="723"/>
      <c r="AY106" s="726"/>
      <c r="AZ106" s="832"/>
      <c r="BA106" s="833"/>
      <c r="BB106" s="711">
        <f t="shared" si="83"/>
        <v>0</v>
      </c>
      <c r="BC106" s="711">
        <f t="shared" si="84"/>
        <v>0</v>
      </c>
      <c r="BD106" s="712"/>
      <c r="BE106" s="713"/>
      <c r="BF106" s="711"/>
      <c r="BG106" s="714"/>
      <c r="BI106" s="939"/>
    </row>
    <row r="107" spans="1:63" ht="12.75" customHeight="1" x14ac:dyDescent="0.2">
      <c r="A107" s="19"/>
      <c r="D107" s="453"/>
      <c r="E107" s="454"/>
      <c r="F107" s="440"/>
      <c r="G107" s="440"/>
      <c r="H107" s="440"/>
      <c r="I107" s="440"/>
      <c r="J107" s="440"/>
      <c r="K107" s="441"/>
      <c r="L107" s="440"/>
      <c r="M107" s="440"/>
      <c r="N107" s="440"/>
      <c r="O107" s="440"/>
      <c r="P107" s="451"/>
      <c r="Q107" s="451"/>
      <c r="R107" s="451"/>
      <c r="S107" s="451"/>
      <c r="T107" s="451"/>
      <c r="U107" s="451"/>
      <c r="V107" s="451"/>
      <c r="W107" s="451"/>
      <c r="X107" s="451"/>
      <c r="Y107" s="451"/>
      <c r="Z107" s="451"/>
      <c r="AA107" s="451"/>
      <c r="AB107" s="451"/>
      <c r="AC107" s="451"/>
      <c r="AD107" s="440"/>
      <c r="AE107" s="440"/>
      <c r="AF107" s="440"/>
      <c r="AG107" s="440"/>
      <c r="AH107" s="430"/>
      <c r="AJ107" s="431"/>
      <c r="AK107" s="443"/>
      <c r="AL107" s="440"/>
      <c r="AM107" s="440"/>
      <c r="AN107" s="431"/>
      <c r="AO107" s="443"/>
      <c r="AQ107" s="367"/>
      <c r="AT107" s="367"/>
      <c r="AU107" s="445"/>
      <c r="AV107" s="367"/>
      <c r="AY107" s="455"/>
      <c r="AZ107" s="447"/>
      <c r="BA107" s="448"/>
      <c r="BB107" s="367"/>
      <c r="BC107" s="367"/>
      <c r="BD107" s="431"/>
      <c r="BE107" s="443"/>
      <c r="BF107" s="367"/>
      <c r="BG107" s="455"/>
      <c r="BI107" s="939"/>
    </row>
    <row r="108" spans="1:63" ht="12.75" customHeight="1" x14ac:dyDescent="0.2">
      <c r="A108" s="19"/>
      <c r="B108" s="4" t="s">
        <v>641</v>
      </c>
      <c r="D108" s="449"/>
      <c r="E108" s="450"/>
      <c r="F108" s="440"/>
      <c r="G108" s="440"/>
      <c r="H108" s="440"/>
      <c r="I108" s="440"/>
      <c r="J108" s="440"/>
      <c r="K108" s="441"/>
      <c r="L108" s="440"/>
      <c r="M108" s="440"/>
      <c r="N108" s="440"/>
      <c r="O108" s="440"/>
      <c r="P108" s="442"/>
      <c r="Q108" s="442"/>
      <c r="R108" s="442"/>
      <c r="S108" s="442"/>
      <c r="T108" s="442"/>
      <c r="U108" s="442"/>
      <c r="V108" s="442"/>
      <c r="W108" s="442"/>
      <c r="X108" s="442"/>
      <c r="Y108" s="442"/>
      <c r="Z108" s="442"/>
      <c r="AA108" s="442"/>
      <c r="AB108" s="442"/>
      <c r="AC108" s="442"/>
      <c r="AD108" s="440"/>
      <c r="AE108" s="440"/>
      <c r="AF108" s="440"/>
      <c r="AG108" s="440"/>
      <c r="AH108" s="430">
        <f t="shared" ref="AH108:AH114" si="85">L108+N108+P108+R108+T108+V108+X108+Z108+AB108+AD108+AF108</f>
        <v>0</v>
      </c>
      <c r="AI108" s="369">
        <f t="shared" ref="AI108:AI114" si="86">M108+O108+Q108+S108+U108+W108+Y108+AA108+AC108+AE108+AG108</f>
        <v>0</v>
      </c>
      <c r="AJ108" s="431">
        <f t="shared" ref="AJ108:AK114" si="87">D108+F108+H108+J108+AH108</f>
        <v>0</v>
      </c>
      <c r="AK108" s="443">
        <f t="shared" si="87"/>
        <v>0</v>
      </c>
      <c r="AL108" s="440"/>
      <c r="AM108" s="440"/>
      <c r="AN108" s="431"/>
      <c r="AO108" s="443"/>
      <c r="AQ108" s="429"/>
      <c r="AT108" s="429"/>
      <c r="AU108" s="445"/>
      <c r="AV108" s="429"/>
      <c r="AY108" s="446"/>
      <c r="AZ108" s="447"/>
      <c r="BA108" s="448"/>
      <c r="BB108" s="395">
        <f t="shared" ref="BB108:BB114" si="88">ROUND(AJ108+AL108+AN108+AQ108+AV108+AZ108,0)</f>
        <v>0</v>
      </c>
      <c r="BC108" s="395">
        <f t="shared" ref="BC108:BC114" si="89">ROUND(AK108+AM108+AO108+AT108+AY108+BA108,0)</f>
        <v>0</v>
      </c>
      <c r="BD108" s="431"/>
      <c r="BE108" s="443"/>
      <c r="BF108" s="429" t="str">
        <f>IF(BB108-BC108&lt;=0," ",BB108-BC108)</f>
        <v xml:space="preserve"> </v>
      </c>
      <c r="BG108" s="446"/>
    </row>
    <row r="109" spans="1:63" x14ac:dyDescent="0.2">
      <c r="A109" s="19"/>
      <c r="C109" t="s">
        <v>225</v>
      </c>
      <c r="D109" s="449"/>
      <c r="E109" s="450">
        <f>3563131-1639</f>
        <v>3561492</v>
      </c>
      <c r="F109" s="440"/>
      <c r="G109" s="440"/>
      <c r="H109" s="440"/>
      <c r="I109" s="440"/>
      <c r="J109" s="440"/>
      <c r="K109" s="441"/>
      <c r="L109" s="440"/>
      <c r="M109" s="440"/>
      <c r="N109" s="440"/>
      <c r="O109" s="440">
        <v>4478</v>
      </c>
      <c r="P109" s="442"/>
      <c r="Q109" s="442"/>
      <c r="R109" s="442"/>
      <c r="S109" s="442">
        <v>7132</v>
      </c>
      <c r="T109" s="442"/>
      <c r="U109" s="442"/>
      <c r="V109" s="442"/>
      <c r="W109" s="442"/>
      <c r="X109" s="442"/>
      <c r="Y109" s="442">
        <v>3368</v>
      </c>
      <c r="Z109" s="442"/>
      <c r="AA109" s="442">
        <v>5500</v>
      </c>
      <c r="AB109" s="442"/>
      <c r="AC109" s="442"/>
      <c r="AD109" s="440"/>
      <c r="AE109" s="440"/>
      <c r="AF109" s="440"/>
      <c r="AG109" s="440"/>
      <c r="AH109" s="430">
        <f t="shared" si="85"/>
        <v>0</v>
      </c>
      <c r="AI109" s="369">
        <f t="shared" si="86"/>
        <v>20478</v>
      </c>
      <c r="AJ109" s="431">
        <f t="shared" si="87"/>
        <v>0</v>
      </c>
      <c r="AK109" s="443">
        <f t="shared" si="87"/>
        <v>3581970</v>
      </c>
      <c r="AL109" s="440"/>
      <c r="AM109" s="440"/>
      <c r="AN109" s="431"/>
      <c r="AO109" s="443"/>
      <c r="AQ109" s="429"/>
      <c r="AT109" s="429"/>
      <c r="AU109" s="445"/>
      <c r="AV109" s="429"/>
      <c r="AX109" s="452" t="s">
        <v>634</v>
      </c>
      <c r="AY109" s="367">
        <f>'K.1  Int. Service Fd Allocation'!G186+'K.2  Int. Service Fd Alloca'!G181+'K.3 Int. Service Fd Alloca'!G181</f>
        <v>0</v>
      </c>
      <c r="AZ109" s="471"/>
      <c r="BA109" s="448"/>
      <c r="BB109" s="395">
        <f t="shared" si="88"/>
        <v>0</v>
      </c>
      <c r="BC109" s="395">
        <f t="shared" si="89"/>
        <v>3581970</v>
      </c>
      <c r="BD109" s="431"/>
      <c r="BE109" s="443"/>
      <c r="BF109" s="429" t="str">
        <f t="shared" ref="BF109:BF213" si="90">IF(BB109-BC109&lt;=0," ",BB109-BC109)</f>
        <v xml:space="preserve"> </v>
      </c>
      <c r="BG109" s="446">
        <f>IF(BB109-BC109&gt;0," ",BC109-BB109)</f>
        <v>3581970</v>
      </c>
      <c r="BH109" s="937" t="s">
        <v>4221</v>
      </c>
      <c r="BI109" s="938">
        <f>+BG109+BG110+BG111</f>
        <v>3893142</v>
      </c>
    </row>
    <row r="110" spans="1:63" x14ac:dyDescent="0.2">
      <c r="A110" s="19"/>
      <c r="C110" s="16" t="s">
        <v>220</v>
      </c>
      <c r="D110" s="449"/>
      <c r="E110" s="450">
        <v>226142</v>
      </c>
      <c r="F110" s="440"/>
      <c r="G110" s="440"/>
      <c r="H110" s="440"/>
      <c r="I110" s="440"/>
      <c r="J110" s="440"/>
      <c r="K110" s="441"/>
      <c r="L110" s="440"/>
      <c r="M110" s="440"/>
      <c r="N110" s="440"/>
      <c r="O110" s="440"/>
      <c r="P110" s="442"/>
      <c r="Q110" s="442"/>
      <c r="R110" s="442"/>
      <c r="S110" s="442"/>
      <c r="T110" s="442"/>
      <c r="U110" s="442"/>
      <c r="V110" s="442"/>
      <c r="W110" s="442"/>
      <c r="X110" s="442"/>
      <c r="Y110" s="442"/>
      <c r="Z110" s="442"/>
      <c r="AA110" s="442"/>
      <c r="AB110" s="442"/>
      <c r="AC110" s="442"/>
      <c r="AD110" s="440"/>
      <c r="AE110" s="440"/>
      <c r="AF110" s="440"/>
      <c r="AG110" s="440"/>
      <c r="AH110" s="430">
        <f t="shared" si="85"/>
        <v>0</v>
      </c>
      <c r="AI110" s="369">
        <f t="shared" si="86"/>
        <v>0</v>
      </c>
      <c r="AJ110" s="431">
        <f t="shared" si="87"/>
        <v>0</v>
      </c>
      <c r="AK110" s="443">
        <f t="shared" si="87"/>
        <v>226142</v>
      </c>
      <c r="AL110" s="440"/>
      <c r="AM110" s="440"/>
      <c r="AN110" s="431"/>
      <c r="AO110" s="443"/>
      <c r="AQ110" s="429"/>
      <c r="AT110" s="429"/>
      <c r="AU110" s="445"/>
      <c r="AV110" s="429"/>
      <c r="AY110" s="446"/>
      <c r="AZ110" s="447"/>
      <c r="BA110" s="448"/>
      <c r="BB110" s="395">
        <f t="shared" si="88"/>
        <v>0</v>
      </c>
      <c r="BC110" s="395">
        <f t="shared" si="89"/>
        <v>226142</v>
      </c>
      <c r="BD110" s="431"/>
      <c r="BE110" s="443"/>
      <c r="BF110" s="429" t="str">
        <f t="shared" si="90"/>
        <v xml:space="preserve"> </v>
      </c>
      <c r="BG110" s="446">
        <f>IF(BB110-BC110&gt;0," ",BC110-BB110)</f>
        <v>226142</v>
      </c>
      <c r="BH110" s="938" t="s">
        <v>4221</v>
      </c>
    </row>
    <row r="111" spans="1:63" x14ac:dyDescent="0.2">
      <c r="A111" s="19"/>
      <c r="C111" s="16" t="s">
        <v>224</v>
      </c>
      <c r="D111" s="449"/>
      <c r="E111" s="450"/>
      <c r="F111" s="440"/>
      <c r="G111" s="440"/>
      <c r="H111" s="440"/>
      <c r="I111" s="440"/>
      <c r="J111" s="440"/>
      <c r="K111" s="441"/>
      <c r="L111" s="440"/>
      <c r="M111" s="440"/>
      <c r="N111" s="440"/>
      <c r="O111" s="440"/>
      <c r="P111" s="442"/>
      <c r="Q111" s="442"/>
      <c r="R111" s="442"/>
      <c r="S111" s="442"/>
      <c r="T111" s="442"/>
      <c r="U111" s="442"/>
      <c r="V111" s="442"/>
      <c r="W111" s="442"/>
      <c r="X111" s="442"/>
      <c r="Y111" s="442"/>
      <c r="Z111" s="442"/>
      <c r="AA111" s="442">
        <v>85030</v>
      </c>
      <c r="AB111" s="442"/>
      <c r="AC111" s="442"/>
      <c r="AD111" s="440"/>
      <c r="AE111" s="440"/>
      <c r="AF111" s="440"/>
      <c r="AG111" s="440"/>
      <c r="AH111" s="430">
        <f t="shared" si="85"/>
        <v>0</v>
      </c>
      <c r="AI111" s="369">
        <f t="shared" si="86"/>
        <v>85030</v>
      </c>
      <c r="AJ111" s="431">
        <f t="shared" si="87"/>
        <v>0</v>
      </c>
      <c r="AK111" s="443">
        <f t="shared" si="87"/>
        <v>85030</v>
      </c>
      <c r="AL111" s="440"/>
      <c r="AM111" s="440"/>
      <c r="AN111" s="431"/>
      <c r="AO111" s="443"/>
      <c r="AQ111" s="429"/>
      <c r="AT111" s="429"/>
      <c r="AU111" s="445"/>
      <c r="AV111" s="429"/>
      <c r="AY111" s="446"/>
      <c r="AZ111" s="447"/>
      <c r="BA111" s="448"/>
      <c r="BB111" s="395">
        <f t="shared" si="88"/>
        <v>0</v>
      </c>
      <c r="BC111" s="395">
        <f>ROUND(AK111+AM111+AO111+AT111+AY111+BA111,0)</f>
        <v>85030</v>
      </c>
      <c r="BD111" s="431"/>
      <c r="BE111" s="443"/>
      <c r="BF111" s="429" t="str">
        <f t="shared" si="90"/>
        <v xml:space="preserve"> </v>
      </c>
      <c r="BG111" s="446">
        <f>IF(BB111-BC111&gt;0," ",BC111-BB111)</f>
        <v>85030</v>
      </c>
      <c r="BH111" s="937" t="s">
        <v>4221</v>
      </c>
    </row>
    <row r="112" spans="1:63" x14ac:dyDescent="0.2">
      <c r="A112" s="19"/>
      <c r="C112" s="203" t="s">
        <v>58</v>
      </c>
      <c r="D112" s="456"/>
      <c r="E112" s="457"/>
      <c r="F112" s="458"/>
      <c r="G112" s="458"/>
      <c r="H112" s="458"/>
      <c r="I112" s="458"/>
      <c r="J112" s="458"/>
      <c r="K112" s="459"/>
      <c r="L112" s="458"/>
      <c r="M112" s="458"/>
      <c r="N112" s="458"/>
      <c r="O112" s="458"/>
      <c r="P112" s="460"/>
      <c r="Q112" s="460"/>
      <c r="R112" s="460"/>
      <c r="S112" s="460"/>
      <c r="T112" s="460"/>
      <c r="U112" s="460"/>
      <c r="V112" s="460"/>
      <c r="W112" s="460"/>
      <c r="X112" s="460"/>
      <c r="Y112" s="460"/>
      <c r="Z112" s="460"/>
      <c r="AA112" s="460"/>
      <c r="AB112" s="460"/>
      <c r="AC112" s="460"/>
      <c r="AD112" s="458"/>
      <c r="AE112" s="458"/>
      <c r="AF112" s="458"/>
      <c r="AG112" s="458"/>
      <c r="AH112" s="461">
        <f t="shared" si="85"/>
        <v>0</v>
      </c>
      <c r="AI112" s="462">
        <f t="shared" si="86"/>
        <v>0</v>
      </c>
      <c r="AJ112" s="463">
        <f t="shared" si="87"/>
        <v>0</v>
      </c>
      <c r="AK112" s="464">
        <f t="shared" si="87"/>
        <v>0</v>
      </c>
      <c r="AL112" s="458"/>
      <c r="AM112" s="458"/>
      <c r="AN112" s="463"/>
      <c r="AO112" s="464"/>
      <c r="AP112" s="465"/>
      <c r="AQ112" s="466"/>
      <c r="AR112" s="462"/>
      <c r="AS112" s="465"/>
      <c r="AT112" s="466"/>
      <c r="AU112" s="467" t="str">
        <f>'L. Eliminations-Consolidations'!A203</f>
        <v>L.2</v>
      </c>
      <c r="AV112" s="466">
        <f>'L. Eliminations-Consolidations'!J203</f>
        <v>0</v>
      </c>
      <c r="AW112" s="462"/>
      <c r="AX112" s="470" t="s">
        <v>634</v>
      </c>
      <c r="AY112" s="466">
        <f>'K.1  Int. Service Fd Allocation'!G187+'K.2  Int. Service Fd Alloca'!G182+'K.3 Int. Service Fd Alloca'!G182</f>
        <v>0</v>
      </c>
      <c r="AZ112" s="471"/>
      <c r="BA112" s="448"/>
      <c r="BB112" s="466">
        <f t="shared" si="88"/>
        <v>0</v>
      </c>
      <c r="BC112" s="466">
        <f t="shared" si="89"/>
        <v>0</v>
      </c>
      <c r="BD112" s="463"/>
      <c r="BE112" s="464"/>
      <c r="BF112" s="466" t="str">
        <f>IF((BB112+BB113+BB114)-(BC112+BC113+BC114)&lt;=0," ",(BB112+BB113+BB114)-(BC112+BC113+BC114))</f>
        <v xml:space="preserve"> </v>
      </c>
      <c r="BG112" s="468">
        <f>IF((BB112+BB113+BB114)-(BC112+BC113+BC114)&gt;0," ",(BC112+BC113+BC114)-(BB112+BB113+BB114))</f>
        <v>0</v>
      </c>
    </row>
    <row r="113" spans="1:61" x14ac:dyDescent="0.2">
      <c r="A113" s="19"/>
      <c r="C113" s="203"/>
      <c r="D113" s="456"/>
      <c r="E113" s="457"/>
      <c r="F113" s="458"/>
      <c r="G113" s="458"/>
      <c r="H113" s="458"/>
      <c r="I113" s="458"/>
      <c r="J113" s="458"/>
      <c r="K113" s="459"/>
      <c r="L113" s="458"/>
      <c r="M113" s="458"/>
      <c r="N113" s="458"/>
      <c r="O113" s="458"/>
      <c r="P113" s="460"/>
      <c r="Q113" s="460"/>
      <c r="R113" s="460"/>
      <c r="S113" s="460"/>
      <c r="T113" s="460"/>
      <c r="U113" s="460"/>
      <c r="V113" s="460"/>
      <c r="W113" s="460"/>
      <c r="X113" s="460"/>
      <c r="Y113" s="460"/>
      <c r="Z113" s="460"/>
      <c r="AA113" s="460"/>
      <c r="AB113" s="460"/>
      <c r="AC113" s="460"/>
      <c r="AD113" s="458"/>
      <c r="AE113" s="458"/>
      <c r="AF113" s="458"/>
      <c r="AG113" s="458"/>
      <c r="AH113" s="461">
        <f t="shared" si="85"/>
        <v>0</v>
      </c>
      <c r="AI113" s="462">
        <f t="shared" si="86"/>
        <v>0</v>
      </c>
      <c r="AJ113" s="463">
        <f t="shared" si="87"/>
        <v>0</v>
      </c>
      <c r="AK113" s="464">
        <f t="shared" si="87"/>
        <v>0</v>
      </c>
      <c r="AL113" s="458"/>
      <c r="AM113" s="458"/>
      <c r="AN113" s="463"/>
      <c r="AO113" s="464"/>
      <c r="AP113" s="465"/>
      <c r="AQ113" s="466"/>
      <c r="AR113" s="462"/>
      <c r="AS113" s="465"/>
      <c r="AT113" s="466"/>
      <c r="AU113" s="467" t="str">
        <f>'L. Eliminations-Consolidations'!A208</f>
        <v>L.3</v>
      </c>
      <c r="AV113" s="466">
        <f>'L. Eliminations-Consolidations'!J209</f>
        <v>0</v>
      </c>
      <c r="AW113" s="462"/>
      <c r="AX113" s="465"/>
      <c r="AY113" s="468"/>
      <c r="AZ113" s="447"/>
      <c r="BA113" s="448"/>
      <c r="BB113" s="466">
        <f t="shared" si="88"/>
        <v>0</v>
      </c>
      <c r="BC113" s="466">
        <f t="shared" si="89"/>
        <v>0</v>
      </c>
      <c r="BD113" s="463"/>
      <c r="BE113" s="464"/>
      <c r="BF113" s="466"/>
      <c r="BG113" s="468"/>
    </row>
    <row r="114" spans="1:61" x14ac:dyDescent="0.2">
      <c r="A114" s="19"/>
      <c r="C114" s="203"/>
      <c r="D114" s="456"/>
      <c r="E114" s="457"/>
      <c r="F114" s="458"/>
      <c r="G114" s="458"/>
      <c r="H114" s="458"/>
      <c r="I114" s="458"/>
      <c r="J114" s="458"/>
      <c r="K114" s="459"/>
      <c r="L114" s="458"/>
      <c r="M114" s="458"/>
      <c r="N114" s="458"/>
      <c r="O114" s="458"/>
      <c r="P114" s="460"/>
      <c r="Q114" s="460"/>
      <c r="R114" s="460"/>
      <c r="S114" s="460"/>
      <c r="T114" s="460"/>
      <c r="U114" s="460"/>
      <c r="V114" s="460"/>
      <c r="W114" s="460"/>
      <c r="X114" s="460"/>
      <c r="Y114" s="460"/>
      <c r="Z114" s="460"/>
      <c r="AA114" s="460"/>
      <c r="AB114" s="460"/>
      <c r="AC114" s="460"/>
      <c r="AD114" s="458"/>
      <c r="AE114" s="458"/>
      <c r="AF114" s="458"/>
      <c r="AG114" s="458"/>
      <c r="AH114" s="461">
        <f t="shared" si="85"/>
        <v>0</v>
      </c>
      <c r="AI114" s="462">
        <f t="shared" si="86"/>
        <v>0</v>
      </c>
      <c r="AJ114" s="463">
        <f t="shared" si="87"/>
        <v>0</v>
      </c>
      <c r="AK114" s="464">
        <f t="shared" si="87"/>
        <v>0</v>
      </c>
      <c r="AL114" s="458"/>
      <c r="AM114" s="458"/>
      <c r="AN114" s="463"/>
      <c r="AO114" s="464"/>
      <c r="AP114" s="465"/>
      <c r="AQ114" s="466"/>
      <c r="AR114" s="462"/>
      <c r="AS114" s="465"/>
      <c r="AT114" s="466"/>
      <c r="AU114" s="467" t="str">
        <f>'L. Eliminations-Consolidations'!A214</f>
        <v>L.4</v>
      </c>
      <c r="AV114" s="466">
        <f>'L. Eliminations-Consolidations'!J216</f>
        <v>0</v>
      </c>
      <c r="AW114" s="462"/>
      <c r="AX114" s="465"/>
      <c r="AY114" s="468"/>
      <c r="AZ114" s="447"/>
      <c r="BA114" s="448"/>
      <c r="BB114" s="466">
        <f t="shared" si="88"/>
        <v>0</v>
      </c>
      <c r="BC114" s="466">
        <f t="shared" si="89"/>
        <v>0</v>
      </c>
      <c r="BD114" s="463"/>
      <c r="BE114" s="464"/>
      <c r="BF114" s="466"/>
      <c r="BG114" s="468"/>
    </row>
    <row r="115" spans="1:61" ht="5.25" customHeight="1" x14ac:dyDescent="0.2">
      <c r="A115" s="19"/>
      <c r="C115" s="16"/>
      <c r="D115" s="449"/>
      <c r="E115" s="450"/>
      <c r="F115" s="440"/>
      <c r="G115" s="440"/>
      <c r="H115" s="440"/>
      <c r="I115" s="440"/>
      <c r="J115" s="440"/>
      <c r="K115" s="441"/>
      <c r="L115" s="440"/>
      <c r="M115" s="440"/>
      <c r="N115" s="440"/>
      <c r="O115" s="440"/>
      <c r="P115" s="442"/>
      <c r="Q115" s="442"/>
      <c r="R115" s="442"/>
      <c r="S115" s="442"/>
      <c r="T115" s="442"/>
      <c r="U115" s="442"/>
      <c r="V115" s="442"/>
      <c r="W115" s="442"/>
      <c r="X115" s="442"/>
      <c r="Y115" s="442"/>
      <c r="Z115" s="442"/>
      <c r="AA115" s="442"/>
      <c r="AB115" s="442"/>
      <c r="AC115" s="442"/>
      <c r="AD115" s="440"/>
      <c r="AE115" s="440"/>
      <c r="AF115" s="440"/>
      <c r="AG115" s="440"/>
      <c r="AH115" s="430"/>
      <c r="AJ115" s="431"/>
      <c r="AK115" s="443"/>
      <c r="AL115" s="440"/>
      <c r="AM115" s="440"/>
      <c r="AN115" s="431"/>
      <c r="AO115" s="443"/>
      <c r="AQ115" s="429"/>
      <c r="AT115" s="429"/>
      <c r="AU115" s="445"/>
      <c r="AV115" s="429"/>
      <c r="AY115" s="446"/>
      <c r="AZ115" s="447"/>
      <c r="BA115" s="448"/>
      <c r="BB115" s="367"/>
      <c r="BC115" s="367"/>
      <c r="BD115" s="431"/>
      <c r="BE115" s="443"/>
      <c r="BF115" s="429"/>
      <c r="BG115" s="446"/>
    </row>
    <row r="116" spans="1:61" ht="38.25" x14ac:dyDescent="0.2">
      <c r="A116" s="19"/>
      <c r="C116" s="614" t="s">
        <v>1141</v>
      </c>
      <c r="D116" s="456"/>
      <c r="E116" s="457"/>
      <c r="F116" s="458"/>
      <c r="G116" s="458">
        <v>0</v>
      </c>
      <c r="H116" s="458"/>
      <c r="I116" s="458"/>
      <c r="J116" s="458"/>
      <c r="K116" s="459"/>
      <c r="L116" s="458"/>
      <c r="M116" s="458"/>
      <c r="N116" s="458"/>
      <c r="O116" s="458"/>
      <c r="P116" s="460"/>
      <c r="Q116" s="460"/>
      <c r="R116" s="460"/>
      <c r="S116" s="460"/>
      <c r="T116" s="460"/>
      <c r="U116" s="460"/>
      <c r="V116" s="460"/>
      <c r="W116" s="460"/>
      <c r="X116" s="460"/>
      <c r="Y116" s="460"/>
      <c r="Z116" s="460"/>
      <c r="AA116" s="460"/>
      <c r="AB116" s="460"/>
      <c r="AC116" s="460">
        <v>0</v>
      </c>
      <c r="AD116" s="458"/>
      <c r="AE116" s="458"/>
      <c r="AF116" s="458"/>
      <c r="AG116" s="458"/>
      <c r="AH116" s="461">
        <f t="shared" ref="AH116:AH122" si="91">L116+N116+P116+R116+T116+V116+X116+Z116+AB116+AD116+AF116</f>
        <v>0</v>
      </c>
      <c r="AI116" s="462">
        <f t="shared" ref="AI116:AI122" si="92">M116+O116+Q116+S116+U116+W116+Y116+AA116+AC116+AE116+AG116</f>
        <v>0</v>
      </c>
      <c r="AJ116" s="463">
        <f t="shared" ref="AJ116:AJ149" si="93">D116+F116+H116+J116+AH116</f>
        <v>0</v>
      </c>
      <c r="AK116" s="464">
        <f t="shared" ref="AK116:AK149" si="94">E116+G116+I116+K116+AI116</f>
        <v>0</v>
      </c>
      <c r="AL116" s="458"/>
      <c r="AM116" s="458"/>
      <c r="AN116" s="463"/>
      <c r="AO116" s="464"/>
      <c r="AP116" s="465"/>
      <c r="AQ116" s="466"/>
      <c r="AR116" s="462"/>
      <c r="AS116" s="465"/>
      <c r="AT116" s="466"/>
      <c r="AU116" s="467"/>
      <c r="AV116" s="466"/>
      <c r="AW116" s="462"/>
      <c r="AX116" s="465"/>
      <c r="AY116" s="468"/>
      <c r="AZ116" s="447"/>
      <c r="BA116" s="448"/>
      <c r="BB116" s="466">
        <f>ROUND(AJ116+AL116+AN116+AQ116+AV116+AZ116,0)</f>
        <v>0</v>
      </c>
      <c r="BC116" s="466">
        <f>ROUND(AK116+AM116+AO116+AT116+AY116+BA116,0)</f>
        <v>0</v>
      </c>
      <c r="BD116" s="463"/>
      <c r="BE116" s="464"/>
      <c r="BF116" s="466" t="str">
        <f>IF((BB116+BB117+BB118)-(BC116+BC117+BC118)&lt;=0," ",(BB116+BB117+BB118)-(BC116+BC117+BC118))</f>
        <v xml:space="preserve"> </v>
      </c>
      <c r="BG116" s="468">
        <f>IF((BB116+BB117+BB118)-(BC116+BC117+BC118)&gt;0," ",(BC116+BC117+BC118)-(BB116+BB117+BB118))</f>
        <v>0</v>
      </c>
      <c r="BH116" s="936" t="s">
        <v>4180</v>
      </c>
    </row>
    <row r="117" spans="1:61" x14ac:dyDescent="0.2">
      <c r="A117" s="19"/>
      <c r="C117" s="462"/>
      <c r="D117" s="456"/>
      <c r="E117" s="457"/>
      <c r="F117" s="458"/>
      <c r="G117" s="458"/>
      <c r="H117" s="458"/>
      <c r="I117" s="458"/>
      <c r="J117" s="458"/>
      <c r="K117" s="459"/>
      <c r="L117" s="458"/>
      <c r="M117" s="458"/>
      <c r="N117" s="458"/>
      <c r="O117" s="458"/>
      <c r="P117" s="460"/>
      <c r="Q117" s="460"/>
      <c r="R117" s="460"/>
      <c r="S117" s="460"/>
      <c r="T117" s="460"/>
      <c r="U117" s="460"/>
      <c r="V117" s="460"/>
      <c r="W117" s="460"/>
      <c r="X117" s="460"/>
      <c r="Y117" s="460"/>
      <c r="Z117" s="460"/>
      <c r="AA117" s="460"/>
      <c r="AB117" s="460"/>
      <c r="AC117" s="460"/>
      <c r="AD117" s="458"/>
      <c r="AE117" s="458"/>
      <c r="AF117" s="458"/>
      <c r="AG117" s="458"/>
      <c r="AH117" s="461">
        <f t="shared" si="91"/>
        <v>0</v>
      </c>
      <c r="AI117" s="462">
        <f t="shared" si="92"/>
        <v>0</v>
      </c>
      <c r="AJ117" s="463">
        <f t="shared" si="93"/>
        <v>0</v>
      </c>
      <c r="AK117" s="464">
        <f t="shared" si="94"/>
        <v>0</v>
      </c>
      <c r="AL117" s="458"/>
      <c r="AM117" s="458"/>
      <c r="AN117" s="463"/>
      <c r="AO117" s="464"/>
      <c r="AP117" s="465"/>
      <c r="AQ117" s="466"/>
      <c r="AR117" s="462"/>
      <c r="AS117" s="465"/>
      <c r="AT117" s="466"/>
      <c r="AU117" s="467"/>
      <c r="AV117" s="466"/>
      <c r="AW117" s="462"/>
      <c r="AX117" s="465"/>
      <c r="AY117" s="468"/>
      <c r="AZ117" s="447"/>
      <c r="BA117" s="448"/>
      <c r="BB117" s="466">
        <f>ROUND(AJ117+AL117+AN117+AQ117+AV117+AZ117,0)</f>
        <v>0</v>
      </c>
      <c r="BC117" s="466">
        <f>ROUND(AK117+AM117+AO117+AT117+AY117+BA117,0)</f>
        <v>0</v>
      </c>
      <c r="BD117" s="463"/>
      <c r="BE117" s="464"/>
      <c r="BF117" s="466"/>
      <c r="BG117" s="468"/>
    </row>
    <row r="118" spans="1:61" x14ac:dyDescent="0.2">
      <c r="A118" s="19"/>
      <c r="C118" s="204"/>
      <c r="D118" s="456"/>
      <c r="E118" s="457"/>
      <c r="F118" s="458"/>
      <c r="G118" s="458"/>
      <c r="H118" s="458"/>
      <c r="I118" s="458"/>
      <c r="J118" s="458"/>
      <c r="K118" s="459"/>
      <c r="L118" s="458"/>
      <c r="M118" s="458"/>
      <c r="N118" s="458"/>
      <c r="O118" s="458"/>
      <c r="P118" s="460"/>
      <c r="Q118" s="460"/>
      <c r="R118" s="460"/>
      <c r="S118" s="460"/>
      <c r="T118" s="460"/>
      <c r="U118" s="460"/>
      <c r="V118" s="460"/>
      <c r="W118" s="460"/>
      <c r="X118" s="460"/>
      <c r="Y118" s="460"/>
      <c r="Z118" s="460"/>
      <c r="AA118" s="460"/>
      <c r="AB118" s="460"/>
      <c r="AC118" s="460"/>
      <c r="AD118" s="458"/>
      <c r="AE118" s="458"/>
      <c r="AF118" s="458"/>
      <c r="AG118" s="458"/>
      <c r="AH118" s="461">
        <f t="shared" si="91"/>
        <v>0</v>
      </c>
      <c r="AI118" s="462">
        <f t="shared" si="92"/>
        <v>0</v>
      </c>
      <c r="AJ118" s="463">
        <f t="shared" si="93"/>
        <v>0</v>
      </c>
      <c r="AK118" s="464">
        <f t="shared" si="94"/>
        <v>0</v>
      </c>
      <c r="AL118" s="458"/>
      <c r="AM118" s="458"/>
      <c r="AN118" s="463"/>
      <c r="AO118" s="464"/>
      <c r="AP118" s="465"/>
      <c r="AQ118" s="466"/>
      <c r="AR118" s="462"/>
      <c r="AS118" s="465"/>
      <c r="AT118" s="466"/>
      <c r="AU118" s="467"/>
      <c r="AV118" s="466"/>
      <c r="AW118" s="462"/>
      <c r="AX118" s="465"/>
      <c r="AY118" s="468"/>
      <c r="AZ118" s="447"/>
      <c r="BA118" s="448"/>
      <c r="BB118" s="466">
        <f>ROUND(AJ118+AL118+AN118+AQ118+AV118+AZ118,0)</f>
        <v>0</v>
      </c>
      <c r="BC118" s="466">
        <f>ROUND(AK118+AM118+AO118+AT118+AY118+BA118,0)</f>
        <v>0</v>
      </c>
      <c r="BD118" s="463"/>
      <c r="BE118" s="464"/>
      <c r="BF118" s="466"/>
      <c r="BG118" s="468"/>
    </row>
    <row r="119" spans="1:61" x14ac:dyDescent="0.2">
      <c r="A119" s="19"/>
      <c r="C119" t="s">
        <v>59</v>
      </c>
      <c r="D119" s="449"/>
      <c r="E119" s="450"/>
      <c r="F119" s="440"/>
      <c r="G119" s="440"/>
      <c r="H119" s="440"/>
      <c r="I119" s="440"/>
      <c r="J119" s="440"/>
      <c r="K119" s="441"/>
      <c r="L119" s="440"/>
      <c r="M119" s="440"/>
      <c r="N119" s="440"/>
      <c r="O119" s="440"/>
      <c r="P119" s="442"/>
      <c r="Q119" s="442"/>
      <c r="R119" s="442"/>
      <c r="S119" s="442"/>
      <c r="T119" s="442"/>
      <c r="U119" s="442"/>
      <c r="V119" s="442"/>
      <c r="W119" s="442"/>
      <c r="X119" s="442"/>
      <c r="Y119" s="442"/>
      <c r="Z119" s="442"/>
      <c r="AA119" s="442"/>
      <c r="AB119" s="442"/>
      <c r="AC119" s="442"/>
      <c r="AD119" s="440"/>
      <c r="AE119" s="440"/>
      <c r="AF119" s="440"/>
      <c r="AG119" s="440"/>
      <c r="AH119" s="430">
        <f t="shared" si="91"/>
        <v>0</v>
      </c>
      <c r="AI119" s="369">
        <f t="shared" si="92"/>
        <v>0</v>
      </c>
      <c r="AJ119" s="431">
        <f t="shared" si="93"/>
        <v>0</v>
      </c>
      <c r="AK119" s="443">
        <f t="shared" si="94"/>
        <v>0</v>
      </c>
      <c r="AL119" s="440"/>
      <c r="AM119" s="440"/>
      <c r="AN119" s="431"/>
      <c r="AO119" s="443"/>
      <c r="AQ119" s="429"/>
      <c r="AT119" s="429"/>
      <c r="AU119" s="445"/>
      <c r="AV119" s="429"/>
      <c r="AY119" s="446"/>
      <c r="AZ119" s="447"/>
      <c r="BA119" s="448"/>
      <c r="BB119" s="395">
        <f t="shared" ref="BB119:BB124" si="95">ROUND(AJ119+AL119+AN119+AQ119+AV119+AZ119,0)</f>
        <v>0</v>
      </c>
      <c r="BC119" s="395">
        <f t="shared" ref="BC119:BC124" si="96">ROUND(AK119+AM119+AO119+AT119+AY119+BA119,0)</f>
        <v>0</v>
      </c>
      <c r="BD119" s="431"/>
      <c r="BE119" s="443"/>
      <c r="BF119" s="429" t="str">
        <f t="shared" si="90"/>
        <v xml:space="preserve"> </v>
      </c>
      <c r="BG119" s="446">
        <f>IF(BB119-BC119&gt;0," ",BC119-BB119)</f>
        <v>0</v>
      </c>
    </row>
    <row r="120" spans="1:61" x14ac:dyDescent="0.2">
      <c r="A120" s="19"/>
      <c r="C120" t="s">
        <v>141</v>
      </c>
      <c r="D120" s="449"/>
      <c r="E120" s="450">
        <v>50551</v>
      </c>
      <c r="F120" s="440"/>
      <c r="G120" s="440"/>
      <c r="H120" s="440"/>
      <c r="I120" s="440"/>
      <c r="J120" s="440"/>
      <c r="K120" s="441"/>
      <c r="L120" s="440"/>
      <c r="M120" s="440"/>
      <c r="N120" s="440"/>
      <c r="O120" s="440"/>
      <c r="P120" s="442"/>
      <c r="Q120" s="442"/>
      <c r="R120" s="442"/>
      <c r="S120" s="442"/>
      <c r="T120" s="442"/>
      <c r="U120" s="442">
        <v>2724</v>
      </c>
      <c r="V120" s="442"/>
      <c r="W120" s="442">
        <v>72179</v>
      </c>
      <c r="X120" s="442"/>
      <c r="Y120" s="442"/>
      <c r="Z120" s="442"/>
      <c r="AA120" s="442"/>
      <c r="AB120" s="442"/>
      <c r="AC120" s="442"/>
      <c r="AD120" s="440"/>
      <c r="AE120" s="440"/>
      <c r="AF120" s="440"/>
      <c r="AG120" s="440"/>
      <c r="AH120" s="430">
        <f t="shared" si="91"/>
        <v>0</v>
      </c>
      <c r="AI120" s="369">
        <f t="shared" si="92"/>
        <v>74903</v>
      </c>
      <c r="AJ120" s="431">
        <f t="shared" si="93"/>
        <v>0</v>
      </c>
      <c r="AK120" s="443">
        <f t="shared" si="94"/>
        <v>125454</v>
      </c>
      <c r="AL120" s="440"/>
      <c r="AM120" s="440"/>
      <c r="AN120" s="431"/>
      <c r="AO120" s="443"/>
      <c r="AQ120" s="429"/>
      <c r="AT120" s="429"/>
      <c r="AU120" s="445"/>
      <c r="AV120" s="429"/>
      <c r="AY120" s="446"/>
      <c r="AZ120" s="447"/>
      <c r="BA120" s="448"/>
      <c r="BB120" s="395">
        <f t="shared" si="95"/>
        <v>0</v>
      </c>
      <c r="BC120" s="395">
        <f t="shared" si="96"/>
        <v>125454</v>
      </c>
      <c r="BD120" s="431"/>
      <c r="BE120" s="443"/>
      <c r="BF120" s="429" t="str">
        <f t="shared" si="90"/>
        <v xml:space="preserve"> </v>
      </c>
      <c r="BG120" s="446">
        <f>IF(BB120-BC120&gt;0," ",BC120-BB120)</f>
        <v>125454</v>
      </c>
      <c r="BH120" s="937" t="s">
        <v>4180</v>
      </c>
    </row>
    <row r="121" spans="1:61" x14ac:dyDescent="0.2">
      <c r="A121" s="19"/>
      <c r="C121" t="s">
        <v>287</v>
      </c>
      <c r="D121" s="449"/>
      <c r="E121" s="450"/>
      <c r="F121" s="440"/>
      <c r="G121" s="440"/>
      <c r="H121" s="440"/>
      <c r="I121" s="440"/>
      <c r="J121" s="440"/>
      <c r="K121" s="441"/>
      <c r="L121" s="440"/>
      <c r="M121" s="440"/>
      <c r="N121" s="440"/>
      <c r="O121" s="440"/>
      <c r="P121" s="442"/>
      <c r="Q121" s="442"/>
      <c r="R121" s="442"/>
      <c r="S121" s="442"/>
      <c r="T121" s="442"/>
      <c r="U121" s="442"/>
      <c r="V121" s="442"/>
      <c r="W121" s="442"/>
      <c r="X121" s="442"/>
      <c r="Y121" s="442"/>
      <c r="Z121" s="442"/>
      <c r="AA121" s="442"/>
      <c r="AB121" s="442"/>
      <c r="AC121" s="442"/>
      <c r="AD121" s="440"/>
      <c r="AE121" s="440"/>
      <c r="AF121" s="440"/>
      <c r="AG121" s="440"/>
      <c r="AH121" s="430">
        <f t="shared" si="91"/>
        <v>0</v>
      </c>
      <c r="AI121" s="369">
        <f t="shared" si="92"/>
        <v>0</v>
      </c>
      <c r="AJ121" s="431">
        <f t="shared" si="93"/>
        <v>0</v>
      </c>
      <c r="AK121" s="443">
        <f t="shared" si="94"/>
        <v>0</v>
      </c>
      <c r="AL121" s="440"/>
      <c r="AM121" s="440"/>
      <c r="AN121" s="431"/>
      <c r="AO121" s="443"/>
      <c r="AQ121" s="429"/>
      <c r="AT121" s="429"/>
      <c r="AU121" s="445"/>
      <c r="AV121" s="429"/>
      <c r="AX121" s="444" t="str">
        <f>'L. Eliminations-Consolidations'!A214</f>
        <v>L.4</v>
      </c>
      <c r="AY121" s="446">
        <f>'L. Eliminations-Consolidations'!L217</f>
        <v>0</v>
      </c>
      <c r="AZ121" s="447"/>
      <c r="BA121" s="448"/>
      <c r="BB121" s="395">
        <f t="shared" si="95"/>
        <v>0</v>
      </c>
      <c r="BC121" s="395">
        <f t="shared" si="96"/>
        <v>0</v>
      </c>
      <c r="BD121" s="431"/>
      <c r="BE121" s="443"/>
      <c r="BF121" s="429" t="str">
        <f t="shared" si="90"/>
        <v xml:space="preserve"> </v>
      </c>
      <c r="BG121" s="446">
        <f>IF(BB121-BC121&gt;0," ",BC121-BB121)</f>
        <v>0</v>
      </c>
      <c r="BH121" s="938"/>
    </row>
    <row r="122" spans="1:61" x14ac:dyDescent="0.2">
      <c r="A122" s="19"/>
      <c r="C122" t="s">
        <v>60</v>
      </c>
      <c r="D122" s="449"/>
      <c r="E122" s="450"/>
      <c r="F122" s="440"/>
      <c r="G122" s="440"/>
      <c r="H122" s="440"/>
      <c r="I122" s="440"/>
      <c r="J122" s="440"/>
      <c r="K122" s="441"/>
      <c r="L122" s="440"/>
      <c r="M122" s="440"/>
      <c r="N122" s="440"/>
      <c r="O122" s="440"/>
      <c r="P122" s="442"/>
      <c r="Q122" s="442"/>
      <c r="R122" s="442"/>
      <c r="S122" s="442"/>
      <c r="T122" s="442"/>
      <c r="U122" s="442"/>
      <c r="V122" s="442"/>
      <c r="W122" s="442"/>
      <c r="X122" s="442"/>
      <c r="Y122" s="442"/>
      <c r="Z122" s="442"/>
      <c r="AA122" s="442"/>
      <c r="AB122" s="442"/>
      <c r="AC122" s="442"/>
      <c r="AD122" s="440"/>
      <c r="AE122" s="440"/>
      <c r="AF122" s="440"/>
      <c r="AG122" s="440"/>
      <c r="AH122" s="430">
        <f t="shared" si="91"/>
        <v>0</v>
      </c>
      <c r="AI122" s="369">
        <f t="shared" si="92"/>
        <v>0</v>
      </c>
      <c r="AJ122" s="431">
        <f t="shared" si="93"/>
        <v>0</v>
      </c>
      <c r="AK122" s="443">
        <f t="shared" si="94"/>
        <v>0</v>
      </c>
      <c r="AL122" s="440"/>
      <c r="AM122" s="440"/>
      <c r="AN122" s="431"/>
      <c r="AO122" s="443"/>
      <c r="AQ122" s="429"/>
      <c r="AT122" s="429"/>
      <c r="AU122" s="445"/>
      <c r="AV122" s="429"/>
      <c r="AY122" s="446"/>
      <c r="AZ122" s="447"/>
      <c r="BA122" s="448"/>
      <c r="BB122" s="395">
        <f t="shared" si="95"/>
        <v>0</v>
      </c>
      <c r="BC122" s="395">
        <f t="shared" si="96"/>
        <v>0</v>
      </c>
      <c r="BD122" s="431"/>
      <c r="BE122" s="443"/>
      <c r="BF122" s="429" t="str">
        <f t="shared" si="90"/>
        <v xml:space="preserve"> </v>
      </c>
      <c r="BG122" s="446">
        <f>IF(BB122-BC122&gt;0," ",BC122-BB122)</f>
        <v>0</v>
      </c>
      <c r="BH122" s="937"/>
    </row>
    <row r="123" spans="1:61" x14ac:dyDescent="0.2">
      <c r="A123" s="19"/>
      <c r="C123" s="204" t="s">
        <v>834</v>
      </c>
      <c r="D123" s="456"/>
      <c r="E123" s="457"/>
      <c r="F123" s="458"/>
      <c r="G123" s="458"/>
      <c r="H123" s="458"/>
      <c r="I123" s="458"/>
      <c r="J123" s="458"/>
      <c r="K123" s="459"/>
      <c r="L123" s="458"/>
      <c r="M123" s="458"/>
      <c r="N123" s="458"/>
      <c r="O123" s="458"/>
      <c r="P123" s="460"/>
      <c r="Q123" s="460"/>
      <c r="R123" s="460"/>
      <c r="S123" s="460"/>
      <c r="T123" s="460"/>
      <c r="U123" s="460"/>
      <c r="V123" s="460"/>
      <c r="W123" s="460"/>
      <c r="X123" s="460"/>
      <c r="Y123" s="460"/>
      <c r="Z123" s="460"/>
      <c r="AA123" s="460"/>
      <c r="AB123" s="460"/>
      <c r="AC123" s="460"/>
      <c r="AD123" s="458"/>
      <c r="AE123" s="458"/>
      <c r="AF123" s="458"/>
      <c r="AG123" s="458"/>
      <c r="AH123" s="461">
        <f t="shared" ref="AH123:AH135" si="97">L123+N123+P123+R123+T123+V123+X123+Z123+AB123+AD123+AF123</f>
        <v>0</v>
      </c>
      <c r="AI123" s="462">
        <f t="shared" ref="AI123:AI135" si="98">M123+O123+Q123+S123+U123+W123+Y123+AA123+AC123+AE123+AG123</f>
        <v>0</v>
      </c>
      <c r="AJ123" s="463">
        <f t="shared" si="93"/>
        <v>0</v>
      </c>
      <c r="AK123" s="464">
        <f t="shared" si="94"/>
        <v>0</v>
      </c>
      <c r="AL123" s="458"/>
      <c r="AM123" s="458"/>
      <c r="AN123" s="463"/>
      <c r="AO123" s="464"/>
      <c r="AP123" s="465"/>
      <c r="AQ123" s="466"/>
      <c r="AR123" s="462"/>
      <c r="AS123" s="465"/>
      <c r="AT123" s="466"/>
      <c r="AU123" s="467" t="str">
        <f>'L. Eliminations-Consolidations'!A203</f>
        <v>L.2</v>
      </c>
      <c r="AV123" s="466">
        <f>'L. Eliminations-Consolidations'!J204</f>
        <v>0</v>
      </c>
      <c r="AW123" s="462"/>
      <c r="AX123" s="470" t="s">
        <v>634</v>
      </c>
      <c r="AY123" s="466">
        <f>'K.1  Int. Service Fd Allocation'!G188+'K.2  Int. Service Fd Alloca'!G183+'K.3 Int. Service Fd Alloca'!G183</f>
        <v>0</v>
      </c>
      <c r="AZ123" s="471"/>
      <c r="BA123" s="448"/>
      <c r="BB123" s="466">
        <f t="shared" si="95"/>
        <v>0</v>
      </c>
      <c r="BC123" s="466">
        <f t="shared" si="96"/>
        <v>0</v>
      </c>
      <c r="BD123" s="463"/>
      <c r="BE123" s="464"/>
      <c r="BF123" s="466" t="str">
        <f>IF((BB123+BB124)-(BC123+BC124)&lt;=0," ",(BB123+BB124)-(BC123+BC124))</f>
        <v xml:space="preserve"> </v>
      </c>
      <c r="BG123" s="468">
        <f>IF((BB123+BB124)-(BC123+BC124)&gt;0," ",(BC123+BC124)-(BB123+BB124))</f>
        <v>0</v>
      </c>
    </row>
    <row r="124" spans="1:61" x14ac:dyDescent="0.2">
      <c r="A124" s="19"/>
      <c r="C124" s="204"/>
      <c r="D124" s="456"/>
      <c r="E124" s="457"/>
      <c r="F124" s="458"/>
      <c r="G124" s="458"/>
      <c r="H124" s="458"/>
      <c r="I124" s="458"/>
      <c r="J124" s="458"/>
      <c r="K124" s="459"/>
      <c r="L124" s="458"/>
      <c r="M124" s="458"/>
      <c r="N124" s="458"/>
      <c r="O124" s="458"/>
      <c r="P124" s="460"/>
      <c r="Q124" s="460"/>
      <c r="R124" s="460"/>
      <c r="S124" s="460"/>
      <c r="T124" s="460"/>
      <c r="U124" s="460"/>
      <c r="V124" s="460"/>
      <c r="W124" s="460"/>
      <c r="X124" s="460"/>
      <c r="Y124" s="460"/>
      <c r="Z124" s="460"/>
      <c r="AA124" s="460"/>
      <c r="AB124" s="460"/>
      <c r="AC124" s="460"/>
      <c r="AD124" s="458"/>
      <c r="AE124" s="458"/>
      <c r="AF124" s="458"/>
      <c r="AG124" s="458"/>
      <c r="AH124" s="461">
        <f t="shared" si="97"/>
        <v>0</v>
      </c>
      <c r="AI124" s="462">
        <f t="shared" si="98"/>
        <v>0</v>
      </c>
      <c r="AJ124" s="463">
        <f t="shared" si="93"/>
        <v>0</v>
      </c>
      <c r="AK124" s="464">
        <f t="shared" si="94"/>
        <v>0</v>
      </c>
      <c r="AL124" s="458"/>
      <c r="AM124" s="458"/>
      <c r="AN124" s="463"/>
      <c r="AO124" s="464"/>
      <c r="AP124" s="465"/>
      <c r="AQ124" s="466"/>
      <c r="AR124" s="462"/>
      <c r="AS124" s="465"/>
      <c r="AT124" s="466"/>
      <c r="AU124" s="467" t="str">
        <f>'L. Eliminations-Consolidations'!A208</f>
        <v>L.3</v>
      </c>
      <c r="AV124" s="466">
        <f>'L. Eliminations-Consolidations'!J208</f>
        <v>0</v>
      </c>
      <c r="AW124" s="462"/>
      <c r="AX124" s="465"/>
      <c r="AY124" s="468"/>
      <c r="AZ124" s="447"/>
      <c r="BA124" s="448"/>
      <c r="BB124" s="466">
        <f t="shared" si="95"/>
        <v>0</v>
      </c>
      <c r="BC124" s="466">
        <f t="shared" si="96"/>
        <v>0</v>
      </c>
      <c r="BD124" s="463"/>
      <c r="BE124" s="464"/>
      <c r="BF124" s="466"/>
      <c r="BG124" s="468"/>
    </row>
    <row r="125" spans="1:61" x14ac:dyDescent="0.2">
      <c r="A125" s="19"/>
      <c r="C125" t="s">
        <v>167</v>
      </c>
      <c r="D125" s="449"/>
      <c r="E125" s="450">
        <v>1639</v>
      </c>
      <c r="F125" s="440"/>
      <c r="G125" s="440"/>
      <c r="H125" s="440"/>
      <c r="I125" s="440"/>
      <c r="J125" s="440"/>
      <c r="K125" s="441"/>
      <c r="L125" s="440"/>
      <c r="M125" s="440"/>
      <c r="N125" s="440"/>
      <c r="O125" s="440"/>
      <c r="P125" s="442"/>
      <c r="Q125" s="442"/>
      <c r="R125" s="442"/>
      <c r="S125" s="442"/>
      <c r="T125" s="442"/>
      <c r="U125" s="442"/>
      <c r="V125" s="442"/>
      <c r="W125" s="442"/>
      <c r="X125" s="442"/>
      <c r="Y125" s="442"/>
      <c r="Z125" s="442"/>
      <c r="AA125" s="442"/>
      <c r="AB125" s="442"/>
      <c r="AC125" s="442"/>
      <c r="AD125" s="440"/>
      <c r="AE125" s="440"/>
      <c r="AF125" s="440"/>
      <c r="AG125" s="440"/>
      <c r="AH125" s="430">
        <f t="shared" si="97"/>
        <v>0</v>
      </c>
      <c r="AI125" s="369">
        <f t="shared" si="98"/>
        <v>0</v>
      </c>
      <c r="AJ125" s="431">
        <f t="shared" si="93"/>
        <v>0</v>
      </c>
      <c r="AK125" s="443">
        <f t="shared" si="94"/>
        <v>1639</v>
      </c>
      <c r="AL125" s="440"/>
      <c r="AM125" s="440"/>
      <c r="AN125" s="431"/>
      <c r="AO125" s="443"/>
      <c r="AP125" s="444" t="str">
        <f>'G. Debt Service'!D57</f>
        <v>G.3</v>
      </c>
      <c r="AQ125" s="429">
        <f>'G. Debt Service'!L57</f>
        <v>19163</v>
      </c>
      <c r="AS125" s="444" t="str">
        <f>'G. Debt Service'!D54</f>
        <v>G.2</v>
      </c>
      <c r="AT125" s="429">
        <f>'G. Debt Service'!N55</f>
        <v>331007</v>
      </c>
      <c r="AU125" s="445"/>
      <c r="AV125" s="429"/>
      <c r="AY125" s="446"/>
      <c r="AZ125" s="447"/>
      <c r="BA125" s="448"/>
      <c r="BB125" s="395">
        <f t="shared" ref="BB125:BB135" si="99">ROUND(AJ125+AL125+AN125+AQ125+AV125+AZ125,0)</f>
        <v>19163</v>
      </c>
      <c r="BC125" s="395">
        <f t="shared" ref="BC125:BC134" si="100">ROUND(AK125+AM125+AO125+AT125+AY125+BA125,0)</f>
        <v>332646</v>
      </c>
      <c r="BD125" s="431"/>
      <c r="BE125" s="443"/>
      <c r="BF125" s="429" t="str">
        <f t="shared" si="90"/>
        <v xml:space="preserve"> </v>
      </c>
      <c r="BG125" s="455">
        <f t="shared" ref="BG125:BG134" si="101">IF(BB125-BC125&gt;0," ",BC125-BB125)</f>
        <v>313483</v>
      </c>
      <c r="BH125" s="937" t="s">
        <v>4180</v>
      </c>
    </row>
    <row r="126" spans="1:61" x14ac:dyDescent="0.2">
      <c r="A126" s="19"/>
      <c r="C126" t="s">
        <v>657</v>
      </c>
      <c r="D126" s="449"/>
      <c r="E126" s="450"/>
      <c r="F126" s="440"/>
      <c r="G126" s="440"/>
      <c r="H126" s="440"/>
      <c r="I126" s="440"/>
      <c r="J126" s="440"/>
      <c r="K126" s="441"/>
      <c r="L126" s="440"/>
      <c r="M126" s="440"/>
      <c r="N126" s="440"/>
      <c r="O126" s="440"/>
      <c r="P126" s="442"/>
      <c r="Q126" s="442"/>
      <c r="R126" s="442"/>
      <c r="S126" s="442"/>
      <c r="T126" s="442"/>
      <c r="U126" s="442"/>
      <c r="V126" s="442"/>
      <c r="W126" s="442"/>
      <c r="X126" s="442"/>
      <c r="Y126" s="442"/>
      <c r="Z126" s="442"/>
      <c r="AA126" s="442"/>
      <c r="AB126" s="442"/>
      <c r="AC126" s="442"/>
      <c r="AD126" s="440"/>
      <c r="AE126" s="440"/>
      <c r="AF126" s="440"/>
      <c r="AG126" s="440"/>
      <c r="AH126" s="430">
        <f t="shared" si="97"/>
        <v>0</v>
      </c>
      <c r="AI126" s="369">
        <f t="shared" si="98"/>
        <v>0</v>
      </c>
      <c r="AJ126" s="431">
        <f t="shared" si="93"/>
        <v>0</v>
      </c>
      <c r="AK126" s="443">
        <f t="shared" si="94"/>
        <v>0</v>
      </c>
      <c r="AL126" s="440"/>
      <c r="AM126" s="440"/>
      <c r="AN126" s="431"/>
      <c r="AO126" s="443"/>
      <c r="AQ126" s="429"/>
      <c r="AT126" s="429"/>
      <c r="AU126" s="445"/>
      <c r="AV126" s="429"/>
      <c r="AX126" s="444" t="str">
        <f>'L. Eliminations-Consolidations'!A224</f>
        <v>L.6</v>
      </c>
      <c r="AY126" s="446">
        <f>'L. Eliminations-Consolidations'!L233</f>
        <v>0</v>
      </c>
      <c r="AZ126" s="447"/>
      <c r="BA126" s="448"/>
      <c r="BB126" s="395">
        <f t="shared" si="99"/>
        <v>0</v>
      </c>
      <c r="BC126" s="395">
        <f t="shared" si="100"/>
        <v>0</v>
      </c>
      <c r="BD126" s="431"/>
      <c r="BE126" s="443"/>
      <c r="BF126" s="429" t="str">
        <f t="shared" si="90"/>
        <v xml:space="preserve"> </v>
      </c>
      <c r="BG126" s="455">
        <f t="shared" si="101"/>
        <v>0</v>
      </c>
    </row>
    <row r="127" spans="1:61" x14ac:dyDescent="0.2">
      <c r="A127" s="19"/>
      <c r="C127" t="s">
        <v>658</v>
      </c>
      <c r="D127" s="449"/>
      <c r="E127" s="450"/>
      <c r="F127" s="440"/>
      <c r="G127" s="440"/>
      <c r="H127" s="440"/>
      <c r="I127" s="440"/>
      <c r="J127" s="440"/>
      <c r="K127" s="441"/>
      <c r="L127" s="440"/>
      <c r="M127" s="440"/>
      <c r="N127" s="440"/>
      <c r="O127" s="440"/>
      <c r="P127" s="442"/>
      <c r="Q127" s="442"/>
      <c r="R127" s="442"/>
      <c r="S127" s="442"/>
      <c r="T127" s="442"/>
      <c r="U127" s="442"/>
      <c r="V127" s="442"/>
      <c r="W127" s="442"/>
      <c r="X127" s="442"/>
      <c r="Y127" s="442"/>
      <c r="Z127" s="442"/>
      <c r="AA127" s="442"/>
      <c r="AB127" s="442"/>
      <c r="AC127" s="442"/>
      <c r="AD127" s="440"/>
      <c r="AE127" s="440"/>
      <c r="AF127" s="440"/>
      <c r="AG127" s="440"/>
      <c r="AH127" s="430">
        <f t="shared" si="97"/>
        <v>0</v>
      </c>
      <c r="AI127" s="369">
        <f t="shared" si="98"/>
        <v>0</v>
      </c>
      <c r="AJ127" s="431">
        <f t="shared" si="93"/>
        <v>0</v>
      </c>
      <c r="AK127" s="443">
        <f t="shared" si="94"/>
        <v>0</v>
      </c>
      <c r="AL127" s="440"/>
      <c r="AM127" s="440"/>
      <c r="AN127" s="431"/>
      <c r="AO127" s="443"/>
      <c r="AQ127" s="429"/>
      <c r="AT127" s="429"/>
      <c r="AU127" s="445"/>
      <c r="AV127" s="429"/>
      <c r="AX127" s="444" t="str">
        <f>'L. Eliminations-Consolidations'!A224</f>
        <v>L.6</v>
      </c>
      <c r="AY127" s="446">
        <f>'L. Eliminations-Consolidations'!L234</f>
        <v>171429</v>
      </c>
      <c r="AZ127" s="447"/>
      <c r="BA127" s="448"/>
      <c r="BB127" s="395">
        <f t="shared" si="99"/>
        <v>0</v>
      </c>
      <c r="BC127" s="395">
        <f t="shared" si="100"/>
        <v>171429</v>
      </c>
      <c r="BD127" s="431"/>
      <c r="BE127" s="443"/>
      <c r="BF127" s="367" t="str">
        <f t="shared" si="90"/>
        <v xml:space="preserve"> </v>
      </c>
      <c r="BG127" s="455">
        <f t="shared" si="101"/>
        <v>171429</v>
      </c>
      <c r="BH127" s="936" t="s">
        <v>4222</v>
      </c>
      <c r="BI127" s="938">
        <f>+BG127+BG128+BG129+BG130+BG131</f>
        <v>862573</v>
      </c>
    </row>
    <row r="128" spans="1:61" x14ac:dyDescent="0.2">
      <c r="A128" s="19"/>
      <c r="C128" t="s">
        <v>659</v>
      </c>
      <c r="D128" s="449"/>
      <c r="E128" s="450"/>
      <c r="F128" s="440"/>
      <c r="G128" s="440"/>
      <c r="H128" s="440"/>
      <c r="I128" s="440"/>
      <c r="J128" s="440"/>
      <c r="K128" s="441"/>
      <c r="L128" s="440"/>
      <c r="M128" s="440"/>
      <c r="N128" s="440"/>
      <c r="O128" s="440"/>
      <c r="P128" s="442"/>
      <c r="Q128" s="442"/>
      <c r="R128" s="442"/>
      <c r="S128" s="442"/>
      <c r="T128" s="442"/>
      <c r="U128" s="442"/>
      <c r="V128" s="442"/>
      <c r="W128" s="442"/>
      <c r="X128" s="442"/>
      <c r="Y128" s="442"/>
      <c r="Z128" s="442"/>
      <c r="AA128" s="442"/>
      <c r="AB128" s="442"/>
      <c r="AC128" s="442"/>
      <c r="AD128" s="440"/>
      <c r="AE128" s="440"/>
      <c r="AF128" s="440"/>
      <c r="AG128" s="440"/>
      <c r="AH128" s="430">
        <f t="shared" si="97"/>
        <v>0</v>
      </c>
      <c r="AI128" s="369">
        <f t="shared" si="98"/>
        <v>0</v>
      </c>
      <c r="AJ128" s="431">
        <f t="shared" si="93"/>
        <v>0</v>
      </c>
      <c r="AK128" s="443">
        <f t="shared" si="94"/>
        <v>0</v>
      </c>
      <c r="AL128" s="440"/>
      <c r="AM128" s="440"/>
      <c r="AN128" s="431"/>
      <c r="AO128" s="443"/>
      <c r="AQ128" s="429"/>
      <c r="AT128" s="429"/>
      <c r="AU128" s="445"/>
      <c r="AV128" s="429"/>
      <c r="AX128" s="444" t="str">
        <f>'L. Eliminations-Consolidations'!A224</f>
        <v>L.6</v>
      </c>
      <c r="AY128" s="446">
        <f>'L. Eliminations-Consolidations'!L235</f>
        <v>625000</v>
      </c>
      <c r="AZ128" s="447"/>
      <c r="BA128" s="448"/>
      <c r="BB128" s="395">
        <f t="shared" si="99"/>
        <v>0</v>
      </c>
      <c r="BC128" s="395">
        <f t="shared" si="100"/>
        <v>625000</v>
      </c>
      <c r="BD128" s="431"/>
      <c r="BE128" s="443"/>
      <c r="BF128" s="367" t="str">
        <f t="shared" si="90"/>
        <v xml:space="preserve"> </v>
      </c>
      <c r="BG128" s="455">
        <f t="shared" si="101"/>
        <v>625000</v>
      </c>
      <c r="BH128" s="936" t="s">
        <v>4222</v>
      </c>
    </row>
    <row r="129" spans="1:62" x14ac:dyDescent="0.2">
      <c r="A129" s="19"/>
      <c r="C129" t="s">
        <v>660</v>
      </c>
      <c r="D129" s="449"/>
      <c r="E129" s="450"/>
      <c r="F129" s="440"/>
      <c r="G129" s="440"/>
      <c r="H129" s="440"/>
      <c r="I129" s="440"/>
      <c r="J129" s="440"/>
      <c r="K129" s="441"/>
      <c r="L129" s="440"/>
      <c r="M129" s="440"/>
      <c r="N129" s="440"/>
      <c r="O129" s="440"/>
      <c r="P129" s="442"/>
      <c r="Q129" s="442"/>
      <c r="R129" s="442"/>
      <c r="S129" s="442"/>
      <c r="T129" s="442"/>
      <c r="U129" s="442"/>
      <c r="V129" s="442"/>
      <c r="W129" s="442"/>
      <c r="X129" s="442"/>
      <c r="Y129" s="442"/>
      <c r="Z129" s="442"/>
      <c r="AA129" s="442"/>
      <c r="AB129" s="442"/>
      <c r="AC129" s="442"/>
      <c r="AD129" s="440"/>
      <c r="AE129" s="440"/>
      <c r="AF129" s="440"/>
      <c r="AG129" s="440"/>
      <c r="AH129" s="430">
        <f t="shared" si="97"/>
        <v>0</v>
      </c>
      <c r="AI129" s="369">
        <f t="shared" si="98"/>
        <v>0</v>
      </c>
      <c r="AJ129" s="431">
        <f t="shared" si="93"/>
        <v>0</v>
      </c>
      <c r="AK129" s="443">
        <f t="shared" si="94"/>
        <v>0</v>
      </c>
      <c r="AL129" s="440"/>
      <c r="AM129" s="440"/>
      <c r="AN129" s="431"/>
      <c r="AO129" s="443"/>
      <c r="AQ129" s="429"/>
      <c r="AT129" s="429"/>
      <c r="AU129" s="445"/>
      <c r="AV129" s="429"/>
      <c r="AX129" s="444" t="str">
        <f>'L. Eliminations-Consolidations'!A224</f>
        <v>L.6</v>
      </c>
      <c r="AY129" s="446">
        <f>'L. Eliminations-Consolidations'!L236</f>
        <v>0</v>
      </c>
      <c r="AZ129" s="447"/>
      <c r="BA129" s="448"/>
      <c r="BB129" s="395">
        <f t="shared" si="99"/>
        <v>0</v>
      </c>
      <c r="BC129" s="395">
        <f t="shared" si="100"/>
        <v>0</v>
      </c>
      <c r="BD129" s="431"/>
      <c r="BE129" s="443"/>
      <c r="BF129" s="367" t="str">
        <f t="shared" si="90"/>
        <v xml:space="preserve"> </v>
      </c>
      <c r="BG129" s="455">
        <f t="shared" si="101"/>
        <v>0</v>
      </c>
      <c r="BH129" s="936" t="s">
        <v>4222</v>
      </c>
    </row>
    <row r="130" spans="1:62" x14ac:dyDescent="0.2">
      <c r="A130" s="19"/>
      <c r="C130" t="s">
        <v>4101</v>
      </c>
      <c r="D130" s="449"/>
      <c r="E130" s="450"/>
      <c r="F130" s="440"/>
      <c r="G130" s="440"/>
      <c r="H130" s="440"/>
      <c r="I130" s="440"/>
      <c r="J130" s="440"/>
      <c r="K130" s="441"/>
      <c r="L130" s="440"/>
      <c r="M130" s="440"/>
      <c r="N130" s="440"/>
      <c r="O130" s="440"/>
      <c r="P130" s="442"/>
      <c r="Q130" s="442"/>
      <c r="R130" s="442"/>
      <c r="S130" s="442"/>
      <c r="T130" s="442"/>
      <c r="U130" s="442"/>
      <c r="V130" s="442"/>
      <c r="W130" s="442"/>
      <c r="X130" s="442"/>
      <c r="Y130" s="442"/>
      <c r="Z130" s="442"/>
      <c r="AA130" s="442"/>
      <c r="AB130" s="442"/>
      <c r="AC130" s="442"/>
      <c r="AD130" s="440"/>
      <c r="AE130" s="440"/>
      <c r="AF130" s="440"/>
      <c r="AG130" s="440"/>
      <c r="AH130" s="430">
        <f t="shared" si="97"/>
        <v>0</v>
      </c>
      <c r="AI130" s="369">
        <f t="shared" si="98"/>
        <v>0</v>
      </c>
      <c r="AJ130" s="431">
        <f t="shared" si="93"/>
        <v>0</v>
      </c>
      <c r="AK130" s="443">
        <f t="shared" si="94"/>
        <v>0</v>
      </c>
      <c r="AL130" s="440"/>
      <c r="AM130" s="440"/>
      <c r="AN130" s="431"/>
      <c r="AO130" s="443"/>
      <c r="AQ130" s="429"/>
      <c r="AT130" s="429"/>
      <c r="AU130" s="445"/>
      <c r="AV130" s="429"/>
      <c r="AX130" s="444" t="str">
        <f>'L. Eliminations-Consolidations'!A224</f>
        <v>L.6</v>
      </c>
      <c r="AY130" s="446">
        <f>'L. Eliminations-Consolidations'!L237</f>
        <v>44777</v>
      </c>
      <c r="AZ130" s="447"/>
      <c r="BA130" s="448"/>
      <c r="BB130" s="395">
        <f t="shared" si="99"/>
        <v>0</v>
      </c>
      <c r="BC130" s="395">
        <f t="shared" si="100"/>
        <v>44777</v>
      </c>
      <c r="BD130" s="431"/>
      <c r="BE130" s="443"/>
      <c r="BF130" s="367" t="str">
        <f t="shared" si="90"/>
        <v xml:space="preserve"> </v>
      </c>
      <c r="BG130" s="455">
        <f t="shared" si="101"/>
        <v>44777</v>
      </c>
      <c r="BH130" s="940" t="s">
        <v>4222</v>
      </c>
    </row>
    <row r="131" spans="1:62" x14ac:dyDescent="0.2">
      <c r="A131" s="19"/>
      <c r="C131" t="s">
        <v>4124</v>
      </c>
      <c r="D131" s="449"/>
      <c r="E131" s="450"/>
      <c r="F131" s="440"/>
      <c r="G131" s="440"/>
      <c r="H131" s="440"/>
      <c r="I131" s="440"/>
      <c r="J131" s="440"/>
      <c r="K131" s="441"/>
      <c r="L131" s="440"/>
      <c r="M131" s="440"/>
      <c r="N131" s="440"/>
      <c r="O131" s="440"/>
      <c r="P131" s="442"/>
      <c r="Q131" s="442"/>
      <c r="R131" s="442"/>
      <c r="S131" s="442"/>
      <c r="T131" s="442"/>
      <c r="U131" s="442"/>
      <c r="V131" s="442"/>
      <c r="W131" s="442"/>
      <c r="X131" s="442"/>
      <c r="Y131" s="442"/>
      <c r="Z131" s="442"/>
      <c r="AA131" s="442"/>
      <c r="AB131" s="442"/>
      <c r="AC131" s="442"/>
      <c r="AD131" s="440"/>
      <c r="AE131" s="440"/>
      <c r="AF131" s="440"/>
      <c r="AG131" s="440"/>
      <c r="AH131" s="430">
        <f t="shared" ref="AH131" si="102">L131+N131+P131+R131+T131+V131+X131+Z131+AB131+AD131+AF131</f>
        <v>0</v>
      </c>
      <c r="AI131" s="369">
        <f t="shared" ref="AI131" si="103">M131+O131+Q131+S131+U131+W131+Y131+AA131+AC131+AE131+AG131</f>
        <v>0</v>
      </c>
      <c r="AJ131" s="431">
        <f t="shared" ref="AJ131" si="104">D131+F131+H131+J131+AH131</f>
        <v>0</v>
      </c>
      <c r="AK131" s="443">
        <f t="shared" ref="AK131" si="105">E131+G131+I131+K131+AI131</f>
        <v>0</v>
      </c>
      <c r="AL131" s="440"/>
      <c r="AM131"/>
      <c r="AN131" s="431"/>
      <c r="AO131" s="443"/>
      <c r="AQ131" s="429"/>
      <c r="AT131" s="429"/>
      <c r="AV131" s="429"/>
      <c r="AX131" s="444" t="str">
        <f>'L. Eliminations-Consolidations'!A224</f>
        <v>L.6</v>
      </c>
      <c r="AY131" s="446">
        <f>'L. Eliminations-Consolidations'!L238</f>
        <v>21367</v>
      </c>
      <c r="AZ131" s="447"/>
      <c r="BA131" s="448"/>
      <c r="BB131" s="395">
        <f t="shared" ref="BB131" si="106">ROUND(AJ131+AL131+AN131+AQ131+AV131+AZ131,0)</f>
        <v>0</v>
      </c>
      <c r="BC131" s="395">
        <f>ROUND(AK131+AM131+AO131+AT131+AY131+BA131,0)</f>
        <v>21367</v>
      </c>
      <c r="BD131" s="431"/>
      <c r="BE131" s="443"/>
      <c r="BF131" s="367"/>
      <c r="BG131" s="455">
        <f t="shared" si="101"/>
        <v>21367</v>
      </c>
      <c r="BH131" s="940" t="s">
        <v>4222</v>
      </c>
    </row>
    <row r="132" spans="1:62" x14ac:dyDescent="0.2">
      <c r="A132" s="19"/>
      <c r="C132" t="s">
        <v>875</v>
      </c>
      <c r="D132" s="449"/>
      <c r="E132" s="450"/>
      <c r="F132" s="440"/>
      <c r="G132" s="440"/>
      <c r="H132" s="440"/>
      <c r="I132" s="440"/>
      <c r="J132" s="440"/>
      <c r="K132" s="441"/>
      <c r="L132" s="440"/>
      <c r="M132" s="440"/>
      <c r="N132" s="440"/>
      <c r="O132" s="440"/>
      <c r="P132" s="442"/>
      <c r="Q132" s="442"/>
      <c r="R132" s="442"/>
      <c r="S132" s="442"/>
      <c r="T132" s="442"/>
      <c r="U132" s="442"/>
      <c r="V132" s="442"/>
      <c r="W132" s="442"/>
      <c r="X132" s="442"/>
      <c r="Y132" s="442"/>
      <c r="Z132" s="442"/>
      <c r="AA132" s="442"/>
      <c r="AB132" s="442"/>
      <c r="AC132" s="442"/>
      <c r="AD132" s="440"/>
      <c r="AE132" s="440"/>
      <c r="AF132" s="440"/>
      <c r="AG132" s="440"/>
      <c r="AH132" s="430">
        <f t="shared" si="97"/>
        <v>0</v>
      </c>
      <c r="AI132" s="369">
        <f t="shared" si="98"/>
        <v>0</v>
      </c>
      <c r="AJ132" s="431">
        <f t="shared" si="93"/>
        <v>0</v>
      </c>
      <c r="AK132" s="443">
        <f t="shared" si="94"/>
        <v>0</v>
      </c>
      <c r="AL132" s="440"/>
      <c r="AM132" s="440"/>
      <c r="AN132" s="431"/>
      <c r="AO132" s="443"/>
      <c r="AQ132" s="429"/>
      <c r="AT132" s="429"/>
      <c r="AU132" s="445"/>
      <c r="AV132" s="429"/>
      <c r="AX132" s="444" t="str">
        <f>'L. Eliminations-Consolidations'!A224</f>
        <v>L.6</v>
      </c>
      <c r="AY132" s="446">
        <f>'L. Eliminations-Consolidations'!L239</f>
        <v>0</v>
      </c>
      <c r="AZ132" s="447"/>
      <c r="BA132" s="448"/>
      <c r="BB132" s="395">
        <f t="shared" si="99"/>
        <v>0</v>
      </c>
      <c r="BC132" s="395">
        <f t="shared" si="100"/>
        <v>0</v>
      </c>
      <c r="BD132" s="431"/>
      <c r="BE132" s="443"/>
      <c r="BF132" s="367" t="str">
        <f t="shared" si="90"/>
        <v xml:space="preserve"> </v>
      </c>
      <c r="BG132" s="455">
        <f t="shared" si="101"/>
        <v>0</v>
      </c>
    </row>
    <row r="133" spans="1:62" x14ac:dyDescent="0.2">
      <c r="A133" s="19"/>
      <c r="C133" s="280" t="s">
        <v>663</v>
      </c>
      <c r="D133" s="449"/>
      <c r="E133" s="450"/>
      <c r="F133" s="440"/>
      <c r="G133" s="440"/>
      <c r="H133" s="440"/>
      <c r="I133" s="440"/>
      <c r="J133" s="440"/>
      <c r="K133" s="441"/>
      <c r="L133" s="440"/>
      <c r="M133" s="440"/>
      <c r="N133" s="440"/>
      <c r="O133" s="440"/>
      <c r="P133" s="442"/>
      <c r="Q133" s="442"/>
      <c r="R133" s="442"/>
      <c r="S133" s="442"/>
      <c r="T133" s="442"/>
      <c r="U133" s="442"/>
      <c r="V133" s="442"/>
      <c r="W133" s="442"/>
      <c r="X133" s="442"/>
      <c r="Y133" s="442"/>
      <c r="Z133" s="442"/>
      <c r="AA133" s="442"/>
      <c r="AB133" s="442"/>
      <c r="AC133" s="442"/>
      <c r="AD133" s="440"/>
      <c r="AE133" s="440"/>
      <c r="AF133" s="440"/>
      <c r="AG133" s="440"/>
      <c r="AH133" s="430">
        <f t="shared" si="97"/>
        <v>0</v>
      </c>
      <c r="AI133" s="369">
        <f t="shared" si="98"/>
        <v>0</v>
      </c>
      <c r="AJ133" s="431">
        <f t="shared" si="93"/>
        <v>0</v>
      </c>
      <c r="AK133" s="443">
        <f t="shared" si="94"/>
        <v>0</v>
      </c>
      <c r="AL133" s="440"/>
      <c r="AM133" s="440"/>
      <c r="AN133" s="431"/>
      <c r="AO133" s="443"/>
      <c r="AQ133" s="429"/>
      <c r="AT133" s="429"/>
      <c r="AU133" s="445"/>
      <c r="AV133" s="429"/>
      <c r="AX133" s="444" t="str">
        <f>'L. Eliminations-Consolidations'!A224</f>
        <v>L.6</v>
      </c>
      <c r="AY133" s="446">
        <f>'L. Eliminations-Consolidations'!L240</f>
        <v>0</v>
      </c>
      <c r="AZ133" s="447"/>
      <c r="BA133" s="448"/>
      <c r="BB133" s="395">
        <f t="shared" si="99"/>
        <v>0</v>
      </c>
      <c r="BC133" s="395">
        <f t="shared" si="100"/>
        <v>0</v>
      </c>
      <c r="BD133" s="431"/>
      <c r="BE133" s="443"/>
      <c r="BF133" s="367" t="str">
        <f t="shared" si="90"/>
        <v xml:space="preserve"> </v>
      </c>
      <c r="BG133" s="455">
        <f t="shared" si="101"/>
        <v>0</v>
      </c>
    </row>
    <row r="134" spans="1:62" x14ac:dyDescent="0.2">
      <c r="A134" s="19"/>
      <c r="C134" s="280" t="s">
        <v>662</v>
      </c>
      <c r="D134" s="449"/>
      <c r="E134" s="450"/>
      <c r="F134" s="440"/>
      <c r="G134" s="440"/>
      <c r="H134" s="440"/>
      <c r="I134" s="440"/>
      <c r="J134" s="440"/>
      <c r="K134" s="441"/>
      <c r="L134" s="440"/>
      <c r="M134" s="440"/>
      <c r="N134" s="440"/>
      <c r="O134" s="440"/>
      <c r="P134" s="442"/>
      <c r="Q134" s="442"/>
      <c r="R134" s="442"/>
      <c r="S134" s="442"/>
      <c r="T134" s="442"/>
      <c r="U134" s="442"/>
      <c r="V134" s="442"/>
      <c r="W134" s="442"/>
      <c r="X134" s="442"/>
      <c r="Y134" s="442"/>
      <c r="Z134" s="442"/>
      <c r="AA134" s="442"/>
      <c r="AB134" s="442"/>
      <c r="AC134" s="442"/>
      <c r="AD134" s="440"/>
      <c r="AE134" s="440"/>
      <c r="AF134" s="440"/>
      <c r="AG134" s="440"/>
      <c r="AH134" s="430">
        <f t="shared" si="97"/>
        <v>0</v>
      </c>
      <c r="AI134" s="369">
        <f t="shared" si="98"/>
        <v>0</v>
      </c>
      <c r="AJ134" s="431">
        <f t="shared" si="93"/>
        <v>0</v>
      </c>
      <c r="AK134" s="443">
        <f t="shared" si="94"/>
        <v>0</v>
      </c>
      <c r="AL134" s="440"/>
      <c r="AM134" s="440"/>
      <c r="AN134" s="431"/>
      <c r="AO134" s="443"/>
      <c r="AQ134" s="429"/>
      <c r="AT134" s="429"/>
      <c r="AU134" s="445"/>
      <c r="AV134" s="429"/>
      <c r="AX134" s="444" t="str">
        <f>'L. Eliminations-Consolidations'!A224</f>
        <v>L.6</v>
      </c>
      <c r="AY134" s="446">
        <f>'L. Eliminations-Consolidations'!L241</f>
        <v>0</v>
      </c>
      <c r="AZ134" s="447"/>
      <c r="BA134" s="448"/>
      <c r="BB134" s="395">
        <f t="shared" si="99"/>
        <v>0</v>
      </c>
      <c r="BC134" s="395">
        <f t="shared" si="100"/>
        <v>0</v>
      </c>
      <c r="BD134" s="431"/>
      <c r="BE134" s="443"/>
      <c r="BF134" s="367" t="str">
        <f t="shared" si="90"/>
        <v xml:space="preserve"> </v>
      </c>
      <c r="BG134" s="455">
        <f t="shared" si="101"/>
        <v>0</v>
      </c>
    </row>
    <row r="135" spans="1:62" x14ac:dyDescent="0.2">
      <c r="A135" s="19"/>
      <c r="C135" t="s">
        <v>896</v>
      </c>
      <c r="D135" s="449"/>
      <c r="E135" s="450">
        <v>62879</v>
      </c>
      <c r="F135" s="440"/>
      <c r="G135" s="440"/>
      <c r="H135" s="440"/>
      <c r="I135" s="440"/>
      <c r="J135" s="440"/>
      <c r="K135" s="441"/>
      <c r="L135" s="440"/>
      <c r="M135" s="440"/>
      <c r="N135" s="440"/>
      <c r="O135" s="440"/>
      <c r="P135" s="442"/>
      <c r="Q135" s="442"/>
      <c r="R135" s="442"/>
      <c r="S135" s="442"/>
      <c r="T135" s="442"/>
      <c r="U135" s="442"/>
      <c r="V135" s="442"/>
      <c r="W135" s="442"/>
      <c r="X135" s="442"/>
      <c r="Y135" s="442"/>
      <c r="Z135" s="442"/>
      <c r="AA135" s="442"/>
      <c r="AB135" s="442"/>
      <c r="AC135" s="442"/>
      <c r="AD135" s="440"/>
      <c r="AE135" s="440"/>
      <c r="AF135" s="440"/>
      <c r="AG135" s="440"/>
      <c r="AH135" s="430">
        <f t="shared" si="97"/>
        <v>0</v>
      </c>
      <c r="AI135" s="369">
        <f t="shared" si="98"/>
        <v>0</v>
      </c>
      <c r="AJ135" s="431">
        <f t="shared" si="93"/>
        <v>0</v>
      </c>
      <c r="AK135" s="443">
        <f t="shared" si="94"/>
        <v>62879</v>
      </c>
      <c r="AL135" s="440"/>
      <c r="AM135" s="440"/>
      <c r="AN135" s="431"/>
      <c r="AO135" s="443"/>
      <c r="AQ135" s="429"/>
      <c r="AT135" s="429"/>
      <c r="AU135" s="445"/>
      <c r="AV135" s="429"/>
      <c r="AY135" s="446"/>
      <c r="AZ135" s="447"/>
      <c r="BA135" s="448"/>
      <c r="BB135" s="395">
        <f t="shared" si="99"/>
        <v>0</v>
      </c>
      <c r="BC135" s="395">
        <f t="shared" ref="BC135:BC151" si="107">ROUND(AK135+AM135+AO135+AT135+AY135+BA135,0)</f>
        <v>62879</v>
      </c>
      <c r="BD135" s="431"/>
      <c r="BE135" s="443"/>
      <c r="BF135" s="367" t="str">
        <f t="shared" si="90"/>
        <v xml:space="preserve"> </v>
      </c>
      <c r="BG135" s="455">
        <f>IF(BB135-BC135&gt;0," ",BC135-BB135)</f>
        <v>62879</v>
      </c>
      <c r="BH135" s="937" t="s">
        <v>4180</v>
      </c>
    </row>
    <row r="136" spans="1:62" x14ac:dyDescent="0.2">
      <c r="A136" s="19"/>
      <c r="B136" s="2"/>
      <c r="C136" s="204" t="s">
        <v>61</v>
      </c>
      <c r="D136" s="456"/>
      <c r="E136" s="457"/>
      <c r="F136" s="458"/>
      <c r="G136" s="458"/>
      <c r="H136" s="458"/>
      <c r="I136" s="458"/>
      <c r="J136" s="458"/>
      <c r="K136" s="459"/>
      <c r="L136" s="458"/>
      <c r="M136" s="458"/>
      <c r="N136" s="458"/>
      <c r="O136" s="458"/>
      <c r="P136" s="460"/>
      <c r="Q136" s="460"/>
      <c r="R136" s="460"/>
      <c r="S136" s="460"/>
      <c r="T136" s="460"/>
      <c r="U136" s="460"/>
      <c r="V136" s="460"/>
      <c r="W136" s="460"/>
      <c r="X136" s="460"/>
      <c r="Y136" s="460"/>
      <c r="Z136" s="460"/>
      <c r="AA136" s="460"/>
      <c r="AB136" s="460"/>
      <c r="AC136" s="460"/>
      <c r="AD136" s="458"/>
      <c r="AE136" s="458"/>
      <c r="AF136" s="458"/>
      <c r="AG136" s="458"/>
      <c r="AH136" s="461">
        <f t="shared" ref="AH136:AH149" si="108">L136+N136+P136+R136+T136+V136+X136+Z136+AB136+AD136+AF136</f>
        <v>0</v>
      </c>
      <c r="AI136" s="462">
        <f t="shared" ref="AI136:AI149" si="109">M136+O136+Q136+S136+U136+W136+Y136+AA136+AC136+AE136+AG136</f>
        <v>0</v>
      </c>
      <c r="AJ136" s="463">
        <f t="shared" si="93"/>
        <v>0</v>
      </c>
      <c r="AK136" s="464">
        <f t="shared" si="94"/>
        <v>0</v>
      </c>
      <c r="AL136" s="458"/>
      <c r="AM136" s="458">
        <v>11536000</v>
      </c>
      <c r="AN136" s="463"/>
      <c r="AO136" s="464"/>
      <c r="AP136" s="465" t="str">
        <f>'G. Debt Service'!D47</f>
        <v>G.1</v>
      </c>
      <c r="AQ136" s="983">
        <f>'G. Debt Service'!L47</f>
        <v>611000</v>
      </c>
      <c r="AR136" s="462"/>
      <c r="AS136" s="465"/>
      <c r="AT136" s="466"/>
      <c r="AU136" s="467" t="str">
        <f>'L. Eliminations-Consolidations'!A224</f>
        <v>L.6</v>
      </c>
      <c r="AV136" s="466">
        <f>'L. Eliminations-Consolidations'!J226</f>
        <v>625000</v>
      </c>
      <c r="AW136" s="462"/>
      <c r="AX136" s="465"/>
      <c r="AY136" s="468"/>
      <c r="AZ136" s="447"/>
      <c r="BA136" s="448"/>
      <c r="BB136" s="466">
        <f t="shared" ref="BB136:BB152" si="110">ROUND(AJ136+AL136+AN136+AQ136+AV136+AZ136,0)</f>
        <v>1236000</v>
      </c>
      <c r="BC136" s="466">
        <f t="shared" si="107"/>
        <v>11536000</v>
      </c>
      <c r="BD136" s="463"/>
      <c r="BE136" s="464"/>
      <c r="BF136" s="882" t="str">
        <f>IF((BB136+BB137)-(BC136+BC137)&lt;=0," ",(BB136+BB137)-(BC136+BC137))</f>
        <v xml:space="preserve"> </v>
      </c>
      <c r="BG136" s="883">
        <f>IF((BB136+BB137)-(BC136+BC137)&gt;0," ",(BC136+BC137)-(BB136+BB137))</f>
        <v>10665000</v>
      </c>
      <c r="BH136" s="936" t="s">
        <v>4223</v>
      </c>
    </row>
    <row r="137" spans="1:62" x14ac:dyDescent="0.2">
      <c r="A137" s="19"/>
      <c r="B137" s="2"/>
      <c r="C137" s="204"/>
      <c r="D137" s="456"/>
      <c r="E137" s="457"/>
      <c r="F137" s="458"/>
      <c r="G137" s="458"/>
      <c r="H137" s="458"/>
      <c r="I137" s="458"/>
      <c r="J137" s="458"/>
      <c r="K137" s="459"/>
      <c r="L137" s="458"/>
      <c r="M137" s="458"/>
      <c r="N137" s="458"/>
      <c r="O137" s="458"/>
      <c r="P137" s="460"/>
      <c r="Q137" s="460"/>
      <c r="R137" s="460"/>
      <c r="S137" s="460"/>
      <c r="T137" s="460"/>
      <c r="U137" s="460"/>
      <c r="V137" s="460"/>
      <c r="W137" s="460"/>
      <c r="X137" s="460"/>
      <c r="Y137" s="460"/>
      <c r="Z137" s="460"/>
      <c r="AA137" s="460"/>
      <c r="AB137" s="460"/>
      <c r="AC137" s="460"/>
      <c r="AD137" s="458"/>
      <c r="AE137" s="458"/>
      <c r="AF137" s="458"/>
      <c r="AG137" s="458"/>
      <c r="AH137" s="461">
        <f t="shared" si="108"/>
        <v>0</v>
      </c>
      <c r="AI137" s="462">
        <f t="shared" si="109"/>
        <v>0</v>
      </c>
      <c r="AJ137" s="463">
        <f t="shared" si="93"/>
        <v>0</v>
      </c>
      <c r="AK137" s="464">
        <f t="shared" si="94"/>
        <v>0</v>
      </c>
      <c r="AL137" s="458"/>
      <c r="AM137" s="458"/>
      <c r="AN137" s="463"/>
      <c r="AO137" s="464"/>
      <c r="AP137" s="465" t="str">
        <f>'H. Debt Issues'!D78</f>
        <v>H.1</v>
      </c>
      <c r="AQ137" s="983">
        <f>'H. Debt Issues'!L94</f>
        <v>3000000</v>
      </c>
      <c r="AR137" s="462"/>
      <c r="AS137" s="465" t="str">
        <f>'H. Debt Issues'!D78</f>
        <v>H.1</v>
      </c>
      <c r="AT137" s="983">
        <f>'H. Debt Issues'!N94</f>
        <v>3365000</v>
      </c>
      <c r="AU137" s="467"/>
      <c r="AV137" s="466"/>
      <c r="AW137" s="462"/>
      <c r="AX137" s="465"/>
      <c r="AY137" s="468"/>
      <c r="AZ137" s="447"/>
      <c r="BA137" s="448"/>
      <c r="BB137" s="466">
        <f t="shared" si="110"/>
        <v>3000000</v>
      </c>
      <c r="BC137" s="466">
        <f t="shared" si="107"/>
        <v>3365000</v>
      </c>
      <c r="BD137" s="463"/>
      <c r="BE137" s="464"/>
      <c r="BF137" s="882"/>
      <c r="BG137" s="883"/>
    </row>
    <row r="138" spans="1:62" x14ac:dyDescent="0.2">
      <c r="A138" s="19"/>
      <c r="B138" s="2"/>
      <c r="C138" t="s">
        <v>473</v>
      </c>
      <c r="D138" s="449"/>
      <c r="E138" s="450"/>
      <c r="F138" s="440"/>
      <c r="G138" s="440"/>
      <c r="H138" s="440"/>
      <c r="I138" s="440"/>
      <c r="J138" s="440"/>
      <c r="K138" s="441"/>
      <c r="L138" s="440"/>
      <c r="M138" s="440"/>
      <c r="N138" s="440"/>
      <c r="O138" s="440"/>
      <c r="P138" s="442"/>
      <c r="Q138" s="442"/>
      <c r="R138" s="442"/>
      <c r="S138" s="442"/>
      <c r="T138" s="442"/>
      <c r="U138" s="442"/>
      <c r="V138" s="442"/>
      <c r="W138" s="442"/>
      <c r="X138" s="442"/>
      <c r="Y138" s="442"/>
      <c r="Z138" s="442"/>
      <c r="AA138" s="442"/>
      <c r="AB138" s="442"/>
      <c r="AC138" s="442"/>
      <c r="AD138" s="440"/>
      <c r="AE138" s="440"/>
      <c r="AF138" s="440"/>
      <c r="AG138" s="440"/>
      <c r="AH138" s="430">
        <f t="shared" si="108"/>
        <v>0</v>
      </c>
      <c r="AI138" s="369">
        <f t="shared" si="109"/>
        <v>0</v>
      </c>
      <c r="AJ138" s="431">
        <f t="shared" si="93"/>
        <v>0</v>
      </c>
      <c r="AK138" s="443">
        <f t="shared" si="94"/>
        <v>0</v>
      </c>
      <c r="AL138" s="440"/>
      <c r="AM138" s="440"/>
      <c r="AN138" s="431"/>
      <c r="AO138" s="443"/>
      <c r="AP138" s="444" t="str">
        <f>'H. Debt Issues'!D78</f>
        <v>H.1</v>
      </c>
      <c r="AQ138" s="429">
        <f>'H. Debt Issues'!L93</f>
        <v>0</v>
      </c>
      <c r="AS138" s="444" t="str">
        <f>'H. Debt Issues'!D78</f>
        <v>H.1</v>
      </c>
      <c r="AT138" s="429">
        <f>'H. Debt Issues'!N93</f>
        <v>0</v>
      </c>
      <c r="AU138" s="445"/>
      <c r="AV138" s="429"/>
      <c r="AY138" s="446"/>
      <c r="AZ138" s="447"/>
      <c r="BA138" s="448"/>
      <c r="BB138" s="395">
        <f t="shared" si="110"/>
        <v>0</v>
      </c>
      <c r="BC138" s="395">
        <f t="shared" si="107"/>
        <v>0</v>
      </c>
      <c r="BD138" s="431"/>
      <c r="BE138" s="443"/>
      <c r="BF138" s="367" t="str">
        <f t="shared" si="90"/>
        <v xml:space="preserve"> </v>
      </c>
      <c r="BG138" s="455">
        <f t="shared" ref="BG138:BG148" si="111">IF(BB138-BC138&gt;0," ",BC138-BB138)</f>
        <v>0</v>
      </c>
    </row>
    <row r="139" spans="1:62" x14ac:dyDescent="0.2">
      <c r="A139" s="19"/>
      <c r="B139" s="2"/>
      <c r="C139" t="s">
        <v>1032</v>
      </c>
      <c r="D139" s="449"/>
      <c r="E139" s="450"/>
      <c r="F139" s="440"/>
      <c r="G139" s="440"/>
      <c r="H139" s="440"/>
      <c r="I139" s="440"/>
      <c r="J139" s="440"/>
      <c r="K139" s="441"/>
      <c r="L139" s="440"/>
      <c r="M139" s="440"/>
      <c r="N139" s="440"/>
      <c r="O139" s="440"/>
      <c r="P139" s="442"/>
      <c r="Q139" s="442"/>
      <c r="R139" s="442"/>
      <c r="S139" s="442"/>
      <c r="T139" s="442"/>
      <c r="U139" s="442"/>
      <c r="V139" s="442"/>
      <c r="W139" s="442"/>
      <c r="X139" s="442"/>
      <c r="Y139" s="442"/>
      <c r="Z139" s="442"/>
      <c r="AA139" s="442"/>
      <c r="AB139" s="442"/>
      <c r="AC139" s="442"/>
      <c r="AD139" s="440"/>
      <c r="AE139" s="440"/>
      <c r="AF139" s="440"/>
      <c r="AG139" s="440"/>
      <c r="AH139" s="430">
        <f t="shared" si="108"/>
        <v>0</v>
      </c>
      <c r="AI139" s="369">
        <f t="shared" si="109"/>
        <v>0</v>
      </c>
      <c r="AJ139" s="431">
        <f t="shared" si="93"/>
        <v>0</v>
      </c>
      <c r="AK139" s="443">
        <f t="shared" si="94"/>
        <v>0</v>
      </c>
      <c r="AL139" s="440"/>
      <c r="AM139" s="440"/>
      <c r="AN139" s="431"/>
      <c r="AO139" s="443"/>
      <c r="AP139" s="444" t="str">
        <f>'H. Debt Issues'!D78</f>
        <v>H.1</v>
      </c>
      <c r="AQ139" s="429">
        <f>'H. Debt Issues'!L83</f>
        <v>0</v>
      </c>
      <c r="AS139" s="444" t="str">
        <f>'H. Debt Issues'!D78</f>
        <v>H.1</v>
      </c>
      <c r="AT139" s="429">
        <f>'H. Debt Issues'!N83</f>
        <v>0</v>
      </c>
      <c r="AU139" s="445"/>
      <c r="AV139" s="429"/>
      <c r="AY139" s="446"/>
      <c r="AZ139" s="447"/>
      <c r="BA139" s="448"/>
      <c r="BB139" s="395">
        <f t="shared" si="110"/>
        <v>0</v>
      </c>
      <c r="BC139" s="395">
        <f t="shared" si="107"/>
        <v>0</v>
      </c>
      <c r="BD139" s="431"/>
      <c r="BE139" s="443"/>
      <c r="BF139" s="367" t="str">
        <f t="shared" si="90"/>
        <v xml:space="preserve"> </v>
      </c>
      <c r="BG139" s="455">
        <f t="shared" si="111"/>
        <v>0</v>
      </c>
    </row>
    <row r="140" spans="1:62" x14ac:dyDescent="0.2">
      <c r="A140" s="19"/>
      <c r="C140" t="s">
        <v>62</v>
      </c>
      <c r="D140" s="449"/>
      <c r="E140" s="450"/>
      <c r="F140" s="440"/>
      <c r="G140" s="440"/>
      <c r="H140" s="440"/>
      <c r="I140" s="440"/>
      <c r="J140" s="440"/>
      <c r="K140" s="441"/>
      <c r="L140" s="440"/>
      <c r="M140" s="440"/>
      <c r="N140" s="440"/>
      <c r="O140" s="440"/>
      <c r="P140" s="442"/>
      <c r="Q140" s="442"/>
      <c r="R140" s="442"/>
      <c r="S140" s="442"/>
      <c r="T140" s="442"/>
      <c r="U140" s="442"/>
      <c r="V140" s="442"/>
      <c r="W140" s="442"/>
      <c r="X140" s="442"/>
      <c r="Y140" s="442"/>
      <c r="Z140" s="442"/>
      <c r="AA140" s="442"/>
      <c r="AB140" s="442"/>
      <c r="AC140" s="442"/>
      <c r="AD140" s="440"/>
      <c r="AE140" s="440"/>
      <c r="AF140" s="440"/>
      <c r="AG140" s="440"/>
      <c r="AH140" s="430">
        <f t="shared" si="108"/>
        <v>0</v>
      </c>
      <c r="AI140" s="369">
        <f t="shared" si="109"/>
        <v>0</v>
      </c>
      <c r="AJ140" s="431">
        <f t="shared" si="93"/>
        <v>0</v>
      </c>
      <c r="AK140" s="443">
        <f t="shared" si="94"/>
        <v>0</v>
      </c>
      <c r="AL140" s="440"/>
      <c r="AM140" s="440"/>
      <c r="AN140" s="431"/>
      <c r="AO140" s="443"/>
      <c r="AP140" s="444" t="str">
        <f>'G. Debt Service'!D47</f>
        <v>G.1</v>
      </c>
      <c r="AQ140" s="429">
        <f>'G. Debt Service'!L48</f>
        <v>0</v>
      </c>
      <c r="AS140" s="444" t="str">
        <f>'H. Debt Issues'!D78</f>
        <v>H.1</v>
      </c>
      <c r="AT140" s="429">
        <f>'H. Debt Issues'!N95</f>
        <v>0</v>
      </c>
      <c r="AU140" s="445"/>
      <c r="AV140" s="429"/>
      <c r="AY140" s="446"/>
      <c r="AZ140" s="447"/>
      <c r="BA140" s="448"/>
      <c r="BB140" s="395">
        <f t="shared" si="110"/>
        <v>0</v>
      </c>
      <c r="BC140" s="395">
        <f t="shared" si="107"/>
        <v>0</v>
      </c>
      <c r="BD140" s="431"/>
      <c r="BE140" s="443"/>
      <c r="BF140" s="367" t="str">
        <f t="shared" si="90"/>
        <v xml:space="preserve"> </v>
      </c>
      <c r="BG140" s="455">
        <f t="shared" si="111"/>
        <v>0</v>
      </c>
      <c r="BJ140" s="949" t="s">
        <v>4226</v>
      </c>
    </row>
    <row r="141" spans="1:62" x14ac:dyDescent="0.2">
      <c r="A141" s="19"/>
      <c r="C141" t="s">
        <v>468</v>
      </c>
      <c r="D141" s="449"/>
      <c r="E141" s="450"/>
      <c r="F141" s="440"/>
      <c r="G141" s="440"/>
      <c r="H141" s="440"/>
      <c r="I141" s="440"/>
      <c r="J141" s="440"/>
      <c r="K141" s="441"/>
      <c r="L141" s="440"/>
      <c r="M141" s="440"/>
      <c r="N141" s="440"/>
      <c r="O141" s="440"/>
      <c r="P141" s="442"/>
      <c r="Q141" s="442"/>
      <c r="R141" s="442"/>
      <c r="S141" s="442"/>
      <c r="T141" s="442"/>
      <c r="U141" s="442"/>
      <c r="V141" s="442"/>
      <c r="W141" s="442"/>
      <c r="X141" s="442"/>
      <c r="Y141" s="442"/>
      <c r="Z141" s="442"/>
      <c r="AA141" s="442"/>
      <c r="AB141" s="442"/>
      <c r="AC141" s="442"/>
      <c r="AD141" s="440"/>
      <c r="AE141" s="440"/>
      <c r="AF141" s="440"/>
      <c r="AG141" s="440"/>
      <c r="AH141" s="430">
        <f t="shared" si="108"/>
        <v>0</v>
      </c>
      <c r="AI141" s="369">
        <f t="shared" si="109"/>
        <v>0</v>
      </c>
      <c r="AJ141" s="431">
        <f t="shared" si="93"/>
        <v>0</v>
      </c>
      <c r="AK141" s="443">
        <f t="shared" si="94"/>
        <v>0</v>
      </c>
      <c r="AL141" s="440"/>
      <c r="AM141" s="440"/>
      <c r="AN141" s="431"/>
      <c r="AO141" s="443"/>
      <c r="AP141" s="444" t="str">
        <f>'G. Debt Service'!D47</f>
        <v>G.1</v>
      </c>
      <c r="AQ141" s="429">
        <f>'G. Debt Service'!L49</f>
        <v>0</v>
      </c>
      <c r="AS141" s="444" t="str">
        <f>'H. Debt Issues'!D78</f>
        <v>H.1</v>
      </c>
      <c r="AT141" s="983">
        <f>'H. Debt Issues'!N96</f>
        <v>1200000</v>
      </c>
      <c r="AU141" s="445" t="str">
        <f>'L. Eliminations-Consolidations'!A224</f>
        <v>L.6</v>
      </c>
      <c r="AV141" s="429">
        <f>'L. Eliminations-Consolidations'!J225</f>
        <v>171429</v>
      </c>
      <c r="AY141" s="446"/>
      <c r="AZ141" s="447"/>
      <c r="BA141" s="448"/>
      <c r="BB141" s="395">
        <f t="shared" si="110"/>
        <v>171429</v>
      </c>
      <c r="BC141" s="395">
        <f t="shared" si="107"/>
        <v>1200000</v>
      </c>
      <c r="BD141" s="431"/>
      <c r="BE141" s="443"/>
      <c r="BF141" s="367" t="str">
        <f t="shared" si="90"/>
        <v xml:space="preserve"> </v>
      </c>
      <c r="BG141" s="455">
        <f t="shared" si="111"/>
        <v>1028571</v>
      </c>
      <c r="BH141" s="936" t="s">
        <v>4223</v>
      </c>
      <c r="BI141" s="938">
        <f>+BG141+BG142+BG143+BG145+BG144+BG149+BG151+BG153+BG136</f>
        <v>20122462</v>
      </c>
      <c r="BJ141" s="949">
        <f>+BG127+BG128+BG130+BG131+BG136+BG141+BG142+BG143+BG145+BG149+BG151+BG153</f>
        <v>20985035</v>
      </c>
    </row>
    <row r="142" spans="1:62" x14ac:dyDescent="0.2">
      <c r="A142" s="19"/>
      <c r="C142" t="s">
        <v>4102</v>
      </c>
      <c r="D142" s="449"/>
      <c r="E142" s="450"/>
      <c r="F142" s="440"/>
      <c r="G142" s="440"/>
      <c r="H142" s="440"/>
      <c r="I142" s="440"/>
      <c r="J142" s="440"/>
      <c r="K142" s="441"/>
      <c r="L142" s="440"/>
      <c r="M142" s="440"/>
      <c r="N142" s="440"/>
      <c r="O142" s="440"/>
      <c r="P142" s="442"/>
      <c r="Q142" s="442"/>
      <c r="R142" s="442"/>
      <c r="S142" s="442"/>
      <c r="T142" s="442"/>
      <c r="U142" s="442"/>
      <c r="V142" s="442"/>
      <c r="W142" s="442"/>
      <c r="X142" s="442"/>
      <c r="Y142" s="442"/>
      <c r="Z142" s="442"/>
      <c r="AA142" s="442"/>
      <c r="AB142" s="442"/>
      <c r="AC142" s="442"/>
      <c r="AD142" s="440"/>
      <c r="AE142" s="440"/>
      <c r="AF142" s="440"/>
      <c r="AG142" s="440"/>
      <c r="AH142" s="430">
        <f t="shared" si="108"/>
        <v>0</v>
      </c>
      <c r="AI142" s="369">
        <f t="shared" si="109"/>
        <v>0</v>
      </c>
      <c r="AJ142" s="431">
        <f t="shared" si="93"/>
        <v>0</v>
      </c>
      <c r="AK142" s="443">
        <f t="shared" si="94"/>
        <v>0</v>
      </c>
      <c r="AL142" s="440"/>
      <c r="AM142" s="440"/>
      <c r="AN142" s="431"/>
      <c r="AO142" s="443"/>
      <c r="AP142" s="444" t="str">
        <f>'G. Debt Service'!D47</f>
        <v>G.1</v>
      </c>
      <c r="AQ142" s="983">
        <f>'G. Debt Service'!L50</f>
        <v>18219</v>
      </c>
      <c r="AS142" s="444" t="str">
        <f>'H. Debt Issues'!D78</f>
        <v>H.1</v>
      </c>
      <c r="AT142" s="983">
        <f>'H. Debt Issues'!N97</f>
        <v>279755</v>
      </c>
      <c r="AU142" s="445" t="str">
        <f>'L. Eliminations-Consolidations'!A224</f>
        <v>L.6</v>
      </c>
      <c r="AV142" s="429">
        <f>'L. Eliminations-Consolidations'!J228</f>
        <v>44777</v>
      </c>
      <c r="AY142" s="446"/>
      <c r="AZ142" s="447"/>
      <c r="BA142" s="448"/>
      <c r="BB142" s="395">
        <f t="shared" si="110"/>
        <v>62996</v>
      </c>
      <c r="BC142" s="395">
        <f t="shared" si="107"/>
        <v>279755</v>
      </c>
      <c r="BD142" s="431"/>
      <c r="BE142" s="443"/>
      <c r="BF142" s="367" t="str">
        <f t="shared" si="90"/>
        <v xml:space="preserve"> </v>
      </c>
      <c r="BG142" s="455">
        <f t="shared" si="111"/>
        <v>216759</v>
      </c>
      <c r="BH142" s="936" t="s">
        <v>4223</v>
      </c>
    </row>
    <row r="143" spans="1:62" x14ac:dyDescent="0.2">
      <c r="A143" s="19"/>
      <c r="C143" t="s">
        <v>4125</v>
      </c>
      <c r="D143" s="449"/>
      <c r="E143" s="450"/>
      <c r="F143" s="440"/>
      <c r="G143" s="440"/>
      <c r="H143" s="440"/>
      <c r="I143" s="440"/>
      <c r="J143" s="440"/>
      <c r="K143" s="441"/>
      <c r="L143" s="440"/>
      <c r="M143" s="440"/>
      <c r="N143" s="440"/>
      <c r="O143" s="440"/>
      <c r="P143" s="442"/>
      <c r="Q143" s="442"/>
      <c r="R143" s="442"/>
      <c r="S143" s="442"/>
      <c r="T143" s="442"/>
      <c r="U143" s="442"/>
      <c r="V143" s="442"/>
      <c r="W143" s="442"/>
      <c r="X143" s="442"/>
      <c r="Y143" s="442"/>
      <c r="Z143" s="442"/>
      <c r="AA143" s="442"/>
      <c r="AB143" s="442"/>
      <c r="AC143" s="442"/>
      <c r="AD143" s="440"/>
      <c r="AE143" s="440"/>
      <c r="AF143" s="440"/>
      <c r="AG143" s="440"/>
      <c r="AH143" s="430">
        <f t="shared" ref="AH143" si="112">L143+N143+P143+R143+T143+V143+X143+Z143+AB143+AD143+AF143</f>
        <v>0</v>
      </c>
      <c r="AI143" s="369">
        <f t="shared" ref="AI143" si="113">M143+O143+Q143+S143+U143+W143+Y143+AA143+AC143+AE143+AG143</f>
        <v>0</v>
      </c>
      <c r="AJ143" s="431">
        <f t="shared" ref="AJ143" si="114">D143+F143+H143+J143+AH143</f>
        <v>0</v>
      </c>
      <c r="AK143" s="443">
        <f t="shared" ref="AK143" si="115">E143+G143+I143+K143+AI143</f>
        <v>0</v>
      </c>
      <c r="AL143" s="440"/>
      <c r="AM143" s="440">
        <v>23557</v>
      </c>
      <c r="AN143" s="431"/>
      <c r="AO143" s="443"/>
      <c r="AP143" s="444" t="str">
        <f>'G. Debt Service'!D47</f>
        <v>G.1</v>
      </c>
      <c r="AQ143" s="983">
        <f>'G. Debt Service'!L51</f>
        <v>21705</v>
      </c>
      <c r="AS143" s="444" t="str">
        <f>'H. Debt Issues'!D78</f>
        <v>H.1</v>
      </c>
      <c r="AT143" s="983">
        <f>'H. Debt Issues'!N98</f>
        <v>48781</v>
      </c>
      <c r="AU143" s="445" t="str">
        <f>'L. Eliminations-Consolidations'!A224</f>
        <v>L.6</v>
      </c>
      <c r="AV143" s="429">
        <f>'L. Eliminations-Consolidations'!J229</f>
        <v>21367</v>
      </c>
      <c r="AY143" s="446"/>
      <c r="AZ143" s="447"/>
      <c r="BA143" s="448"/>
      <c r="BB143" s="395">
        <f t="shared" ref="BB143" si="116">ROUND(AJ143+AL143+AN143+AQ143+AV143+AZ143,0)</f>
        <v>43072</v>
      </c>
      <c r="BC143" s="395">
        <f>ROUND(AK143+AF143+AM143+AO143+AT143+AY143+BA143,0)</f>
        <v>72338</v>
      </c>
      <c r="BD143" s="431"/>
      <c r="BE143" s="443"/>
      <c r="BF143" s="367" t="str">
        <f t="shared" ref="BF143" si="117">IF(BB143-BC143&lt;=0," ",BB143-BC143)</f>
        <v xml:space="preserve"> </v>
      </c>
      <c r="BG143" s="455">
        <f t="shared" ref="BG143" si="118">IF(BB143-BC143&gt;0," ",BC143-BB143)</f>
        <v>29266</v>
      </c>
      <c r="BH143" s="936" t="s">
        <v>4223</v>
      </c>
    </row>
    <row r="144" spans="1:62" x14ac:dyDescent="0.2">
      <c r="A144" s="19"/>
      <c r="C144" t="s">
        <v>476</v>
      </c>
      <c r="D144" s="449"/>
      <c r="E144" s="450"/>
      <c r="F144" s="440"/>
      <c r="G144" s="440"/>
      <c r="H144" s="440"/>
      <c r="I144" s="440"/>
      <c r="J144" s="440"/>
      <c r="K144" s="441"/>
      <c r="L144" s="440"/>
      <c r="M144" s="440"/>
      <c r="N144" s="440"/>
      <c r="O144" s="440"/>
      <c r="P144" s="442"/>
      <c r="Q144" s="442"/>
      <c r="R144" s="442"/>
      <c r="S144" s="442"/>
      <c r="T144" s="442"/>
      <c r="U144" s="442"/>
      <c r="V144" s="442"/>
      <c r="W144" s="442"/>
      <c r="X144" s="442"/>
      <c r="Y144" s="442"/>
      <c r="Z144" s="442"/>
      <c r="AA144" s="442"/>
      <c r="AB144" s="442"/>
      <c r="AC144" s="442"/>
      <c r="AD144" s="440"/>
      <c r="AE144" s="440"/>
      <c r="AF144" s="440"/>
      <c r="AG144" s="440"/>
      <c r="AH144" s="430">
        <f t="shared" si="108"/>
        <v>0</v>
      </c>
      <c r="AI144" s="369">
        <f t="shared" si="109"/>
        <v>0</v>
      </c>
      <c r="AJ144" s="431">
        <f t="shared" si="93"/>
        <v>0</v>
      </c>
      <c r="AK144" s="443">
        <f t="shared" si="94"/>
        <v>0</v>
      </c>
      <c r="AL144" s="440"/>
      <c r="AM144" s="440"/>
      <c r="AN144" s="431"/>
      <c r="AO144" s="443"/>
      <c r="AQ144" s="429"/>
      <c r="AT144" s="429"/>
      <c r="AU144" s="445" t="str">
        <f>'L. Eliminations-Consolidations'!A224</f>
        <v>L.6</v>
      </c>
      <c r="AV144" s="429">
        <f>'L. Eliminations-Consolidations'!J227</f>
        <v>0</v>
      </c>
      <c r="AX144" s="452" t="s">
        <v>634</v>
      </c>
      <c r="AY144" s="367">
        <f>'K.1  Int. Service Fd Allocation'!G192+'K.2  Int. Service Fd Alloca'!G187+'K.3 Int. Service Fd Alloca'!G187</f>
        <v>0</v>
      </c>
      <c r="AZ144" s="471"/>
      <c r="BA144" s="448"/>
      <c r="BB144" s="395">
        <f t="shared" si="110"/>
        <v>0</v>
      </c>
      <c r="BC144" s="395">
        <f t="shared" si="107"/>
        <v>0</v>
      </c>
      <c r="BD144" s="431"/>
      <c r="BE144" s="443"/>
      <c r="BF144" s="367" t="str">
        <f t="shared" si="90"/>
        <v xml:space="preserve"> </v>
      </c>
      <c r="BG144" s="455">
        <f t="shared" si="111"/>
        <v>0</v>
      </c>
      <c r="BH144" s="936" t="s">
        <v>4223</v>
      </c>
    </row>
    <row r="145" spans="1:62" x14ac:dyDescent="0.2">
      <c r="A145" s="19"/>
      <c r="C145" t="s">
        <v>897</v>
      </c>
      <c r="D145" s="449"/>
      <c r="E145" s="450"/>
      <c r="F145" s="440"/>
      <c r="G145" s="440"/>
      <c r="H145" s="440"/>
      <c r="I145" s="440"/>
      <c r="J145" s="440"/>
      <c r="K145" s="441"/>
      <c r="L145" s="440"/>
      <c r="M145" s="440"/>
      <c r="N145" s="440"/>
      <c r="O145" s="440"/>
      <c r="P145" s="442"/>
      <c r="Q145" s="442"/>
      <c r="R145" s="442"/>
      <c r="S145" s="442"/>
      <c r="T145" s="442"/>
      <c r="U145" s="442"/>
      <c r="V145" s="442"/>
      <c r="W145" s="442"/>
      <c r="X145" s="442"/>
      <c r="Y145" s="442"/>
      <c r="Z145" s="442"/>
      <c r="AA145" s="442"/>
      <c r="AB145" s="442"/>
      <c r="AC145" s="442"/>
      <c r="AD145" s="440"/>
      <c r="AE145" s="440"/>
      <c r="AF145" s="440"/>
      <c r="AG145" s="440"/>
      <c r="AH145" s="430">
        <f t="shared" si="108"/>
        <v>0</v>
      </c>
      <c r="AI145" s="369">
        <f t="shared" si="109"/>
        <v>0</v>
      </c>
      <c r="AJ145" s="431">
        <f t="shared" si="93"/>
        <v>0</v>
      </c>
      <c r="AK145" s="443">
        <f t="shared" si="94"/>
        <v>0</v>
      </c>
      <c r="AL145" s="440"/>
      <c r="AM145" s="440">
        <f>375360</f>
        <v>375360</v>
      </c>
      <c r="AN145" s="431"/>
      <c r="AO145" s="443"/>
      <c r="AP145" s="444" t="str">
        <f>'J. Other Liability &amp; Expenses'!D203</f>
        <v>J.1</v>
      </c>
      <c r="AQ145" s="429"/>
      <c r="AS145" s="444" t="str">
        <f>'J. Other Liability &amp; Expenses'!D203</f>
        <v>J.1</v>
      </c>
      <c r="AT145" s="429">
        <f>'J. Other Liability &amp; Expenses'!N214</f>
        <v>250587</v>
      </c>
      <c r="AU145" s="445" t="str">
        <f>'L. Eliminations-Consolidations'!A224</f>
        <v>L.6</v>
      </c>
      <c r="AV145" s="429">
        <f>'L. Eliminations-Consolidations'!J230</f>
        <v>0</v>
      </c>
      <c r="AX145" s="452" t="s">
        <v>634</v>
      </c>
      <c r="AY145" s="367">
        <f>'K.1  Int. Service Fd Allocation'!G189+'K.2  Int. Service Fd Alloca'!G184+'K.3 Int. Service Fd Alloca'!G184</f>
        <v>0</v>
      </c>
      <c r="AZ145" s="471"/>
      <c r="BA145" s="448"/>
      <c r="BB145" s="395">
        <f t="shared" si="110"/>
        <v>0</v>
      </c>
      <c r="BC145" s="395">
        <f t="shared" si="107"/>
        <v>625947</v>
      </c>
      <c r="BD145" s="431"/>
      <c r="BE145" s="443"/>
      <c r="BF145" s="367" t="str">
        <f t="shared" si="90"/>
        <v xml:space="preserve"> </v>
      </c>
      <c r="BG145" s="455">
        <f t="shared" si="111"/>
        <v>625947</v>
      </c>
      <c r="BH145" s="940" t="s">
        <v>4223</v>
      </c>
    </row>
    <row r="146" spans="1:62" x14ac:dyDescent="0.2">
      <c r="A146" s="19"/>
      <c r="C146" t="s">
        <v>204</v>
      </c>
      <c r="D146" s="449"/>
      <c r="E146" s="450"/>
      <c r="F146" s="440"/>
      <c r="G146" s="440"/>
      <c r="H146" s="440"/>
      <c r="I146" s="440"/>
      <c r="J146" s="440"/>
      <c r="K146" s="441"/>
      <c r="L146" s="440"/>
      <c r="M146" s="440"/>
      <c r="N146" s="440"/>
      <c r="O146" s="440"/>
      <c r="P146" s="442"/>
      <c r="Q146" s="442"/>
      <c r="R146" s="442"/>
      <c r="S146" s="442"/>
      <c r="T146" s="442"/>
      <c r="U146" s="442"/>
      <c r="V146" s="442"/>
      <c r="W146" s="442"/>
      <c r="X146" s="442"/>
      <c r="Y146" s="442"/>
      <c r="Z146" s="442"/>
      <c r="AA146" s="442"/>
      <c r="AB146" s="442"/>
      <c r="AC146" s="442"/>
      <c r="AD146" s="440"/>
      <c r="AE146" s="440"/>
      <c r="AF146" s="440"/>
      <c r="AG146" s="440"/>
      <c r="AH146" s="430">
        <f t="shared" si="108"/>
        <v>0</v>
      </c>
      <c r="AI146" s="369">
        <f t="shared" si="109"/>
        <v>0</v>
      </c>
      <c r="AJ146" s="431">
        <f t="shared" si="93"/>
        <v>0</v>
      </c>
      <c r="AK146" s="443">
        <f t="shared" si="94"/>
        <v>0</v>
      </c>
      <c r="AL146" s="440"/>
      <c r="AM146" s="440"/>
      <c r="AN146" s="431"/>
      <c r="AO146" s="443"/>
      <c r="AQ146" s="429"/>
      <c r="AS146" s="444" t="str">
        <f>'J. Other Liability &amp; Expenses'!D203</f>
        <v>J.1</v>
      </c>
      <c r="AT146" s="429">
        <f>'J. Other Liability &amp; Expenses'!N217</f>
        <v>0</v>
      </c>
      <c r="AU146" s="445" t="str">
        <f>'L. Eliminations-Consolidations'!A224</f>
        <v>L.6</v>
      </c>
      <c r="AV146" s="429">
        <f>'L. Eliminations-Consolidations'!J224</f>
        <v>0</v>
      </c>
      <c r="AX146" s="452" t="s">
        <v>634</v>
      </c>
      <c r="AY146" s="367">
        <f>'K.1  Int. Service Fd Allocation'!G190+'K.2  Int. Service Fd Alloca'!G185+'K.3 Int. Service Fd Alloca'!G185</f>
        <v>0</v>
      </c>
      <c r="AZ146" s="471"/>
      <c r="BA146" s="448"/>
      <c r="BB146" s="395">
        <f t="shared" si="110"/>
        <v>0</v>
      </c>
      <c r="BC146" s="395">
        <f t="shared" si="107"/>
        <v>0</v>
      </c>
      <c r="BD146" s="431"/>
      <c r="BE146" s="443"/>
      <c r="BF146" s="367" t="str">
        <f t="shared" si="90"/>
        <v xml:space="preserve"> </v>
      </c>
      <c r="BG146" s="455">
        <f t="shared" si="111"/>
        <v>0</v>
      </c>
      <c r="BH146" s="936" t="s">
        <v>4223</v>
      </c>
    </row>
    <row r="147" spans="1:62" x14ac:dyDescent="0.2">
      <c r="A147" s="19"/>
      <c r="C147" s="280" t="s">
        <v>651</v>
      </c>
      <c r="D147" s="449"/>
      <c r="E147" s="450"/>
      <c r="F147" s="440"/>
      <c r="G147" s="440"/>
      <c r="H147" s="440"/>
      <c r="I147" s="440"/>
      <c r="J147" s="440"/>
      <c r="K147" s="441"/>
      <c r="L147" s="440"/>
      <c r="M147" s="440"/>
      <c r="N147" s="440"/>
      <c r="O147" s="440"/>
      <c r="P147" s="442"/>
      <c r="Q147" s="442"/>
      <c r="R147" s="442"/>
      <c r="S147" s="442"/>
      <c r="T147" s="442"/>
      <c r="U147" s="442"/>
      <c r="V147" s="442"/>
      <c r="W147" s="442"/>
      <c r="X147" s="442"/>
      <c r="Y147" s="442"/>
      <c r="Z147" s="442"/>
      <c r="AA147" s="442"/>
      <c r="AB147" s="442"/>
      <c r="AC147" s="442"/>
      <c r="AD147" s="440"/>
      <c r="AE147" s="440"/>
      <c r="AF147" s="440"/>
      <c r="AG147" s="440"/>
      <c r="AH147" s="430">
        <f t="shared" si="108"/>
        <v>0</v>
      </c>
      <c r="AI147" s="369">
        <f t="shared" si="109"/>
        <v>0</v>
      </c>
      <c r="AJ147" s="431">
        <f t="shared" si="93"/>
        <v>0</v>
      </c>
      <c r="AK147" s="443">
        <f t="shared" si="94"/>
        <v>0</v>
      </c>
      <c r="AL147" s="440"/>
      <c r="AM147" s="440"/>
      <c r="AN147" s="431"/>
      <c r="AO147" s="443"/>
      <c r="AP147" s="444" t="str">
        <f>'J. Other Liability &amp; Expenses'!D203</f>
        <v>J.1</v>
      </c>
      <c r="AQ147" s="429">
        <f>'J. Other Liability &amp; Expenses'!L218</f>
        <v>0</v>
      </c>
      <c r="AS147" s="444" t="str">
        <f>'J. Other Liability &amp; Expenses'!D203</f>
        <v>J.1</v>
      </c>
      <c r="AT147" s="429">
        <f>'J. Other Liability &amp; Expenses'!N218</f>
        <v>0</v>
      </c>
      <c r="AU147" s="445" t="str">
        <f>'L. Eliminations-Consolidations'!A224</f>
        <v>L.6</v>
      </c>
      <c r="AV147" s="429">
        <f>'L. Eliminations-Consolidations'!J231</f>
        <v>0</v>
      </c>
      <c r="AY147" s="446"/>
      <c r="AZ147" s="447"/>
      <c r="BA147" s="448"/>
      <c r="BB147" s="395">
        <f t="shared" si="110"/>
        <v>0</v>
      </c>
      <c r="BC147" s="395">
        <f t="shared" si="107"/>
        <v>0</v>
      </c>
      <c r="BD147" s="431"/>
      <c r="BE147" s="443"/>
      <c r="BF147" s="367" t="str">
        <f t="shared" si="90"/>
        <v xml:space="preserve"> </v>
      </c>
      <c r="BG147" s="455">
        <f t="shared" si="111"/>
        <v>0</v>
      </c>
      <c r="BH147" s="936" t="s">
        <v>4223</v>
      </c>
    </row>
    <row r="148" spans="1:62" x14ac:dyDescent="0.2">
      <c r="A148" s="19"/>
      <c r="C148" s="280" t="s">
        <v>652</v>
      </c>
      <c r="D148" s="449"/>
      <c r="E148" s="450"/>
      <c r="F148" s="440"/>
      <c r="G148" s="440"/>
      <c r="H148" s="440"/>
      <c r="I148" s="440"/>
      <c r="J148" s="440"/>
      <c r="K148" s="441"/>
      <c r="L148" s="440"/>
      <c r="M148" s="440"/>
      <c r="N148" s="440"/>
      <c r="O148" s="440"/>
      <c r="P148" s="442"/>
      <c r="Q148" s="442"/>
      <c r="R148" s="442"/>
      <c r="S148" s="442"/>
      <c r="T148" s="442"/>
      <c r="U148" s="442"/>
      <c r="V148" s="442"/>
      <c r="W148" s="442"/>
      <c r="X148" s="442"/>
      <c r="Y148" s="442"/>
      <c r="Z148" s="442"/>
      <c r="AA148" s="442"/>
      <c r="AB148" s="442"/>
      <c r="AC148" s="442"/>
      <c r="AD148" s="440"/>
      <c r="AE148" s="440"/>
      <c r="AF148" s="440"/>
      <c r="AG148" s="440"/>
      <c r="AH148" s="430">
        <f t="shared" si="108"/>
        <v>0</v>
      </c>
      <c r="AI148" s="369">
        <f t="shared" si="109"/>
        <v>0</v>
      </c>
      <c r="AJ148" s="431">
        <f t="shared" si="93"/>
        <v>0</v>
      </c>
      <c r="AK148" s="443">
        <f t="shared" si="94"/>
        <v>0</v>
      </c>
      <c r="AL148" s="440"/>
      <c r="AM148" s="440"/>
      <c r="AN148" s="431"/>
      <c r="AO148" s="443"/>
      <c r="AP148" s="444" t="str">
        <f>'J. Other Liability &amp; Expenses'!D203</f>
        <v>J.1</v>
      </c>
      <c r="AQ148" s="429">
        <f>'J. Other Liability &amp; Expenses'!L219</f>
        <v>0</v>
      </c>
      <c r="AS148" s="444" t="str">
        <f>'J. Other Liability &amp; Expenses'!D203</f>
        <v>J.1</v>
      </c>
      <c r="AT148" s="429">
        <f>'J. Other Liability &amp; Expenses'!N219</f>
        <v>0</v>
      </c>
      <c r="AU148" s="445" t="str">
        <f>'L. Eliminations-Consolidations'!A224</f>
        <v>L.6</v>
      </c>
      <c r="AV148" s="429">
        <f>'L. Eliminations-Consolidations'!J232</f>
        <v>0</v>
      </c>
      <c r="AY148" s="446"/>
      <c r="AZ148" s="447"/>
      <c r="BA148" s="448"/>
      <c r="BB148" s="395">
        <f t="shared" si="110"/>
        <v>0</v>
      </c>
      <c r="BC148" s="395">
        <f t="shared" si="107"/>
        <v>0</v>
      </c>
      <c r="BD148" s="431"/>
      <c r="BE148" s="443"/>
      <c r="BF148" s="367" t="str">
        <f t="shared" si="90"/>
        <v xml:space="preserve"> </v>
      </c>
      <c r="BG148" s="455">
        <f t="shared" si="111"/>
        <v>0</v>
      </c>
      <c r="BH148" s="936" t="s">
        <v>4223</v>
      </c>
    </row>
    <row r="149" spans="1:62" x14ac:dyDescent="0.2">
      <c r="A149" s="19"/>
      <c r="C149" t="s">
        <v>2614</v>
      </c>
      <c r="D149" s="449"/>
      <c r="E149" s="450"/>
      <c r="F149" s="440"/>
      <c r="G149" s="440"/>
      <c r="H149" s="440"/>
      <c r="I149" s="440"/>
      <c r="J149" s="440"/>
      <c r="K149" s="441"/>
      <c r="L149" s="440"/>
      <c r="M149" s="440"/>
      <c r="N149" s="440"/>
      <c r="O149" s="440"/>
      <c r="P149" s="442"/>
      <c r="Q149" s="442"/>
      <c r="R149" s="442"/>
      <c r="S149" s="442"/>
      <c r="T149" s="442"/>
      <c r="U149" s="442"/>
      <c r="V149" s="442"/>
      <c r="W149" s="442"/>
      <c r="X149" s="442"/>
      <c r="Y149" s="442"/>
      <c r="Z149" s="442"/>
      <c r="AA149" s="442"/>
      <c r="AB149" s="442"/>
      <c r="AC149" s="442"/>
      <c r="AD149" s="440"/>
      <c r="AE149" s="440"/>
      <c r="AF149" s="440"/>
      <c r="AG149" s="440"/>
      <c r="AH149" s="430">
        <f t="shared" si="108"/>
        <v>0</v>
      </c>
      <c r="AI149" s="369">
        <f t="shared" si="109"/>
        <v>0</v>
      </c>
      <c r="AJ149" s="431">
        <f t="shared" si="93"/>
        <v>0</v>
      </c>
      <c r="AK149" s="443">
        <f t="shared" si="94"/>
        <v>0</v>
      </c>
      <c r="AL149" s="440"/>
      <c r="AM149" s="440">
        <f>'N.1 GASB 68 LGERS'!C75*'N.1 GASB 68 LGERS'!H39</f>
        <v>3857799</v>
      </c>
      <c r="AN149" s="431"/>
      <c r="AO149" s="443"/>
      <c r="AP149" s="444" t="s">
        <v>2047</v>
      </c>
      <c r="AQ149" s="429">
        <f>'N.1 GASB 68 LGERS'!C96</f>
        <v>0</v>
      </c>
      <c r="AR149" s="369" t="s">
        <v>2047</v>
      </c>
      <c r="AT149" s="429">
        <f>'N.1 GASB 68 LGERS'!D96</f>
        <v>2075808</v>
      </c>
      <c r="AU149" s="445"/>
      <c r="AV149" s="429"/>
      <c r="AY149" s="446"/>
      <c r="AZ149" s="447"/>
      <c r="BA149" s="448"/>
      <c r="BB149" s="395">
        <f t="shared" si="110"/>
        <v>0</v>
      </c>
      <c r="BC149" s="395">
        <f t="shared" si="107"/>
        <v>5933607</v>
      </c>
      <c r="BD149" s="431"/>
      <c r="BE149" s="443"/>
      <c r="BF149" s="429" t="str">
        <f t="shared" si="90"/>
        <v xml:space="preserve"> </v>
      </c>
      <c r="BG149" s="455">
        <f>IF(BB149-BC149&gt;0," ",BC149-BB149)</f>
        <v>5933607</v>
      </c>
      <c r="BH149" s="936" t="s">
        <v>4223</v>
      </c>
    </row>
    <row r="150" spans="1:62" ht="12.75" hidden="1" customHeight="1" x14ac:dyDescent="0.2">
      <c r="A150" s="19"/>
      <c r="C150" t="s">
        <v>2615</v>
      </c>
      <c r="D150" s="449"/>
      <c r="E150" s="450"/>
      <c r="F150" s="440"/>
      <c r="G150" s="440"/>
      <c r="H150" s="440"/>
      <c r="I150" s="440"/>
      <c r="J150" s="440"/>
      <c r="K150" s="441"/>
      <c r="L150" s="440"/>
      <c r="M150" s="440"/>
      <c r="N150" s="440"/>
      <c r="O150" s="440"/>
      <c r="P150" s="442"/>
      <c r="Q150" s="442"/>
      <c r="R150" s="442"/>
      <c r="S150" s="442"/>
      <c r="T150" s="442"/>
      <c r="U150" s="442"/>
      <c r="V150" s="442"/>
      <c r="W150" s="442"/>
      <c r="X150" s="442"/>
      <c r="Y150" s="442"/>
      <c r="Z150" s="442"/>
      <c r="AA150" s="442"/>
      <c r="AB150" s="442"/>
      <c r="AC150" s="442"/>
      <c r="AD150" s="440"/>
      <c r="AE150" s="440"/>
      <c r="AF150" s="440"/>
      <c r="AG150" s="440"/>
      <c r="AH150" s="430"/>
      <c r="AJ150" s="431"/>
      <c r="AK150" s="443"/>
      <c r="AL150"/>
      <c r="AM150" s="440">
        <f>'J. Other Liability &amp; Expenses'!N87</f>
        <v>0</v>
      </c>
      <c r="AN150" s="431"/>
      <c r="AO150" s="443"/>
      <c r="AP150" s="444" t="s">
        <v>474</v>
      </c>
      <c r="AQ150" s="429">
        <f>'J. Other Liability &amp; Expenses'!L220</f>
        <v>0</v>
      </c>
      <c r="AS150" s="444" t="str">
        <f>'J. Other Liability &amp; Expenses'!D203</f>
        <v>J.1</v>
      </c>
      <c r="AT150" s="429">
        <f>'J. Other Liability &amp; Expenses'!N220</f>
        <v>0</v>
      </c>
      <c r="AU150" s="445"/>
      <c r="AV150" s="429"/>
      <c r="AY150" s="446"/>
      <c r="AZ150" s="447"/>
      <c r="BA150" s="448"/>
      <c r="BB150" s="836">
        <f t="shared" si="110"/>
        <v>0</v>
      </c>
      <c r="BC150" s="836">
        <f t="shared" si="107"/>
        <v>0</v>
      </c>
      <c r="BD150" s="431"/>
      <c r="BE150" s="443"/>
      <c r="BF150" s="429" t="str">
        <f>IF(BB150-BC150&lt;=0," ",BB150-BC150)</f>
        <v xml:space="preserve"> </v>
      </c>
      <c r="BG150" s="455">
        <f>IF(BB150-BC150&gt;0," ",BC150-BB150)</f>
        <v>0</v>
      </c>
    </row>
    <row r="151" spans="1:62" x14ac:dyDescent="0.2">
      <c r="A151" s="19"/>
      <c r="C151" t="s">
        <v>3578</v>
      </c>
      <c r="D151" s="453"/>
      <c r="E151" s="454"/>
      <c r="F151" s="440"/>
      <c r="G151" s="440"/>
      <c r="H151" s="440"/>
      <c r="I151" s="440"/>
      <c r="J151" s="440"/>
      <c r="K151" s="441"/>
      <c r="L151" s="440"/>
      <c r="M151" s="440"/>
      <c r="N151" s="440"/>
      <c r="O151" s="440"/>
      <c r="P151" s="451"/>
      <c r="Q151" s="451"/>
      <c r="R151" s="451"/>
      <c r="S151" s="451"/>
      <c r="T151" s="451"/>
      <c r="U151" s="451"/>
      <c r="V151" s="451"/>
      <c r="W151" s="451"/>
      <c r="X151" s="451"/>
      <c r="Y151" s="451"/>
      <c r="Z151" s="451"/>
      <c r="AA151" s="451"/>
      <c r="AB151" s="451"/>
      <c r="AC151" s="451"/>
      <c r="AD151" s="440"/>
      <c r="AE151" s="440"/>
      <c r="AF151" s="440"/>
      <c r="AG151" s="440"/>
      <c r="AH151" s="430"/>
      <c r="AJ151" s="431"/>
      <c r="AK151" s="443"/>
      <c r="AL151" s="440"/>
      <c r="AM151" s="440">
        <f>'O. GASB 73 LEO Entries'!C70</f>
        <v>218892</v>
      </c>
      <c r="AN151" s="431"/>
      <c r="AO151" s="443"/>
      <c r="AP151" s="444" t="s">
        <v>3614</v>
      </c>
      <c r="AQ151" s="367">
        <f>IF('O. GASB 73 LEO Entries'!C71=0,0,'O. GASB 73 LEO Entries'!C70-'O. GASB 73 LEO Entries'!C71)</f>
        <v>0</v>
      </c>
      <c r="AS151" s="444" t="s">
        <v>3614</v>
      </c>
      <c r="AT151" s="367">
        <f>IF('O. GASB 73 LEO Entries'!D71=0,0,'O. GASB 73 LEO Entries'!D71-'O. GASB 73 LEO Entries'!C70)</f>
        <v>3780</v>
      </c>
      <c r="AU151" s="445"/>
      <c r="AV151" s="367"/>
      <c r="AY151" s="455"/>
      <c r="AZ151" s="832"/>
      <c r="BA151" s="833"/>
      <c r="BB151" s="836">
        <f t="shared" si="110"/>
        <v>0</v>
      </c>
      <c r="BC151" s="836">
        <f t="shared" si="107"/>
        <v>222672</v>
      </c>
      <c r="BD151" s="431"/>
      <c r="BE151" s="443"/>
      <c r="BF151" s="367" t="str">
        <f>IF(BB151-BC151&lt;=0," ",BB151-BC151)</f>
        <v xml:space="preserve"> </v>
      </c>
      <c r="BG151" s="455">
        <f>IF(BB151-BC151&gt;0," ",BC151-BB151)</f>
        <v>222672</v>
      </c>
      <c r="BH151" s="936" t="s">
        <v>4223</v>
      </c>
      <c r="BI151" s="939"/>
    </row>
    <row r="152" spans="1:62" x14ac:dyDescent="0.2">
      <c r="A152" s="19"/>
      <c r="C152" s="579" t="s">
        <v>3968</v>
      </c>
      <c r="D152" s="453"/>
      <c r="E152" s="454"/>
      <c r="F152" s="440"/>
      <c r="G152" s="440"/>
      <c r="H152" s="440"/>
      <c r="I152" s="440"/>
      <c r="J152" s="440"/>
      <c r="K152" s="441"/>
      <c r="L152" s="440"/>
      <c r="M152" s="440"/>
      <c r="N152" s="440"/>
      <c r="O152" s="440"/>
      <c r="P152" s="451"/>
      <c r="Q152" s="451"/>
      <c r="R152" s="451"/>
      <c r="S152" s="451"/>
      <c r="T152" s="451"/>
      <c r="U152" s="451"/>
      <c r="V152" s="451"/>
      <c r="W152" s="451"/>
      <c r="X152" s="451"/>
      <c r="Y152" s="451"/>
      <c r="Z152" s="451"/>
      <c r="AA152" s="451"/>
      <c r="AB152" s="451"/>
      <c r="AC152" s="451"/>
      <c r="AD152" s="440"/>
      <c r="AE152" s="440"/>
      <c r="AF152" s="440"/>
      <c r="AG152" s="440"/>
      <c r="AH152" s="430">
        <f t="shared" ref="AH152" si="119">L152+N152+P152+R152+T152+V152+X152+Z152+AB152+AD152+AF152</f>
        <v>0</v>
      </c>
      <c r="AI152" s="369">
        <f t="shared" ref="AI152" si="120">M152+O152+Q152+S152+U152+W152+Y152+AA152+AC152+AE152+AG152</f>
        <v>0</v>
      </c>
      <c r="AJ152" s="431">
        <f>D152+F152+H152+J152+AH152</f>
        <v>0</v>
      </c>
      <c r="AK152" s="443">
        <f>E152+G152+I152+K152+AI152</f>
        <v>0</v>
      </c>
      <c r="AL152" s="440"/>
      <c r="AM152" s="440">
        <f>'J. Other Liability &amp; Expenses'!N221</f>
        <v>50585</v>
      </c>
      <c r="AN152" s="431"/>
      <c r="AO152" s="443"/>
      <c r="AP152" s="444" t="s">
        <v>474</v>
      </c>
      <c r="AQ152" s="367">
        <f>'J. Other Liability &amp; Expenses'!L222</f>
        <v>50585</v>
      </c>
      <c r="AS152" s="444" t="str">
        <f>'J. Other Liability &amp; Expenses'!D203</f>
        <v>J.1</v>
      </c>
      <c r="AT152" s="367">
        <f>'J. Other Liability &amp; Expenses'!N222</f>
        <v>0</v>
      </c>
      <c r="AU152" s="445"/>
      <c r="AV152" s="367"/>
      <c r="AX152" s="452"/>
      <c r="AY152" s="367"/>
      <c r="AZ152" s="838"/>
      <c r="BA152" s="833"/>
      <c r="BB152" s="836">
        <f t="shared" si="110"/>
        <v>50585</v>
      </c>
      <c r="BC152" s="836">
        <f>ROUND(AK152+AM152+AO152+AT152+AY152+BA152,0)</f>
        <v>50585</v>
      </c>
      <c r="BD152" s="431"/>
      <c r="BE152" s="443"/>
      <c r="BF152" s="367" t="str">
        <f>IF(BB152-BC152&lt;=0," ",BB152-BC152)</f>
        <v xml:space="preserve"> </v>
      </c>
      <c r="BG152" s="455">
        <f>IF(BB152-BC152&gt;0," ",BC152-BB152)</f>
        <v>0</v>
      </c>
      <c r="BI152" s="939"/>
    </row>
    <row r="153" spans="1:62" x14ac:dyDescent="0.2">
      <c r="A153" s="19"/>
      <c r="C153" s="579" t="s">
        <v>4073</v>
      </c>
      <c r="D153" s="453"/>
      <c r="E153" s="454"/>
      <c r="F153" s="440"/>
      <c r="G153" s="440"/>
      <c r="H153" s="440"/>
      <c r="I153" s="440"/>
      <c r="J153" s="440"/>
      <c r="K153" s="441"/>
      <c r="L153" s="440"/>
      <c r="M153" s="440"/>
      <c r="N153" s="440"/>
      <c r="O153" s="440"/>
      <c r="P153" s="451"/>
      <c r="Q153" s="451"/>
      <c r="R153" s="451"/>
      <c r="S153" s="451"/>
      <c r="T153" s="451"/>
      <c r="U153" s="451"/>
      <c r="V153" s="451"/>
      <c r="W153" s="451"/>
      <c r="X153" s="451"/>
      <c r="Y153" s="451"/>
      <c r="Z153" s="451"/>
      <c r="AA153" s="451"/>
      <c r="AB153" s="451"/>
      <c r="AC153" s="451"/>
      <c r="AD153" s="440"/>
      <c r="AE153" s="440"/>
      <c r="AF153" s="440"/>
      <c r="AG153" s="440"/>
      <c r="AH153" s="430"/>
      <c r="AJ153" s="431"/>
      <c r="AK153" s="443"/>
      <c r="AL153" s="440"/>
      <c r="AM153" s="440"/>
      <c r="AN153" s="431"/>
      <c r="AO153" s="443"/>
      <c r="AP153" s="444" t="s">
        <v>4019</v>
      </c>
      <c r="AQ153" s="367"/>
      <c r="AS153" s="444" t="s">
        <v>4019</v>
      </c>
      <c r="AT153" s="367">
        <f>'P.1 GASB 75 OPEB  - plan 1'!D104</f>
        <v>1400640</v>
      </c>
      <c r="AU153" s="445"/>
      <c r="AV153" s="367"/>
      <c r="AX153" s="452" t="s">
        <v>634</v>
      </c>
      <c r="AY153" s="367">
        <f>'K.1  Int. Service Fd Allocation'!G191+'K.2  Int. Service Fd Alloca'!G186+'K.3 Int. Service Fd Alloca'!G186</f>
        <v>0</v>
      </c>
      <c r="AZ153" s="838"/>
      <c r="BA153" s="833"/>
      <c r="BB153" s="836">
        <f>ROUND(AJ153+AL153+AN153+AQ153+AV153+AZ153,0)</f>
        <v>0</v>
      </c>
      <c r="BC153" s="836">
        <f>ROUND(AK153+AM153+AO153+AT153+AY153+BA153,0)</f>
        <v>1400640</v>
      </c>
      <c r="BD153" s="431"/>
      <c r="BE153" s="443"/>
      <c r="BF153" s="367"/>
      <c r="BG153" s="455">
        <f>IF(BB153-BC153&gt;0," ",BC153-BB153)</f>
        <v>1400640</v>
      </c>
      <c r="BH153" s="936" t="s">
        <v>4223</v>
      </c>
      <c r="BI153" s="939"/>
      <c r="BJ153" s="966"/>
    </row>
    <row r="154" spans="1:62" x14ac:dyDescent="0.2">
      <c r="A154" s="19"/>
      <c r="C154" s="579" t="s">
        <v>4074</v>
      </c>
      <c r="D154" s="453"/>
      <c r="E154" s="454"/>
      <c r="F154" s="440"/>
      <c r="G154" s="440"/>
      <c r="H154" s="440"/>
      <c r="I154" s="440"/>
      <c r="J154" s="440"/>
      <c r="K154" s="441"/>
      <c r="L154" s="440"/>
      <c r="M154" s="440"/>
      <c r="N154" s="440"/>
      <c r="O154" s="440"/>
      <c r="P154" s="451"/>
      <c r="Q154" s="451"/>
      <c r="R154" s="451"/>
      <c r="S154" s="451"/>
      <c r="T154" s="451"/>
      <c r="U154" s="451"/>
      <c r="V154" s="451"/>
      <c r="W154" s="451"/>
      <c r="X154" s="451"/>
      <c r="Y154" s="451"/>
      <c r="Z154" s="451"/>
      <c r="AA154" s="451"/>
      <c r="AB154" s="451"/>
      <c r="AC154" s="451"/>
      <c r="AD154" s="440"/>
      <c r="AE154" s="440"/>
      <c r="AF154" s="440"/>
      <c r="AG154" s="440"/>
      <c r="AH154" s="430"/>
      <c r="AJ154" s="431"/>
      <c r="AK154" s="443"/>
      <c r="AL154" s="440"/>
      <c r="AM154" s="440"/>
      <c r="AN154" s="431"/>
      <c r="AO154" s="443"/>
      <c r="AP154" s="444" t="s">
        <v>4020</v>
      </c>
      <c r="AQ154" s="367"/>
      <c r="AS154" s="444" t="s">
        <v>4020</v>
      </c>
      <c r="AT154" s="367">
        <f>'P.2 GASB 75 OPEB - plan 2'!D104</f>
        <v>0</v>
      </c>
      <c r="AU154" s="445"/>
      <c r="AV154" s="367"/>
      <c r="AX154" s="452"/>
      <c r="AY154" s="367"/>
      <c r="AZ154" s="838"/>
      <c r="BA154" s="833"/>
      <c r="BB154" s="836">
        <f t="shared" ref="BB154:BB155" si="121">ROUND(AJ154+AL154+AN154+AQ154+AV154+AZ154,0)</f>
        <v>0</v>
      </c>
      <c r="BC154" s="836">
        <f t="shared" ref="BC154" si="122">ROUND(AK154+AM154+AO154+AT154+AY154+BA154,0)</f>
        <v>0</v>
      </c>
      <c r="BD154" s="431"/>
      <c r="BE154" s="443"/>
      <c r="BF154" s="367"/>
      <c r="BG154" s="455">
        <f t="shared" ref="BG154" si="123">IF(BB154-BC154&gt;0," ",BC154-BB154)</f>
        <v>0</v>
      </c>
      <c r="BI154" s="939"/>
      <c r="BJ154" s="966"/>
    </row>
    <row r="155" spans="1:62" x14ac:dyDescent="0.2">
      <c r="A155" s="19"/>
      <c r="C155" s="579" t="s">
        <v>4075</v>
      </c>
      <c r="D155" s="453"/>
      <c r="E155" s="454"/>
      <c r="F155" s="440"/>
      <c r="G155" s="440"/>
      <c r="H155" s="440"/>
      <c r="I155" s="440"/>
      <c r="J155" s="440"/>
      <c r="K155" s="441"/>
      <c r="L155" s="440"/>
      <c r="M155" s="440"/>
      <c r="N155" s="440"/>
      <c r="O155" s="440"/>
      <c r="P155" s="451"/>
      <c r="Q155" s="451"/>
      <c r="R155" s="451"/>
      <c r="S155" s="451"/>
      <c r="T155" s="451"/>
      <c r="U155" s="451"/>
      <c r="V155" s="451"/>
      <c r="W155" s="451"/>
      <c r="X155" s="451"/>
      <c r="Y155" s="451"/>
      <c r="Z155" s="451"/>
      <c r="AA155" s="451"/>
      <c r="AB155" s="451"/>
      <c r="AC155" s="451"/>
      <c r="AD155" s="440"/>
      <c r="AE155" s="440"/>
      <c r="AF155" s="440"/>
      <c r="AG155" s="440"/>
      <c r="AH155" s="430"/>
      <c r="AJ155" s="431"/>
      <c r="AK155" s="443"/>
      <c r="AL155" s="440"/>
      <c r="AM155" s="440"/>
      <c r="AN155" s="431"/>
      <c r="AO155" s="443"/>
      <c r="AP155" s="444" t="s">
        <v>4021</v>
      </c>
      <c r="AQ155" s="367"/>
      <c r="AS155" s="444" t="s">
        <v>4021</v>
      </c>
      <c r="AT155" s="367">
        <f>'P.3 GASB 75 OPEB - plan 3'!D103</f>
        <v>0</v>
      </c>
      <c r="AU155" s="445"/>
      <c r="AV155" s="367"/>
      <c r="AX155" s="452"/>
      <c r="AY155" s="367"/>
      <c r="AZ155" s="838"/>
      <c r="BA155" s="833"/>
      <c r="BB155" s="836">
        <f t="shared" si="121"/>
        <v>0</v>
      </c>
      <c r="BC155" s="836">
        <f>ROUND(AK155+AM155+AO155+AT155+AY155+BA155,0)</f>
        <v>0</v>
      </c>
      <c r="BD155" s="431"/>
      <c r="BE155" s="443"/>
      <c r="BF155" s="367"/>
      <c r="BG155" s="455">
        <f>IF(BB155-BC155&gt;0," ",BC155-BB155)</f>
        <v>0</v>
      </c>
      <c r="BH155" s="937"/>
      <c r="BI155" s="939"/>
      <c r="BJ155" s="966"/>
    </row>
    <row r="156" spans="1:62" x14ac:dyDescent="0.2">
      <c r="A156" s="19"/>
      <c r="B156" s="4" t="s">
        <v>1140</v>
      </c>
      <c r="D156" s="449"/>
      <c r="E156" s="450"/>
      <c r="F156" s="440"/>
      <c r="G156" s="440"/>
      <c r="H156" s="440"/>
      <c r="I156" s="440"/>
      <c r="J156" s="440"/>
      <c r="K156" s="441"/>
      <c r="L156" s="440"/>
      <c r="M156" s="440"/>
      <c r="N156" s="440"/>
      <c r="O156" s="440"/>
      <c r="P156" s="442"/>
      <c r="Q156" s="442"/>
      <c r="R156" s="442"/>
      <c r="S156" s="442"/>
      <c r="T156" s="442"/>
      <c r="U156" s="442"/>
      <c r="V156" s="442"/>
      <c r="W156" s="442"/>
      <c r="X156" s="442"/>
      <c r="Y156" s="442"/>
      <c r="Z156" s="442"/>
      <c r="AA156" s="442"/>
      <c r="AB156" s="442"/>
      <c r="AC156" s="442"/>
      <c r="AD156" s="440"/>
      <c r="AE156" s="440"/>
      <c r="AF156" s="440"/>
      <c r="AG156" s="440"/>
      <c r="AH156" s="430"/>
      <c r="AJ156" s="431"/>
      <c r="AK156" s="443"/>
      <c r="AL156" s="440"/>
      <c r="AM156" s="440"/>
      <c r="AN156" s="431"/>
      <c r="AO156" s="443"/>
      <c r="AQ156" s="429"/>
      <c r="AT156" s="367"/>
      <c r="AU156" s="445"/>
      <c r="AV156" s="429"/>
      <c r="AX156" s="452"/>
      <c r="AY156" s="367"/>
      <c r="AZ156" s="471"/>
      <c r="BA156" s="448"/>
      <c r="BB156" s="836"/>
      <c r="BC156" s="836"/>
      <c r="BD156" s="431"/>
      <c r="BE156" s="443"/>
      <c r="BF156" s="429"/>
      <c r="BG156" s="446"/>
      <c r="BI156" s="939"/>
    </row>
    <row r="157" spans="1:62" x14ac:dyDescent="0.2">
      <c r="A157" s="19"/>
      <c r="C157" s="546" t="s">
        <v>543</v>
      </c>
      <c r="D157" s="547"/>
      <c r="E157" s="548">
        <v>329403</v>
      </c>
      <c r="F157" s="549"/>
      <c r="G157" s="549"/>
      <c r="H157" s="549"/>
      <c r="I157" s="549"/>
      <c r="J157" s="549"/>
      <c r="K157" s="550"/>
      <c r="L157" s="549"/>
      <c r="M157" s="549"/>
      <c r="N157" s="549"/>
      <c r="O157" s="549"/>
      <c r="P157" s="551"/>
      <c r="Q157" s="551"/>
      <c r="R157" s="551"/>
      <c r="S157" s="551"/>
      <c r="T157" s="551"/>
      <c r="U157" s="551"/>
      <c r="V157" s="551"/>
      <c r="W157" s="551"/>
      <c r="X157" s="551"/>
      <c r="Y157" s="551"/>
      <c r="Z157" s="551"/>
      <c r="AA157" s="551"/>
      <c r="AB157" s="551"/>
      <c r="AC157" s="551"/>
      <c r="AD157" s="549"/>
      <c r="AE157" s="549"/>
      <c r="AF157" s="549"/>
      <c r="AG157" s="549"/>
      <c r="AH157" s="461">
        <f t="shared" ref="AH157:AH160" si="124">L157+N157+P157+R157+T157+V157+X157+Z157+AB157+AD157+AF157</f>
        <v>0</v>
      </c>
      <c r="AI157" s="462">
        <f t="shared" ref="AI157:AI160" si="125">M157+O157+Q157+S157+U157+W157+Y157+AA157+AC157+AE157+AG157</f>
        <v>0</v>
      </c>
      <c r="AJ157" s="554">
        <f t="shared" ref="AJ157:AK166" si="126">D157+F157+H157+J157+AH157</f>
        <v>0</v>
      </c>
      <c r="AK157" s="555">
        <f t="shared" si="126"/>
        <v>329403</v>
      </c>
      <c r="AL157" s="549"/>
      <c r="AM157" s="549"/>
      <c r="AN157" s="554"/>
      <c r="AO157" s="555"/>
      <c r="AP157" s="465"/>
      <c r="AQ157" s="466"/>
      <c r="AR157" s="462"/>
      <c r="AS157" s="465"/>
      <c r="AT157" s="474"/>
      <c r="AU157" s="558"/>
      <c r="AV157" s="557"/>
      <c r="AW157" s="553"/>
      <c r="AX157" s="556"/>
      <c r="AY157" s="559"/>
      <c r="AZ157" s="471"/>
      <c r="BA157" s="448"/>
      <c r="BB157" s="395">
        <f>ROUND(AJ157+AL157+AN157+AQ157+AV157+AZ157,0)</f>
        <v>0</v>
      </c>
      <c r="BC157" s="395">
        <f>ROUND(AK157+AM157+AO157+AT157+AY157+BA157,0)</f>
        <v>329403</v>
      </c>
      <c r="BD157" s="554"/>
      <c r="BE157" s="555"/>
      <c r="BF157" s="557" t="str">
        <f>IF(BB157-BC157&lt;=0," ",BB157-BC157)</f>
        <v xml:space="preserve"> </v>
      </c>
      <c r="BG157" s="559">
        <f>IF(BB157-BC157&gt;0," ",BC157-BB157)</f>
        <v>329403</v>
      </c>
      <c r="BH157" s="937" t="s">
        <v>4224</v>
      </c>
      <c r="BI157" s="939">
        <f>+BG157+BG158+BG161+BG162+BG164+BG167+BG171+BG174+BG179-BG158</f>
        <v>1382161</v>
      </c>
    </row>
    <row r="158" spans="1:62" ht="15.6" customHeight="1" x14ac:dyDescent="0.2">
      <c r="A158" s="19"/>
      <c r="C158" s="885" t="s">
        <v>1051</v>
      </c>
      <c r="D158" s="886"/>
      <c r="E158" s="887">
        <f>2556406+142070-329219</f>
        <v>2369257</v>
      </c>
      <c r="F158" s="888"/>
      <c r="G158" s="888"/>
      <c r="H158" s="888"/>
      <c r="I158" s="888">
        <v>1938038</v>
      </c>
      <c r="J158" s="888"/>
      <c r="K158" s="889"/>
      <c r="L158" s="888"/>
      <c r="M158" s="888"/>
      <c r="N158" s="891"/>
      <c r="O158" s="888"/>
      <c r="P158" s="890"/>
      <c r="Q158" s="992">
        <v>1345</v>
      </c>
      <c r="R158" s="992"/>
      <c r="S158" s="992"/>
      <c r="T158" s="992"/>
      <c r="U158" s="992"/>
      <c r="V158" s="992"/>
      <c r="W158" s="992"/>
      <c r="X158" s="992"/>
      <c r="Y158" s="992"/>
      <c r="Z158" s="992"/>
      <c r="AA158" s="992"/>
      <c r="AB158" s="992"/>
      <c r="AC158" s="992"/>
      <c r="AD158" s="888"/>
      <c r="AE158" s="888"/>
      <c r="AF158" s="888"/>
      <c r="AG158" s="888"/>
      <c r="AH158" s="993">
        <f>L158+O158+P158+R158+T158+V158+X158+Z158+AB158+AD158+AF158</f>
        <v>0</v>
      </c>
      <c r="AI158" s="891">
        <f t="shared" si="125"/>
        <v>1345</v>
      </c>
      <c r="AJ158" s="892">
        <f t="shared" si="126"/>
        <v>0</v>
      </c>
      <c r="AK158" s="893">
        <f t="shared" si="126"/>
        <v>4308640</v>
      </c>
      <c r="AL158" s="888"/>
      <c r="AM158" s="888"/>
      <c r="AN158" s="892"/>
      <c r="AO158" s="893"/>
      <c r="AP158" s="728" t="str">
        <f>'B.  Property Taxes'!A57</f>
        <v>B.2</v>
      </c>
      <c r="AQ158" s="891">
        <f>'B.  Property Taxes'!J57</f>
        <v>2369257</v>
      </c>
      <c r="AR158" s="891"/>
      <c r="AS158" s="728" t="str">
        <f>'C. Other Revenues'!B207</f>
        <v>C.1</v>
      </c>
      <c r="AT158" s="882">
        <f>'C. Other Revenues'!M208</f>
        <v>0</v>
      </c>
      <c r="AU158" s="894"/>
      <c r="AV158" s="994"/>
      <c r="AW158" s="891"/>
      <c r="AX158" s="728"/>
      <c r="AY158" s="994"/>
      <c r="AZ158" s="471"/>
      <c r="BA158" s="448"/>
      <c r="BB158" s="395">
        <f t="shared" ref="BB158:BB177" si="127">ROUND(AJ158+AL158+AN158+AQ158+AV158+AZ158,0)</f>
        <v>2369257</v>
      </c>
      <c r="BC158" s="395">
        <f t="shared" ref="BC158:BC179" si="128">ROUND(AK158+AM158+AO158+AT158+AY158+BA158,0)</f>
        <v>4308640</v>
      </c>
      <c r="BD158" s="892"/>
      <c r="BE158" s="893"/>
      <c r="BF158" s="882" t="str">
        <f>IF(SUM(BB158:BB160)-SUM(BC158:BC160)&lt;=0," ",SUM(BB158:BB160)-SUM(BC158:BC160))</f>
        <v xml:space="preserve"> </v>
      </c>
      <c r="BG158" s="883">
        <f>IF(SUM(BB158:BB159)-SUM(BC158:BC159)&gt;0," ",SUM(BC158:BC159)-SUM(BB158:BB159))</f>
        <v>1345</v>
      </c>
      <c r="BH158" s="939" t="s">
        <v>4224</v>
      </c>
      <c r="BI158" s="939">
        <v>1345</v>
      </c>
    </row>
    <row r="159" spans="1:62" ht="15.6" customHeight="1" x14ac:dyDescent="0.2">
      <c r="A159" s="19"/>
      <c r="C159" s="891"/>
      <c r="D159" s="886"/>
      <c r="E159" s="887"/>
      <c r="F159" s="888"/>
      <c r="G159" s="888"/>
      <c r="H159" s="888"/>
      <c r="I159" s="888"/>
      <c r="J159" s="888"/>
      <c r="K159" s="889"/>
      <c r="L159" s="888"/>
      <c r="M159" s="888"/>
      <c r="N159" s="891"/>
      <c r="O159" s="888"/>
      <c r="P159" s="890"/>
      <c r="Q159" s="992"/>
      <c r="R159" s="992"/>
      <c r="S159" s="992"/>
      <c r="T159" s="992"/>
      <c r="U159" s="992"/>
      <c r="V159" s="992"/>
      <c r="W159" s="992"/>
      <c r="X159" s="992"/>
      <c r="Y159" s="992"/>
      <c r="Z159" s="992"/>
      <c r="AA159" s="992"/>
      <c r="AB159" s="992"/>
      <c r="AC159" s="992"/>
      <c r="AD159" s="888"/>
      <c r="AE159" s="888"/>
      <c r="AF159" s="888"/>
      <c r="AG159" s="888"/>
      <c r="AH159" s="993"/>
      <c r="AI159" s="891"/>
      <c r="AJ159" s="892"/>
      <c r="AK159" s="893"/>
      <c r="AL159" s="888"/>
      <c r="AM159" s="888"/>
      <c r="AN159" s="892"/>
      <c r="AO159" s="893"/>
      <c r="AP159" s="728" t="str">
        <f>'C. Other Revenues'!B207</f>
        <v>C.1</v>
      </c>
      <c r="AQ159" s="891">
        <f>'C. Other Revenues'!K208</f>
        <v>1938038</v>
      </c>
      <c r="AR159" s="891"/>
      <c r="AS159" s="728"/>
      <c r="AT159" s="882"/>
      <c r="AU159" s="894"/>
      <c r="AV159" s="994"/>
      <c r="AW159" s="891"/>
      <c r="AX159" s="728"/>
      <c r="AY159" s="994"/>
      <c r="AZ159" s="471"/>
      <c r="BA159" s="448"/>
      <c r="BB159" s="395">
        <f t="shared" si="127"/>
        <v>1938038</v>
      </c>
      <c r="BC159" s="395"/>
      <c r="BD159" s="892"/>
      <c r="BE159" s="893"/>
      <c r="BF159" s="882"/>
      <c r="BG159" s="883"/>
      <c r="BH159" s="939"/>
      <c r="BI159" s="939"/>
    </row>
    <row r="160" spans="1:62" x14ac:dyDescent="0.2">
      <c r="A160" s="19"/>
      <c r="C160" s="579" t="s">
        <v>4209</v>
      </c>
      <c r="D160" s="453"/>
      <c r="E160" s="441">
        <v>28833</v>
      </c>
      <c r="F160" s="440"/>
      <c r="G160" s="440"/>
      <c r="H160" s="440"/>
      <c r="I160" s="440"/>
      <c r="J160" s="440"/>
      <c r="K160" s="441"/>
      <c r="L160" s="440"/>
      <c r="M160" s="440"/>
      <c r="N160" s="440"/>
      <c r="O160" s="440"/>
      <c r="P160" s="543"/>
      <c r="Q160" s="543"/>
      <c r="R160" s="543"/>
      <c r="S160" s="543"/>
      <c r="T160" s="543"/>
      <c r="U160" s="543"/>
      <c r="V160" s="543"/>
      <c r="W160" s="543"/>
      <c r="X160" s="543"/>
      <c r="Y160" s="543"/>
      <c r="Z160" s="543"/>
      <c r="AA160" s="543"/>
      <c r="AB160" s="543"/>
      <c r="AC160" s="543"/>
      <c r="AD160" s="440"/>
      <c r="AE160" s="440"/>
      <c r="AF160" s="440"/>
      <c r="AG160" s="440"/>
      <c r="AH160" s="430">
        <f t="shared" si="124"/>
        <v>0</v>
      </c>
      <c r="AI160" s="369">
        <f t="shared" si="125"/>
        <v>0</v>
      </c>
      <c r="AJ160" s="431">
        <f t="shared" si="126"/>
        <v>0</v>
      </c>
      <c r="AK160" s="443">
        <f t="shared" si="126"/>
        <v>28833</v>
      </c>
      <c r="AL160" s="440"/>
      <c r="AM160" s="440"/>
      <c r="AN160" s="431"/>
      <c r="AO160" s="443"/>
      <c r="AP160" s="444" t="str">
        <f>'C. Other Revenues'!B207</f>
        <v>C.1</v>
      </c>
      <c r="AQ160" s="369">
        <f>'C. Other Revenues'!K209</f>
        <v>28833</v>
      </c>
      <c r="AS160" s="489"/>
      <c r="AT160" s="489"/>
      <c r="AU160" s="445"/>
      <c r="AV160" s="544"/>
      <c r="AY160" s="544"/>
      <c r="AZ160" s="471"/>
      <c r="BA160" s="448"/>
      <c r="BB160" s="395">
        <f t="shared" si="127"/>
        <v>28833</v>
      </c>
      <c r="BC160" s="395">
        <f>ROUND(AK160+AM160+AO160+AT160+AY160+BA160,0)</f>
        <v>28833</v>
      </c>
      <c r="BD160" s="431"/>
      <c r="BE160" s="443"/>
      <c r="BF160" s="544" t="str">
        <f>IF(BB160+BB158-BC160-BC158&lt;=0," ",BB160+BB158-BC160-BC158)</f>
        <v xml:space="preserve"> </v>
      </c>
      <c r="BG160" s="455">
        <f t="shared" ref="BG160" si="129">IF(BB160-BC160&gt;0," ",BC160-BB160)</f>
        <v>0</v>
      </c>
      <c r="BH160" s="937" t="s">
        <v>4224</v>
      </c>
      <c r="BI160" s="939"/>
    </row>
    <row r="161" spans="1:62" x14ac:dyDescent="0.2">
      <c r="A161" s="19"/>
      <c r="C161" t="s">
        <v>4100</v>
      </c>
      <c r="D161" s="453"/>
      <c r="E161" s="441">
        <v>391502</v>
      </c>
      <c r="F161" s="440"/>
      <c r="G161" s="440"/>
      <c r="H161" s="440"/>
      <c r="I161" s="440"/>
      <c r="J161" s="440"/>
      <c r="K161" s="441"/>
      <c r="L161" s="440"/>
      <c r="M161" s="440"/>
      <c r="N161" s="440"/>
      <c r="O161" s="440"/>
      <c r="P161" s="543"/>
      <c r="Q161" s="543"/>
      <c r="R161" s="543"/>
      <c r="S161" s="543"/>
      <c r="T161" s="543"/>
      <c r="U161" s="543"/>
      <c r="V161" s="543"/>
      <c r="W161" s="543"/>
      <c r="X161" s="543"/>
      <c r="Y161" s="543"/>
      <c r="Z161" s="543"/>
      <c r="AA161" s="543"/>
      <c r="AB161" s="543"/>
      <c r="AC161" s="543"/>
      <c r="AD161" s="440"/>
      <c r="AE161" s="440"/>
      <c r="AF161" s="440"/>
      <c r="AG161" s="440"/>
      <c r="AH161" s="430">
        <f t="shared" ref="AH161" si="130">L161+N161+P161+R161+T161+V161+X161+Z161+AB161+AD161+AF161</f>
        <v>0</v>
      </c>
      <c r="AI161" s="369">
        <f t="shared" ref="AI161" si="131">M161+O161+Q161+S161+U161+W161+Y161+AA161+AC161+AE161+AG161</f>
        <v>0</v>
      </c>
      <c r="AJ161" s="431">
        <f t="shared" ref="AJ161" si="132">D161+F161+H161+J161+AH161</f>
        <v>0</v>
      </c>
      <c r="AK161" s="443">
        <f t="shared" ref="AK161" si="133">E161+G161+I161+K161+AI161</f>
        <v>391502</v>
      </c>
      <c r="AL161" s="440"/>
      <c r="AM161" s="440"/>
      <c r="AN161" s="431"/>
      <c r="AO161" s="443"/>
      <c r="AQ161" s="369"/>
      <c r="AS161" s="489"/>
      <c r="AT161" s="489"/>
      <c r="AU161" s="445"/>
      <c r="AV161" s="544"/>
      <c r="AY161" s="544"/>
      <c r="AZ161" s="471"/>
      <c r="BA161" s="448"/>
      <c r="BB161" s="836">
        <f>ROUND(AJ161+AL161+AN161+AQ161+AV161+AZ161,0)</f>
        <v>0</v>
      </c>
      <c r="BC161" s="836">
        <f>ROUND(AK161+AM161+AO161+AT161+AY161+BA161,0)</f>
        <v>391502</v>
      </c>
      <c r="BD161" s="431"/>
      <c r="BE161" s="443"/>
      <c r="BF161" s="367"/>
      <c r="BG161" s="455">
        <f>IF(BB161-BC161&gt;0," ",BC161-BB161)</f>
        <v>391502</v>
      </c>
      <c r="BH161" s="937" t="s">
        <v>4224</v>
      </c>
      <c r="BI161" s="939"/>
    </row>
    <row r="162" spans="1:62" ht="38.25" x14ac:dyDescent="0.2">
      <c r="A162" s="19"/>
      <c r="C162" s="851" t="s">
        <v>4006</v>
      </c>
      <c r="D162" s="547"/>
      <c r="E162" s="550"/>
      <c r="F162" s="549"/>
      <c r="G162" s="549"/>
      <c r="H162" s="549"/>
      <c r="I162" s="549"/>
      <c r="J162" s="549"/>
      <c r="K162" s="550"/>
      <c r="L162" s="549"/>
      <c r="M162" s="549"/>
      <c r="N162" s="549"/>
      <c r="O162" s="549"/>
      <c r="P162" s="551"/>
      <c r="Q162" s="551"/>
      <c r="R162" s="551"/>
      <c r="S162" s="551"/>
      <c r="T162" s="551"/>
      <c r="U162" s="551"/>
      <c r="V162" s="551"/>
      <c r="W162" s="551"/>
      <c r="X162" s="551"/>
      <c r="Y162" s="551"/>
      <c r="Z162" s="551"/>
      <c r="AA162" s="551"/>
      <c r="AB162" s="551"/>
      <c r="AC162" s="551"/>
      <c r="AD162" s="549"/>
      <c r="AE162" s="549"/>
      <c r="AF162" s="549"/>
      <c r="AG162" s="549"/>
      <c r="AH162" s="461">
        <f t="shared" ref="AH162:AH166" si="134">L162+N162+P162+R162+T162+V162+X162+Z162+AB162+AD162+AF162</f>
        <v>0</v>
      </c>
      <c r="AI162" s="462">
        <f t="shared" ref="AI162:AI166" si="135">M162+O162+Q162+S162+U162+W162+Y162+AA162+AC162+AE162+AG162</f>
        <v>0</v>
      </c>
      <c r="AJ162" s="554">
        <f t="shared" si="126"/>
        <v>0</v>
      </c>
      <c r="AK162" s="555">
        <f t="shared" si="126"/>
        <v>0</v>
      </c>
      <c r="AL162" s="549"/>
      <c r="AM162" s="549">
        <f>'N.1 GASB 68 LGERS'!C75*'N.1 GASB 68 LGERS'!R39+'N.2 GASB 68 ROD'!C63*'N.2 GASB 68 ROD'!R28</f>
        <v>33612</v>
      </c>
      <c r="AN162" s="554"/>
      <c r="AO162" s="555"/>
      <c r="AP162" s="465" t="s">
        <v>2047</v>
      </c>
      <c r="AQ162" s="462">
        <f>'N.1 GASB 68 LGERS'!C113</f>
        <v>0</v>
      </c>
      <c r="AR162" s="462"/>
      <c r="AS162" s="474" t="s">
        <v>2047</v>
      </c>
      <c r="AT162" s="474">
        <f>'N.1 GASB 68 LGERS'!D113</f>
        <v>74158</v>
      </c>
      <c r="AU162" s="558"/>
      <c r="AV162" s="557"/>
      <c r="AW162" s="553"/>
      <c r="AX162" s="556" t="s">
        <v>2079</v>
      </c>
      <c r="AY162" s="557">
        <f>'K.1  Int. Service Fd Allocation'!G193+'K.2  Int. Service Fd Alloca'!G188+'K.3 Int. Service Fd Alloca'!G188</f>
        <v>0</v>
      </c>
      <c r="AZ162" s="471"/>
      <c r="BA162" s="448"/>
      <c r="BB162" s="395">
        <f t="shared" si="127"/>
        <v>0</v>
      </c>
      <c r="BC162" s="395">
        <f t="shared" si="128"/>
        <v>107770</v>
      </c>
      <c r="BD162" s="554"/>
      <c r="BE162" s="555"/>
      <c r="BF162" s="709" t="str">
        <f>IF(SUM(BB162:BB163)-SUM(BC162:BC163)&lt;=0," ",SUM(BB162:BB163)-SUM(BC162:BC163))</f>
        <v xml:space="preserve"> </v>
      </c>
      <c r="BG162" s="710">
        <f>IF(SUM(BB162:BB163)-SUM(BC162:BC163)&gt;0," ",SUM(BC162:BC163)-SUM(BB162:BB163))</f>
        <v>106055</v>
      </c>
      <c r="BH162" s="936" t="s">
        <v>4224</v>
      </c>
      <c r="BI162" s="939"/>
      <c r="BJ162" s="949" t="s">
        <v>4225</v>
      </c>
    </row>
    <row r="163" spans="1:62" x14ac:dyDescent="0.2">
      <c r="A163" s="19"/>
      <c r="C163" s="588"/>
      <c r="D163" s="547"/>
      <c r="E163" s="550"/>
      <c r="F163" s="549"/>
      <c r="G163" s="549"/>
      <c r="H163" s="549"/>
      <c r="I163" s="549"/>
      <c r="J163" s="549"/>
      <c r="K163" s="550"/>
      <c r="L163" s="549"/>
      <c r="M163" s="549"/>
      <c r="N163" s="549"/>
      <c r="O163" s="549"/>
      <c r="P163" s="551"/>
      <c r="Q163" s="551"/>
      <c r="R163" s="551"/>
      <c r="S163" s="551"/>
      <c r="T163" s="551"/>
      <c r="U163" s="551"/>
      <c r="V163" s="551"/>
      <c r="W163" s="551"/>
      <c r="X163" s="551"/>
      <c r="Y163" s="551"/>
      <c r="Z163" s="551"/>
      <c r="AA163" s="551"/>
      <c r="AB163" s="551"/>
      <c r="AC163" s="551"/>
      <c r="AD163" s="549"/>
      <c r="AE163" s="549"/>
      <c r="AF163" s="549"/>
      <c r="AG163" s="549"/>
      <c r="AH163" s="461">
        <f t="shared" si="134"/>
        <v>0</v>
      </c>
      <c r="AI163" s="462">
        <f t="shared" si="135"/>
        <v>0</v>
      </c>
      <c r="AJ163" s="554">
        <f t="shared" si="126"/>
        <v>0</v>
      </c>
      <c r="AK163" s="555">
        <f t="shared" si="126"/>
        <v>0</v>
      </c>
      <c r="AL163" s="549"/>
      <c r="AM163" s="549"/>
      <c r="AN163" s="554"/>
      <c r="AO163" s="555"/>
      <c r="AP163" s="465" t="s">
        <v>2048</v>
      </c>
      <c r="AQ163" s="462">
        <f>'N.2 GASB 68 ROD'!C85</f>
        <v>1715</v>
      </c>
      <c r="AR163" s="462"/>
      <c r="AS163" s="474" t="s">
        <v>2048</v>
      </c>
      <c r="AT163" s="474">
        <f>'N.2 GASB 68 ROD'!D85</f>
        <v>0</v>
      </c>
      <c r="AU163" s="558"/>
      <c r="AV163" s="557"/>
      <c r="AW163" s="553"/>
      <c r="AX163" s="556"/>
      <c r="AY163" s="557"/>
      <c r="AZ163" s="471"/>
      <c r="BA163" s="448"/>
      <c r="BB163" s="395">
        <f t="shared" si="127"/>
        <v>1715</v>
      </c>
      <c r="BC163" s="395">
        <f t="shared" si="128"/>
        <v>0</v>
      </c>
      <c r="BD163" s="554"/>
      <c r="BE163" s="555"/>
      <c r="BF163" s="557"/>
      <c r="BG163" s="559"/>
      <c r="BI163" s="939"/>
    </row>
    <row r="164" spans="1:62" ht="25.5" x14ac:dyDescent="0.2">
      <c r="A164" s="19"/>
      <c r="C164" s="590" t="s">
        <v>4015</v>
      </c>
      <c r="D164" s="453"/>
      <c r="E164" s="441"/>
      <c r="F164" s="440"/>
      <c r="G164" s="440"/>
      <c r="H164" s="440"/>
      <c r="I164" s="440"/>
      <c r="J164" s="440"/>
      <c r="K164" s="441"/>
      <c r="L164" s="440"/>
      <c r="M164" s="440"/>
      <c r="N164" s="440"/>
      <c r="O164" s="440"/>
      <c r="P164" s="543"/>
      <c r="Q164" s="543"/>
      <c r="R164" s="543"/>
      <c r="S164" s="543"/>
      <c r="T164" s="543"/>
      <c r="U164" s="543"/>
      <c r="V164" s="543"/>
      <c r="W164" s="543"/>
      <c r="X164" s="543"/>
      <c r="Y164" s="543"/>
      <c r="Z164" s="543"/>
      <c r="AA164" s="543"/>
      <c r="AB164" s="543"/>
      <c r="AC164" s="543"/>
      <c r="AD164" s="440"/>
      <c r="AE164" s="440"/>
      <c r="AF164" s="440"/>
      <c r="AG164" s="440"/>
      <c r="AH164" s="430">
        <f t="shared" si="134"/>
        <v>0</v>
      </c>
      <c r="AI164" s="369">
        <f t="shared" si="135"/>
        <v>0</v>
      </c>
      <c r="AJ164" s="431">
        <f t="shared" si="126"/>
        <v>0</v>
      </c>
      <c r="AK164" s="443">
        <f t="shared" si="126"/>
        <v>0</v>
      </c>
      <c r="AL164" s="440"/>
      <c r="AM164" s="440">
        <f>'N.1 GASB 68 LGERS'!C75*'N.1 GASB 68 LGERS'!O39+'N.2 GASB 68 ROD'!C63*'N.2 GASB 68 ROD'!O28</f>
        <v>109453</v>
      </c>
      <c r="AN164" s="431"/>
      <c r="AO164" s="443"/>
      <c r="AP164" s="444" t="s">
        <v>2047</v>
      </c>
      <c r="AQ164" s="369">
        <f>'N.1 GASB 68 LGERS'!C110</f>
        <v>78487</v>
      </c>
      <c r="AS164" s="489" t="s">
        <v>2047</v>
      </c>
      <c r="AT164" s="489">
        <f>'N.1 GASB 68 LGERS'!D110</f>
        <v>0</v>
      </c>
      <c r="AU164" s="445"/>
      <c r="AV164" s="544"/>
      <c r="AX164" s="579" t="s">
        <v>2079</v>
      </c>
      <c r="AY164" s="544">
        <f>'K.1  Int. Service Fd Allocation'!G194+'K.2  Int. Service Fd Alloca'!G189+'K.3 Int. Service Fd Alloca'!G189</f>
        <v>0</v>
      </c>
      <c r="AZ164" s="471"/>
      <c r="BA164" s="448"/>
      <c r="BB164" s="395">
        <f t="shared" si="127"/>
        <v>78487</v>
      </c>
      <c r="BC164" s="395">
        <f>ROUND(AK164+AM164+AO164+AT164+AY164+BA164,0)</f>
        <v>109453</v>
      </c>
      <c r="BD164" s="431"/>
      <c r="BE164" s="443"/>
      <c r="BF164" s="367" t="str">
        <f>IF(SUM(BB164:BB166)-SUM(BC164:BC166)&lt;=0," ",SUM(BB164:BB166)-SUM(BC164:BC166))</f>
        <v xml:space="preserve"> </v>
      </c>
      <c r="BG164" s="455">
        <f>IF(SUM(BB164:BB166)-SUM(BC164:BC166)&gt;0," ",SUM(BC164:BC166)-SUM(BB164:BB166))</f>
        <v>34186</v>
      </c>
      <c r="BH164" s="936" t="s">
        <v>4224</v>
      </c>
      <c r="BI164" s="939"/>
      <c r="BJ164" s="949" t="s">
        <v>4225</v>
      </c>
    </row>
    <row r="165" spans="1:62" x14ac:dyDescent="0.2">
      <c r="A165" s="19"/>
      <c r="C165" s="24"/>
      <c r="D165" s="453"/>
      <c r="E165" s="441"/>
      <c r="F165" s="440"/>
      <c r="G165" s="440"/>
      <c r="H165" s="440"/>
      <c r="I165" s="440"/>
      <c r="J165" s="440"/>
      <c r="K165" s="441"/>
      <c r="L165" s="440"/>
      <c r="M165" s="440"/>
      <c r="N165" s="440"/>
      <c r="O165" s="440"/>
      <c r="P165" s="543"/>
      <c r="Q165" s="543"/>
      <c r="R165" s="543"/>
      <c r="S165" s="543"/>
      <c r="T165" s="543"/>
      <c r="U165" s="543"/>
      <c r="V165" s="543"/>
      <c r="W165" s="543"/>
      <c r="X165" s="543"/>
      <c r="Y165" s="543"/>
      <c r="Z165" s="543"/>
      <c r="AA165" s="543"/>
      <c r="AB165" s="543"/>
      <c r="AC165" s="543"/>
      <c r="AD165" s="440"/>
      <c r="AE165" s="440"/>
      <c r="AF165" s="440"/>
      <c r="AG165" s="440"/>
      <c r="AH165" s="430">
        <f t="shared" si="134"/>
        <v>0</v>
      </c>
      <c r="AI165" s="369">
        <f t="shared" si="135"/>
        <v>0</v>
      </c>
      <c r="AJ165" s="431">
        <f t="shared" si="126"/>
        <v>0</v>
      </c>
      <c r="AK165" s="443">
        <f t="shared" si="126"/>
        <v>0</v>
      </c>
      <c r="AL165" s="440"/>
      <c r="AM165" s="440"/>
      <c r="AN165" s="431"/>
      <c r="AO165" s="443"/>
      <c r="AP165" s="444" t="s">
        <v>2048</v>
      </c>
      <c r="AQ165" s="369">
        <f>'N.2 GASB 68 ROD'!C82</f>
        <v>0</v>
      </c>
      <c r="AS165" s="489" t="s">
        <v>2048</v>
      </c>
      <c r="AT165" s="489">
        <f>'N.2 GASB 68 ROD'!D82</f>
        <v>3220</v>
      </c>
      <c r="AU165" s="445"/>
      <c r="AV165" s="544"/>
      <c r="AY165" s="544"/>
      <c r="AZ165" s="471"/>
      <c r="BA165" s="448"/>
      <c r="BB165" s="395">
        <f t="shared" si="127"/>
        <v>0</v>
      </c>
      <c r="BC165" s="395">
        <f t="shared" si="128"/>
        <v>3220</v>
      </c>
      <c r="BD165" s="431"/>
      <c r="BE165" s="443"/>
      <c r="BF165" s="544"/>
      <c r="BG165" s="545"/>
      <c r="BI165" s="939"/>
    </row>
    <row r="166" spans="1:62" x14ac:dyDescent="0.2">
      <c r="A166" s="19"/>
      <c r="C166" s="24"/>
      <c r="D166" s="453"/>
      <c r="E166" s="441"/>
      <c r="F166" s="440"/>
      <c r="G166" s="440"/>
      <c r="H166" s="440"/>
      <c r="I166" s="440"/>
      <c r="J166" s="440"/>
      <c r="K166" s="441"/>
      <c r="L166" s="440"/>
      <c r="M166" s="440"/>
      <c r="N166" s="440"/>
      <c r="O166" s="440"/>
      <c r="P166" s="543"/>
      <c r="Q166" s="543"/>
      <c r="R166" s="543"/>
      <c r="S166" s="543"/>
      <c r="T166" s="543"/>
      <c r="U166" s="543"/>
      <c r="V166" s="543"/>
      <c r="W166" s="543"/>
      <c r="X166" s="543"/>
      <c r="Y166" s="543"/>
      <c r="Z166" s="543"/>
      <c r="AA166" s="543"/>
      <c r="AB166" s="543"/>
      <c r="AC166" s="543"/>
      <c r="AD166" s="440"/>
      <c r="AE166" s="440"/>
      <c r="AF166" s="440"/>
      <c r="AG166" s="440"/>
      <c r="AH166" s="430">
        <f t="shared" si="134"/>
        <v>0</v>
      </c>
      <c r="AI166" s="369">
        <f t="shared" si="135"/>
        <v>0</v>
      </c>
      <c r="AJ166" s="431">
        <f t="shared" si="126"/>
        <v>0</v>
      </c>
      <c r="AK166" s="443">
        <f t="shared" si="126"/>
        <v>0</v>
      </c>
      <c r="AL166" s="440"/>
      <c r="AM166" s="440"/>
      <c r="AN166" s="431"/>
      <c r="AO166" s="443"/>
      <c r="AP166" s="444" t="s">
        <v>3614</v>
      </c>
      <c r="AQ166" s="369">
        <f>'O. GASB 73 LEO Entries'!C75</f>
        <v>0</v>
      </c>
      <c r="AS166" s="489" t="s">
        <v>3614</v>
      </c>
      <c r="AT166" s="489">
        <f>'O. GASB 73 LEO Entries'!D75</f>
        <v>0</v>
      </c>
      <c r="AU166" s="445"/>
      <c r="AV166" s="544"/>
      <c r="AY166" s="544"/>
      <c r="AZ166" s="471"/>
      <c r="BA166" s="448"/>
      <c r="BB166" s="395">
        <f t="shared" si="127"/>
        <v>0</v>
      </c>
      <c r="BC166" s="395">
        <f t="shared" si="128"/>
        <v>0</v>
      </c>
      <c r="BD166" s="431"/>
      <c r="BE166" s="443"/>
      <c r="BF166" s="544"/>
      <c r="BG166" s="545"/>
      <c r="BI166" s="939"/>
    </row>
    <row r="167" spans="1:62" ht="25.5" x14ac:dyDescent="0.2">
      <c r="A167" s="19"/>
      <c r="C167" s="590" t="s">
        <v>4014</v>
      </c>
      <c r="D167" s="453"/>
      <c r="E167" s="441"/>
      <c r="F167" s="440"/>
      <c r="G167" s="440"/>
      <c r="H167" s="440"/>
      <c r="I167" s="440"/>
      <c r="J167" s="440"/>
      <c r="K167" s="441"/>
      <c r="L167" s="440"/>
      <c r="M167" s="440"/>
      <c r="N167" s="440"/>
      <c r="O167" s="440"/>
      <c r="P167" s="543"/>
      <c r="Q167" s="543"/>
      <c r="R167" s="543"/>
      <c r="S167" s="543"/>
      <c r="T167" s="543"/>
      <c r="U167" s="543"/>
      <c r="V167" s="543"/>
      <c r="W167" s="543"/>
      <c r="X167" s="543"/>
      <c r="Y167" s="543"/>
      <c r="Z167" s="543"/>
      <c r="AA167" s="543"/>
      <c r="AB167" s="543"/>
      <c r="AC167" s="543"/>
      <c r="AD167" s="440"/>
      <c r="AE167" s="440"/>
      <c r="AF167" s="440"/>
      <c r="AG167" s="440"/>
      <c r="AH167" s="430"/>
      <c r="AJ167" s="431"/>
      <c r="AK167" s="443"/>
      <c r="AL167" s="489"/>
      <c r="AM167" s="489"/>
      <c r="AN167" s="431"/>
      <c r="AO167" s="443"/>
      <c r="AQ167" s="489"/>
      <c r="AR167" s="489"/>
      <c r="AS167" s="444" t="s">
        <v>4019</v>
      </c>
      <c r="AT167" s="489">
        <f>'P.1 GASB 75 OPEB  - plan 1'!D135</f>
        <v>129332</v>
      </c>
      <c r="AU167" s="445"/>
      <c r="AV167" s="544"/>
      <c r="AX167" s="579" t="s">
        <v>2079</v>
      </c>
      <c r="AY167" s="544">
        <f>'K.1  Int. Service Fd Allocation'!G197+'K.2  Int. Service Fd Alloca'!G192+'K.3 Int. Service Fd Alloca'!G192</f>
        <v>0</v>
      </c>
      <c r="AZ167" s="471"/>
      <c r="BA167" s="448"/>
      <c r="BB167" s="395">
        <f>ROUND(AJ167+AL167+AN167+AQ167+AV167+AZ167,0)</f>
        <v>0</v>
      </c>
      <c r="BC167" s="395">
        <f>ROUND(AK167+AM167+AO167+AT167+AY167+BA167,0)</f>
        <v>129332</v>
      </c>
      <c r="BD167" s="431"/>
      <c r="BE167" s="443"/>
      <c r="BF167" s="544" t="str">
        <f>IF(SUM(BB167:BB169)-SUM(BC167:BC169)&lt;=0," ",SUM(BB167:BB169)-SUM(BC167:BC169))</f>
        <v xml:space="preserve"> </v>
      </c>
      <c r="BG167" s="545">
        <f>IF(SUM(BB167:BB169)-SUM(BC167:BC169)&gt;0," ",SUM(BC167:BC169)-SUM(BB167:BB169))</f>
        <v>129332</v>
      </c>
      <c r="BH167" s="936" t="s">
        <v>4224</v>
      </c>
      <c r="BI167" s="939"/>
    </row>
    <row r="168" spans="1:62" x14ac:dyDescent="0.2">
      <c r="A168" s="19"/>
      <c r="C168" s="24"/>
      <c r="D168" s="453"/>
      <c r="E168" s="441"/>
      <c r="F168" s="440"/>
      <c r="G168" s="440"/>
      <c r="H168" s="440"/>
      <c r="I168" s="440"/>
      <c r="J168" s="440"/>
      <c r="K168" s="441"/>
      <c r="L168" s="440"/>
      <c r="M168" s="440"/>
      <c r="N168" s="440"/>
      <c r="O168" s="440"/>
      <c r="P168" s="543"/>
      <c r="Q168" s="543"/>
      <c r="R168" s="543"/>
      <c r="S168" s="543"/>
      <c r="T168" s="543"/>
      <c r="U168" s="543"/>
      <c r="V168" s="543"/>
      <c r="W168" s="543"/>
      <c r="X168" s="543"/>
      <c r="Y168" s="543"/>
      <c r="Z168" s="543"/>
      <c r="AA168" s="543"/>
      <c r="AB168" s="543"/>
      <c r="AC168" s="543"/>
      <c r="AD168" s="440"/>
      <c r="AE168" s="440"/>
      <c r="AF168" s="440"/>
      <c r="AG168" s="440"/>
      <c r="AH168" s="430"/>
      <c r="AJ168" s="431"/>
      <c r="AK168" s="443"/>
      <c r="AL168" s="489"/>
      <c r="AM168" s="489"/>
      <c r="AN168" s="431"/>
      <c r="AO168" s="443"/>
      <c r="AQ168" s="489"/>
      <c r="AR168" s="489"/>
      <c r="AS168" s="444" t="s">
        <v>4020</v>
      </c>
      <c r="AT168" s="489">
        <f>'P.2 GASB 75 OPEB - plan 2'!D135</f>
        <v>0</v>
      </c>
      <c r="AU168" s="445"/>
      <c r="AV168" s="544"/>
      <c r="AY168" s="544"/>
      <c r="AZ168" s="471"/>
      <c r="BA168" s="448"/>
      <c r="BB168" s="395">
        <f t="shared" ref="BB168" si="136">ROUND(AJ168+AL168+AN168+AQ168+AV168+AZ168,0)</f>
        <v>0</v>
      </c>
      <c r="BC168" s="395">
        <f t="shared" ref="BC168" si="137">ROUND(AK168+AM168+AO168+AT168+AY168+BA168,0)</f>
        <v>0</v>
      </c>
      <c r="BD168" s="431"/>
      <c r="BE168" s="443"/>
      <c r="BF168" s="544"/>
      <c r="BG168" s="545"/>
      <c r="BI168" s="939"/>
    </row>
    <row r="169" spans="1:62" x14ac:dyDescent="0.2">
      <c r="A169" s="19"/>
      <c r="C169" s="24"/>
      <c r="D169" s="453"/>
      <c r="E169" s="441"/>
      <c r="F169" s="440"/>
      <c r="G169" s="440"/>
      <c r="H169" s="440"/>
      <c r="I169" s="440"/>
      <c r="J169" s="440"/>
      <c r="K169" s="441"/>
      <c r="L169" s="440"/>
      <c r="M169" s="440"/>
      <c r="N169" s="440"/>
      <c r="O169" s="440"/>
      <c r="P169" s="543"/>
      <c r="Q169" s="543"/>
      <c r="R169" s="543"/>
      <c r="S169" s="543"/>
      <c r="T169" s="543"/>
      <c r="U169" s="543"/>
      <c r="V169" s="543"/>
      <c r="W169" s="543"/>
      <c r="X169" s="543"/>
      <c r="Y169" s="543"/>
      <c r="Z169" s="543"/>
      <c r="AA169" s="543"/>
      <c r="AB169" s="543"/>
      <c r="AC169" s="543"/>
      <c r="AD169" s="440"/>
      <c r="AE169" s="440"/>
      <c r="AF169" s="440"/>
      <c r="AG169" s="440"/>
      <c r="AH169" s="430"/>
      <c r="AJ169" s="431"/>
      <c r="AK169" s="443"/>
      <c r="AL169" s="489"/>
      <c r="AM169" s="489"/>
      <c r="AN169" s="431"/>
      <c r="AO169" s="443"/>
      <c r="AQ169" s="489"/>
      <c r="AR169" s="489"/>
      <c r="AS169" s="444" t="s">
        <v>4021</v>
      </c>
      <c r="AT169" s="489">
        <f>'P.3 GASB 75 OPEB - plan 3'!D135</f>
        <v>0</v>
      </c>
      <c r="AU169" s="445"/>
      <c r="AV169" s="544"/>
      <c r="AY169" s="544"/>
      <c r="AZ169" s="471"/>
      <c r="BA169" s="448"/>
      <c r="BB169" s="395">
        <f>ROUND(AJ169+AL169+AN169+AQ169+AV169+AZ169,0)</f>
        <v>0</v>
      </c>
      <c r="BC169" s="395">
        <f>ROUND(AK169+AM169+AO169+AT169+AY169+BA169,0)</f>
        <v>0</v>
      </c>
      <c r="BD169" s="431"/>
      <c r="BE169" s="443"/>
      <c r="BF169" s="544"/>
      <c r="BG169" s="545"/>
      <c r="BI169" s="939"/>
    </row>
    <row r="170" spans="1:62" x14ac:dyDescent="0.2">
      <c r="A170" s="19"/>
      <c r="C170" s="24"/>
      <c r="D170" s="453"/>
      <c r="E170" s="441"/>
      <c r="F170" s="440"/>
      <c r="G170" s="440"/>
      <c r="H170" s="440"/>
      <c r="I170" s="440"/>
      <c r="J170" s="440"/>
      <c r="K170" s="441"/>
      <c r="L170" s="440"/>
      <c r="M170" s="440"/>
      <c r="N170" s="440"/>
      <c r="O170" s="440"/>
      <c r="P170" s="543"/>
      <c r="Q170" s="543"/>
      <c r="R170" s="543"/>
      <c r="S170" s="543"/>
      <c r="T170" s="543"/>
      <c r="U170" s="543"/>
      <c r="V170" s="543"/>
      <c r="W170" s="543"/>
      <c r="X170" s="543"/>
      <c r="Y170" s="543"/>
      <c r="Z170" s="543"/>
      <c r="AA170" s="543"/>
      <c r="AB170" s="543"/>
      <c r="AC170" s="543"/>
      <c r="AD170" s="440"/>
      <c r="AE170" s="440"/>
      <c r="AF170" s="440"/>
      <c r="AG170" s="440"/>
      <c r="AH170" s="430"/>
      <c r="AJ170" s="431"/>
      <c r="AK170" s="443"/>
      <c r="AL170" s="440"/>
      <c r="AM170" s="440"/>
      <c r="AN170" s="431"/>
      <c r="AO170" s="443"/>
      <c r="AQ170" s="489"/>
      <c r="AR170" s="489"/>
      <c r="AT170" s="489"/>
      <c r="AU170" s="445"/>
      <c r="AV170" s="544"/>
      <c r="AY170" s="544"/>
      <c r="AZ170" s="471"/>
      <c r="BA170" s="448"/>
      <c r="BB170" s="395"/>
      <c r="BC170" s="395"/>
      <c r="BD170" s="431"/>
      <c r="BE170" s="443"/>
      <c r="BF170" s="544"/>
      <c r="BG170" s="545"/>
      <c r="BI170" s="939"/>
    </row>
    <row r="171" spans="1:62" x14ac:dyDescent="0.2">
      <c r="A171" s="19"/>
      <c r="C171" s="851" t="s">
        <v>4016</v>
      </c>
      <c r="D171" s="547"/>
      <c r="E171" s="550"/>
      <c r="F171" s="549"/>
      <c r="G171" s="549"/>
      <c r="H171" s="549"/>
      <c r="I171" s="549"/>
      <c r="J171" s="549"/>
      <c r="K171" s="550"/>
      <c r="L171" s="549"/>
      <c r="M171" s="549"/>
      <c r="N171" s="549"/>
      <c r="O171" s="549"/>
      <c r="P171" s="551"/>
      <c r="Q171" s="551"/>
      <c r="R171" s="551"/>
      <c r="S171" s="551"/>
      <c r="T171" s="551"/>
      <c r="U171" s="551"/>
      <c r="V171" s="551"/>
      <c r="W171" s="551"/>
      <c r="X171" s="551"/>
      <c r="Y171" s="551"/>
      <c r="Z171" s="551"/>
      <c r="AA171" s="551"/>
      <c r="AB171" s="551"/>
      <c r="AC171" s="551"/>
      <c r="AD171" s="549"/>
      <c r="AE171" s="549"/>
      <c r="AF171" s="549"/>
      <c r="AG171" s="549"/>
      <c r="AH171" s="461">
        <f t="shared" ref="AH171:AH173" si="138">L171+N171+P171+R171+T171+V171+X171+Z171+AB171+AD171+AF171</f>
        <v>0</v>
      </c>
      <c r="AI171" s="462">
        <f t="shared" ref="AI171:AI173" si="139">M171+O171+Q171+S171+U171+W171+Y171+AA171+AC171+AE171+AG171</f>
        <v>0</v>
      </c>
      <c r="AJ171" s="554">
        <f t="shared" ref="AJ171:AK173" si="140">D171+F171+H171+J171+AH171</f>
        <v>0</v>
      </c>
      <c r="AK171" s="555">
        <f t="shared" si="140"/>
        <v>0</v>
      </c>
      <c r="AL171" s="549"/>
      <c r="AM171" s="549">
        <v>4439</v>
      </c>
      <c r="AN171" s="554"/>
      <c r="AO171" s="555"/>
      <c r="AP171" s="465" t="s">
        <v>2047</v>
      </c>
      <c r="AQ171" s="462">
        <f>'N.1 GASB 68 LGERS'!C112</f>
        <v>0</v>
      </c>
      <c r="AR171" s="462"/>
      <c r="AS171" s="474" t="s">
        <v>2047</v>
      </c>
      <c r="AT171" s="474">
        <f>'N.1 GASB 68 LGERS'!D112</f>
        <v>0</v>
      </c>
      <c r="AU171" s="558"/>
      <c r="AV171" s="557"/>
      <c r="AW171" s="553"/>
      <c r="AX171" s="556" t="s">
        <v>2079</v>
      </c>
      <c r="AY171" s="557">
        <f>'K.1  Int. Service Fd Allocation'!G195+'K.2  Int. Service Fd Alloca'!G190+'K.3 Int. Service Fd Alloca'!G190</f>
        <v>0</v>
      </c>
      <c r="AZ171" s="471"/>
      <c r="BA171" s="448"/>
      <c r="BB171" s="395">
        <f t="shared" si="127"/>
        <v>0</v>
      </c>
      <c r="BC171" s="395">
        <f>ROUND(AK171+AM171+AO171+AT171+AY171+BA171,0)</f>
        <v>4439</v>
      </c>
      <c r="BD171" s="554"/>
      <c r="BE171" s="555"/>
      <c r="BF171" s="709" t="str">
        <f>IF(SUM(BB171:BB173)-SUM(BC171:BC173)&lt;=0," ",SUM(BB171:BB173)-SUM(BC171:BC173))</f>
        <v xml:space="preserve"> </v>
      </c>
      <c r="BG171" s="710">
        <f>IF(SUM(BB171:BB173)-SUM(BC171:BC173)&gt;0," ",SUM(BC171:BC173)-SUM(BB171:BB173))</f>
        <v>4481</v>
      </c>
      <c r="BH171" s="936" t="s">
        <v>4224</v>
      </c>
      <c r="BI171" s="939"/>
      <c r="BJ171" s="949" t="s">
        <v>4225</v>
      </c>
    </row>
    <row r="172" spans="1:62" x14ac:dyDescent="0.2">
      <c r="A172" s="19"/>
      <c r="C172" s="588"/>
      <c r="D172" s="547"/>
      <c r="E172" s="550"/>
      <c r="F172" s="549"/>
      <c r="G172" s="549"/>
      <c r="H172" s="549"/>
      <c r="I172" s="549"/>
      <c r="J172" s="549"/>
      <c r="K172" s="550"/>
      <c r="L172" s="549"/>
      <c r="M172" s="549"/>
      <c r="N172" s="549"/>
      <c r="O172" s="549"/>
      <c r="P172" s="551"/>
      <c r="Q172" s="551"/>
      <c r="R172" s="551"/>
      <c r="S172" s="551"/>
      <c r="T172" s="551"/>
      <c r="U172" s="551"/>
      <c r="V172" s="551"/>
      <c r="W172" s="551"/>
      <c r="X172" s="551"/>
      <c r="Y172" s="551"/>
      <c r="Z172" s="551"/>
      <c r="AA172" s="551"/>
      <c r="AB172" s="551"/>
      <c r="AC172" s="551"/>
      <c r="AD172" s="549"/>
      <c r="AE172" s="549"/>
      <c r="AF172" s="549"/>
      <c r="AG172" s="549"/>
      <c r="AH172" s="461">
        <f t="shared" si="138"/>
        <v>0</v>
      </c>
      <c r="AI172" s="462">
        <f t="shared" si="139"/>
        <v>0</v>
      </c>
      <c r="AJ172" s="554">
        <f t="shared" si="140"/>
        <v>0</v>
      </c>
      <c r="AK172" s="555">
        <f t="shared" si="140"/>
        <v>0</v>
      </c>
      <c r="AL172" s="549"/>
      <c r="AM172" s="549"/>
      <c r="AN172" s="554"/>
      <c r="AO172" s="555"/>
      <c r="AP172" s="465" t="s">
        <v>2048</v>
      </c>
      <c r="AQ172" s="462">
        <f>'N.2 GASB 68 ROD'!C84</f>
        <v>0</v>
      </c>
      <c r="AR172" s="462"/>
      <c r="AS172" s="474" t="s">
        <v>2048</v>
      </c>
      <c r="AT172" s="474">
        <f>'N.2 GASB 68 ROD'!D84</f>
        <v>0</v>
      </c>
      <c r="AU172" s="558"/>
      <c r="AV172" s="557"/>
      <c r="AW172" s="553"/>
      <c r="AX172" s="556"/>
      <c r="AY172" s="557"/>
      <c r="AZ172" s="471"/>
      <c r="BA172" s="448"/>
      <c r="BB172" s="395">
        <f t="shared" si="127"/>
        <v>0</v>
      </c>
      <c r="BC172" s="395">
        <f t="shared" si="128"/>
        <v>0</v>
      </c>
      <c r="BD172" s="554"/>
      <c r="BE172" s="555"/>
      <c r="BF172" s="557"/>
      <c r="BG172" s="559"/>
      <c r="BI172" s="939"/>
    </row>
    <row r="173" spans="1:62" x14ac:dyDescent="0.2">
      <c r="A173" s="19"/>
      <c r="C173" s="588"/>
      <c r="D173" s="547"/>
      <c r="E173" s="550"/>
      <c r="F173" s="549"/>
      <c r="G173" s="549"/>
      <c r="H173" s="549"/>
      <c r="I173" s="549"/>
      <c r="J173" s="549"/>
      <c r="K173" s="550"/>
      <c r="L173" s="549"/>
      <c r="M173" s="549"/>
      <c r="N173" s="549"/>
      <c r="O173" s="549"/>
      <c r="P173" s="551"/>
      <c r="Q173" s="551"/>
      <c r="R173" s="551"/>
      <c r="S173" s="551"/>
      <c r="T173" s="551"/>
      <c r="U173" s="551"/>
      <c r="V173" s="551"/>
      <c r="W173" s="551"/>
      <c r="X173" s="551"/>
      <c r="Y173" s="551"/>
      <c r="Z173" s="551"/>
      <c r="AA173" s="551"/>
      <c r="AB173" s="551"/>
      <c r="AC173" s="551"/>
      <c r="AD173" s="549"/>
      <c r="AE173" s="549"/>
      <c r="AF173" s="549"/>
      <c r="AG173" s="549"/>
      <c r="AH173" s="461">
        <f t="shared" si="138"/>
        <v>0</v>
      </c>
      <c r="AI173" s="462">
        <f t="shared" si="139"/>
        <v>0</v>
      </c>
      <c r="AJ173" s="554">
        <f t="shared" si="140"/>
        <v>0</v>
      </c>
      <c r="AK173" s="555">
        <f t="shared" si="140"/>
        <v>0</v>
      </c>
      <c r="AL173" s="549"/>
      <c r="AM173" s="549">
        <f>-'O. GASB 73 LEO Entries'!D20</f>
        <v>5501</v>
      </c>
      <c r="AN173" s="554"/>
      <c r="AO173" s="555"/>
      <c r="AP173" s="465" t="s">
        <v>3614</v>
      </c>
      <c r="AQ173" s="462">
        <f>'O. GASB 73 LEO Entries'!C76</f>
        <v>5459</v>
      </c>
      <c r="AR173" s="462"/>
      <c r="AS173" s="474" t="s">
        <v>3614</v>
      </c>
      <c r="AT173" s="474">
        <f>'O. GASB 73 LEO Entries'!D76</f>
        <v>0</v>
      </c>
      <c r="AU173" s="558"/>
      <c r="AV173" s="557"/>
      <c r="AW173" s="553"/>
      <c r="AX173" s="556"/>
      <c r="AY173" s="557"/>
      <c r="AZ173" s="471"/>
      <c r="BA173" s="448"/>
      <c r="BB173" s="395">
        <f t="shared" si="127"/>
        <v>5459</v>
      </c>
      <c r="BC173" s="395">
        <f>ROUND(AK173+AM173+AO173+AT173+AY173+BA173,0)</f>
        <v>5501</v>
      </c>
      <c r="BD173" s="554"/>
      <c r="BE173" s="555"/>
      <c r="BF173" s="557"/>
      <c r="BG173" s="559"/>
      <c r="BI173" s="939"/>
    </row>
    <row r="174" spans="1:62" x14ac:dyDescent="0.2">
      <c r="A174" s="19"/>
      <c r="C174" s="851" t="s">
        <v>4017</v>
      </c>
      <c r="D174" s="547"/>
      <c r="E174" s="550"/>
      <c r="F174" s="549"/>
      <c r="G174" s="549"/>
      <c r="H174" s="549"/>
      <c r="I174" s="549"/>
      <c r="J174" s="549"/>
      <c r="K174" s="550"/>
      <c r="L174" s="549"/>
      <c r="M174" s="549"/>
      <c r="N174" s="549"/>
      <c r="O174" s="549"/>
      <c r="P174" s="551"/>
      <c r="Q174" s="551"/>
      <c r="R174" s="551"/>
      <c r="S174" s="551"/>
      <c r="T174" s="551"/>
      <c r="U174" s="551"/>
      <c r="V174" s="551"/>
      <c r="W174" s="551"/>
      <c r="X174" s="551"/>
      <c r="Y174" s="551"/>
      <c r="Z174" s="551"/>
      <c r="AA174" s="551"/>
      <c r="AB174" s="551"/>
      <c r="AC174" s="551"/>
      <c r="AD174" s="549"/>
      <c r="AE174" s="549"/>
      <c r="AF174" s="549"/>
      <c r="AG174" s="549"/>
      <c r="AH174" s="552"/>
      <c r="AI174" s="553"/>
      <c r="AJ174" s="554"/>
      <c r="AK174" s="555"/>
      <c r="AL174" s="549"/>
      <c r="AM174" s="549"/>
      <c r="AN174" s="554"/>
      <c r="AO174" s="555"/>
      <c r="AP174" s="465"/>
      <c r="AQ174" s="834"/>
      <c r="AR174" s="462"/>
      <c r="AS174" s="474" t="s">
        <v>4019</v>
      </c>
      <c r="AT174" s="474">
        <f>'P.1 GASB 75 OPEB  - plan 1'!D136</f>
        <v>385730</v>
      </c>
      <c r="AU174" s="558"/>
      <c r="AV174" s="557"/>
      <c r="AW174" s="553"/>
      <c r="AX174" s="556" t="s">
        <v>2079</v>
      </c>
      <c r="AY174" s="557">
        <f>'K.1  Int. Service Fd Allocation'!G198+'K.2  Int. Service Fd Alloca'!G193+'K.3 Int. Service Fd Alloca'!G193</f>
        <v>0</v>
      </c>
      <c r="AZ174" s="471"/>
      <c r="BA174" s="448"/>
      <c r="BB174" s="395">
        <f>ROUND(AJ174+AL174+AN174+AQ174+AV174+AZ174,0)</f>
        <v>0</v>
      </c>
      <c r="BC174" s="395">
        <f>ROUND(AK174+AM174+AO174+AT174+AY174+BA174,0)</f>
        <v>385730</v>
      </c>
      <c r="BD174" s="554"/>
      <c r="BE174" s="555"/>
      <c r="BF174" s="557" t="str">
        <f>IF(SUM(BB174:BB176)-SUM(BC174:BC176)&lt;=0," ",SUM(BB174:BB176)-SUM(BC174:BC176))</f>
        <v xml:space="preserve"> </v>
      </c>
      <c r="BG174" s="559">
        <f>IF(SUM(BB174:BB176)-SUM(BC174:BC176)&gt;0," ",SUM(BC174:BC176)-SUM(BB174:BB176))</f>
        <v>385730</v>
      </c>
      <c r="BH174" s="936" t="s">
        <v>4224</v>
      </c>
      <c r="BI174" s="939"/>
    </row>
    <row r="175" spans="1:62" x14ac:dyDescent="0.2">
      <c r="A175" s="19"/>
      <c r="C175" s="588"/>
      <c r="D175" s="547"/>
      <c r="E175" s="550"/>
      <c r="F175" s="549"/>
      <c r="G175" s="549"/>
      <c r="H175" s="549"/>
      <c r="I175" s="549"/>
      <c r="J175" s="549"/>
      <c r="K175" s="550"/>
      <c r="L175" s="549"/>
      <c r="M175" s="549"/>
      <c r="N175" s="549"/>
      <c r="O175" s="549"/>
      <c r="P175" s="551"/>
      <c r="Q175" s="551"/>
      <c r="R175" s="551"/>
      <c r="S175" s="551"/>
      <c r="T175" s="551"/>
      <c r="U175" s="551"/>
      <c r="V175" s="551"/>
      <c r="W175" s="551"/>
      <c r="X175" s="551"/>
      <c r="Y175" s="551"/>
      <c r="Z175" s="551"/>
      <c r="AA175" s="551"/>
      <c r="AB175" s="551"/>
      <c r="AC175" s="551"/>
      <c r="AD175" s="549"/>
      <c r="AE175" s="549"/>
      <c r="AF175" s="549"/>
      <c r="AG175" s="549"/>
      <c r="AH175" s="552"/>
      <c r="AI175" s="553"/>
      <c r="AJ175" s="554"/>
      <c r="AK175" s="555"/>
      <c r="AL175" s="549"/>
      <c r="AM175" s="549"/>
      <c r="AN175" s="554"/>
      <c r="AO175" s="555"/>
      <c r="AP175" s="465"/>
      <c r="AQ175" s="834"/>
      <c r="AR175" s="462"/>
      <c r="AS175" s="474" t="s">
        <v>4020</v>
      </c>
      <c r="AT175" s="474">
        <f>'P.2 GASB 75 OPEB - plan 2'!D136</f>
        <v>0</v>
      </c>
      <c r="AU175" s="558"/>
      <c r="AV175" s="557"/>
      <c r="AW175" s="553"/>
      <c r="AX175" s="556"/>
      <c r="AY175" s="557"/>
      <c r="AZ175" s="471"/>
      <c r="BA175" s="448"/>
      <c r="BB175" s="395">
        <f t="shared" ref="BB175:BB176" si="141">ROUND(AJ175+AL175+AN175+AQ175+AV175+AZ175,0)</f>
        <v>0</v>
      </c>
      <c r="BC175" s="395">
        <f t="shared" ref="BC175:BC176" si="142">ROUND(AK175+AM175+AO175+AT175+AY175+BA175,0)</f>
        <v>0</v>
      </c>
      <c r="BD175" s="554"/>
      <c r="BE175" s="555"/>
      <c r="BF175" s="557"/>
      <c r="BG175" s="559"/>
      <c r="BI175" s="939"/>
    </row>
    <row r="176" spans="1:62" x14ac:dyDescent="0.2">
      <c r="A176" s="19"/>
      <c r="C176" s="588"/>
      <c r="D176" s="547"/>
      <c r="E176" s="550"/>
      <c r="F176" s="549"/>
      <c r="G176" s="549"/>
      <c r="H176" s="549"/>
      <c r="I176" s="549"/>
      <c r="J176" s="549"/>
      <c r="K176" s="550"/>
      <c r="L176" s="549"/>
      <c r="M176" s="549"/>
      <c r="N176" s="549"/>
      <c r="O176" s="549"/>
      <c r="P176" s="551"/>
      <c r="Q176" s="551"/>
      <c r="R176" s="551"/>
      <c r="S176" s="551"/>
      <c r="T176" s="551"/>
      <c r="U176" s="551"/>
      <c r="V176" s="551"/>
      <c r="W176" s="551"/>
      <c r="X176" s="551"/>
      <c r="Y176" s="551"/>
      <c r="Z176" s="551"/>
      <c r="AA176" s="551"/>
      <c r="AB176" s="551"/>
      <c r="AC176" s="551"/>
      <c r="AD176" s="549"/>
      <c r="AE176" s="549"/>
      <c r="AF176" s="549"/>
      <c r="AG176" s="549"/>
      <c r="AH176" s="552"/>
      <c r="AI176" s="553"/>
      <c r="AJ176" s="554"/>
      <c r="AK176" s="555"/>
      <c r="AL176" s="549"/>
      <c r="AM176" s="549"/>
      <c r="AN176" s="554"/>
      <c r="AO176" s="555"/>
      <c r="AP176" s="465"/>
      <c r="AQ176" s="834"/>
      <c r="AR176" s="462"/>
      <c r="AS176" s="474" t="s">
        <v>4021</v>
      </c>
      <c r="AT176" s="474">
        <f>'P.3 GASB 75 OPEB - plan 3'!D136</f>
        <v>0</v>
      </c>
      <c r="AU176" s="558"/>
      <c r="AV176" s="557"/>
      <c r="AW176" s="553"/>
      <c r="AX176" s="556"/>
      <c r="AY176" s="557"/>
      <c r="AZ176" s="471"/>
      <c r="BA176" s="448"/>
      <c r="BB176" s="395">
        <f t="shared" si="141"/>
        <v>0</v>
      </c>
      <c r="BC176" s="395">
        <f t="shared" si="142"/>
        <v>0</v>
      </c>
      <c r="BD176" s="554"/>
      <c r="BE176" s="555"/>
      <c r="BF176" s="557"/>
      <c r="BG176" s="559"/>
      <c r="BI176" s="939"/>
    </row>
    <row r="177" spans="1:64" ht="25.5" x14ac:dyDescent="0.2">
      <c r="A177" s="19"/>
      <c r="C177" s="590" t="s">
        <v>4018</v>
      </c>
      <c r="D177" s="453"/>
      <c r="E177" s="441"/>
      <c r="F177" s="440"/>
      <c r="G177" s="440"/>
      <c r="H177" s="440"/>
      <c r="I177" s="440"/>
      <c r="J177" s="440"/>
      <c r="K177" s="441"/>
      <c r="L177" s="440"/>
      <c r="M177" s="440"/>
      <c r="N177" s="440"/>
      <c r="O177" s="440"/>
      <c r="P177" s="543"/>
      <c r="Q177" s="543"/>
      <c r="R177" s="543"/>
      <c r="S177" s="543"/>
      <c r="T177" s="543"/>
      <c r="U177" s="543"/>
      <c r="V177" s="543"/>
      <c r="W177" s="543"/>
      <c r="X177" s="543"/>
      <c r="Y177" s="543"/>
      <c r="Z177" s="543"/>
      <c r="AA177" s="543"/>
      <c r="AB177" s="543"/>
      <c r="AC177" s="543"/>
      <c r="AD177" s="440"/>
      <c r="AE177" s="440"/>
      <c r="AF177" s="440"/>
      <c r="AG177" s="440"/>
      <c r="AH177" s="430">
        <f t="shared" ref="AH177:AH178" si="143">L177+N177+P177+R177+T177+V177+X177+Z177+AB177+AD177+AF177</f>
        <v>0</v>
      </c>
      <c r="AI177" s="369">
        <f t="shared" ref="AI177:AI178" si="144">M177+O177+Q177+S177+U177+W177+Y177+AA177+AC177+AE177+AG177</f>
        <v>0</v>
      </c>
      <c r="AJ177" s="431">
        <f>D177+F177+H177+J177+AH177</f>
        <v>0</v>
      </c>
      <c r="AK177" s="443">
        <f>E177+G177+I177+K177+AI177</f>
        <v>0</v>
      </c>
      <c r="AL177" s="440"/>
      <c r="AM177" s="440">
        <f>IF('N.1 GASB 68 LGERS'!K43&lt;0,-'N.1 GASB 68 LGERS'!K43*'N.1 GASB 68 LGERS'!C75,0)</f>
        <v>0</v>
      </c>
      <c r="AN177" s="431"/>
      <c r="AO177" s="443"/>
      <c r="AP177" s="444" t="s">
        <v>2047</v>
      </c>
      <c r="AQ177" s="369">
        <f>'N.1 GASB 68 LGERS'!C111</f>
        <v>0</v>
      </c>
      <c r="AS177" s="489" t="s">
        <v>2047</v>
      </c>
      <c r="AT177" s="489">
        <f>'N.1 GASB 68 LGERS'!D111</f>
        <v>0</v>
      </c>
      <c r="AU177" s="445"/>
      <c r="AV177" s="544"/>
      <c r="AX177" s="444" t="s">
        <v>2079</v>
      </c>
      <c r="AY177" s="544">
        <f>'K.1  Int. Service Fd Allocation'!G196+'K.2  Int. Service Fd Alloca'!G191+'K.3 Int. Service Fd Alloca'!G191</f>
        <v>0</v>
      </c>
      <c r="AZ177" s="471"/>
      <c r="BA177" s="448"/>
      <c r="BB177" s="395">
        <f t="shared" si="127"/>
        <v>0</v>
      </c>
      <c r="BC177" s="395">
        <f t="shared" si="128"/>
        <v>0</v>
      </c>
      <c r="BD177" s="431"/>
      <c r="BE177" s="443"/>
      <c r="BF177" s="367" t="str">
        <f>IF(SUM(BB177:BB178)-SUM(BC177:BC178)&lt;=0," ",SUM(BB177:BB178)-SUM(BC177:BC178))</f>
        <v xml:space="preserve"> </v>
      </c>
      <c r="BG177" s="455">
        <f>IF(SUM(BB177:BB178)-SUM(BC177:BC178)&gt;0," ",SUM(BC177:BC178)-SUM(BB177:BB178))</f>
        <v>0</v>
      </c>
      <c r="BI177" s="939"/>
    </row>
    <row r="178" spans="1:64" x14ac:dyDescent="0.2">
      <c r="A178" s="19"/>
      <c r="C178" s="24"/>
      <c r="D178" s="453"/>
      <c r="E178" s="441"/>
      <c r="F178" s="440"/>
      <c r="G178" s="440"/>
      <c r="H178" s="440"/>
      <c r="I178" s="440"/>
      <c r="J178" s="440"/>
      <c r="K178" s="441"/>
      <c r="L178" s="440"/>
      <c r="M178" s="440"/>
      <c r="N178" s="440"/>
      <c r="O178" s="440"/>
      <c r="P178" s="543"/>
      <c r="Q178" s="543"/>
      <c r="R178" s="543"/>
      <c r="S178" s="543"/>
      <c r="T178" s="543"/>
      <c r="U178" s="543"/>
      <c r="V178" s="543"/>
      <c r="W178" s="543"/>
      <c r="X178" s="543"/>
      <c r="Y178" s="543"/>
      <c r="Z178" s="543"/>
      <c r="AA178" s="543"/>
      <c r="AB178" s="543"/>
      <c r="AC178" s="543"/>
      <c r="AD178" s="440"/>
      <c r="AE178" s="440"/>
      <c r="AF178" s="440"/>
      <c r="AG178" s="440"/>
      <c r="AH178" s="430">
        <f t="shared" si="143"/>
        <v>0</v>
      </c>
      <c r="AI178" s="369">
        <f t="shared" si="144"/>
        <v>0</v>
      </c>
      <c r="AJ178" s="431">
        <f>D178+F178+H178+J178+AH178</f>
        <v>0</v>
      </c>
      <c r="AK178" s="443">
        <f>E178+G178+I178+K178+AI178</f>
        <v>0</v>
      </c>
      <c r="AL178" s="440"/>
      <c r="AM178" s="440">
        <f>IF('N.2 GASB 68 ROD'!K32&lt;0,-'N.2 GASB 68 ROD'!K32*'N.2 GASB 68 ROD'!C63,0)</f>
        <v>0</v>
      </c>
      <c r="AN178" s="431"/>
      <c r="AO178" s="443"/>
      <c r="AP178" s="444" t="s">
        <v>2048</v>
      </c>
      <c r="AQ178" s="369">
        <f>'N.2 GASB 68 ROD'!C83</f>
        <v>0</v>
      </c>
      <c r="AS178" s="489" t="s">
        <v>2048</v>
      </c>
      <c r="AT178" s="489">
        <f>'N.2 GASB 68 ROD'!D83</f>
        <v>0</v>
      </c>
      <c r="AU178" s="445"/>
      <c r="AV178" s="544"/>
      <c r="AX178"/>
      <c r="AY178" s="544"/>
      <c r="AZ178" s="471"/>
      <c r="BA178" s="448"/>
      <c r="BB178" s="395">
        <f>ROUND(AJ178+AL178+AN178+AQ178+AV178+AZ178,0)</f>
        <v>0</v>
      </c>
      <c r="BC178" s="395">
        <f>ROUND(AK178+AM178+AO178+AT178+AY178+BA178,0)</f>
        <v>0</v>
      </c>
      <c r="BD178" s="431"/>
      <c r="BE178" s="443"/>
      <c r="BF178" s="544"/>
      <c r="BG178" s="545"/>
      <c r="BI178" s="25"/>
    </row>
    <row r="179" spans="1:64" ht="25.5" x14ac:dyDescent="0.2">
      <c r="A179" s="19"/>
      <c r="C179" s="590" t="s">
        <v>4022</v>
      </c>
      <c r="D179" s="453"/>
      <c r="E179" s="441"/>
      <c r="F179" s="440"/>
      <c r="G179" s="440"/>
      <c r="H179" s="440"/>
      <c r="I179" s="440"/>
      <c r="J179" s="440"/>
      <c r="K179" s="441"/>
      <c r="L179" s="440"/>
      <c r="M179" s="440"/>
      <c r="N179" s="440"/>
      <c r="O179" s="440"/>
      <c r="P179" s="543"/>
      <c r="Q179" s="543"/>
      <c r="R179" s="543"/>
      <c r="S179" s="543"/>
      <c r="T179" s="543"/>
      <c r="U179" s="543"/>
      <c r="V179" s="543"/>
      <c r="W179" s="543"/>
      <c r="X179" s="543"/>
      <c r="Y179" s="543"/>
      <c r="Z179" s="543"/>
      <c r="AA179" s="543"/>
      <c r="AB179" s="543"/>
      <c r="AC179" s="543"/>
      <c r="AD179" s="440"/>
      <c r="AE179" s="440"/>
      <c r="AF179" s="440"/>
      <c r="AG179" s="440"/>
      <c r="AH179" s="430"/>
      <c r="AJ179" s="431"/>
      <c r="AK179" s="443"/>
      <c r="AL179" s="489"/>
      <c r="AM179" s="489"/>
      <c r="AN179" s="431"/>
      <c r="AO179" s="443"/>
      <c r="AQ179" s="489"/>
      <c r="AS179" s="906" t="s">
        <v>4019</v>
      </c>
      <c r="AT179" s="489">
        <f>'P.1 GASB 75 OPEB  - plan 1'!D137</f>
        <v>1472</v>
      </c>
      <c r="AU179" s="445"/>
      <c r="AV179" s="544"/>
      <c r="AX179" s="444" t="s">
        <v>2079</v>
      </c>
      <c r="AY179" s="544">
        <f>'K.1  Int. Service Fd Allocation'!G199+'K.2  Int. Service Fd Alloca'!G194+'K.3 Int. Service Fd Alloca'!G194</f>
        <v>0</v>
      </c>
      <c r="AZ179" s="471"/>
      <c r="BA179" s="448"/>
      <c r="BB179" s="395">
        <f>ROUND(AJ179+AL179+AN179+AQ179+AV179+AZ179,0)</f>
        <v>0</v>
      </c>
      <c r="BC179" s="395">
        <f t="shared" si="128"/>
        <v>1472</v>
      </c>
      <c r="BD179" s="431"/>
      <c r="BE179" s="443"/>
      <c r="BF179" s="367" t="str">
        <f>IF(SUM(BB179:BB181)-SUM(BC179:BC181)&lt;=0," ",SUM(BB179:BB181)-SUM(BC179:BC181))</f>
        <v xml:space="preserve"> </v>
      </c>
      <c r="BG179" s="455">
        <f>IF(SUM(BB179:BB181)-SUM(BC179:BC181)&gt;0," ",SUM(BC179:BC181)-SUM(BB179:BB181))</f>
        <v>1472</v>
      </c>
      <c r="BH179" s="937" t="s">
        <v>4224</v>
      </c>
      <c r="BI179" s="939"/>
      <c r="BL179" s="5"/>
    </row>
    <row r="180" spans="1:64" x14ac:dyDescent="0.2">
      <c r="A180" s="19"/>
      <c r="C180" s="590"/>
      <c r="D180" s="453"/>
      <c r="E180" s="441"/>
      <c r="F180" s="440"/>
      <c r="G180" s="440"/>
      <c r="H180" s="440"/>
      <c r="I180" s="440"/>
      <c r="J180" s="440"/>
      <c r="K180" s="441"/>
      <c r="L180" s="440"/>
      <c r="M180" s="440"/>
      <c r="N180" s="440"/>
      <c r="O180" s="440"/>
      <c r="P180" s="543"/>
      <c r="Q180" s="543"/>
      <c r="R180" s="543"/>
      <c r="S180" s="543"/>
      <c r="T180" s="543"/>
      <c r="U180" s="543"/>
      <c r="V180" s="543"/>
      <c r="W180" s="543"/>
      <c r="X180" s="543"/>
      <c r="Y180" s="543"/>
      <c r="Z180" s="543"/>
      <c r="AA180" s="543"/>
      <c r="AB180" s="543"/>
      <c r="AC180" s="543"/>
      <c r="AD180" s="440"/>
      <c r="AE180" s="440"/>
      <c r="AF180" s="440"/>
      <c r="AG180" s="440"/>
      <c r="AH180" s="430"/>
      <c r="AJ180" s="431"/>
      <c r="AK180" s="443"/>
      <c r="AL180" s="489"/>
      <c r="AM180" s="489"/>
      <c r="AN180" s="431"/>
      <c r="AO180" s="443"/>
      <c r="AQ180" s="489"/>
      <c r="AS180" s="906" t="s">
        <v>4020</v>
      </c>
      <c r="AT180" s="489">
        <f>'P.2 GASB 75 OPEB - plan 2'!D137</f>
        <v>0</v>
      </c>
      <c r="AU180" s="445"/>
      <c r="AV180" s="544"/>
      <c r="AY180" s="544"/>
      <c r="AZ180" s="471"/>
      <c r="BA180" s="448"/>
      <c r="BB180" s="395">
        <f t="shared" ref="BB180" si="145">ROUND(AJ180+AL180+AN180+AQ180+AV180+AZ180,0)</f>
        <v>0</v>
      </c>
      <c r="BC180" s="395">
        <f t="shared" ref="BC180:BC181" si="146">ROUND(AK180+AM180+AO180+AT180+AY180+BA180,0)</f>
        <v>0</v>
      </c>
      <c r="BD180" s="431"/>
      <c r="BE180" s="443"/>
      <c r="BF180" s="367"/>
      <c r="BG180" s="455"/>
      <c r="BH180" s="937"/>
      <c r="BI180" s="939"/>
    </row>
    <row r="181" spans="1:64" x14ac:dyDescent="0.2">
      <c r="A181" s="19"/>
      <c r="C181" s="590"/>
      <c r="D181" s="453"/>
      <c r="E181" s="441"/>
      <c r="F181" s="440"/>
      <c r="G181" s="440"/>
      <c r="H181" s="440"/>
      <c r="I181" s="440"/>
      <c r="J181" s="440"/>
      <c r="K181" s="441"/>
      <c r="L181" s="440"/>
      <c r="M181" s="440"/>
      <c r="N181" s="440"/>
      <c r="O181" s="440"/>
      <c r="P181" s="543"/>
      <c r="Q181" s="543"/>
      <c r="R181" s="543"/>
      <c r="S181" s="543"/>
      <c r="T181" s="543"/>
      <c r="U181" s="543"/>
      <c r="V181" s="543"/>
      <c r="W181" s="543"/>
      <c r="X181" s="543"/>
      <c r="Y181" s="543"/>
      <c r="Z181" s="543"/>
      <c r="AA181" s="543"/>
      <c r="AB181" s="543"/>
      <c r="AC181" s="543"/>
      <c r="AD181" s="440"/>
      <c r="AE181" s="440"/>
      <c r="AF181" s="440"/>
      <c r="AG181" s="440"/>
      <c r="AH181" s="430"/>
      <c r="AJ181" s="431"/>
      <c r="AK181" s="443"/>
      <c r="AL181" s="489"/>
      <c r="AM181" s="489"/>
      <c r="AN181" s="431"/>
      <c r="AO181" s="443"/>
      <c r="AQ181" s="489"/>
      <c r="AS181" s="906" t="s">
        <v>4021</v>
      </c>
      <c r="AT181" s="489">
        <f>'P.3 GASB 75 OPEB - plan 3'!D137</f>
        <v>0</v>
      </c>
      <c r="AU181" s="445"/>
      <c r="AV181" s="544"/>
      <c r="AY181" s="544"/>
      <c r="AZ181" s="471"/>
      <c r="BA181" s="448"/>
      <c r="BB181" s="395">
        <f>ROUND(AJ181+AL181+AN181+AQ181+AV181+AZ181,0)</f>
        <v>0</v>
      </c>
      <c r="BC181" s="395">
        <f t="shared" si="146"/>
        <v>0</v>
      </c>
      <c r="BD181" s="431"/>
      <c r="BE181" s="443"/>
      <c r="BF181" s="367"/>
      <c r="BG181" s="455"/>
      <c r="BI181" s="939"/>
    </row>
    <row r="182" spans="1:64" x14ac:dyDescent="0.2">
      <c r="A182" s="19"/>
      <c r="D182" s="449"/>
      <c r="E182" s="450"/>
      <c r="F182" s="440"/>
      <c r="G182" s="440"/>
      <c r="H182" s="440"/>
      <c r="I182" s="440"/>
      <c r="J182" s="440"/>
      <c r="K182" s="441"/>
      <c r="L182" s="440"/>
      <c r="M182" s="440"/>
      <c r="N182" s="440"/>
      <c r="O182" s="440"/>
      <c r="P182" s="442"/>
      <c r="Q182" s="442"/>
      <c r="R182" s="442"/>
      <c r="S182" s="442"/>
      <c r="T182" s="442"/>
      <c r="U182" s="442"/>
      <c r="V182" s="442"/>
      <c r="W182" s="442"/>
      <c r="X182" s="442"/>
      <c r="Y182" s="442"/>
      <c r="Z182" s="442"/>
      <c r="AA182" s="442"/>
      <c r="AB182" s="442"/>
      <c r="AC182" s="442"/>
      <c r="AD182" s="440"/>
      <c r="AE182" s="440"/>
      <c r="AF182" s="440"/>
      <c r="AG182" s="440"/>
      <c r="AH182" s="430"/>
      <c r="AJ182" s="431"/>
      <c r="AK182" s="443"/>
      <c r="AL182" s="440"/>
      <c r="AM182" s="440"/>
      <c r="AN182" s="431"/>
      <c r="AO182" s="443"/>
      <c r="AQ182" s="429"/>
      <c r="AT182" s="367"/>
      <c r="AU182" s="445"/>
      <c r="AV182" s="429"/>
      <c r="AX182" s="452"/>
      <c r="AY182" s="367"/>
      <c r="AZ182" s="471"/>
      <c r="BA182" s="448"/>
      <c r="BB182" s="836"/>
      <c r="BC182" s="836"/>
      <c r="BD182" s="431"/>
      <c r="BE182" s="443"/>
      <c r="BF182" s="429"/>
      <c r="BG182" s="446"/>
      <c r="BI182" s="939"/>
    </row>
    <row r="183" spans="1:64" x14ac:dyDescent="0.2">
      <c r="A183" s="19"/>
      <c r="C183" s="204" t="s">
        <v>849</v>
      </c>
      <c r="D183" s="456"/>
      <c r="E183" s="457">
        <f>13086274-36253+25774+803+440000</f>
        <v>13516598</v>
      </c>
      <c r="F183" s="458"/>
      <c r="G183" s="458">
        <v>1500000</v>
      </c>
      <c r="H183" s="458"/>
      <c r="I183" s="458">
        <v>290000</v>
      </c>
      <c r="J183" s="458"/>
      <c r="K183" s="459"/>
      <c r="L183" s="458"/>
      <c r="M183" s="458"/>
      <c r="N183" s="458"/>
      <c r="O183" s="460">
        <v>11000</v>
      </c>
      <c r="P183" s="460"/>
      <c r="Q183" s="460">
        <v>1623</v>
      </c>
      <c r="R183" s="460"/>
      <c r="S183" s="460">
        <v>12351</v>
      </c>
      <c r="T183" s="460"/>
      <c r="U183" s="460"/>
      <c r="V183" s="460"/>
      <c r="W183" s="460">
        <v>3364</v>
      </c>
      <c r="X183" s="460"/>
      <c r="Y183" s="460">
        <v>27633</v>
      </c>
      <c r="Z183" s="460"/>
      <c r="AA183" s="460">
        <v>337000</v>
      </c>
      <c r="AB183" s="460"/>
      <c r="AC183" s="460"/>
      <c r="AD183" s="458"/>
      <c r="AE183" s="458"/>
      <c r="AF183" s="458"/>
      <c r="AG183" s="458"/>
      <c r="AH183" s="461">
        <f t="shared" ref="AH183:AH185" si="147">L183+N183+P183+R183+T183+V183+X183+Z183+AB183+AD183+AF183</f>
        <v>0</v>
      </c>
      <c r="AI183" s="462">
        <f t="shared" ref="AI183:AI185" si="148">M183+O183+Q183+S183+U183+W183+Y183+AA183+AC183+AE183+AG183</f>
        <v>392971</v>
      </c>
      <c r="AJ183" s="463">
        <f t="shared" ref="AJ183:AK185" si="149">D183+F183+H183+J183+AH183</f>
        <v>0</v>
      </c>
      <c r="AK183" s="464">
        <f t="shared" si="149"/>
        <v>15699569</v>
      </c>
      <c r="AL183" s="458">
        <f>12141700</f>
        <v>12141700</v>
      </c>
      <c r="AM183" s="458">
        <f>15038456+(8778)+(190721)+15933-646+34952</f>
        <v>15288194</v>
      </c>
      <c r="AN183" s="463"/>
      <c r="AO183" s="464"/>
      <c r="AP183" s="465" t="str">
        <f>'G. Debt Service'!D54</f>
        <v>G.2</v>
      </c>
      <c r="AQ183" s="466">
        <f>'G. Debt Service'!L54</f>
        <v>331007</v>
      </c>
      <c r="AR183" s="462"/>
      <c r="AS183" s="465" t="str">
        <f>'B.  Property Taxes'!A53</f>
        <v>B.1</v>
      </c>
      <c r="AT183" s="983">
        <f>'B.  Property Taxes'!L55</f>
        <v>2590150</v>
      </c>
      <c r="AU183" s="467"/>
      <c r="AV183" s="466"/>
      <c r="AW183" s="462"/>
      <c r="AX183" s="470" t="s">
        <v>634</v>
      </c>
      <c r="AY183" s="466">
        <f>'K.1  Int. Service Fd Allocation'!G200+'K.2  Int. Service Fd Alloca'!G195+'K.3 Int. Service Fd Alloca'!G195</f>
        <v>0</v>
      </c>
      <c r="AZ183" s="471"/>
      <c r="BA183" s="448"/>
      <c r="BB183" s="466">
        <f t="shared" ref="BB183:BB193" si="150">ROUND(AJ183+AL183+AN183+AQ183+AV183+AZ183,0)</f>
        <v>12472707</v>
      </c>
      <c r="BC183" s="466">
        <f t="shared" ref="BC183:BC194" si="151">ROUND(AK183+AM183+AO183+AT183+AY183+BA183,0)</f>
        <v>33577913</v>
      </c>
      <c r="BD183" s="463"/>
      <c r="BE183" s="464"/>
      <c r="BF183" s="639">
        <f>IF(SUM(BB183:BB190)+BB192-SUM(BC183:BC190)-BC192&gt;0,SUM(BB183:BB190)+BB192-SUM(BC183:BC190)-BC192,0)</f>
        <v>0</v>
      </c>
      <c r="BG183" s="468">
        <f>IF(SUM(BC183:BC190)+BC192-SUM(BB183:BB190)-BB192&gt;0,SUM(BC183:BC190)+BC192-SUM(BB183:BB190)-BB192,0)-5+15</f>
        <v>19806344</v>
      </c>
      <c r="BH183" s="937"/>
      <c r="BI183" s="939"/>
    </row>
    <row r="184" spans="1:64" x14ac:dyDescent="0.2">
      <c r="A184" s="19"/>
      <c r="C184" s="204"/>
      <c r="D184" s="456"/>
      <c r="E184" s="457"/>
      <c r="F184" s="458"/>
      <c r="G184" s="458"/>
      <c r="H184" s="458"/>
      <c r="I184" s="458"/>
      <c r="J184" s="458"/>
      <c r="K184" s="459"/>
      <c r="L184" s="458"/>
      <c r="M184" s="458"/>
      <c r="N184" s="458"/>
      <c r="O184" s="458"/>
      <c r="P184" s="460"/>
      <c r="Q184" s="460"/>
      <c r="R184" s="460"/>
      <c r="S184" s="460"/>
      <c r="T184" s="460"/>
      <c r="U184" s="460"/>
      <c r="V184" s="460"/>
      <c r="W184" s="460"/>
      <c r="X184" s="460"/>
      <c r="Y184" s="460"/>
      <c r="Z184" s="460"/>
      <c r="AA184" s="460"/>
      <c r="AB184" s="460"/>
      <c r="AC184" s="460"/>
      <c r="AD184" s="458"/>
      <c r="AE184" s="458"/>
      <c r="AF184" s="458"/>
      <c r="AG184" s="458"/>
      <c r="AH184" s="461">
        <f t="shared" si="147"/>
        <v>0</v>
      </c>
      <c r="AI184" s="462">
        <f t="shared" si="148"/>
        <v>0</v>
      </c>
      <c r="AJ184" s="463">
        <f t="shared" si="149"/>
        <v>0</v>
      </c>
      <c r="AK184" s="464">
        <f t="shared" si="149"/>
        <v>0</v>
      </c>
      <c r="AL184" s="458"/>
      <c r="AM184" s="458"/>
      <c r="AN184" s="463"/>
      <c r="AO184" s="464"/>
      <c r="AP184" s="465" t="s">
        <v>3614</v>
      </c>
      <c r="AQ184" s="466"/>
      <c r="AR184" s="462"/>
      <c r="AS184" s="465" t="str">
        <f>'C. Other Revenues'!B207</f>
        <v>C.1</v>
      </c>
      <c r="AT184" s="466">
        <f>'C. Other Revenues'!M247</f>
        <v>1806100</v>
      </c>
      <c r="AU184" s="467" t="str">
        <f>'L. Eliminations-Consolidations'!B273</f>
        <v>L.8</v>
      </c>
      <c r="AV184" s="466">
        <f>'L. Eliminations-Consolidations'!J283</f>
        <v>0</v>
      </c>
      <c r="AW184" s="462"/>
      <c r="AX184" s="465" t="str">
        <f>'L. Eliminations-Consolidations'!B273</f>
        <v>L.8</v>
      </c>
      <c r="AY184" s="468">
        <f>'L. Eliminations-Consolidations'!L283</f>
        <v>0</v>
      </c>
      <c r="AZ184" s="447"/>
      <c r="BA184" s="448"/>
      <c r="BB184" s="466">
        <f t="shared" si="150"/>
        <v>0</v>
      </c>
      <c r="BC184" s="466">
        <f t="shared" si="151"/>
        <v>1806100</v>
      </c>
      <c r="BD184" s="463"/>
      <c r="BE184" s="464"/>
      <c r="BF184" s="466"/>
      <c r="BG184" s="468"/>
      <c r="BH184" s="937"/>
      <c r="BI184" s="939"/>
    </row>
    <row r="185" spans="1:64" x14ac:dyDescent="0.2">
      <c r="A185" s="19"/>
      <c r="C185" s="204"/>
      <c r="D185" s="456"/>
      <c r="E185" s="457"/>
      <c r="F185" s="458"/>
      <c r="G185" s="458"/>
      <c r="H185" s="458"/>
      <c r="I185" s="458"/>
      <c r="J185" s="458"/>
      <c r="K185" s="459"/>
      <c r="L185" s="458"/>
      <c r="M185" s="458"/>
      <c r="N185" s="458"/>
      <c r="O185" s="458"/>
      <c r="P185" s="460"/>
      <c r="Q185" s="460"/>
      <c r="R185" s="460"/>
      <c r="S185" s="460"/>
      <c r="T185" s="460"/>
      <c r="U185" s="460"/>
      <c r="V185" s="460"/>
      <c r="W185" s="460"/>
      <c r="X185" s="460"/>
      <c r="Y185" s="460"/>
      <c r="Z185" s="460"/>
      <c r="AA185" s="460"/>
      <c r="AB185" s="460"/>
      <c r="AC185" s="460"/>
      <c r="AD185" s="458"/>
      <c r="AE185" s="458"/>
      <c r="AF185" s="458"/>
      <c r="AG185" s="458"/>
      <c r="AH185" s="461">
        <f t="shared" si="147"/>
        <v>0</v>
      </c>
      <c r="AI185" s="462">
        <f t="shared" si="148"/>
        <v>0</v>
      </c>
      <c r="AJ185" s="463">
        <f t="shared" si="149"/>
        <v>0</v>
      </c>
      <c r="AK185" s="464">
        <f t="shared" si="149"/>
        <v>0</v>
      </c>
      <c r="AL185" s="458"/>
      <c r="AM185" s="458"/>
      <c r="AN185" s="463"/>
      <c r="AO185" s="464"/>
      <c r="AP185" s="465"/>
      <c r="AQ185" s="466"/>
      <c r="AR185" s="462"/>
      <c r="AS185" s="728" t="str">
        <f>'I.  Other Asset Entries'!B108</f>
        <v>I.1</v>
      </c>
      <c r="AT185" s="466">
        <f>'I.  Other Asset Entries'!N123</f>
        <v>8383</v>
      </c>
      <c r="AU185" s="467"/>
      <c r="AV185" s="466"/>
      <c r="AW185" s="462"/>
      <c r="AX185" s="465"/>
      <c r="AY185" s="468"/>
      <c r="AZ185" s="447"/>
      <c r="BA185" s="448"/>
      <c r="BB185" s="466">
        <f t="shared" si="150"/>
        <v>0</v>
      </c>
      <c r="BC185" s="466">
        <f t="shared" si="151"/>
        <v>8383</v>
      </c>
      <c r="BD185" s="463"/>
      <c r="BE185" s="464"/>
      <c r="BF185" s="466"/>
      <c r="BG185" s="468"/>
      <c r="BH185" s="937"/>
      <c r="BI185" s="939"/>
    </row>
    <row r="186" spans="1:64" x14ac:dyDescent="0.2">
      <c r="A186" s="19"/>
      <c r="C186" s="638" t="s">
        <v>4048</v>
      </c>
      <c r="D186" s="456"/>
      <c r="E186" s="457"/>
      <c r="F186" s="458"/>
      <c r="G186" s="458"/>
      <c r="H186" s="458"/>
      <c r="I186" s="458"/>
      <c r="J186" s="458"/>
      <c r="K186" s="459"/>
      <c r="L186" s="458"/>
      <c r="M186" s="458"/>
      <c r="N186" s="458"/>
      <c r="O186" s="458"/>
      <c r="P186" s="460"/>
      <c r="Q186" s="460"/>
      <c r="R186" s="460"/>
      <c r="S186" s="460"/>
      <c r="T186" s="460"/>
      <c r="U186" s="460"/>
      <c r="V186" s="460"/>
      <c r="W186" s="460"/>
      <c r="X186" s="460"/>
      <c r="Y186" s="460"/>
      <c r="Z186" s="460"/>
      <c r="AA186" s="460"/>
      <c r="AB186" s="460"/>
      <c r="AC186" s="460"/>
      <c r="AD186" s="458"/>
      <c r="AE186" s="458"/>
      <c r="AF186" s="458"/>
      <c r="AG186" s="458"/>
      <c r="AH186" s="461"/>
      <c r="AI186" s="462"/>
      <c r="AJ186" s="463"/>
      <c r="AK186" s="464"/>
      <c r="AL186" s="458">
        <f>AM151</f>
        <v>218892</v>
      </c>
      <c r="AM186" s="458"/>
      <c r="AN186" s="463"/>
      <c r="AO186" s="464"/>
      <c r="AP186" s="465"/>
      <c r="AQ186" s="466"/>
      <c r="AR186" s="462"/>
      <c r="AS186" s="885"/>
      <c r="AT186" s="885"/>
      <c r="AU186" s="467"/>
      <c r="AV186" s="466"/>
      <c r="AW186" s="462"/>
      <c r="AX186" s="465"/>
      <c r="AY186" s="468"/>
      <c r="AZ186" s="447"/>
      <c r="BA186" s="448"/>
      <c r="BB186" s="466">
        <f t="shared" ref="BB186:BB187" si="152">ROUND(AJ186+AL186+AN186+AQ186+AV186+AZ186,0)</f>
        <v>218892</v>
      </c>
      <c r="BC186" s="466">
        <f t="shared" ref="BC186:BC187" si="153">ROUND(AK186+AM186+AO186+AT186+AY186+BA186,0)</f>
        <v>0</v>
      </c>
      <c r="BD186" s="463"/>
      <c r="BE186" s="464"/>
      <c r="BF186" s="466"/>
      <c r="BG186" s="468"/>
      <c r="BH186" s="937"/>
      <c r="BI186" s="939"/>
    </row>
    <row r="187" spans="1:64" x14ac:dyDescent="0.2">
      <c r="A187" s="19"/>
      <c r="C187" s="638"/>
      <c r="D187" s="456"/>
      <c r="E187" s="457"/>
      <c r="F187" s="458"/>
      <c r="G187" s="458"/>
      <c r="H187" s="458"/>
      <c r="I187" s="458"/>
      <c r="J187" s="458"/>
      <c r="K187" s="459"/>
      <c r="L187" s="458"/>
      <c r="M187" s="458"/>
      <c r="N187" s="458"/>
      <c r="O187" s="458"/>
      <c r="P187" s="460"/>
      <c r="Q187" s="460"/>
      <c r="R187" s="460"/>
      <c r="S187" s="460"/>
      <c r="T187" s="460"/>
      <c r="U187" s="460"/>
      <c r="V187" s="460"/>
      <c r="W187" s="460"/>
      <c r="X187" s="460"/>
      <c r="Y187" s="460"/>
      <c r="Z187" s="460"/>
      <c r="AA187" s="460"/>
      <c r="AB187" s="460"/>
      <c r="AC187" s="460"/>
      <c r="AD187" s="458"/>
      <c r="AE187" s="458"/>
      <c r="AF187" s="458"/>
      <c r="AG187" s="458"/>
      <c r="AH187" s="461"/>
      <c r="AI187" s="462"/>
      <c r="AJ187" s="463"/>
      <c r="AK187" s="464"/>
      <c r="AL187" s="458"/>
      <c r="AM187" s="458"/>
      <c r="AN187" s="463"/>
      <c r="AO187" s="464"/>
      <c r="AP187" s="465"/>
      <c r="AQ187" s="466"/>
      <c r="AR187" s="462"/>
      <c r="AS187" s="465" t="s">
        <v>474</v>
      </c>
      <c r="AT187" s="466">
        <f>'J. Other Liability &amp; Expenses'!N221</f>
        <v>50585</v>
      </c>
      <c r="AU187" s="467"/>
      <c r="AV187" s="466"/>
      <c r="AW187" s="462"/>
      <c r="AX187" s="465"/>
      <c r="AY187" s="468"/>
      <c r="AZ187" s="447"/>
      <c r="BA187" s="448"/>
      <c r="BB187" s="466">
        <f t="shared" si="152"/>
        <v>0</v>
      </c>
      <c r="BC187" s="466">
        <f t="shared" si="153"/>
        <v>50585</v>
      </c>
      <c r="BD187" s="463"/>
      <c r="BE187" s="464"/>
      <c r="BF187" s="466"/>
      <c r="BG187" s="468"/>
      <c r="BH187" s="937"/>
      <c r="BI187" s="939"/>
    </row>
    <row r="188" spans="1:64" x14ac:dyDescent="0.2">
      <c r="A188" s="19"/>
      <c r="C188" s="638" t="s">
        <v>4070</v>
      </c>
      <c r="D188" s="456"/>
      <c r="E188" s="457"/>
      <c r="F188" s="458"/>
      <c r="G188" s="458"/>
      <c r="H188" s="458"/>
      <c r="I188" s="458"/>
      <c r="J188" s="458"/>
      <c r="K188" s="459"/>
      <c r="L188" s="458"/>
      <c r="M188" s="458"/>
      <c r="N188" s="458"/>
      <c r="O188" s="458"/>
      <c r="P188" s="460"/>
      <c r="Q188" s="460"/>
      <c r="R188" s="460"/>
      <c r="S188" s="460"/>
      <c r="T188" s="460"/>
      <c r="U188" s="460"/>
      <c r="V188" s="460"/>
      <c r="W188" s="460"/>
      <c r="X188" s="460"/>
      <c r="Y188" s="460"/>
      <c r="Z188" s="460"/>
      <c r="AA188" s="460"/>
      <c r="AB188" s="460"/>
      <c r="AC188" s="460"/>
      <c r="AD188" s="458"/>
      <c r="AE188" s="458"/>
      <c r="AF188" s="458"/>
      <c r="AG188" s="458"/>
      <c r="AH188" s="461"/>
      <c r="AI188" s="462"/>
      <c r="AJ188" s="463"/>
      <c r="AK188" s="464"/>
      <c r="AL188" s="639"/>
      <c r="AM188" s="639"/>
      <c r="AN188" s="463"/>
      <c r="AO188" s="464"/>
      <c r="AP188" s="465" t="s">
        <v>4019</v>
      </c>
      <c r="AQ188" s="466">
        <f>'P.1 GASB 75 OPEB  - plan 1'!C103</f>
        <v>1851370</v>
      </c>
      <c r="AR188" s="462"/>
      <c r="AS188" s="465" t="s">
        <v>4019</v>
      </c>
      <c r="AT188" s="466">
        <f>'P.1 GASB 75 OPEB  - plan 1'!D103</f>
        <v>0</v>
      </c>
      <c r="AU188" s="467"/>
      <c r="AV188" s="466"/>
      <c r="AW188" s="462"/>
      <c r="AX188" s="465"/>
      <c r="AY188" s="468"/>
      <c r="AZ188" s="447"/>
      <c r="BA188" s="448"/>
      <c r="BB188" s="466">
        <f t="shared" ref="BB188" si="154">ROUND(AJ188+AL188+AN188+AQ188+AV188+AZ188,0)</f>
        <v>1851370</v>
      </c>
      <c r="BC188" s="466">
        <f t="shared" ref="BC188:BC189" si="155">ROUND(AK188+AM188+AO188+AT188+AY188+BA188,0)</f>
        <v>0</v>
      </c>
      <c r="BD188" s="463"/>
      <c r="BE188" s="464"/>
      <c r="BF188" s="466"/>
      <c r="BG188" s="468"/>
      <c r="BH188" s="937"/>
      <c r="BI188" s="939"/>
    </row>
    <row r="189" spans="1:64" x14ac:dyDescent="0.2">
      <c r="A189" s="19"/>
      <c r="C189" s="638" t="s">
        <v>4071</v>
      </c>
      <c r="D189" s="456"/>
      <c r="E189" s="457"/>
      <c r="F189" s="458"/>
      <c r="G189" s="458"/>
      <c r="H189" s="458"/>
      <c r="I189" s="458"/>
      <c r="J189" s="458"/>
      <c r="K189" s="459"/>
      <c r="L189" s="458"/>
      <c r="M189" s="458"/>
      <c r="N189" s="458"/>
      <c r="O189" s="458"/>
      <c r="P189" s="460"/>
      <c r="Q189" s="460"/>
      <c r="R189" s="460"/>
      <c r="S189" s="460"/>
      <c r="T189" s="460"/>
      <c r="U189" s="460"/>
      <c r="V189" s="460"/>
      <c r="W189" s="460"/>
      <c r="X189" s="460"/>
      <c r="Y189" s="460"/>
      <c r="Z189" s="460"/>
      <c r="AA189" s="460"/>
      <c r="AB189" s="460"/>
      <c r="AC189" s="460"/>
      <c r="AD189" s="458"/>
      <c r="AE189" s="458"/>
      <c r="AF189" s="458"/>
      <c r="AG189" s="458"/>
      <c r="AH189" s="461"/>
      <c r="AI189" s="462"/>
      <c r="AJ189" s="463"/>
      <c r="AK189" s="464"/>
      <c r="AL189" s="639"/>
      <c r="AM189" s="466"/>
      <c r="AN189" s="463"/>
      <c r="AO189" s="464"/>
      <c r="AP189" s="465" t="s">
        <v>4020</v>
      </c>
      <c r="AQ189" s="466">
        <f>'P.2 GASB 75 OPEB - plan 2'!C103</f>
        <v>0</v>
      </c>
      <c r="AR189" s="462"/>
      <c r="AS189" s="465" t="s">
        <v>4020</v>
      </c>
      <c r="AT189" s="466">
        <f>'P.2 GASB 75 OPEB - plan 2'!D103</f>
        <v>0</v>
      </c>
      <c r="AU189" s="467"/>
      <c r="AV189" s="466"/>
      <c r="AW189" s="462"/>
      <c r="AX189" s="465"/>
      <c r="AY189" s="468"/>
      <c r="AZ189" s="447"/>
      <c r="BA189" s="448"/>
      <c r="BB189" s="466">
        <f>ROUND(AJ189+AL189+AN189+AQ189+AV189+AZ189,0)</f>
        <v>0</v>
      </c>
      <c r="BC189" s="466">
        <f t="shared" si="155"/>
        <v>0</v>
      </c>
      <c r="BD189" s="463"/>
      <c r="BE189" s="464"/>
      <c r="BF189" s="466"/>
      <c r="BG189" s="468"/>
      <c r="BH189" s="937"/>
      <c r="BI189" s="939"/>
    </row>
    <row r="190" spans="1:64" x14ac:dyDescent="0.2">
      <c r="A190" s="19"/>
      <c r="C190" s="638" t="s">
        <v>4072</v>
      </c>
      <c r="D190" s="456"/>
      <c r="E190" s="457"/>
      <c r="F190" s="458"/>
      <c r="G190" s="458"/>
      <c r="H190" s="458"/>
      <c r="I190" s="458"/>
      <c r="J190" s="458"/>
      <c r="K190" s="459"/>
      <c r="L190" s="458"/>
      <c r="M190" s="458"/>
      <c r="N190" s="458"/>
      <c r="O190" s="458"/>
      <c r="P190" s="460"/>
      <c r="Q190" s="460"/>
      <c r="R190" s="460"/>
      <c r="S190" s="460"/>
      <c r="T190" s="460"/>
      <c r="U190" s="460"/>
      <c r="V190" s="460"/>
      <c r="W190" s="460"/>
      <c r="X190" s="460"/>
      <c r="Y190" s="460"/>
      <c r="Z190" s="460"/>
      <c r="AA190" s="460"/>
      <c r="AB190" s="460"/>
      <c r="AC190" s="460"/>
      <c r="AD190" s="458"/>
      <c r="AE190" s="458"/>
      <c r="AF190" s="458"/>
      <c r="AG190" s="458"/>
      <c r="AH190" s="461"/>
      <c r="AI190" s="462"/>
      <c r="AJ190" s="463"/>
      <c r="AK190" s="464"/>
      <c r="AL190" s="639"/>
      <c r="AM190" s="466"/>
      <c r="AN190" s="463"/>
      <c r="AO190" s="464"/>
      <c r="AP190" s="465" t="s">
        <v>4021</v>
      </c>
      <c r="AQ190" s="466">
        <f>'P.3 GASB 75 OPEB - plan 3'!C103</f>
        <v>0</v>
      </c>
      <c r="AR190" s="462"/>
      <c r="AS190" s="465" t="s">
        <v>4021</v>
      </c>
      <c r="AT190" s="466">
        <f>'P.3 GASB 75 OPEB - plan 3'!D103</f>
        <v>0</v>
      </c>
      <c r="AU190" s="467"/>
      <c r="AV190" s="466"/>
      <c r="AW190" s="462"/>
      <c r="AX190" s="465"/>
      <c r="AY190" s="468"/>
      <c r="AZ190" s="447"/>
      <c r="BA190" s="448"/>
      <c r="BB190" s="466">
        <f>ROUND(AJ190+AL190+AN190+AQ190+AV190+AZ190,0)</f>
        <v>0</v>
      </c>
      <c r="BC190" s="466">
        <f>ROUND(AK190+AM190+AO190+AT190+AY190+BA190,0)</f>
        <v>0</v>
      </c>
      <c r="BD190" s="463"/>
      <c r="BE190" s="464"/>
      <c r="BF190" s="466"/>
      <c r="BG190" s="468"/>
      <c r="BH190" s="937"/>
      <c r="BI190" s="939"/>
    </row>
    <row r="191" spans="1:64" x14ac:dyDescent="0.2">
      <c r="A191" s="19"/>
      <c r="C191" s="204"/>
      <c r="D191" s="456"/>
      <c r="E191" s="457"/>
      <c r="F191" s="458"/>
      <c r="G191" s="458"/>
      <c r="H191" s="458"/>
      <c r="I191" s="458"/>
      <c r="J191" s="458"/>
      <c r="K191" s="459"/>
      <c r="L191" s="458"/>
      <c r="M191" s="458"/>
      <c r="N191" s="458"/>
      <c r="O191" s="458"/>
      <c r="P191" s="460"/>
      <c r="Q191" s="460"/>
      <c r="R191" s="460"/>
      <c r="S191" s="460"/>
      <c r="T191" s="460"/>
      <c r="U191" s="460"/>
      <c r="V191" s="460"/>
      <c r="W191" s="460"/>
      <c r="X191" s="460"/>
      <c r="Y191" s="460"/>
      <c r="Z191" s="460"/>
      <c r="AA191" s="460"/>
      <c r="AB191" s="460"/>
      <c r="AC191" s="460"/>
      <c r="AD191" s="458"/>
      <c r="AE191" s="458"/>
      <c r="AF191" s="458"/>
      <c r="AG191" s="458"/>
      <c r="AH191" s="461">
        <f t="shared" ref="AH191:AH197" si="156">L191+N191+P191+R191+T191+V191+X191+Z191+AB191+AD191+AF191</f>
        <v>0</v>
      </c>
      <c r="AI191" s="462">
        <f t="shared" ref="AI191:AI197" si="157">M191+O191+Q191+S191+U191+W191+Y191+AA191+AC191+AE191+AG191</f>
        <v>0</v>
      </c>
      <c r="AJ191" s="463">
        <f t="shared" ref="AJ191:AJ214" si="158">D191+F191+H191+J191+AH191</f>
        <v>0</v>
      </c>
      <c r="AK191" s="464">
        <f t="shared" ref="AK191:AK214" si="159">E191+G191+I191+K191+AI191</f>
        <v>0</v>
      </c>
      <c r="AL191" s="458"/>
      <c r="AM191" s="458"/>
      <c r="AN191" s="463"/>
      <c r="AO191" s="464"/>
      <c r="AP191" s="465"/>
      <c r="AQ191" s="466"/>
      <c r="AR191" s="462"/>
      <c r="AS191" s="465"/>
      <c r="AT191" s="474"/>
      <c r="AU191" s="467" t="str">
        <f>'L. Eliminations-Consolidations'!B289</f>
        <v>L.9</v>
      </c>
      <c r="AV191" s="466">
        <f>'L. Eliminations-Consolidations'!J289</f>
        <v>15219540</v>
      </c>
      <c r="AW191" s="462"/>
      <c r="AX191" s="465"/>
      <c r="AY191" s="468"/>
      <c r="AZ191" s="447"/>
      <c r="BA191" s="448"/>
      <c r="BB191" s="466">
        <f>ROUND(AJ191+AL191+AN191+AQ191+AV191+AZ191,0)</f>
        <v>15219540</v>
      </c>
      <c r="BC191" s="466">
        <f t="shared" si="151"/>
        <v>0</v>
      </c>
      <c r="BD191" s="463"/>
      <c r="BE191" s="464"/>
      <c r="BF191" s="466"/>
      <c r="BG191" s="468"/>
      <c r="BH191" s="937"/>
    </row>
    <row r="192" spans="1:64" ht="25.5" x14ac:dyDescent="0.2">
      <c r="A192" s="19"/>
      <c r="C192" s="638" t="s">
        <v>2618</v>
      </c>
      <c r="D192" s="456"/>
      <c r="E192" s="457"/>
      <c r="F192" s="458"/>
      <c r="G192" s="458"/>
      <c r="H192" s="458"/>
      <c r="I192" s="458"/>
      <c r="J192" s="458"/>
      <c r="K192" s="459"/>
      <c r="L192" s="458"/>
      <c r="M192" s="458"/>
      <c r="N192" s="458"/>
      <c r="O192" s="458"/>
      <c r="P192" s="460"/>
      <c r="Q192" s="460"/>
      <c r="R192" s="460"/>
      <c r="S192" s="460"/>
      <c r="T192" s="460"/>
      <c r="U192" s="460"/>
      <c r="V192" s="460"/>
      <c r="W192" s="460"/>
      <c r="X192" s="460"/>
      <c r="Y192" s="460"/>
      <c r="Z192" s="460"/>
      <c r="AA192" s="460"/>
      <c r="AB192" s="460"/>
      <c r="AC192" s="460"/>
      <c r="AD192" s="458"/>
      <c r="AE192" s="458"/>
      <c r="AF192" s="458"/>
      <c r="AG192" s="458"/>
      <c r="AH192" s="461">
        <f t="shared" si="156"/>
        <v>0</v>
      </c>
      <c r="AI192" s="462">
        <f t="shared" si="157"/>
        <v>0</v>
      </c>
      <c r="AJ192" s="463">
        <f t="shared" si="158"/>
        <v>0</v>
      </c>
      <c r="AK192" s="464">
        <f t="shared" si="159"/>
        <v>0</v>
      </c>
      <c r="AL192" s="456">
        <f>AM178+AM177+AM173+AM172+AM171+AM166+AM165+AM164+AM163+AM162+AM149</f>
        <v>4010804</v>
      </c>
      <c r="AM192" s="457">
        <f>AL103+AL102+AL98+AL97+AL96+AL92+AL91+AL90+AL89+AL88+AL83+AL82+AL33+AL32</f>
        <v>2917126</v>
      </c>
      <c r="AN192" s="463"/>
      <c r="AO192" s="464"/>
      <c r="AP192" s="465"/>
      <c r="AQ192" s="466"/>
      <c r="AR192" s="462"/>
      <c r="AS192" s="465"/>
      <c r="AT192" s="474"/>
      <c r="AU192" s="467"/>
      <c r="AV192" s="466"/>
      <c r="AW192" s="462"/>
      <c r="AX192" s="465"/>
      <c r="AY192" s="468"/>
      <c r="AZ192" s="447"/>
      <c r="BA192" s="448"/>
      <c r="BB192" s="466">
        <f t="shared" si="150"/>
        <v>4010804</v>
      </c>
      <c r="BC192" s="466">
        <f t="shared" si="151"/>
        <v>2917126</v>
      </c>
      <c r="BD192" s="463"/>
      <c r="BE192" s="464"/>
      <c r="BF192" s="466"/>
      <c r="BG192" s="468"/>
    </row>
    <row r="193" spans="1:63" x14ac:dyDescent="0.2">
      <c r="A193" s="19"/>
      <c r="C193" s="205" t="s">
        <v>1138</v>
      </c>
      <c r="D193" s="456"/>
      <c r="E193" s="457"/>
      <c r="F193" s="458"/>
      <c r="G193" s="458"/>
      <c r="H193" s="478"/>
      <c r="I193" s="478"/>
      <c r="J193" s="478"/>
      <c r="K193" s="457"/>
      <c r="L193" s="458"/>
      <c r="M193" s="458"/>
      <c r="N193" s="458"/>
      <c r="O193" s="458"/>
      <c r="P193" s="460"/>
      <c r="Q193" s="460"/>
      <c r="R193" s="460"/>
      <c r="S193" s="460"/>
      <c r="T193" s="460"/>
      <c r="U193" s="460"/>
      <c r="V193" s="460"/>
      <c r="W193" s="460"/>
      <c r="X193" s="460"/>
      <c r="Y193" s="460"/>
      <c r="Z193" s="460"/>
      <c r="AA193" s="460"/>
      <c r="AB193" s="460"/>
      <c r="AC193" s="460"/>
      <c r="AD193" s="458"/>
      <c r="AE193" s="458"/>
      <c r="AF193" s="458"/>
      <c r="AG193" s="458"/>
      <c r="AH193" s="461">
        <f t="shared" si="156"/>
        <v>0</v>
      </c>
      <c r="AI193" s="462">
        <f t="shared" si="157"/>
        <v>0</v>
      </c>
      <c r="AJ193" s="463">
        <f t="shared" si="158"/>
        <v>0</v>
      </c>
      <c r="AK193" s="464">
        <f t="shared" si="159"/>
        <v>0</v>
      </c>
      <c r="AL193" s="458"/>
      <c r="AM193" s="458"/>
      <c r="AN193" s="463"/>
      <c r="AO193" s="464"/>
      <c r="AP193" s="465"/>
      <c r="AQ193" s="466"/>
      <c r="AR193" s="462"/>
      <c r="AS193" s="465"/>
      <c r="AT193" s="474"/>
      <c r="AU193" s="467"/>
      <c r="AV193" s="466"/>
      <c r="AW193" s="462"/>
      <c r="AX193" s="465"/>
      <c r="AY193" s="468"/>
      <c r="AZ193" s="447"/>
      <c r="BA193" s="448"/>
      <c r="BB193" s="466">
        <f t="shared" si="150"/>
        <v>0</v>
      </c>
      <c r="BC193" s="466">
        <f t="shared" si="151"/>
        <v>0</v>
      </c>
      <c r="BD193" s="463"/>
      <c r="BE193" s="464"/>
      <c r="BF193" s="466">
        <f>BE417</f>
        <v>4750598</v>
      </c>
      <c r="BG193" s="468">
        <f>BD417</f>
        <v>0</v>
      </c>
      <c r="BH193" s="937"/>
      <c r="BK193" s="369"/>
    </row>
    <row r="194" spans="1:63" x14ac:dyDescent="0.2">
      <c r="A194" s="19"/>
      <c r="C194" s="205" t="s">
        <v>1139</v>
      </c>
      <c r="D194" s="456"/>
      <c r="E194" s="457"/>
      <c r="F194" s="458"/>
      <c r="G194" s="458"/>
      <c r="H194" s="478"/>
      <c r="I194" s="478"/>
      <c r="J194" s="478"/>
      <c r="K194" s="457"/>
      <c r="L194" s="458"/>
      <c r="M194" s="458"/>
      <c r="N194" s="458"/>
      <c r="O194" s="458"/>
      <c r="P194" s="460"/>
      <c r="Q194" s="460"/>
      <c r="R194" s="460"/>
      <c r="S194" s="460"/>
      <c r="T194" s="460"/>
      <c r="U194" s="460"/>
      <c r="V194" s="460"/>
      <c r="W194" s="460"/>
      <c r="X194" s="460"/>
      <c r="Y194" s="460"/>
      <c r="Z194" s="460"/>
      <c r="AA194" s="460"/>
      <c r="AB194" s="460"/>
      <c r="AC194" s="460"/>
      <c r="AD194" s="458"/>
      <c r="AE194" s="458"/>
      <c r="AF194" s="458"/>
      <c r="AG194" s="458"/>
      <c r="AH194" s="461">
        <f t="shared" si="156"/>
        <v>0</v>
      </c>
      <c r="AI194" s="462">
        <f t="shared" si="157"/>
        <v>0</v>
      </c>
      <c r="AJ194" s="463">
        <f t="shared" si="158"/>
        <v>0</v>
      </c>
      <c r="AK194" s="464">
        <f t="shared" si="159"/>
        <v>0</v>
      </c>
      <c r="AL194" s="458"/>
      <c r="AM194" s="458"/>
      <c r="AN194" s="463"/>
      <c r="AO194" s="464"/>
      <c r="AP194" s="465"/>
      <c r="AQ194" s="466"/>
      <c r="AR194" s="462"/>
      <c r="AS194" s="465"/>
      <c r="AT194" s="474"/>
      <c r="AU194" s="467"/>
      <c r="AV194" s="466"/>
      <c r="AW194" s="462"/>
      <c r="AX194" s="465"/>
      <c r="AY194" s="468"/>
      <c r="AZ194" s="447"/>
      <c r="BA194" s="448"/>
      <c r="BB194" s="466">
        <f>ROUND(AJ194+AL194+AN194+AQ194+AV194+AZ194,0)</f>
        <v>0</v>
      </c>
      <c r="BC194" s="466">
        <f t="shared" si="151"/>
        <v>0</v>
      </c>
      <c r="BD194" s="463"/>
      <c r="BE194" s="464"/>
      <c r="BF194" s="466">
        <f>BB191</f>
        <v>15219540</v>
      </c>
      <c r="BG194" s="468"/>
      <c r="BH194" s="943"/>
    </row>
    <row r="195" spans="1:63" x14ac:dyDescent="0.2">
      <c r="A195" s="19"/>
      <c r="D195" s="449"/>
      <c r="E195" s="450"/>
      <c r="F195" s="440"/>
      <c r="G195" s="440"/>
      <c r="H195" s="479"/>
      <c r="I195" s="479"/>
      <c r="J195" s="479"/>
      <c r="K195" s="450"/>
      <c r="L195" s="440"/>
      <c r="M195" s="440"/>
      <c r="N195" s="440"/>
      <c r="O195" s="440"/>
      <c r="P195" s="442"/>
      <c r="Q195" s="442"/>
      <c r="R195" s="442"/>
      <c r="S195" s="442"/>
      <c r="T195" s="442"/>
      <c r="U195" s="442"/>
      <c r="V195" s="442"/>
      <c r="W195" s="442"/>
      <c r="X195" s="442"/>
      <c r="Y195" s="442"/>
      <c r="Z195" s="442"/>
      <c r="AA195" s="442"/>
      <c r="AB195" s="442"/>
      <c r="AC195" s="442"/>
      <c r="AD195" s="440"/>
      <c r="AE195" s="440"/>
      <c r="AF195" s="440"/>
      <c r="AG195" s="440"/>
      <c r="AH195" s="430">
        <f t="shared" si="156"/>
        <v>0</v>
      </c>
      <c r="AI195" s="369">
        <f t="shared" si="157"/>
        <v>0</v>
      </c>
      <c r="AJ195" s="431">
        <f t="shared" si="158"/>
        <v>0</v>
      </c>
      <c r="AK195" s="443">
        <f t="shared" si="159"/>
        <v>0</v>
      </c>
      <c r="AN195" s="431"/>
      <c r="AO195" s="443"/>
      <c r="AQ195" s="429"/>
      <c r="AU195" s="445"/>
      <c r="AV195" s="429"/>
      <c r="AY195" s="446"/>
      <c r="AZ195" s="447"/>
      <c r="BA195" s="448"/>
      <c r="BB195" s="367"/>
      <c r="BC195" s="367"/>
      <c r="BD195" s="431"/>
      <c r="BE195" s="443"/>
      <c r="BF195" s="429"/>
      <c r="BG195" s="446"/>
    </row>
    <row r="196" spans="1:63" x14ac:dyDescent="0.2">
      <c r="A196" s="19"/>
      <c r="B196" s="4" t="s">
        <v>1092</v>
      </c>
      <c r="D196" s="449"/>
      <c r="E196" s="450"/>
      <c r="F196" s="440"/>
      <c r="G196" s="440"/>
      <c r="H196" s="479"/>
      <c r="I196" s="479"/>
      <c r="J196" s="479"/>
      <c r="K196" s="450"/>
      <c r="L196" s="440"/>
      <c r="M196" s="440"/>
      <c r="N196" s="440"/>
      <c r="O196" s="440"/>
      <c r="P196" s="442"/>
      <c r="Q196" s="442"/>
      <c r="R196" s="442"/>
      <c r="S196" s="442"/>
      <c r="T196" s="442"/>
      <c r="U196" s="442"/>
      <c r="V196" s="442"/>
      <c r="W196" s="442"/>
      <c r="X196" s="442"/>
      <c r="Y196" s="442"/>
      <c r="Z196" s="442"/>
      <c r="AA196" s="442"/>
      <c r="AB196" s="442"/>
      <c r="AC196" s="442"/>
      <c r="AD196" s="440"/>
      <c r="AE196" s="440"/>
      <c r="AF196" s="440"/>
      <c r="AG196" s="440"/>
      <c r="AH196" s="430">
        <f t="shared" si="156"/>
        <v>0</v>
      </c>
      <c r="AI196" s="369">
        <f t="shared" si="157"/>
        <v>0</v>
      </c>
      <c r="AJ196" s="431">
        <f t="shared" si="158"/>
        <v>0</v>
      </c>
      <c r="AK196" s="443">
        <f t="shared" si="159"/>
        <v>0</v>
      </c>
      <c r="AN196" s="431"/>
      <c r="AO196" s="443"/>
      <c r="AQ196" s="429"/>
      <c r="AU196" s="445"/>
      <c r="AV196" s="429"/>
      <c r="AY196" s="446"/>
      <c r="AZ196" s="447"/>
      <c r="BA196" s="448"/>
      <c r="BB196" s="367"/>
      <c r="BC196" s="367"/>
      <c r="BD196" s="431"/>
      <c r="BE196" s="443"/>
      <c r="BF196" s="429" t="str">
        <f t="shared" si="90"/>
        <v xml:space="preserve"> </v>
      </c>
      <c r="BG196" s="446"/>
    </row>
    <row r="197" spans="1:63" ht="14.25" customHeight="1" x14ac:dyDescent="0.2">
      <c r="A197" s="19"/>
      <c r="B197" s="1060" t="s">
        <v>563</v>
      </c>
      <c r="C197" s="158" t="s">
        <v>1056</v>
      </c>
      <c r="D197" s="449"/>
      <c r="E197" s="450"/>
      <c r="F197" s="440"/>
      <c r="G197" s="440"/>
      <c r="H197" s="479"/>
      <c r="I197" s="479"/>
      <c r="J197" s="479"/>
      <c r="K197" s="450"/>
      <c r="L197" s="440"/>
      <c r="M197" s="440"/>
      <c r="N197" s="440"/>
      <c r="O197" s="440"/>
      <c r="P197" s="442"/>
      <c r="Q197" s="442"/>
      <c r="R197" s="442"/>
      <c r="S197" s="442"/>
      <c r="T197" s="442"/>
      <c r="U197" s="442"/>
      <c r="V197" s="442"/>
      <c r="W197" s="442"/>
      <c r="X197" s="442"/>
      <c r="Y197" s="442"/>
      <c r="Z197" s="442"/>
      <c r="AA197" s="442"/>
      <c r="AB197" s="442"/>
      <c r="AC197" s="442"/>
      <c r="AD197" s="440"/>
      <c r="AE197" s="440"/>
      <c r="AF197" s="440"/>
      <c r="AG197" s="440"/>
      <c r="AH197" s="430">
        <f t="shared" si="156"/>
        <v>0</v>
      </c>
      <c r="AI197" s="369">
        <f t="shared" si="157"/>
        <v>0</v>
      </c>
      <c r="AJ197" s="431">
        <f t="shared" si="158"/>
        <v>0</v>
      </c>
      <c r="AK197" s="443">
        <f t="shared" si="159"/>
        <v>0</v>
      </c>
      <c r="AN197" s="431"/>
      <c r="AO197" s="443"/>
      <c r="AQ197" s="429"/>
      <c r="AU197" s="445"/>
      <c r="AV197" s="429"/>
      <c r="AX197" s="444" t="str">
        <f>'L. Eliminations-Consolidations'!B289</f>
        <v>L.9</v>
      </c>
      <c r="AY197" s="446">
        <f>'L. Eliminations-Consolidations'!L290</f>
        <v>6420141</v>
      </c>
      <c r="AZ197" s="447"/>
      <c r="BA197" s="448"/>
      <c r="BB197" s="395">
        <f t="shared" ref="BB197:BB212" si="160">ROUND(AJ197+AL197+AN197+AQ197+AV197+AZ197,0)</f>
        <v>0</v>
      </c>
      <c r="BC197" s="395">
        <f t="shared" ref="BC197:BC212" si="161">ROUND(AK197+AM197+AO197+AT197+AY197+BA197,0)</f>
        <v>6420141</v>
      </c>
      <c r="BD197" s="431"/>
      <c r="BE197" s="443"/>
      <c r="BF197" s="429" t="str">
        <f t="shared" si="90"/>
        <v xml:space="preserve"> </v>
      </c>
      <c r="BG197" s="446">
        <f t="shared" ref="BG197:BG213" si="162">IF(BB197-BC197&gt;0," ",BC197-BB197)</f>
        <v>6420141</v>
      </c>
      <c r="BH197" s="937"/>
      <c r="BI197" s="938">
        <f>+BG197+BG201+BG203+BG204+BG206+BG207+BG208+BG209+BG212</f>
        <v>15219540</v>
      </c>
    </row>
    <row r="198" spans="1:63" ht="14.25" customHeight="1" x14ac:dyDescent="0.2">
      <c r="A198" s="19"/>
      <c r="B198" s="1060"/>
      <c r="C198" t="s">
        <v>107</v>
      </c>
      <c r="D198" s="449"/>
      <c r="E198" s="450"/>
      <c r="F198" s="440"/>
      <c r="G198" s="440"/>
      <c r="H198" s="479"/>
      <c r="I198" s="479"/>
      <c r="J198" s="479"/>
      <c r="K198" s="450"/>
      <c r="L198" s="440"/>
      <c r="M198" s="440"/>
      <c r="N198" s="440"/>
      <c r="O198" s="440"/>
      <c r="P198" s="442"/>
      <c r="Q198" s="442"/>
      <c r="R198" s="442"/>
      <c r="S198" s="442"/>
      <c r="T198" s="442"/>
      <c r="U198" s="442"/>
      <c r="V198" s="442"/>
      <c r="W198" s="442"/>
      <c r="X198" s="442"/>
      <c r="Y198" s="442"/>
      <c r="Z198" s="442"/>
      <c r="AA198" s="442"/>
      <c r="AB198" s="442"/>
      <c r="AC198" s="442"/>
      <c r="AD198" s="440"/>
      <c r="AE198" s="440"/>
      <c r="AF198" s="440"/>
      <c r="AG198" s="440"/>
      <c r="AH198" s="430">
        <f t="shared" ref="AH198:AH214" si="163">L198+N198+P198+R198+T198+V198+X198+Z198+AB198+AD198+AF198</f>
        <v>0</v>
      </c>
      <c r="AI198" s="369">
        <f t="shared" ref="AI198:AI214" si="164">M198+O198+Q198+S198+U198+W198+Y198+AA198+AC198+AE198+AG198</f>
        <v>0</v>
      </c>
      <c r="AJ198" s="431">
        <f t="shared" si="158"/>
        <v>0</v>
      </c>
      <c r="AK198" s="443">
        <f t="shared" si="159"/>
        <v>0</v>
      </c>
      <c r="AN198" s="431"/>
      <c r="AO198" s="443"/>
      <c r="AQ198" s="429"/>
      <c r="AU198" s="445"/>
      <c r="AV198" s="429"/>
      <c r="AX198" s="444" t="str">
        <f>'L. Eliminations-Consolidations'!B289</f>
        <v>L.9</v>
      </c>
      <c r="AY198" s="446">
        <f>'L. Eliminations-Consolidations'!L291</f>
        <v>0</v>
      </c>
      <c r="AZ198" s="447"/>
      <c r="BA198" s="448"/>
      <c r="BB198" s="395">
        <f t="shared" si="160"/>
        <v>0</v>
      </c>
      <c r="BC198" s="395">
        <f t="shared" si="161"/>
        <v>0</v>
      </c>
      <c r="BD198" s="431"/>
      <c r="BE198" s="443"/>
      <c r="BF198" s="429" t="str">
        <f t="shared" si="90"/>
        <v xml:space="preserve"> </v>
      </c>
      <c r="BG198" s="446">
        <f t="shared" si="162"/>
        <v>0</v>
      </c>
      <c r="BH198" s="937" t="b">
        <f>'J. Other Liability &amp; Expenses'!V144123=+BG197+BG201+BG203+BG204+BG206+BG207+BG208+BG209+BG212</f>
        <v>0</v>
      </c>
    </row>
    <row r="199" spans="1:63" ht="14.25" customHeight="1" x14ac:dyDescent="0.2">
      <c r="A199" s="19"/>
      <c r="B199" s="1060"/>
      <c r="C199" t="s">
        <v>996</v>
      </c>
      <c r="D199" s="449"/>
      <c r="E199" s="450"/>
      <c r="F199" s="440"/>
      <c r="G199" s="440"/>
      <c r="H199" s="479"/>
      <c r="I199" s="479"/>
      <c r="J199" s="479"/>
      <c r="K199" s="450"/>
      <c r="L199" s="440"/>
      <c r="M199" s="440"/>
      <c r="N199" s="440"/>
      <c r="O199" s="440"/>
      <c r="P199" s="442"/>
      <c r="Q199" s="442"/>
      <c r="R199" s="442"/>
      <c r="S199" s="442"/>
      <c r="T199" s="442"/>
      <c r="U199" s="442"/>
      <c r="V199" s="442"/>
      <c r="W199" s="442"/>
      <c r="X199" s="442"/>
      <c r="Y199" s="442"/>
      <c r="Z199" s="442"/>
      <c r="AA199" s="442"/>
      <c r="AB199" s="442"/>
      <c r="AC199" s="442"/>
      <c r="AD199" s="440"/>
      <c r="AE199" s="440"/>
      <c r="AF199" s="440"/>
      <c r="AG199" s="440"/>
      <c r="AH199" s="430">
        <f t="shared" si="163"/>
        <v>0</v>
      </c>
      <c r="AI199" s="369">
        <f t="shared" si="164"/>
        <v>0</v>
      </c>
      <c r="AJ199" s="431">
        <f t="shared" si="158"/>
        <v>0</v>
      </c>
      <c r="AK199" s="443">
        <f t="shared" si="159"/>
        <v>0</v>
      </c>
      <c r="AN199" s="431"/>
      <c r="AO199" s="443"/>
      <c r="AQ199" s="429"/>
      <c r="AU199" s="445"/>
      <c r="AV199" s="429"/>
      <c r="AX199" s="444" t="str">
        <f>'L. Eliminations-Consolidations'!B289</f>
        <v>L.9</v>
      </c>
      <c r="AY199" s="446">
        <f>'L. Eliminations-Consolidations'!L292</f>
        <v>0</v>
      </c>
      <c r="AZ199" s="447"/>
      <c r="BA199" s="448"/>
      <c r="BB199" s="395">
        <f t="shared" si="160"/>
        <v>0</v>
      </c>
      <c r="BC199" s="395">
        <f t="shared" si="161"/>
        <v>0</v>
      </c>
      <c r="BD199" s="431"/>
      <c r="BE199" s="443"/>
      <c r="BF199" s="429" t="str">
        <f t="shared" si="90"/>
        <v xml:space="preserve"> </v>
      </c>
      <c r="BG199" s="446">
        <f t="shared" si="162"/>
        <v>0</v>
      </c>
      <c r="BH199" s="937"/>
    </row>
    <row r="200" spans="1:63" ht="14.25" customHeight="1" x14ac:dyDescent="0.2">
      <c r="A200" s="19"/>
      <c r="B200" s="1060"/>
      <c r="C200" t="s">
        <v>997</v>
      </c>
      <c r="D200" s="449"/>
      <c r="E200" s="450"/>
      <c r="F200" s="440"/>
      <c r="G200" s="440"/>
      <c r="H200" s="479"/>
      <c r="I200" s="479"/>
      <c r="J200" s="479"/>
      <c r="K200" s="450"/>
      <c r="L200" s="440"/>
      <c r="M200" s="440"/>
      <c r="N200" s="440"/>
      <c r="O200" s="440"/>
      <c r="P200" s="442"/>
      <c r="Q200" s="442"/>
      <c r="R200" s="442"/>
      <c r="S200" s="442"/>
      <c r="T200" s="442"/>
      <c r="U200" s="442"/>
      <c r="V200" s="442"/>
      <c r="W200" s="442"/>
      <c r="X200" s="442"/>
      <c r="Y200" s="442"/>
      <c r="Z200" s="442"/>
      <c r="AA200" s="442"/>
      <c r="AB200" s="442"/>
      <c r="AC200" s="442"/>
      <c r="AD200" s="440"/>
      <c r="AE200" s="440"/>
      <c r="AF200" s="440"/>
      <c r="AG200" s="440"/>
      <c r="AH200" s="430">
        <f t="shared" si="163"/>
        <v>0</v>
      </c>
      <c r="AI200" s="369">
        <f t="shared" si="164"/>
        <v>0</v>
      </c>
      <c r="AJ200" s="431">
        <f t="shared" si="158"/>
        <v>0</v>
      </c>
      <c r="AK200" s="443">
        <f t="shared" si="159"/>
        <v>0</v>
      </c>
      <c r="AN200" s="431"/>
      <c r="AO200" s="443"/>
      <c r="AQ200" s="429"/>
      <c r="AU200" s="445"/>
      <c r="AV200" s="429"/>
      <c r="AX200" s="444" t="str">
        <f>'L. Eliminations-Consolidations'!B289</f>
        <v>L.9</v>
      </c>
      <c r="AY200" s="446">
        <f>'L. Eliminations-Consolidations'!L293</f>
        <v>0</v>
      </c>
      <c r="AZ200" s="447"/>
      <c r="BA200" s="448"/>
      <c r="BB200" s="395">
        <f t="shared" si="160"/>
        <v>0</v>
      </c>
      <c r="BC200" s="395">
        <f t="shared" si="161"/>
        <v>0</v>
      </c>
      <c r="BD200" s="431"/>
      <c r="BE200" s="443"/>
      <c r="BF200" s="429" t="str">
        <f t="shared" si="90"/>
        <v xml:space="preserve"> </v>
      </c>
      <c r="BG200" s="446">
        <f t="shared" si="162"/>
        <v>0</v>
      </c>
      <c r="BH200" s="937"/>
    </row>
    <row r="201" spans="1:63" ht="14.25" customHeight="1" x14ac:dyDescent="0.2">
      <c r="A201" s="19"/>
      <c r="B201" s="1060"/>
      <c r="C201" t="s">
        <v>998</v>
      </c>
      <c r="D201" s="449"/>
      <c r="E201" s="450"/>
      <c r="F201" s="440"/>
      <c r="G201" s="440"/>
      <c r="H201" s="479"/>
      <c r="I201" s="479"/>
      <c r="J201" s="479"/>
      <c r="K201" s="450"/>
      <c r="L201" s="440"/>
      <c r="M201" s="440"/>
      <c r="N201" s="440"/>
      <c r="O201" s="440"/>
      <c r="P201" s="442"/>
      <c r="Q201" s="442"/>
      <c r="R201" s="442"/>
      <c r="S201" s="442"/>
      <c r="T201" s="442"/>
      <c r="U201" s="442"/>
      <c r="V201" s="442"/>
      <c r="W201" s="442"/>
      <c r="X201" s="442"/>
      <c r="Y201" s="442"/>
      <c r="Z201" s="442"/>
      <c r="AA201" s="442"/>
      <c r="AB201" s="442"/>
      <c r="AC201" s="442"/>
      <c r="AD201" s="440"/>
      <c r="AE201" s="440"/>
      <c r="AF201" s="440"/>
      <c r="AG201" s="440"/>
      <c r="AH201" s="430">
        <f t="shared" si="163"/>
        <v>0</v>
      </c>
      <c r="AI201" s="369">
        <f t="shared" si="164"/>
        <v>0</v>
      </c>
      <c r="AJ201" s="431">
        <f t="shared" si="158"/>
        <v>0</v>
      </c>
      <c r="AK201" s="443">
        <f t="shared" si="159"/>
        <v>0</v>
      </c>
      <c r="AN201" s="431"/>
      <c r="AO201" s="443"/>
      <c r="AQ201" s="429"/>
      <c r="AU201" s="445"/>
      <c r="AV201" s="429"/>
      <c r="AX201" s="444" t="str">
        <f>'L. Eliminations-Consolidations'!B289</f>
        <v>L.9</v>
      </c>
      <c r="AY201" s="446">
        <f>'L. Eliminations-Consolidations'!L294</f>
        <v>1783</v>
      </c>
      <c r="AZ201" s="447"/>
      <c r="BA201" s="448"/>
      <c r="BB201" s="395">
        <f t="shared" si="160"/>
        <v>0</v>
      </c>
      <c r="BC201" s="395">
        <f t="shared" si="161"/>
        <v>1783</v>
      </c>
      <c r="BD201" s="431"/>
      <c r="BE201" s="443"/>
      <c r="BF201" s="429" t="str">
        <f t="shared" si="90"/>
        <v xml:space="preserve"> </v>
      </c>
      <c r="BG201" s="446">
        <f t="shared" si="162"/>
        <v>1783</v>
      </c>
      <c r="BH201" s="937"/>
    </row>
    <row r="202" spans="1:63" ht="14.25" customHeight="1" x14ac:dyDescent="0.2">
      <c r="A202" s="19"/>
      <c r="B202" s="1060"/>
      <c r="C202" t="s">
        <v>558</v>
      </c>
      <c r="D202" s="449"/>
      <c r="E202" s="450"/>
      <c r="F202" s="440"/>
      <c r="G202" s="440"/>
      <c r="H202" s="479"/>
      <c r="I202" s="479"/>
      <c r="J202" s="479"/>
      <c r="K202" s="450"/>
      <c r="L202" s="440"/>
      <c r="M202" s="440"/>
      <c r="N202" s="440"/>
      <c r="O202" s="440"/>
      <c r="P202" s="442"/>
      <c r="Q202" s="442"/>
      <c r="R202" s="442"/>
      <c r="S202" s="442"/>
      <c r="T202" s="442"/>
      <c r="U202" s="442"/>
      <c r="V202" s="442"/>
      <c r="W202" s="442"/>
      <c r="X202" s="442"/>
      <c r="Y202" s="442"/>
      <c r="Z202" s="442"/>
      <c r="AA202" s="442"/>
      <c r="AB202" s="442"/>
      <c r="AC202" s="442"/>
      <c r="AD202" s="440"/>
      <c r="AE202" s="440"/>
      <c r="AF202" s="440"/>
      <c r="AG202" s="440"/>
      <c r="AH202" s="430">
        <f t="shared" si="163"/>
        <v>0</v>
      </c>
      <c r="AI202" s="369">
        <f t="shared" si="164"/>
        <v>0</v>
      </c>
      <c r="AJ202" s="431">
        <f t="shared" si="158"/>
        <v>0</v>
      </c>
      <c r="AK202" s="443">
        <f t="shared" si="159"/>
        <v>0</v>
      </c>
      <c r="AN202" s="431"/>
      <c r="AO202" s="443"/>
      <c r="AQ202" s="429"/>
      <c r="AU202" s="445"/>
      <c r="AV202" s="429"/>
      <c r="AX202" s="444" t="str">
        <f>'L. Eliminations-Consolidations'!B289</f>
        <v>L.9</v>
      </c>
      <c r="AY202" s="446">
        <f>'L. Eliminations-Consolidations'!L295</f>
        <v>0</v>
      </c>
      <c r="AZ202" s="447"/>
      <c r="BA202" s="448"/>
      <c r="BB202" s="395">
        <f t="shared" si="160"/>
        <v>0</v>
      </c>
      <c r="BC202" s="395">
        <f t="shared" si="161"/>
        <v>0</v>
      </c>
      <c r="BD202" s="431"/>
      <c r="BE202" s="443"/>
      <c r="BF202" s="429" t="str">
        <f t="shared" si="90"/>
        <v xml:space="preserve"> </v>
      </c>
      <c r="BG202" s="446">
        <f t="shared" si="162"/>
        <v>0</v>
      </c>
      <c r="BH202" s="937"/>
    </row>
    <row r="203" spans="1:63" ht="14.25" customHeight="1" x14ac:dyDescent="0.2">
      <c r="A203" s="19"/>
      <c r="B203" s="1060"/>
      <c r="C203" t="s">
        <v>4181</v>
      </c>
      <c r="D203" s="449"/>
      <c r="E203" s="450"/>
      <c r="F203" s="440"/>
      <c r="G203" s="440"/>
      <c r="H203" s="479"/>
      <c r="I203" s="479"/>
      <c r="J203" s="479"/>
      <c r="K203" s="450"/>
      <c r="L203" s="440"/>
      <c r="M203" s="440"/>
      <c r="N203" s="440"/>
      <c r="O203" s="440"/>
      <c r="P203" s="442"/>
      <c r="Q203" s="442"/>
      <c r="R203" s="442"/>
      <c r="S203" s="442"/>
      <c r="T203" s="442"/>
      <c r="U203" s="442"/>
      <c r="V203" s="442"/>
      <c r="W203" s="442"/>
      <c r="X203" s="442"/>
      <c r="Y203" s="442"/>
      <c r="Z203" s="442"/>
      <c r="AA203" s="442"/>
      <c r="AB203" s="442"/>
      <c r="AC203" s="442"/>
      <c r="AD203" s="440"/>
      <c r="AE203" s="440"/>
      <c r="AF203" s="440"/>
      <c r="AG203" s="440"/>
      <c r="AH203" s="430"/>
      <c r="AJ203" s="431"/>
      <c r="AK203" s="443"/>
      <c r="AN203" s="431"/>
      <c r="AO203" s="443"/>
      <c r="AQ203" s="429"/>
      <c r="AU203" s="445"/>
      <c r="AV203" s="429"/>
      <c r="AX203" s="444" t="str">
        <f>'L. Eliminations-Consolidations'!B289</f>
        <v>L.9</v>
      </c>
      <c r="AY203" s="446">
        <f>'L. Eliminations-Consolidations'!L296</f>
        <v>46346</v>
      </c>
      <c r="AZ203" s="447"/>
      <c r="BA203" s="448"/>
      <c r="BB203" s="395">
        <f t="shared" si="160"/>
        <v>0</v>
      </c>
      <c r="BC203" s="395">
        <f t="shared" si="161"/>
        <v>46346</v>
      </c>
      <c r="BD203" s="431"/>
      <c r="BE203" s="443"/>
      <c r="BF203" s="429"/>
      <c r="BG203" s="446">
        <f t="shared" si="162"/>
        <v>46346</v>
      </c>
      <c r="BH203" s="937"/>
    </row>
    <row r="204" spans="1:63" ht="14.25" customHeight="1" x14ac:dyDescent="0.2">
      <c r="A204" s="19"/>
      <c r="B204" s="1060"/>
      <c r="C204" s="579" t="s">
        <v>4197</v>
      </c>
      <c r="D204" s="449"/>
      <c r="E204" s="450"/>
      <c r="F204" s="440"/>
      <c r="G204" s="440"/>
      <c r="H204" s="479"/>
      <c r="I204" s="479"/>
      <c r="J204" s="479"/>
      <c r="K204" s="450"/>
      <c r="L204" s="440"/>
      <c r="M204" s="440"/>
      <c r="N204" s="440"/>
      <c r="O204" s="440"/>
      <c r="P204" s="442"/>
      <c r="Q204" s="442"/>
      <c r="R204" s="442"/>
      <c r="S204" s="442"/>
      <c r="T204" s="442"/>
      <c r="U204" s="442"/>
      <c r="V204" s="442"/>
      <c r="W204" s="442"/>
      <c r="X204" s="442"/>
      <c r="Y204" s="442"/>
      <c r="Z204" s="442"/>
      <c r="AA204" s="442"/>
      <c r="AB204" s="442"/>
      <c r="AC204" s="442"/>
      <c r="AD204" s="440"/>
      <c r="AE204" s="440"/>
      <c r="AF204" s="440"/>
      <c r="AG204" s="440"/>
      <c r="AH204" s="430"/>
      <c r="AJ204" s="431"/>
      <c r="AK204" s="443"/>
      <c r="AN204" s="431"/>
      <c r="AO204" s="443"/>
      <c r="AQ204" s="429"/>
      <c r="AU204" s="445"/>
      <c r="AV204" s="429"/>
      <c r="AX204" s="444" t="str">
        <f>'L. Eliminations-Consolidations'!B289</f>
        <v>L.9</v>
      </c>
      <c r="AY204" s="446">
        <f>'L. Eliminations-Consolidations'!L297</f>
        <v>2268038</v>
      </c>
      <c r="AZ204" s="447"/>
      <c r="BA204" s="448"/>
      <c r="BB204" s="395">
        <f t="shared" ref="BB204" si="165">ROUND(AJ204+AL204+AN204+AQ204+AV204+AZ204,0)</f>
        <v>0</v>
      </c>
      <c r="BC204" s="395">
        <f t="shared" ref="BC204" si="166">ROUND(AK204+AM204+AO204+AT204+AY204+BA204,0)</f>
        <v>2268038</v>
      </c>
      <c r="BD204" s="431"/>
      <c r="BE204" s="443"/>
      <c r="BF204" s="429"/>
      <c r="BG204" s="446">
        <f t="shared" ref="BG204" si="167">IF(BB204-BC204&gt;0," ",BC204-BB204)</f>
        <v>2268038</v>
      </c>
      <c r="BH204" s="937"/>
    </row>
    <row r="205" spans="1:63" ht="14.25" customHeight="1" x14ac:dyDescent="0.2">
      <c r="A205" s="19"/>
      <c r="B205" s="1060"/>
      <c r="C205" t="s">
        <v>217</v>
      </c>
      <c r="D205" s="449"/>
      <c r="E205" s="450"/>
      <c r="F205" s="440"/>
      <c r="G205" s="440"/>
      <c r="H205" s="479"/>
      <c r="I205" s="479"/>
      <c r="J205" s="479"/>
      <c r="K205" s="450"/>
      <c r="L205" s="440"/>
      <c r="M205" s="440"/>
      <c r="N205" s="440"/>
      <c r="O205" s="440"/>
      <c r="P205" s="442"/>
      <c r="Q205" s="442"/>
      <c r="R205" s="442"/>
      <c r="S205" s="442"/>
      <c r="T205" s="442"/>
      <c r="U205" s="442"/>
      <c r="V205" s="442"/>
      <c r="W205" s="442"/>
      <c r="X205" s="442"/>
      <c r="Y205" s="442"/>
      <c r="Z205" s="442"/>
      <c r="AA205" s="442"/>
      <c r="AB205" s="442"/>
      <c r="AC205" s="442"/>
      <c r="AD205" s="440"/>
      <c r="AE205" s="440"/>
      <c r="AF205" s="440"/>
      <c r="AG205" s="440"/>
      <c r="AH205" s="430">
        <f t="shared" si="163"/>
        <v>0</v>
      </c>
      <c r="AI205" s="369">
        <f t="shared" si="164"/>
        <v>0</v>
      </c>
      <c r="AJ205" s="431">
        <f t="shared" si="158"/>
        <v>0</v>
      </c>
      <c r="AK205" s="443">
        <f t="shared" si="159"/>
        <v>0</v>
      </c>
      <c r="AN205" s="431"/>
      <c r="AO205" s="443"/>
      <c r="AQ205" s="429"/>
      <c r="AU205" s="445"/>
      <c r="AV205" s="429"/>
      <c r="AX205" s="444" t="str">
        <f>'L. Eliminations-Consolidations'!B289</f>
        <v>L.9</v>
      </c>
      <c r="AY205" s="455">
        <f>'L. Eliminations-Consolidations'!L298</f>
        <v>0</v>
      </c>
      <c r="AZ205" s="447"/>
      <c r="BA205" s="448"/>
      <c r="BB205" s="395">
        <f t="shared" si="160"/>
        <v>0</v>
      </c>
      <c r="BC205" s="395">
        <f t="shared" si="161"/>
        <v>0</v>
      </c>
      <c r="BD205" s="431"/>
      <c r="BE205" s="443"/>
      <c r="BF205" s="429" t="str">
        <f t="shared" si="90"/>
        <v xml:space="preserve"> </v>
      </c>
      <c r="BG205" s="446">
        <f t="shared" si="162"/>
        <v>0</v>
      </c>
      <c r="BH205" s="937"/>
    </row>
    <row r="206" spans="1:63" s="579" customFormat="1" ht="14.25" customHeight="1" x14ac:dyDescent="0.2">
      <c r="A206" s="950"/>
      <c r="B206" s="1060"/>
      <c r="C206" s="579" t="s">
        <v>218</v>
      </c>
      <c r="D206" s="951"/>
      <c r="E206" s="952"/>
      <c r="F206" s="953"/>
      <c r="G206" s="953"/>
      <c r="H206" s="954"/>
      <c r="I206" s="954"/>
      <c r="J206" s="954"/>
      <c r="K206" s="952"/>
      <c r="L206" s="953"/>
      <c r="M206" s="953"/>
      <c r="N206" s="953"/>
      <c r="O206" s="953"/>
      <c r="P206" s="954"/>
      <c r="Q206" s="954"/>
      <c r="R206" s="954"/>
      <c r="S206" s="954"/>
      <c r="T206" s="954"/>
      <c r="U206" s="954"/>
      <c r="V206" s="954"/>
      <c r="W206" s="954"/>
      <c r="X206" s="954"/>
      <c r="Y206" s="954"/>
      <c r="Z206" s="954"/>
      <c r="AA206" s="954"/>
      <c r="AB206" s="954"/>
      <c r="AC206" s="954"/>
      <c r="AD206" s="953"/>
      <c r="AE206" s="953"/>
      <c r="AF206" s="953"/>
      <c r="AG206" s="953"/>
      <c r="AH206" s="430">
        <f t="shared" si="163"/>
        <v>0</v>
      </c>
      <c r="AI206" s="369">
        <f t="shared" si="164"/>
        <v>0</v>
      </c>
      <c r="AJ206" s="956">
        <f t="shared" si="158"/>
        <v>0</v>
      </c>
      <c r="AK206" s="957">
        <f t="shared" si="159"/>
        <v>0</v>
      </c>
      <c r="AL206" s="955"/>
      <c r="AM206" s="955"/>
      <c r="AN206" s="956"/>
      <c r="AO206" s="957"/>
      <c r="AP206" s="444"/>
      <c r="AQ206" s="958"/>
      <c r="AR206" s="955"/>
      <c r="AS206" s="444"/>
      <c r="AT206" s="959"/>
      <c r="AU206" s="445"/>
      <c r="AV206" s="958"/>
      <c r="AW206" s="955"/>
      <c r="AX206" s="444" t="str">
        <f>'L. Eliminations-Consolidations'!B289</f>
        <v>L.9</v>
      </c>
      <c r="AY206" s="960">
        <f>'L. Eliminations-Consolidations'!L299</f>
        <v>561237</v>
      </c>
      <c r="AZ206" s="961"/>
      <c r="BA206" s="962"/>
      <c r="BB206" s="963">
        <f t="shared" si="160"/>
        <v>0</v>
      </c>
      <c r="BC206" s="963">
        <f t="shared" si="161"/>
        <v>561237</v>
      </c>
      <c r="BD206" s="956"/>
      <c r="BE206" s="957"/>
      <c r="BF206" s="958" t="str">
        <f t="shared" si="90"/>
        <v xml:space="preserve"> </v>
      </c>
      <c r="BG206" s="964">
        <f t="shared" si="162"/>
        <v>561237</v>
      </c>
      <c r="BH206" s="937"/>
      <c r="BI206" s="938"/>
      <c r="BJ206" s="965"/>
    </row>
    <row r="207" spans="1:63" ht="14.25" customHeight="1" x14ac:dyDescent="0.2">
      <c r="A207" s="19"/>
      <c r="B207" s="1060"/>
      <c r="C207" t="s">
        <v>263</v>
      </c>
      <c r="D207" s="449"/>
      <c r="E207" s="450"/>
      <c r="F207" s="440"/>
      <c r="G207" s="440"/>
      <c r="H207" s="479"/>
      <c r="I207" s="479"/>
      <c r="J207" s="479"/>
      <c r="K207" s="450"/>
      <c r="L207" s="440"/>
      <c r="M207" s="440"/>
      <c r="N207" s="440"/>
      <c r="O207" s="440"/>
      <c r="P207" s="442"/>
      <c r="Q207" s="442"/>
      <c r="R207" s="442"/>
      <c r="S207" s="442"/>
      <c r="T207" s="442"/>
      <c r="U207" s="442"/>
      <c r="V207" s="442"/>
      <c r="W207" s="442"/>
      <c r="X207" s="442"/>
      <c r="Y207" s="442"/>
      <c r="Z207" s="442"/>
      <c r="AA207" s="442"/>
      <c r="AB207" s="442"/>
      <c r="AC207" s="442"/>
      <c r="AD207" s="440"/>
      <c r="AE207" s="440"/>
      <c r="AF207" s="440"/>
      <c r="AG207" s="440"/>
      <c r="AH207" s="430">
        <f t="shared" si="163"/>
        <v>0</v>
      </c>
      <c r="AI207" s="369">
        <f t="shared" si="164"/>
        <v>0</v>
      </c>
      <c r="AJ207" s="431">
        <f t="shared" si="158"/>
        <v>0</v>
      </c>
      <c r="AK207" s="443">
        <f t="shared" si="159"/>
        <v>0</v>
      </c>
      <c r="AN207" s="431"/>
      <c r="AO207" s="443"/>
      <c r="AQ207" s="429"/>
      <c r="AU207" s="445"/>
      <c r="AV207" s="429"/>
      <c r="AX207" s="444" t="str">
        <f>'L. Eliminations-Consolidations'!B289</f>
        <v>L.9</v>
      </c>
      <c r="AY207" s="455">
        <f>'L. Eliminations-Consolidations'!L300</f>
        <v>17285</v>
      </c>
      <c r="AZ207" s="447"/>
      <c r="BA207" s="448"/>
      <c r="BB207" s="395">
        <f t="shared" si="160"/>
        <v>0</v>
      </c>
      <c r="BC207" s="395">
        <f t="shared" si="161"/>
        <v>17285</v>
      </c>
      <c r="BD207" s="431"/>
      <c r="BE207" s="443"/>
      <c r="BF207" s="429" t="str">
        <f t="shared" si="90"/>
        <v xml:space="preserve"> </v>
      </c>
      <c r="BG207" s="446">
        <f t="shared" si="162"/>
        <v>17285</v>
      </c>
      <c r="BH207" s="937"/>
    </row>
    <row r="208" spans="1:63" ht="14.25" customHeight="1" x14ac:dyDescent="0.2">
      <c r="A208" s="19"/>
      <c r="B208" s="1060"/>
      <c r="C208" t="s">
        <v>1040</v>
      </c>
      <c r="D208" s="449"/>
      <c r="E208" s="450"/>
      <c r="F208" s="440"/>
      <c r="G208" s="440"/>
      <c r="H208" s="479"/>
      <c r="I208" s="479"/>
      <c r="J208" s="479"/>
      <c r="K208" s="450"/>
      <c r="L208" s="440"/>
      <c r="M208" s="440"/>
      <c r="N208" s="440"/>
      <c r="O208" s="440"/>
      <c r="P208" s="442"/>
      <c r="Q208" s="442"/>
      <c r="R208" s="442"/>
      <c r="S208" s="442"/>
      <c r="T208" s="442"/>
      <c r="U208" s="442"/>
      <c r="V208" s="442"/>
      <c r="W208" s="442"/>
      <c r="X208" s="442"/>
      <c r="Y208" s="442"/>
      <c r="Z208" s="442"/>
      <c r="AA208" s="442"/>
      <c r="AB208" s="442"/>
      <c r="AC208" s="442"/>
      <c r="AD208" s="440"/>
      <c r="AE208" s="440"/>
      <c r="AF208" s="440"/>
      <c r="AG208" s="440"/>
      <c r="AH208" s="430">
        <f t="shared" si="163"/>
        <v>0</v>
      </c>
      <c r="AI208" s="369">
        <f t="shared" si="164"/>
        <v>0</v>
      </c>
      <c r="AJ208" s="431">
        <f t="shared" si="158"/>
        <v>0</v>
      </c>
      <c r="AK208" s="443">
        <f t="shared" si="159"/>
        <v>0</v>
      </c>
      <c r="AN208" s="431"/>
      <c r="AO208" s="443"/>
      <c r="AQ208" s="429"/>
      <c r="AU208" s="445"/>
      <c r="AV208" s="429"/>
      <c r="AX208" s="444" t="str">
        <f>'L. Eliminations-Consolidations'!B289</f>
        <v>L.9</v>
      </c>
      <c r="AY208" s="455">
        <f>'L. Eliminations-Consolidations'!L301</f>
        <v>4159606</v>
      </c>
      <c r="AZ208" s="447"/>
      <c r="BA208" s="448"/>
      <c r="BB208" s="395">
        <f>ROUND(AJ208+AL208+AN208+AQ208+AV208+AZ208,0)</f>
        <v>0</v>
      </c>
      <c r="BC208" s="395">
        <f>ROUND(AK208+AM208+AO208+AT208+AY208+BA208,0)</f>
        <v>4159606</v>
      </c>
      <c r="BD208" s="431"/>
      <c r="BE208" s="443"/>
      <c r="BF208" s="429"/>
      <c r="BG208" s="455">
        <f t="shared" si="162"/>
        <v>4159606</v>
      </c>
      <c r="BH208" s="937"/>
    </row>
    <row r="209" spans="1:61" ht="14.25" customHeight="1" x14ac:dyDescent="0.2">
      <c r="A209" s="19"/>
      <c r="B209" s="1060"/>
      <c r="C209" s="733" t="s">
        <v>4196</v>
      </c>
      <c r="D209" s="453"/>
      <c r="E209" s="454"/>
      <c r="F209" s="440"/>
      <c r="G209" s="440"/>
      <c r="H209" s="912"/>
      <c r="I209" s="912"/>
      <c r="J209" s="912"/>
      <c r="K209" s="454"/>
      <c r="L209" s="440"/>
      <c r="M209" s="440"/>
      <c r="N209" s="440"/>
      <c r="O209" s="440"/>
      <c r="P209" s="451"/>
      <c r="Q209" s="451"/>
      <c r="R209" s="451"/>
      <c r="S209" s="451"/>
      <c r="T209" s="451"/>
      <c r="U209" s="451"/>
      <c r="V209" s="451"/>
      <c r="W209" s="451"/>
      <c r="X209" s="451"/>
      <c r="Y209" s="451"/>
      <c r="Z209" s="451"/>
      <c r="AA209" s="451"/>
      <c r="AB209" s="451"/>
      <c r="AC209" s="451"/>
      <c r="AD209" s="440"/>
      <c r="AE209" s="440"/>
      <c r="AF209" s="440"/>
      <c r="AG209" s="440"/>
      <c r="AH209" s="430">
        <f t="shared" si="163"/>
        <v>0</v>
      </c>
      <c r="AI209" s="369">
        <f t="shared" si="164"/>
        <v>0</v>
      </c>
      <c r="AJ209" s="431">
        <f t="shared" si="158"/>
        <v>0</v>
      </c>
      <c r="AK209" s="443">
        <f t="shared" si="159"/>
        <v>0</v>
      </c>
      <c r="AN209" s="431"/>
      <c r="AO209" s="443"/>
      <c r="AQ209" s="367"/>
      <c r="AT209" s="489"/>
      <c r="AU209" s="445"/>
      <c r="AV209" s="367"/>
      <c r="AX209" s="444" t="str">
        <f>'L. Eliminations-Consolidations'!B289</f>
        <v>L.9</v>
      </c>
      <c r="AY209" s="455">
        <f>'L. Eliminations-Consolidations'!L302</f>
        <v>76023</v>
      </c>
      <c r="AZ209" s="447"/>
      <c r="BA209" s="448"/>
      <c r="BB209" s="395">
        <f t="shared" si="160"/>
        <v>0</v>
      </c>
      <c r="BC209" s="395">
        <f t="shared" si="161"/>
        <v>76023</v>
      </c>
      <c r="BD209" s="431"/>
      <c r="BE209" s="443"/>
      <c r="BF209" s="367" t="str">
        <f t="shared" si="90"/>
        <v xml:space="preserve"> </v>
      </c>
      <c r="BG209" s="455">
        <f>IF(BB209-BC209&gt;0," ",BC209-BB209)</f>
        <v>76023</v>
      </c>
      <c r="BH209" s="937"/>
    </row>
    <row r="210" spans="1:61" ht="13.5" customHeight="1" x14ac:dyDescent="0.2">
      <c r="A210" s="19"/>
      <c r="B210" s="1060"/>
      <c r="C210" s="733" t="s">
        <v>559</v>
      </c>
      <c r="D210" s="449"/>
      <c r="E210" s="450"/>
      <c r="F210" s="440"/>
      <c r="G210" s="440"/>
      <c r="H210" s="479"/>
      <c r="I210" s="479"/>
      <c r="J210" s="479"/>
      <c r="K210" s="450"/>
      <c r="L210" s="440"/>
      <c r="M210" s="440"/>
      <c r="N210" s="440"/>
      <c r="O210" s="440"/>
      <c r="P210" s="442"/>
      <c r="Q210" s="442"/>
      <c r="R210" s="442"/>
      <c r="S210" s="442"/>
      <c r="T210" s="442"/>
      <c r="U210" s="442"/>
      <c r="V210" s="442"/>
      <c r="W210" s="442"/>
      <c r="X210" s="442"/>
      <c r="Y210" s="442"/>
      <c r="Z210" s="442"/>
      <c r="AA210" s="442"/>
      <c r="AB210" s="442"/>
      <c r="AC210" s="442"/>
      <c r="AD210" s="440"/>
      <c r="AE210" s="440"/>
      <c r="AF210" s="440"/>
      <c r="AG210" s="440"/>
      <c r="AH210" s="430">
        <f t="shared" si="163"/>
        <v>0</v>
      </c>
      <c r="AI210" s="369">
        <f t="shared" si="164"/>
        <v>0</v>
      </c>
      <c r="AJ210" s="431">
        <f t="shared" si="158"/>
        <v>0</v>
      </c>
      <c r="AK210" s="443">
        <f t="shared" si="159"/>
        <v>0</v>
      </c>
      <c r="AN210" s="431"/>
      <c r="AO210" s="443"/>
      <c r="AQ210" s="429"/>
      <c r="AU210" s="445"/>
      <c r="AV210" s="429"/>
      <c r="AX210" s="444" t="str">
        <f>'L. Eliminations-Consolidations'!B289</f>
        <v>L.9</v>
      </c>
      <c r="AY210" s="446">
        <f>'L. Eliminations-Consolidations'!L303</f>
        <v>0</v>
      </c>
      <c r="AZ210" s="447"/>
      <c r="BA210" s="448"/>
      <c r="BB210" s="395">
        <f t="shared" si="160"/>
        <v>0</v>
      </c>
      <c r="BC210" s="395">
        <f t="shared" si="161"/>
        <v>0</v>
      </c>
      <c r="BD210" s="431"/>
      <c r="BE210" s="443"/>
      <c r="BF210" s="429" t="str">
        <f t="shared" si="90"/>
        <v xml:space="preserve"> </v>
      </c>
      <c r="BG210" s="446">
        <f t="shared" si="162"/>
        <v>0</v>
      </c>
      <c r="BH210" s="937"/>
    </row>
    <row r="211" spans="1:61" ht="13.5" customHeight="1" x14ac:dyDescent="0.2">
      <c r="A211" s="19"/>
      <c r="B211" s="1060"/>
      <c r="C211" s="733" t="s">
        <v>560</v>
      </c>
      <c r="D211" s="449"/>
      <c r="E211" s="450"/>
      <c r="F211" s="440"/>
      <c r="G211" s="440"/>
      <c r="H211" s="479"/>
      <c r="I211" s="479"/>
      <c r="J211" s="479"/>
      <c r="K211" s="450"/>
      <c r="L211" s="440"/>
      <c r="M211" s="440"/>
      <c r="N211" s="440"/>
      <c r="O211" s="440"/>
      <c r="P211" s="442"/>
      <c r="Q211" s="442"/>
      <c r="R211" s="442"/>
      <c r="S211" s="442"/>
      <c r="T211" s="442"/>
      <c r="U211" s="442"/>
      <c r="V211" s="442"/>
      <c r="W211" s="442"/>
      <c r="X211" s="442"/>
      <c r="Y211" s="442"/>
      <c r="Z211" s="442"/>
      <c r="AA211" s="442"/>
      <c r="AB211" s="442"/>
      <c r="AC211" s="442"/>
      <c r="AD211" s="440"/>
      <c r="AE211" s="440"/>
      <c r="AF211" s="440"/>
      <c r="AG211" s="440"/>
      <c r="AH211" s="430">
        <f t="shared" si="163"/>
        <v>0</v>
      </c>
      <c r="AI211" s="369">
        <f t="shared" si="164"/>
        <v>0</v>
      </c>
      <c r="AJ211" s="431">
        <f t="shared" si="158"/>
        <v>0</v>
      </c>
      <c r="AK211" s="443">
        <f t="shared" si="159"/>
        <v>0</v>
      </c>
      <c r="AN211" s="431"/>
      <c r="AO211" s="443"/>
      <c r="AQ211" s="429"/>
      <c r="AU211" s="445"/>
      <c r="AV211" s="429"/>
      <c r="AX211" s="444" t="str">
        <f>'L. Eliminations-Consolidations'!B289</f>
        <v>L.9</v>
      </c>
      <c r="AY211" s="446">
        <f>'L. Eliminations-Consolidations'!L304</f>
        <v>0</v>
      </c>
      <c r="AZ211" s="447"/>
      <c r="BA211" s="448"/>
      <c r="BB211" s="395">
        <f t="shared" si="160"/>
        <v>0</v>
      </c>
      <c r="BC211" s="395">
        <f t="shared" si="161"/>
        <v>0</v>
      </c>
      <c r="BD211" s="431"/>
      <c r="BE211" s="443"/>
      <c r="BF211" s="429" t="str">
        <f t="shared" si="90"/>
        <v xml:space="preserve"> </v>
      </c>
      <c r="BG211" s="446">
        <f t="shared" si="162"/>
        <v>0</v>
      </c>
      <c r="BH211" s="937"/>
    </row>
    <row r="212" spans="1:61" x14ac:dyDescent="0.2">
      <c r="A212" s="19"/>
      <c r="B212" s="1060"/>
      <c r="C212" t="s">
        <v>952</v>
      </c>
      <c r="D212" s="453"/>
      <c r="E212" s="454"/>
      <c r="F212" s="440"/>
      <c r="G212" s="440"/>
      <c r="H212" s="479"/>
      <c r="I212" s="479"/>
      <c r="J212" s="479"/>
      <c r="K212" s="450"/>
      <c r="L212" s="440"/>
      <c r="M212" s="440"/>
      <c r="N212" s="440"/>
      <c r="O212" s="440"/>
      <c r="P212" s="442"/>
      <c r="Q212" s="442"/>
      <c r="R212" s="442"/>
      <c r="S212" s="442"/>
      <c r="T212" s="442"/>
      <c r="U212" s="442"/>
      <c r="V212" s="442"/>
      <c r="W212" s="442"/>
      <c r="X212" s="442"/>
      <c r="Y212" s="442"/>
      <c r="Z212" s="442"/>
      <c r="AA212" s="442"/>
      <c r="AB212" s="442"/>
      <c r="AC212" s="442"/>
      <c r="AD212" s="440"/>
      <c r="AE212" s="440"/>
      <c r="AF212" s="440"/>
      <c r="AG212" s="440"/>
      <c r="AH212" s="430">
        <f t="shared" si="163"/>
        <v>0</v>
      </c>
      <c r="AI212" s="369">
        <f t="shared" si="164"/>
        <v>0</v>
      </c>
      <c r="AJ212" s="431">
        <f t="shared" si="158"/>
        <v>0</v>
      </c>
      <c r="AK212" s="443">
        <f t="shared" si="159"/>
        <v>0</v>
      </c>
      <c r="AN212" s="431"/>
      <c r="AO212" s="443"/>
      <c r="AQ212" s="429"/>
      <c r="AU212" s="445"/>
      <c r="AV212" s="429"/>
      <c r="AX212" s="444" t="str">
        <f>'L. Eliminations-Consolidations'!B289</f>
        <v>L.9</v>
      </c>
      <c r="AY212" s="446">
        <f>'L. Eliminations-Consolidations'!L305</f>
        <v>1669081</v>
      </c>
      <c r="AZ212" s="447"/>
      <c r="BA212" s="448"/>
      <c r="BB212" s="395">
        <f t="shared" si="160"/>
        <v>0</v>
      </c>
      <c r="BC212" s="395">
        <f t="shared" si="161"/>
        <v>1669081</v>
      </c>
      <c r="BD212" s="431"/>
      <c r="BE212" s="443"/>
      <c r="BF212" s="429" t="str">
        <f t="shared" si="90"/>
        <v xml:space="preserve"> </v>
      </c>
      <c r="BG212" s="446">
        <f>IF(BB212-BC212&gt;0," ",BC212-BB212)</f>
        <v>1669081</v>
      </c>
      <c r="BH212" s="937"/>
    </row>
    <row r="213" spans="1:61" x14ac:dyDescent="0.2">
      <c r="A213" s="225"/>
      <c r="D213" s="449"/>
      <c r="E213" s="450"/>
      <c r="F213" s="440"/>
      <c r="G213" s="440"/>
      <c r="H213" s="479"/>
      <c r="I213" s="479"/>
      <c r="J213" s="479"/>
      <c r="K213" s="450"/>
      <c r="L213" s="440"/>
      <c r="M213" s="440"/>
      <c r="N213" s="440"/>
      <c r="O213" s="440"/>
      <c r="P213" s="442"/>
      <c r="Q213" s="442"/>
      <c r="R213" s="442"/>
      <c r="S213" s="442"/>
      <c r="T213" s="442"/>
      <c r="U213" s="442"/>
      <c r="V213" s="442"/>
      <c r="W213" s="442"/>
      <c r="X213" s="442"/>
      <c r="Y213" s="442"/>
      <c r="Z213" s="442"/>
      <c r="AA213" s="442"/>
      <c r="AB213" s="442"/>
      <c r="AC213" s="442"/>
      <c r="AD213" s="440"/>
      <c r="AE213" s="440"/>
      <c r="AF213" s="440"/>
      <c r="AG213" s="440"/>
      <c r="AH213" s="430">
        <f t="shared" si="163"/>
        <v>0</v>
      </c>
      <c r="AI213" s="369">
        <f t="shared" si="164"/>
        <v>0</v>
      </c>
      <c r="AJ213" s="431">
        <f t="shared" si="158"/>
        <v>0</v>
      </c>
      <c r="AK213" s="443">
        <f t="shared" si="159"/>
        <v>0</v>
      </c>
      <c r="AN213" s="431"/>
      <c r="AO213" s="443"/>
      <c r="AQ213" s="429"/>
      <c r="AU213" s="445"/>
      <c r="AV213" s="429"/>
      <c r="AY213" s="446"/>
      <c r="AZ213" s="447"/>
      <c r="BA213" s="448"/>
      <c r="BB213" s="367"/>
      <c r="BC213" s="367"/>
      <c r="BD213" s="431"/>
      <c r="BE213" s="443"/>
      <c r="BF213" s="429" t="str">
        <f t="shared" si="90"/>
        <v xml:space="preserve"> </v>
      </c>
      <c r="BG213" s="446">
        <f t="shared" si="162"/>
        <v>0</v>
      </c>
    </row>
    <row r="214" spans="1:61" ht="18" customHeight="1" x14ac:dyDescent="0.2">
      <c r="A214" s="221" t="s">
        <v>898</v>
      </c>
      <c r="B214" s="17"/>
      <c r="C214" s="17"/>
      <c r="D214" s="449"/>
      <c r="E214" s="450"/>
      <c r="F214" s="440"/>
      <c r="G214" s="440"/>
      <c r="H214" s="440"/>
      <c r="I214" s="440"/>
      <c r="J214" s="440"/>
      <c r="K214" s="441"/>
      <c r="L214" s="440"/>
      <c r="M214" s="440"/>
      <c r="N214" s="440"/>
      <c r="O214" s="440"/>
      <c r="P214" s="442"/>
      <c r="Q214" s="442"/>
      <c r="R214" s="442"/>
      <c r="S214" s="442"/>
      <c r="T214" s="442"/>
      <c r="U214" s="442"/>
      <c r="V214" s="442"/>
      <c r="W214" s="442"/>
      <c r="X214" s="442"/>
      <c r="Y214" s="442"/>
      <c r="Z214" s="442"/>
      <c r="AA214" s="442"/>
      <c r="AB214" s="442"/>
      <c r="AC214" s="442"/>
      <c r="AD214" s="440"/>
      <c r="AE214" s="440"/>
      <c r="AF214" s="440"/>
      <c r="AG214" s="440"/>
      <c r="AH214" s="430">
        <f t="shared" si="163"/>
        <v>0</v>
      </c>
      <c r="AI214" s="369">
        <f t="shared" si="164"/>
        <v>0</v>
      </c>
      <c r="AJ214" s="431">
        <f t="shared" si="158"/>
        <v>0</v>
      </c>
      <c r="AK214" s="443">
        <f t="shared" si="159"/>
        <v>0</v>
      </c>
      <c r="AN214" s="431"/>
      <c r="AO214" s="443"/>
      <c r="AQ214" s="429"/>
      <c r="AT214" s="429"/>
      <c r="AU214" s="445"/>
      <c r="AV214" s="429"/>
      <c r="AY214" s="446"/>
      <c r="AZ214" s="447"/>
      <c r="BA214" s="448"/>
      <c r="BB214" s="367"/>
      <c r="BC214" s="367"/>
      <c r="BD214" s="1056" t="s">
        <v>1137</v>
      </c>
      <c r="BE214" s="1057"/>
      <c r="BF214" s="481">
        <f>SUM(BF7:BF213)</f>
        <v>71428862</v>
      </c>
      <c r="BG214" s="482">
        <f>SUM(BG7:BG213)</f>
        <v>71428862</v>
      </c>
      <c r="BH214" s="944"/>
    </row>
    <row r="215" spans="1:61" ht="4.5" customHeight="1" x14ac:dyDescent="0.2">
      <c r="A215" s="223"/>
      <c r="D215" s="453"/>
      <c r="E215" s="454"/>
      <c r="F215" s="440"/>
      <c r="G215" s="440"/>
      <c r="H215" s="440"/>
      <c r="I215" s="440"/>
      <c r="J215" s="440"/>
      <c r="K215" s="441"/>
      <c r="L215" s="440"/>
      <c r="M215" s="440"/>
      <c r="N215" s="440"/>
      <c r="O215" s="440"/>
      <c r="P215" s="451"/>
      <c r="Q215" s="451"/>
      <c r="R215" s="451"/>
      <c r="S215" s="451"/>
      <c r="T215" s="451"/>
      <c r="U215" s="451"/>
      <c r="V215" s="451"/>
      <c r="W215" s="451"/>
      <c r="X215" s="451"/>
      <c r="Y215" s="451"/>
      <c r="Z215" s="451"/>
      <c r="AA215" s="451"/>
      <c r="AB215" s="451"/>
      <c r="AC215" s="451"/>
      <c r="AD215" s="440"/>
      <c r="AE215" s="440"/>
      <c r="AF215" s="440"/>
      <c r="AG215" s="440"/>
      <c r="AH215" s="430"/>
      <c r="AJ215" s="431"/>
      <c r="AK215" s="443"/>
      <c r="AN215" s="431"/>
      <c r="AO215" s="443"/>
      <c r="AQ215" s="367"/>
      <c r="AT215" s="367"/>
      <c r="AU215" s="445"/>
      <c r="AV215" s="367"/>
      <c r="AY215" s="455"/>
      <c r="AZ215" s="295"/>
      <c r="BA215" s="447"/>
      <c r="BB215" s="483"/>
      <c r="BC215" s="455"/>
      <c r="BD215" s="431"/>
      <c r="BE215" s="484"/>
      <c r="BF215" s="367"/>
      <c r="BG215" s="367"/>
      <c r="BH215" s="944"/>
      <c r="BI215" s="939"/>
    </row>
    <row r="216" spans="1:61" x14ac:dyDescent="0.2">
      <c r="A216" s="19"/>
      <c r="B216" s="6"/>
      <c r="C216" t="s">
        <v>1012</v>
      </c>
      <c r="D216" s="449"/>
      <c r="E216" s="975">
        <f>55462297-329403</f>
        <v>55132894</v>
      </c>
      <c r="F216" s="440"/>
      <c r="G216" s="440"/>
      <c r="H216" s="440"/>
      <c r="I216" s="440"/>
      <c r="J216" s="440"/>
      <c r="K216" s="441"/>
      <c r="L216" s="440"/>
      <c r="M216" s="440"/>
      <c r="N216" s="440"/>
      <c r="O216" s="440"/>
      <c r="P216" s="442"/>
      <c r="Q216" s="442">
        <v>20861</v>
      </c>
      <c r="R216" s="442"/>
      <c r="S216" s="442"/>
      <c r="T216" s="442"/>
      <c r="U216" s="442"/>
      <c r="V216" s="442"/>
      <c r="W216" s="442"/>
      <c r="X216" s="442"/>
      <c r="Y216" s="442"/>
      <c r="Z216" s="442"/>
      <c r="AA216" s="442"/>
      <c r="AB216" s="442"/>
      <c r="AC216" s="442"/>
      <c r="AD216" s="440"/>
      <c r="AE216" s="440"/>
      <c r="AF216" s="440"/>
      <c r="AG216" s="440"/>
      <c r="AH216" s="430">
        <f t="shared" ref="AH216:AH229" si="168">L216+N216+P216+R216+T216+V216+X216+Z216+AB216+AD216+AF216</f>
        <v>0</v>
      </c>
      <c r="AI216" s="369">
        <f t="shared" ref="AI216:AI229" si="169">M216+O216+Q216+S216+U216+W216+Y216+AA216+AC216+AE216+AG216</f>
        <v>20861</v>
      </c>
      <c r="AJ216" s="431">
        <f t="shared" ref="AJ216:AJ240" si="170">D216+F216+H216+J216+AH216</f>
        <v>0</v>
      </c>
      <c r="AK216" s="443">
        <f t="shared" ref="AK216:AK240" si="171">E216+G216+I216+K216+AI216</f>
        <v>55153755</v>
      </c>
      <c r="AN216" s="431"/>
      <c r="AO216" s="443"/>
      <c r="AP216" s="444" t="str">
        <f>'B.  Property Taxes'!A53</f>
        <v>B.1</v>
      </c>
      <c r="AQ216" s="367">
        <f>'B.  Property Taxes'!J53</f>
        <v>2263253</v>
      </c>
      <c r="AS216" s="444" t="str">
        <f>'B.  Property Taxes'!A57</f>
        <v>B.2</v>
      </c>
      <c r="AT216" s="367">
        <f>'B.  Property Taxes'!L59</f>
        <v>2371579</v>
      </c>
      <c r="AU216" s="445"/>
      <c r="AV216" s="429"/>
      <c r="AY216" s="446"/>
      <c r="AZ216" s="447"/>
      <c r="BA216" s="448"/>
      <c r="BB216" s="395">
        <f t="shared" ref="BB216:BB229" si="172">ROUND(AJ216+AL216+AN216+AQ216+AV216+AZ216,0)</f>
        <v>2263253</v>
      </c>
      <c r="BC216" s="395">
        <f t="shared" ref="BC216:BC229" si="173">ROUND(AK216+AM216+AO216+AT216+AY216+BA216,0)</f>
        <v>57525334</v>
      </c>
      <c r="BD216" s="485" t="str">
        <f>IF(BB216-BC216&lt;=0," ",BB216-BC216)</f>
        <v xml:space="preserve"> </v>
      </c>
      <c r="BE216" s="446">
        <f>IF(BB216-BC216&gt;0," ",BC216-BB216)</f>
        <v>55262081</v>
      </c>
      <c r="BF216" s="429"/>
      <c r="BG216" s="446"/>
      <c r="BH216" s="937"/>
    </row>
    <row r="217" spans="1:61" x14ac:dyDescent="0.2">
      <c r="A217" s="19"/>
      <c r="B217" s="6"/>
      <c r="C217" t="s">
        <v>221</v>
      </c>
      <c r="D217" s="449"/>
      <c r="E217" s="441">
        <v>12849824</v>
      </c>
      <c r="F217" s="440"/>
      <c r="G217" s="440"/>
      <c r="H217" s="440"/>
      <c r="I217" s="440"/>
      <c r="J217" s="440"/>
      <c r="K217" s="441"/>
      <c r="L217" s="440"/>
      <c r="M217" s="440"/>
      <c r="N217" s="440"/>
      <c r="O217" s="440"/>
      <c r="P217" s="442"/>
      <c r="Q217" s="442"/>
      <c r="R217" s="442"/>
      <c r="S217" s="442"/>
      <c r="T217" s="442"/>
      <c r="U217" s="442"/>
      <c r="V217" s="442"/>
      <c r="W217" s="442"/>
      <c r="X217" s="442"/>
      <c r="Y217" s="442"/>
      <c r="Z217" s="442"/>
      <c r="AA217" s="442">
        <v>376400</v>
      </c>
      <c r="AB217" s="442"/>
      <c r="AC217" s="442"/>
      <c r="AD217" s="440"/>
      <c r="AE217" s="440"/>
      <c r="AF217" s="440"/>
      <c r="AG217" s="440"/>
      <c r="AH217" s="430">
        <f t="shared" si="168"/>
        <v>0</v>
      </c>
      <c r="AI217" s="369">
        <f t="shared" si="169"/>
        <v>376400</v>
      </c>
      <c r="AJ217" s="431">
        <f t="shared" si="170"/>
        <v>0</v>
      </c>
      <c r="AK217" s="443">
        <f t="shared" si="171"/>
        <v>13226224</v>
      </c>
      <c r="AN217" s="431"/>
      <c r="AO217" s="443"/>
      <c r="AQ217" s="429"/>
      <c r="AT217" s="429"/>
      <c r="AU217" s="445"/>
      <c r="AV217" s="429"/>
      <c r="AY217" s="446"/>
      <c r="AZ217" s="447"/>
      <c r="BA217" s="448"/>
      <c r="BB217" s="395">
        <f t="shared" si="172"/>
        <v>0</v>
      </c>
      <c r="BC217" s="395">
        <f t="shared" si="173"/>
        <v>13226224</v>
      </c>
      <c r="BD217" s="485" t="str">
        <f>IF(BB217-BC217&lt;=0," ",BB217-BC217)</f>
        <v xml:space="preserve"> </v>
      </c>
      <c r="BE217" s="446">
        <f>IF(BB217-BC217&gt;0," ",BC217-BB217)</f>
        <v>13226224</v>
      </c>
      <c r="BF217" s="429"/>
      <c r="BG217" s="446"/>
      <c r="BH217" s="937"/>
    </row>
    <row r="218" spans="1:61" x14ac:dyDescent="0.2">
      <c r="A218" s="19"/>
      <c r="B218" s="6"/>
      <c r="C218" t="s">
        <v>1013</v>
      </c>
      <c r="D218" s="449"/>
      <c r="E218" s="441">
        <v>230360</v>
      </c>
      <c r="F218" s="440"/>
      <c r="G218" s="440"/>
      <c r="H218" s="440"/>
      <c r="I218" s="440"/>
      <c r="J218" s="440"/>
      <c r="K218" s="441"/>
      <c r="L218" s="440"/>
      <c r="M218" s="440"/>
      <c r="N218" s="440"/>
      <c r="O218" s="440"/>
      <c r="P218" s="442"/>
      <c r="Q218" s="442"/>
      <c r="R218" s="442"/>
      <c r="S218" s="442"/>
      <c r="T218" s="442"/>
      <c r="U218" s="442"/>
      <c r="V218" s="442"/>
      <c r="W218" s="442"/>
      <c r="X218" s="442"/>
      <c r="Y218" s="442"/>
      <c r="Z218" s="442"/>
      <c r="AA218" s="442"/>
      <c r="AB218" s="442"/>
      <c r="AC218" s="442"/>
      <c r="AD218" s="440"/>
      <c r="AE218" s="440"/>
      <c r="AF218" s="440"/>
      <c r="AG218" s="440"/>
      <c r="AH218" s="430">
        <f t="shared" si="168"/>
        <v>0</v>
      </c>
      <c r="AI218" s="369">
        <f t="shared" si="169"/>
        <v>0</v>
      </c>
      <c r="AJ218" s="431">
        <f t="shared" si="170"/>
        <v>0</v>
      </c>
      <c r="AK218" s="443">
        <f t="shared" si="171"/>
        <v>230360</v>
      </c>
      <c r="AN218" s="431">
        <f>'A. Revenue by function'!L101</f>
        <v>0</v>
      </c>
      <c r="AO218" s="443"/>
      <c r="AP218" s="444" t="str">
        <f>'C. Other Revenues'!B207</f>
        <v>C.1</v>
      </c>
      <c r="AQ218" s="429">
        <f>'C. Other Revenues'!K210</f>
        <v>0</v>
      </c>
      <c r="AS218" s="444" t="str">
        <f>'C. Other Revenues'!B207</f>
        <v>C.1</v>
      </c>
      <c r="AT218" s="429">
        <f>'C. Other Revenues'!M210</f>
        <v>0</v>
      </c>
      <c r="AU218" s="445"/>
      <c r="AV218" s="429"/>
      <c r="AY218" s="446"/>
      <c r="AZ218" s="447"/>
      <c r="BA218" s="448"/>
      <c r="BB218" s="395">
        <f t="shared" si="172"/>
        <v>0</v>
      </c>
      <c r="BC218" s="395">
        <f t="shared" si="173"/>
        <v>230360</v>
      </c>
      <c r="BD218" s="485" t="str">
        <f t="shared" ref="BD218:BD280" si="174">IF(BB218-BC218&lt;=0," ",BB218-BC218)</f>
        <v xml:space="preserve"> </v>
      </c>
      <c r="BE218" s="455">
        <f t="shared" ref="BE218:BE277" si="175">IF(BB218-BC218&gt;0," ",BC218-BB218)</f>
        <v>230360</v>
      </c>
      <c r="BF218" s="429"/>
      <c r="BG218" s="446"/>
      <c r="BH218" s="937"/>
    </row>
    <row r="219" spans="1:61" x14ac:dyDescent="0.2">
      <c r="A219" s="19"/>
      <c r="B219" s="6"/>
      <c r="C219" t="s">
        <v>222</v>
      </c>
      <c r="D219" s="449"/>
      <c r="E219" s="441">
        <v>145522</v>
      </c>
      <c r="F219" s="440"/>
      <c r="G219" s="440">
        <v>2260000</v>
      </c>
      <c r="H219" s="440"/>
      <c r="I219" s="440"/>
      <c r="J219" s="440"/>
      <c r="K219" s="441"/>
      <c r="L219" s="440"/>
      <c r="M219" s="440"/>
      <c r="N219" s="440"/>
      <c r="O219" s="440"/>
      <c r="P219" s="442"/>
      <c r="Q219" s="442"/>
      <c r="R219" s="442"/>
      <c r="S219" s="442"/>
      <c r="T219" s="442"/>
      <c r="U219" s="442"/>
      <c r="V219" s="442"/>
      <c r="W219" s="442"/>
      <c r="X219" s="442"/>
      <c r="Y219" s="442"/>
      <c r="Z219" s="442"/>
      <c r="AA219" s="442"/>
      <c r="AB219" s="442"/>
      <c r="AC219" s="442"/>
      <c r="AD219" s="440"/>
      <c r="AE219" s="440"/>
      <c r="AF219" s="440"/>
      <c r="AG219" s="440"/>
      <c r="AH219" s="430">
        <f t="shared" si="168"/>
        <v>0</v>
      </c>
      <c r="AI219" s="369">
        <f t="shared" si="169"/>
        <v>0</v>
      </c>
      <c r="AJ219" s="431">
        <f t="shared" si="170"/>
        <v>0</v>
      </c>
      <c r="AK219" s="443">
        <f t="shared" si="171"/>
        <v>2405522</v>
      </c>
      <c r="AN219" s="431">
        <f>'A. Revenue by function'!L102</f>
        <v>0</v>
      </c>
      <c r="AO219" s="443"/>
      <c r="AP219" s="444" t="str">
        <f>'C. Other Revenues'!B207</f>
        <v>C.1</v>
      </c>
      <c r="AQ219" s="429">
        <f>'C. Other Revenues'!K211</f>
        <v>0</v>
      </c>
      <c r="AS219" s="444" t="str">
        <f>'C. Other Revenues'!B207</f>
        <v>C.1</v>
      </c>
      <c r="AT219" s="429">
        <f>'C. Other Revenues'!M211</f>
        <v>0</v>
      </c>
      <c r="AU219" s="445"/>
      <c r="AV219" s="429"/>
      <c r="AY219" s="446"/>
      <c r="AZ219" s="447"/>
      <c r="BA219" s="448"/>
      <c r="BB219" s="395">
        <f t="shared" si="172"/>
        <v>0</v>
      </c>
      <c r="BC219" s="395">
        <f t="shared" si="173"/>
        <v>2405522</v>
      </c>
      <c r="BD219" s="485" t="str">
        <f t="shared" si="174"/>
        <v xml:space="preserve"> </v>
      </c>
      <c r="BE219" s="446">
        <f t="shared" si="175"/>
        <v>2405522</v>
      </c>
      <c r="BF219" s="429"/>
      <c r="BG219" s="446"/>
      <c r="BH219" s="937"/>
    </row>
    <row r="220" spans="1:61" x14ac:dyDescent="0.2">
      <c r="A220" s="19"/>
      <c r="B220" s="6"/>
      <c r="C220" t="s">
        <v>223</v>
      </c>
      <c r="D220" s="449"/>
      <c r="E220" s="441">
        <v>14057550</v>
      </c>
      <c r="G220" s="440"/>
      <c r="H220" s="440"/>
      <c r="I220" s="440"/>
      <c r="J220" s="440"/>
      <c r="K220" s="441"/>
      <c r="L220" s="440"/>
      <c r="M220" s="440"/>
      <c r="N220" s="440"/>
      <c r="O220" s="440">
        <v>57136</v>
      </c>
      <c r="P220" s="442"/>
      <c r="Q220" s="442"/>
      <c r="R220" s="442"/>
      <c r="S220" s="442">
        <v>566064</v>
      </c>
      <c r="T220" s="442"/>
      <c r="U220" s="442"/>
      <c r="V220" s="442"/>
      <c r="W220" s="442"/>
      <c r="X220" s="442"/>
      <c r="Y220" s="442">
        <v>31112</v>
      </c>
      <c r="Z220" s="442"/>
      <c r="AA220" s="442">
        <v>666829</v>
      </c>
      <c r="AB220" s="442"/>
      <c r="AC220" s="442"/>
      <c r="AD220" s="440"/>
      <c r="AE220" s="440"/>
      <c r="AF220" s="440"/>
      <c r="AG220" s="440"/>
      <c r="AH220" s="430">
        <f t="shared" si="168"/>
        <v>0</v>
      </c>
      <c r="AI220" s="369">
        <f t="shared" si="169"/>
        <v>1321141</v>
      </c>
      <c r="AJ220" s="431">
        <f t="shared" si="170"/>
        <v>0</v>
      </c>
      <c r="AK220" s="443">
        <f t="shared" si="171"/>
        <v>15378691</v>
      </c>
      <c r="AN220" s="984">
        <f>'A. Revenue by function'!L103</f>
        <v>15378691</v>
      </c>
      <c r="AO220" s="443"/>
      <c r="AP220" s="444" t="str">
        <f>'C. Other Revenues'!B207</f>
        <v>C.1</v>
      </c>
      <c r="AQ220" s="429">
        <f>'C. Other Revenues'!K212</f>
        <v>0</v>
      </c>
      <c r="AS220" s="444" t="str">
        <f>'C. Other Revenues'!B207</f>
        <v>C.1</v>
      </c>
      <c r="AT220" s="429">
        <f>'C. Other Revenues'!M212</f>
        <v>0</v>
      </c>
      <c r="AU220" s="445"/>
      <c r="AV220" s="429"/>
      <c r="AY220" s="446"/>
      <c r="AZ220" s="447"/>
      <c r="BA220" s="448"/>
      <c r="BB220" s="395">
        <f t="shared" si="172"/>
        <v>15378691</v>
      </c>
      <c r="BC220" s="395">
        <f t="shared" si="173"/>
        <v>15378691</v>
      </c>
      <c r="BD220" s="485" t="str">
        <f t="shared" si="174"/>
        <v xml:space="preserve"> </v>
      </c>
      <c r="BE220" s="446">
        <f t="shared" si="175"/>
        <v>0</v>
      </c>
      <c r="BF220" s="429"/>
      <c r="BG220" s="446"/>
      <c r="BH220" s="937"/>
    </row>
    <row r="221" spans="1:61" x14ac:dyDescent="0.2">
      <c r="A221" s="19"/>
      <c r="B221" s="6"/>
      <c r="C221" t="s">
        <v>1014</v>
      </c>
      <c r="D221" s="449"/>
      <c r="E221" s="441">
        <v>445049</v>
      </c>
      <c r="F221" s="440"/>
      <c r="G221" s="440"/>
      <c r="H221" s="440"/>
      <c r="I221" s="440"/>
      <c r="J221" s="440"/>
      <c r="K221" s="441"/>
      <c r="L221" s="440"/>
      <c r="M221" s="440"/>
      <c r="N221" s="440"/>
      <c r="O221" s="440"/>
      <c r="P221" s="442"/>
      <c r="Q221" s="442"/>
      <c r="R221" s="442"/>
      <c r="S221" s="442"/>
      <c r="T221" s="442"/>
      <c r="U221" s="442">
        <v>12600</v>
      </c>
      <c r="V221" s="442"/>
      <c r="W221" s="442">
        <v>481900</v>
      </c>
      <c r="X221" s="442"/>
      <c r="Y221" s="442"/>
      <c r="Z221" s="442"/>
      <c r="AA221" s="442"/>
      <c r="AB221" s="442"/>
      <c r="AC221" s="442"/>
      <c r="AD221" s="440"/>
      <c r="AE221" s="440"/>
      <c r="AF221" s="440"/>
      <c r="AG221" s="440"/>
      <c r="AH221" s="430">
        <f t="shared" si="168"/>
        <v>0</v>
      </c>
      <c r="AI221" s="369">
        <f t="shared" si="169"/>
        <v>494500</v>
      </c>
      <c r="AJ221" s="431">
        <f t="shared" si="170"/>
        <v>0</v>
      </c>
      <c r="AK221" s="443">
        <f t="shared" si="171"/>
        <v>939549</v>
      </c>
      <c r="AN221" s="984">
        <f>'A. Revenue by function'!L104</f>
        <v>939549</v>
      </c>
      <c r="AO221" s="443"/>
      <c r="AP221" s="444" t="str">
        <f>'C. Other Revenues'!B207</f>
        <v>C.1</v>
      </c>
      <c r="AQ221" s="429">
        <f>'C. Other Revenues'!K213</f>
        <v>0</v>
      </c>
      <c r="AS221" s="444" t="str">
        <f>'C. Other Revenues'!B207</f>
        <v>C.1</v>
      </c>
      <c r="AT221" s="429">
        <f>'C. Other Revenues'!M213</f>
        <v>0</v>
      </c>
      <c r="AU221" s="445"/>
      <c r="AV221" s="429"/>
      <c r="AY221" s="446"/>
      <c r="AZ221" s="447"/>
      <c r="BA221" s="448"/>
      <c r="BB221" s="395">
        <f t="shared" si="172"/>
        <v>939549</v>
      </c>
      <c r="BC221" s="395">
        <f t="shared" si="173"/>
        <v>939549</v>
      </c>
      <c r="BD221" s="485" t="str">
        <f t="shared" si="174"/>
        <v xml:space="preserve"> </v>
      </c>
      <c r="BE221" s="446">
        <f t="shared" si="175"/>
        <v>0</v>
      </c>
      <c r="BF221" s="429"/>
      <c r="BG221" s="446"/>
      <c r="BH221" s="937"/>
    </row>
    <row r="222" spans="1:61" x14ac:dyDescent="0.2">
      <c r="A222" s="19"/>
      <c r="B222" s="6"/>
      <c r="C222" t="s">
        <v>1011</v>
      </c>
      <c r="D222" s="449"/>
      <c r="E222" s="441">
        <v>1165426</v>
      </c>
      <c r="F222" s="440"/>
      <c r="G222" s="440"/>
      <c r="H222" s="440"/>
      <c r="I222" s="440"/>
      <c r="J222" s="440"/>
      <c r="K222" s="441"/>
      <c r="L222" s="440"/>
      <c r="M222" s="440"/>
      <c r="N222" s="440"/>
      <c r="O222" s="440"/>
      <c r="P222" s="442"/>
      <c r="Q222" s="442"/>
      <c r="R222" s="442"/>
      <c r="S222" s="442"/>
      <c r="T222" s="442"/>
      <c r="U222" s="442"/>
      <c r="V222" s="442"/>
      <c r="W222" s="442">
        <v>0</v>
      </c>
      <c r="X222" s="442"/>
      <c r="Y222" s="442"/>
      <c r="Z222" s="442"/>
      <c r="AA222" s="442"/>
      <c r="AB222" s="442"/>
      <c r="AC222" s="442"/>
      <c r="AD222" s="440"/>
      <c r="AE222" s="440"/>
      <c r="AF222" s="440"/>
      <c r="AG222" s="440"/>
      <c r="AH222" s="430">
        <f t="shared" si="168"/>
        <v>0</v>
      </c>
      <c r="AI222" s="369">
        <f t="shared" si="169"/>
        <v>0</v>
      </c>
      <c r="AJ222" s="431">
        <f t="shared" si="170"/>
        <v>0</v>
      </c>
      <c r="AK222" s="443">
        <f t="shared" si="171"/>
        <v>1165426</v>
      </c>
      <c r="AN222" s="984">
        <f>'A. Revenue by function'!L105</f>
        <v>1165426</v>
      </c>
      <c r="AO222" s="443"/>
      <c r="AP222" s="444" t="str">
        <f>'C. Other Revenues'!B207</f>
        <v>C.1</v>
      </c>
      <c r="AQ222" s="429">
        <f>'C. Other Revenues'!K214</f>
        <v>0</v>
      </c>
      <c r="AS222" s="444" t="str">
        <f>'C. Other Revenues'!B207</f>
        <v>C.1</v>
      </c>
      <c r="AT222" s="429">
        <f>'C. Other Revenues'!M214</f>
        <v>0</v>
      </c>
      <c r="AU222" s="445"/>
      <c r="AV222" s="429"/>
      <c r="AY222" s="446"/>
      <c r="AZ222" s="447"/>
      <c r="BA222" s="448"/>
      <c r="BB222" s="395">
        <f t="shared" si="172"/>
        <v>1165426</v>
      </c>
      <c r="BC222" s="395">
        <f t="shared" si="173"/>
        <v>1165426</v>
      </c>
      <c r="BD222" s="485" t="str">
        <f t="shared" si="174"/>
        <v xml:space="preserve"> </v>
      </c>
      <c r="BE222" s="446">
        <f t="shared" si="175"/>
        <v>0</v>
      </c>
      <c r="BF222" s="429"/>
      <c r="BG222" s="446"/>
      <c r="BH222" s="937"/>
    </row>
    <row r="223" spans="1:61" x14ac:dyDescent="0.2">
      <c r="A223" s="19"/>
      <c r="B223" s="6"/>
      <c r="C223" s="579" t="s">
        <v>4198</v>
      </c>
      <c r="D223" s="449"/>
      <c r="E223" s="441">
        <v>0</v>
      </c>
      <c r="F223" s="440"/>
      <c r="G223" s="440"/>
      <c r="H223" s="440"/>
      <c r="I223" s="440">
        <v>540000</v>
      </c>
      <c r="J223" s="440"/>
      <c r="K223" s="441"/>
      <c r="L223" s="440"/>
      <c r="M223" s="440"/>
      <c r="N223" s="440"/>
      <c r="O223" s="440"/>
      <c r="P223" s="442"/>
      <c r="Q223" s="442"/>
      <c r="R223" s="442"/>
      <c r="S223" s="442"/>
      <c r="T223" s="442"/>
      <c r="U223" s="442"/>
      <c r="V223" s="442"/>
      <c r="W223" s="442">
        <v>0</v>
      </c>
      <c r="X223" s="442"/>
      <c r="Y223" s="442"/>
      <c r="Z223" s="442"/>
      <c r="AA223" s="442"/>
      <c r="AB223" s="442"/>
      <c r="AC223" s="442"/>
      <c r="AD223" s="440"/>
      <c r="AE223" s="440"/>
      <c r="AF223" s="440"/>
      <c r="AG223" s="440"/>
      <c r="AH223" s="430">
        <f t="shared" ref="AH223" si="176">L223+N223+P223+R223+T223+V223+X223+Z223+AB223+AD223+AF223</f>
        <v>0</v>
      </c>
      <c r="AI223" s="369">
        <f t="shared" ref="AI223" si="177">M223+O223+Q223+S223+U223+W223+Y223+AA223+AC223+AE223+AG223</f>
        <v>0</v>
      </c>
      <c r="AJ223" s="431">
        <f t="shared" ref="AJ223" si="178">D223+F223+H223+J223+AH223</f>
        <v>0</v>
      </c>
      <c r="AK223" s="443">
        <f t="shared" ref="AK223" si="179">E223+G223+I223+K223+AI223</f>
        <v>540000</v>
      </c>
      <c r="AN223" s="984">
        <f>'A. Revenue by function'!L106</f>
        <v>540000</v>
      </c>
      <c r="AO223" s="443"/>
      <c r="AP223" s="444" t="str">
        <f>'C. Other Revenues'!B207</f>
        <v>C.1</v>
      </c>
      <c r="AQ223" s="429">
        <f>'C. Other Revenues'!K223</f>
        <v>0</v>
      </c>
      <c r="AS223" s="444" t="str">
        <f>'C. Other Revenues'!B207</f>
        <v>C.1</v>
      </c>
      <c r="AT223" s="429">
        <v>0</v>
      </c>
      <c r="AU223" s="445"/>
      <c r="AV223" s="429"/>
      <c r="AY223" s="446"/>
      <c r="AZ223" s="447"/>
      <c r="BA223" s="448"/>
      <c r="BB223" s="395">
        <f t="shared" ref="BB223" si="180">ROUND(AJ223+AL223+AN223+AQ223+AV223+AZ223,0)</f>
        <v>540000</v>
      </c>
      <c r="BC223" s="395">
        <f t="shared" ref="BC223" si="181">ROUND(AK223+AM223+AO223+AT223+AY223+BA223,0)</f>
        <v>540000</v>
      </c>
      <c r="BD223" s="485" t="str">
        <f t="shared" ref="BD223" si="182">IF(BB223-BC223&lt;=0," ",BB223-BC223)</f>
        <v xml:space="preserve"> </v>
      </c>
      <c r="BE223" s="446">
        <f t="shared" ref="BE223" si="183">IF(BB223-BC223&gt;0," ",BC223-BB223)</f>
        <v>0</v>
      </c>
      <c r="BF223" s="429"/>
      <c r="BG223" s="446"/>
      <c r="BH223" s="937"/>
    </row>
    <row r="224" spans="1:61" x14ac:dyDescent="0.2">
      <c r="A224" s="19"/>
      <c r="B224" s="6"/>
      <c r="C224" s="16" t="s">
        <v>1015</v>
      </c>
      <c r="D224" s="449"/>
      <c r="E224" s="441">
        <v>1614828</v>
      </c>
      <c r="F224" s="440"/>
      <c r="G224" s="440"/>
      <c r="H224" s="440"/>
      <c r="I224" s="440"/>
      <c r="J224" s="440"/>
      <c r="K224" s="441"/>
      <c r="L224" s="440"/>
      <c r="M224" s="440"/>
      <c r="N224" s="440"/>
      <c r="O224" s="440"/>
      <c r="P224" s="442"/>
      <c r="Q224" s="442">
        <v>99</v>
      </c>
      <c r="R224" s="442"/>
      <c r="S224" s="442">
        <v>568</v>
      </c>
      <c r="T224" s="442"/>
      <c r="U224" s="442"/>
      <c r="V224" s="442"/>
      <c r="W224" s="442"/>
      <c r="X224" s="442"/>
      <c r="Y224" s="442">
        <v>15320</v>
      </c>
      <c r="Z224" s="442"/>
      <c r="AA224" s="442">
        <f>21550+16700</f>
        <v>38250</v>
      </c>
      <c r="AB224" s="442"/>
      <c r="AC224" s="442"/>
      <c r="AD224" s="440"/>
      <c r="AE224" s="440"/>
      <c r="AF224" s="440"/>
      <c r="AG224" s="440"/>
      <c r="AH224" s="430">
        <f t="shared" si="168"/>
        <v>0</v>
      </c>
      <c r="AI224" s="369">
        <f t="shared" si="169"/>
        <v>54237</v>
      </c>
      <c r="AJ224" s="431">
        <f t="shared" si="170"/>
        <v>0</v>
      </c>
      <c r="AK224" s="443">
        <f t="shared" si="171"/>
        <v>1669065</v>
      </c>
      <c r="AN224" s="984">
        <f>'A. Revenue by function'!L107</f>
        <v>54237</v>
      </c>
      <c r="AO224" s="443"/>
      <c r="AP224" s="444" t="str">
        <f>'C. Other Revenues'!B207</f>
        <v>C.1</v>
      </c>
      <c r="AQ224" s="429">
        <f>'C. Other Revenues'!K216</f>
        <v>0</v>
      </c>
      <c r="AS224" s="444" t="str">
        <f>'C. Other Revenues'!B207</f>
        <v>C.1</v>
      </c>
      <c r="AT224" s="429">
        <f>'C. Other Revenues'!M216</f>
        <v>0</v>
      </c>
      <c r="AU224" s="445" t="str">
        <f>'L. Eliminations-Consolidations'!A243</f>
        <v>L.7</v>
      </c>
      <c r="AV224" s="429">
        <f>'L. Eliminations-Consolidations'!J253</f>
        <v>0</v>
      </c>
      <c r="AX224" s="452" t="s">
        <v>634</v>
      </c>
      <c r="AY224" s="367">
        <f>'K.1  Int. Service Fd Allocation'!G202+'K.2  Int. Service Fd Alloca'!G197+'K.3 Int. Service Fd Alloca'!G197</f>
        <v>0</v>
      </c>
      <c r="AZ224" s="471"/>
      <c r="BA224" s="448"/>
      <c r="BB224" s="395">
        <f t="shared" si="172"/>
        <v>54237</v>
      </c>
      <c r="BC224" s="395">
        <f t="shared" si="173"/>
        <v>1669065</v>
      </c>
      <c r="BD224" s="485" t="str">
        <f t="shared" si="174"/>
        <v xml:space="preserve"> </v>
      </c>
      <c r="BE224" s="446">
        <f t="shared" si="175"/>
        <v>1614828</v>
      </c>
      <c r="BF224" s="429">
        <f>BE224-1650546</f>
        <v>-35718</v>
      </c>
      <c r="BG224" s="446"/>
      <c r="BH224" s="937"/>
    </row>
    <row r="225" spans="1:60" x14ac:dyDescent="0.2">
      <c r="A225" s="19"/>
      <c r="B225" s="222"/>
      <c r="C225" s="204" t="s">
        <v>798</v>
      </c>
      <c r="D225" s="456"/>
      <c r="E225" s="459">
        <v>632541</v>
      </c>
      <c r="F225" s="458"/>
      <c r="G225" s="458"/>
      <c r="H225" s="458"/>
      <c r="I225" s="458"/>
      <c r="J225" s="458"/>
      <c r="K225" s="459"/>
      <c r="L225" s="458"/>
      <c r="M225" s="458"/>
      <c r="N225" s="458"/>
      <c r="O225" s="458"/>
      <c r="P225" s="460"/>
      <c r="Q225" s="460"/>
      <c r="R225" s="460"/>
      <c r="S225" s="460"/>
      <c r="T225" s="460"/>
      <c r="U225" s="460"/>
      <c r="V225" s="460"/>
      <c r="W225" s="460"/>
      <c r="X225" s="460"/>
      <c r="Y225" s="460">
        <v>70000</v>
      </c>
      <c r="Z225" s="460"/>
      <c r="AA225" s="460"/>
      <c r="AB225" s="460"/>
      <c r="AC225" s="460"/>
      <c r="AD225" s="458"/>
      <c r="AE225" s="458"/>
      <c r="AF225" s="458"/>
      <c r="AG225" s="458"/>
      <c r="AH225" s="461">
        <f t="shared" si="168"/>
        <v>0</v>
      </c>
      <c r="AI225" s="462">
        <f t="shared" si="169"/>
        <v>70000</v>
      </c>
      <c r="AJ225" s="463">
        <f t="shared" si="170"/>
        <v>0</v>
      </c>
      <c r="AK225" s="464">
        <f t="shared" si="171"/>
        <v>702541</v>
      </c>
      <c r="AL225" s="462"/>
      <c r="AM225" s="462"/>
      <c r="AN225" s="984">
        <f>'A. Revenue by function'!L108</f>
        <v>70000</v>
      </c>
      <c r="AO225" s="464"/>
      <c r="AP225" s="465" t="str">
        <f>'C. Other Revenues'!B207</f>
        <v>C.1</v>
      </c>
      <c r="AQ225" s="466">
        <f>'C. Other Revenues'!K215</f>
        <v>0</v>
      </c>
      <c r="AR225" s="462"/>
      <c r="AS225" s="465" t="str">
        <f>'C. Other Revenues'!B207</f>
        <v>C.1</v>
      </c>
      <c r="AT225" s="466">
        <f>'C. Other Revenues'!M215</f>
        <v>0</v>
      </c>
      <c r="AU225" s="467"/>
      <c r="AV225" s="466"/>
      <c r="AW225" s="462"/>
      <c r="AX225" s="465" t="str">
        <f>'L. Eliminations-Consolidations'!B285</f>
        <v>L.10</v>
      </c>
      <c r="AY225" s="468">
        <f>'L. Eliminations-Consolidations'!L287</f>
        <v>0</v>
      </c>
      <c r="AZ225" s="447"/>
      <c r="BA225" s="448"/>
      <c r="BB225" s="466">
        <f t="shared" si="172"/>
        <v>70000</v>
      </c>
      <c r="BC225" s="466">
        <f t="shared" si="173"/>
        <v>702541</v>
      </c>
      <c r="BD225" s="486" t="str">
        <f>IF((BB225+BB226+BB227+BB228+BB229)-(BC225+BC226+BC227+BC228+BC229)&lt;=0," ",(BB225+BB226+BB227+BB228+BB229)-(BC225+BC226+BC227+BC228+BC229))</f>
        <v xml:space="preserve"> </v>
      </c>
      <c r="BE225" s="468">
        <f>IF((BB225+BB226+BB227+BB228+BB229)-(BC225+BC226+BC227+BC228+BB229)&gt;=0," ",(BC225+BC226+BC227+BC228+BC229)-(BB225+BB226+BB227+BB228+BB229))</f>
        <v>670590</v>
      </c>
      <c r="BF225" s="429"/>
      <c r="BG225" s="446"/>
      <c r="BH225" s="937"/>
    </row>
    <row r="226" spans="1:60" x14ac:dyDescent="0.2">
      <c r="A226" s="19"/>
      <c r="B226" s="222"/>
      <c r="C226" s="204"/>
      <c r="D226" s="456"/>
      <c r="E226" s="459"/>
      <c r="F226" s="458"/>
      <c r="G226" s="458"/>
      <c r="H226" s="458"/>
      <c r="I226" s="458"/>
      <c r="J226" s="458"/>
      <c r="K226" s="459"/>
      <c r="L226" s="458"/>
      <c r="M226" s="458"/>
      <c r="N226" s="458"/>
      <c r="O226" s="458"/>
      <c r="P226" s="460"/>
      <c r="Q226" s="460"/>
      <c r="R226" s="460"/>
      <c r="S226" s="460"/>
      <c r="T226" s="460"/>
      <c r="U226" s="460"/>
      <c r="V226" s="460"/>
      <c r="W226" s="460"/>
      <c r="X226" s="460"/>
      <c r="Y226" s="460"/>
      <c r="Z226" s="460"/>
      <c r="AA226" s="460"/>
      <c r="AB226" s="460"/>
      <c r="AC226" s="460"/>
      <c r="AD226" s="458"/>
      <c r="AE226" s="458"/>
      <c r="AF226" s="458"/>
      <c r="AG226" s="458"/>
      <c r="AH226" s="461">
        <f t="shared" si="168"/>
        <v>0</v>
      </c>
      <c r="AI226" s="462">
        <f t="shared" si="169"/>
        <v>0</v>
      </c>
      <c r="AJ226" s="463">
        <f t="shared" si="170"/>
        <v>0</v>
      </c>
      <c r="AK226" s="464">
        <f t="shared" si="171"/>
        <v>0</v>
      </c>
      <c r="AL226" s="462"/>
      <c r="AM226" s="462"/>
      <c r="AN226" s="463"/>
      <c r="AO226" s="464"/>
      <c r="AP226" s="465" t="str">
        <f>'F.  Other Cap Asset Entries'!D220</f>
        <v>F.1</v>
      </c>
      <c r="AQ226" s="466">
        <f>'F.  Other Cap Asset Entries'!M229</f>
        <v>0</v>
      </c>
      <c r="AR226" s="462"/>
      <c r="AS226" s="465" t="str">
        <f>'F.  Other Cap Asset Entries'!D220</f>
        <v>F.1</v>
      </c>
      <c r="AT226" s="466">
        <f>'F.  Other Cap Asset Entries'!O241</f>
        <v>0</v>
      </c>
      <c r="AU226" s="467"/>
      <c r="AV226" s="466"/>
      <c r="AW226" s="462"/>
      <c r="AX226" s="465"/>
      <c r="AY226" s="468"/>
      <c r="AZ226" s="447"/>
      <c r="BA226" s="448"/>
      <c r="BB226" s="466">
        <f t="shared" si="172"/>
        <v>0</v>
      </c>
      <c r="BC226" s="466">
        <f t="shared" si="173"/>
        <v>0</v>
      </c>
      <c r="BD226" s="486"/>
      <c r="BE226" s="468"/>
      <c r="BF226" s="429"/>
      <c r="BG226" s="446"/>
    </row>
    <row r="227" spans="1:60" x14ac:dyDescent="0.2">
      <c r="A227" s="19"/>
      <c r="B227" s="222"/>
      <c r="C227" s="204"/>
      <c r="D227" s="456"/>
      <c r="E227" s="459"/>
      <c r="F227" s="458"/>
      <c r="G227" s="458"/>
      <c r="H227" s="458"/>
      <c r="I227" s="458"/>
      <c r="J227" s="458"/>
      <c r="K227" s="459"/>
      <c r="L227" s="458"/>
      <c r="M227" s="458"/>
      <c r="N227" s="458"/>
      <c r="O227" s="458"/>
      <c r="P227" s="460"/>
      <c r="Q227" s="460"/>
      <c r="R227" s="460"/>
      <c r="S227" s="460"/>
      <c r="T227" s="460"/>
      <c r="U227" s="460"/>
      <c r="V227" s="460"/>
      <c r="W227" s="460"/>
      <c r="X227" s="460"/>
      <c r="Y227" s="460"/>
      <c r="Z227" s="460"/>
      <c r="AA227" s="460"/>
      <c r="AB227" s="460"/>
      <c r="AC227" s="460"/>
      <c r="AD227" s="458"/>
      <c r="AE227" s="458"/>
      <c r="AF227" s="458"/>
      <c r="AG227" s="458"/>
      <c r="AH227" s="461">
        <f t="shared" si="168"/>
        <v>0</v>
      </c>
      <c r="AI227" s="462">
        <f t="shared" si="169"/>
        <v>0</v>
      </c>
      <c r="AJ227" s="463">
        <f t="shared" si="170"/>
        <v>0</v>
      </c>
      <c r="AK227" s="464">
        <f t="shared" si="171"/>
        <v>0</v>
      </c>
      <c r="AL227" s="462"/>
      <c r="AM227" s="462"/>
      <c r="AN227" s="463"/>
      <c r="AO227" s="464"/>
      <c r="AP227" s="465" t="str">
        <f>'F.  Other Cap Asset Entries'!D220</f>
        <v>F.1</v>
      </c>
      <c r="AQ227" s="466">
        <f>'F.  Other Cap Asset Entries'!M241</f>
        <v>0</v>
      </c>
      <c r="AR227" s="462"/>
      <c r="AS227" s="465" t="str">
        <f>'F.  Other Cap Asset Entries'!D244</f>
        <v>F.2</v>
      </c>
      <c r="AT227" s="367">
        <f>'F.  Other Cap Asset Entries'!O252</f>
        <v>37500</v>
      </c>
      <c r="AU227" s="467"/>
      <c r="AV227" s="466"/>
      <c r="AW227" s="462"/>
      <c r="AX227" s="465"/>
      <c r="AY227" s="468"/>
      <c r="AZ227" s="447"/>
      <c r="BA227" s="448"/>
      <c r="BB227" s="466">
        <f t="shared" si="172"/>
        <v>0</v>
      </c>
      <c r="BC227" s="466">
        <f t="shared" si="173"/>
        <v>37500</v>
      </c>
      <c r="BD227" s="486"/>
      <c r="BE227" s="468"/>
      <c r="BF227" s="429"/>
      <c r="BG227" s="446"/>
    </row>
    <row r="228" spans="1:60" x14ac:dyDescent="0.2">
      <c r="A228" s="19"/>
      <c r="B228" s="222"/>
      <c r="C228" s="204"/>
      <c r="D228" s="456"/>
      <c r="E228" s="459"/>
      <c r="F228" s="458"/>
      <c r="G228" s="458"/>
      <c r="H228" s="458"/>
      <c r="I228" s="458"/>
      <c r="J228" s="458"/>
      <c r="K228" s="459"/>
      <c r="L228" s="458"/>
      <c r="M228" s="458"/>
      <c r="N228" s="458"/>
      <c r="O228" s="458"/>
      <c r="P228" s="460"/>
      <c r="Q228" s="460"/>
      <c r="R228" s="460"/>
      <c r="S228" s="460"/>
      <c r="T228" s="460"/>
      <c r="U228" s="460"/>
      <c r="V228" s="460"/>
      <c r="W228" s="460"/>
      <c r="X228" s="460"/>
      <c r="Y228" s="460"/>
      <c r="Z228" s="460"/>
      <c r="AA228" s="460"/>
      <c r="AB228" s="460"/>
      <c r="AC228" s="460"/>
      <c r="AD228" s="458"/>
      <c r="AE228" s="458"/>
      <c r="AF228" s="458"/>
      <c r="AG228" s="458"/>
      <c r="AH228" s="461">
        <f t="shared" si="168"/>
        <v>0</v>
      </c>
      <c r="AI228" s="462">
        <f t="shared" si="169"/>
        <v>0</v>
      </c>
      <c r="AJ228" s="463">
        <f t="shared" si="170"/>
        <v>0</v>
      </c>
      <c r="AK228" s="464">
        <f t="shared" si="171"/>
        <v>0</v>
      </c>
      <c r="AL228" s="462"/>
      <c r="AM228" s="462"/>
      <c r="AN228" s="463"/>
      <c r="AO228" s="464"/>
      <c r="AP228" s="477" t="str">
        <f>'I.  Other Asset Entries'!B108</f>
        <v>I.1</v>
      </c>
      <c r="AQ228" s="466">
        <f>'I.  Other Asset Entries'!L109</f>
        <v>0</v>
      </c>
      <c r="AR228" s="462"/>
      <c r="AS228" s="465" t="s">
        <v>621</v>
      </c>
      <c r="AT228" s="466">
        <f>'F.  Other Cap Asset Entries'!O275</f>
        <v>0</v>
      </c>
      <c r="AU228" s="467"/>
      <c r="AV228" s="466"/>
      <c r="AW228" s="462"/>
      <c r="AX228" s="465"/>
      <c r="AY228" s="468"/>
      <c r="AZ228" s="447"/>
      <c r="BA228" s="448"/>
      <c r="BB228" s="466">
        <f t="shared" si="172"/>
        <v>0</v>
      </c>
      <c r="BC228" s="466">
        <f t="shared" si="173"/>
        <v>0</v>
      </c>
      <c r="BD228" s="486"/>
      <c r="BE228" s="468"/>
      <c r="BF228" s="429"/>
      <c r="BG228" s="446"/>
    </row>
    <row r="229" spans="1:60" x14ac:dyDescent="0.2">
      <c r="A229" s="19"/>
      <c r="B229" s="222"/>
      <c r="C229" s="204"/>
      <c r="D229" s="456"/>
      <c r="E229" s="459"/>
      <c r="F229" s="458"/>
      <c r="G229" s="458"/>
      <c r="H229" s="458"/>
      <c r="I229" s="458"/>
      <c r="J229" s="458"/>
      <c r="K229" s="459"/>
      <c r="L229" s="458"/>
      <c r="M229" s="458"/>
      <c r="N229" s="458"/>
      <c r="O229" s="458"/>
      <c r="P229" s="460"/>
      <c r="Q229" s="460"/>
      <c r="R229" s="460"/>
      <c r="S229" s="460"/>
      <c r="T229" s="460"/>
      <c r="U229" s="460"/>
      <c r="V229" s="460"/>
      <c r="W229" s="460"/>
      <c r="X229" s="460"/>
      <c r="Y229" s="460"/>
      <c r="Z229" s="460"/>
      <c r="AA229" s="460"/>
      <c r="AB229" s="460"/>
      <c r="AC229" s="460"/>
      <c r="AD229" s="458"/>
      <c r="AE229" s="458"/>
      <c r="AF229" s="458"/>
      <c r="AG229" s="458"/>
      <c r="AH229" s="461">
        <f t="shared" si="168"/>
        <v>0</v>
      </c>
      <c r="AI229" s="462">
        <f t="shared" si="169"/>
        <v>0</v>
      </c>
      <c r="AJ229" s="463">
        <f t="shared" si="170"/>
        <v>0</v>
      </c>
      <c r="AK229" s="464">
        <f t="shared" si="171"/>
        <v>0</v>
      </c>
      <c r="AL229" s="462"/>
      <c r="AM229" s="462"/>
      <c r="AN229" s="463"/>
      <c r="AO229" s="464"/>
      <c r="AP229" s="477" t="str">
        <f>'I.  Other Asset Entries'!B108</f>
        <v>I.1</v>
      </c>
      <c r="AQ229" s="466">
        <f>'I.  Other Asset Entries'!L122</f>
        <v>0</v>
      </c>
      <c r="AR229" s="462"/>
      <c r="AS229" s="477" t="str">
        <f>'I.  Other Asset Entries'!B108</f>
        <v>I.1</v>
      </c>
      <c r="AT229" s="367">
        <f>'I.  Other Asset Entries'!N122</f>
        <v>549</v>
      </c>
      <c r="AU229" s="467"/>
      <c r="AV229" s="466"/>
      <c r="AW229" s="462"/>
      <c r="AX229" s="465"/>
      <c r="AY229" s="468"/>
      <c r="AZ229" s="447"/>
      <c r="BA229" s="448"/>
      <c r="BB229" s="466">
        <f t="shared" si="172"/>
        <v>0</v>
      </c>
      <c r="BC229" s="466">
        <f t="shared" si="173"/>
        <v>549</v>
      </c>
      <c r="BD229" s="486"/>
      <c r="BE229" s="468"/>
      <c r="BF229" s="429"/>
      <c r="BG229" s="446"/>
    </row>
    <row r="230" spans="1:60" x14ac:dyDescent="0.2">
      <c r="A230" s="19"/>
      <c r="C230" s="280" t="s">
        <v>720</v>
      </c>
      <c r="D230" s="449"/>
      <c r="E230" s="450"/>
      <c r="F230" s="440"/>
      <c r="G230" s="440"/>
      <c r="H230" s="440"/>
      <c r="I230" s="440"/>
      <c r="J230" s="440"/>
      <c r="K230" s="441"/>
      <c r="L230" s="440"/>
      <c r="M230" s="440"/>
      <c r="N230" s="440"/>
      <c r="O230" s="440"/>
      <c r="P230" s="442"/>
      <c r="Q230" s="442"/>
      <c r="R230" s="442"/>
      <c r="S230" s="442"/>
      <c r="T230" s="442"/>
      <c r="U230" s="442"/>
      <c r="V230" s="442"/>
      <c r="W230" s="442"/>
      <c r="X230" s="442"/>
      <c r="Y230" s="442"/>
      <c r="Z230" s="442"/>
      <c r="AA230" s="442"/>
      <c r="AB230" s="442"/>
      <c r="AC230" s="442"/>
      <c r="AD230" s="440"/>
      <c r="AE230" s="440"/>
      <c r="AF230" s="440"/>
      <c r="AG230" s="440"/>
      <c r="AH230" s="430">
        <f t="shared" ref="AH230:AH240" si="184">L230+N230+P230+R230+T230+V230+X230+Z230+AB230+AD230+AF230</f>
        <v>0</v>
      </c>
      <c r="AI230" s="369">
        <f t="shared" ref="AI230:AI240" si="185">M230+O230+Q230+S230+U230+W230+Y230+AA230+AC230+AE230+AG230</f>
        <v>0</v>
      </c>
      <c r="AJ230" s="431">
        <f t="shared" si="170"/>
        <v>0</v>
      </c>
      <c r="AK230" s="443">
        <f t="shared" si="171"/>
        <v>0</v>
      </c>
      <c r="AN230" s="431">
        <f>'A. Revenue by function'!L109</f>
        <v>0</v>
      </c>
      <c r="AO230" s="443"/>
      <c r="AU230" s="445"/>
      <c r="AV230" s="429"/>
      <c r="AY230" s="446"/>
      <c r="AZ230" s="447"/>
      <c r="BA230" s="448"/>
      <c r="BB230" s="395">
        <f>ROUND(AJ230+AL230+AN230+AQ230+AV230+AZ230,0)</f>
        <v>0</v>
      </c>
      <c r="BC230" s="395">
        <f>ROUND(AK230+AM230+AO230+AT230+AY230+BA230,0)</f>
        <v>0</v>
      </c>
      <c r="BD230" s="485" t="str">
        <f t="shared" si="174"/>
        <v xml:space="preserve"> </v>
      </c>
      <c r="BE230" s="446">
        <f t="shared" si="175"/>
        <v>0</v>
      </c>
      <c r="BF230" s="429"/>
      <c r="BG230" s="446"/>
    </row>
    <row r="231" spans="1:60" ht="12" customHeight="1" x14ac:dyDescent="0.2">
      <c r="A231" s="19"/>
      <c r="C231" s="280" t="s">
        <v>721</v>
      </c>
      <c r="D231" s="449"/>
      <c r="E231" s="450"/>
      <c r="F231" s="440"/>
      <c r="G231" s="440"/>
      <c r="H231" s="440"/>
      <c r="I231" s="440"/>
      <c r="J231" s="440"/>
      <c r="K231" s="441"/>
      <c r="L231" s="440"/>
      <c r="M231" s="440"/>
      <c r="N231" s="440"/>
      <c r="O231" s="440"/>
      <c r="P231" s="442"/>
      <c r="Q231" s="442"/>
      <c r="R231" s="442"/>
      <c r="S231" s="442"/>
      <c r="T231" s="442"/>
      <c r="U231" s="442"/>
      <c r="V231" s="442"/>
      <c r="W231" s="442"/>
      <c r="X231" s="442"/>
      <c r="Y231" s="442"/>
      <c r="Z231" s="442"/>
      <c r="AA231" s="442"/>
      <c r="AB231" s="442"/>
      <c r="AC231" s="442"/>
      <c r="AD231" s="440"/>
      <c r="AE231" s="440"/>
      <c r="AF231" s="440"/>
      <c r="AG231" s="440"/>
      <c r="AH231" s="430">
        <f t="shared" si="184"/>
        <v>0</v>
      </c>
      <c r="AI231" s="369">
        <f t="shared" si="185"/>
        <v>0</v>
      </c>
      <c r="AJ231" s="431">
        <f t="shared" si="170"/>
        <v>0</v>
      </c>
      <c r="AK231" s="443">
        <f t="shared" si="171"/>
        <v>0</v>
      </c>
      <c r="AN231" s="431">
        <f>'A. Revenue by function'!L110</f>
        <v>0</v>
      </c>
      <c r="AO231" s="443"/>
      <c r="AQ231" s="429"/>
      <c r="AT231" s="429"/>
      <c r="AU231" s="445"/>
      <c r="AV231" s="429"/>
      <c r="AY231" s="446"/>
      <c r="AZ231" s="447"/>
      <c r="BA231" s="448"/>
      <c r="BB231" s="395">
        <f>ROUND(AJ231+AL231+AN231+AQ231+AV231+AZ231,0)</f>
        <v>0</v>
      </c>
      <c r="BC231" s="395">
        <f>ROUND(AK231+AM231+AO231+AT231+AY231+BA231,0)</f>
        <v>0</v>
      </c>
      <c r="BD231" s="485" t="str">
        <f t="shared" si="174"/>
        <v xml:space="preserve"> </v>
      </c>
      <c r="BE231" s="446">
        <f t="shared" si="175"/>
        <v>0</v>
      </c>
      <c r="BF231" s="429"/>
      <c r="BG231" s="446"/>
      <c r="BH231" s="937"/>
    </row>
    <row r="232" spans="1:60" ht="12.75" customHeight="1" x14ac:dyDescent="0.2">
      <c r="A232" s="19"/>
      <c r="D232" s="449"/>
      <c r="E232" s="450"/>
      <c r="F232" s="440"/>
      <c r="G232" s="440"/>
      <c r="H232" s="440"/>
      <c r="I232" s="440"/>
      <c r="J232" s="440"/>
      <c r="K232" s="441"/>
      <c r="L232" s="440"/>
      <c r="M232" s="440"/>
      <c r="N232" s="440"/>
      <c r="O232" s="440"/>
      <c r="P232" s="442"/>
      <c r="Q232" s="442"/>
      <c r="R232" s="442"/>
      <c r="S232" s="442"/>
      <c r="T232" s="442"/>
      <c r="U232" s="442"/>
      <c r="V232" s="442"/>
      <c r="W232" s="442"/>
      <c r="X232" s="442"/>
      <c r="Y232" s="442"/>
      <c r="Z232" s="442"/>
      <c r="AA232" s="442"/>
      <c r="AB232" s="442"/>
      <c r="AC232" s="442"/>
      <c r="AD232" s="440"/>
      <c r="AE232" s="440"/>
      <c r="AF232" s="440"/>
      <c r="AG232" s="440"/>
      <c r="AH232" s="430">
        <f t="shared" si="184"/>
        <v>0</v>
      </c>
      <c r="AI232" s="369">
        <f t="shared" si="185"/>
        <v>0</v>
      </c>
      <c r="AJ232" s="431">
        <f t="shared" si="170"/>
        <v>0</v>
      </c>
      <c r="AK232" s="443">
        <f t="shared" si="171"/>
        <v>0</v>
      </c>
      <c r="AN232" s="431"/>
      <c r="AO232" s="443"/>
      <c r="AQ232" s="429"/>
      <c r="AT232" s="429"/>
      <c r="AU232" s="445"/>
      <c r="AV232" s="429"/>
      <c r="AY232" s="446"/>
      <c r="AZ232" s="447"/>
      <c r="BA232" s="448"/>
      <c r="BB232" s="367"/>
      <c r="BC232" s="367"/>
      <c r="BD232" s="485"/>
      <c r="BE232" s="446"/>
      <c r="BF232" s="429"/>
      <c r="BG232" s="446"/>
    </row>
    <row r="233" spans="1:60" x14ac:dyDescent="0.2">
      <c r="A233" s="19"/>
      <c r="B233" s="4" t="s">
        <v>899</v>
      </c>
      <c r="D233" s="449"/>
      <c r="E233" s="450"/>
      <c r="F233" s="440"/>
      <c r="G233" s="440"/>
      <c r="H233" s="440"/>
      <c r="I233" s="440"/>
      <c r="J233" s="440"/>
      <c r="K233" s="441"/>
      <c r="L233" s="440"/>
      <c r="M233" s="440"/>
      <c r="N233" s="440"/>
      <c r="O233" s="440"/>
      <c r="P233" s="442"/>
      <c r="Q233" s="442"/>
      <c r="R233" s="442"/>
      <c r="S233" s="442"/>
      <c r="T233" s="442"/>
      <c r="U233" s="442"/>
      <c r="V233" s="442"/>
      <c r="W233" s="442"/>
      <c r="X233" s="442"/>
      <c r="Y233" s="442"/>
      <c r="Z233" s="442"/>
      <c r="AA233" s="442"/>
      <c r="AB233" s="442"/>
      <c r="AC233" s="442"/>
      <c r="AD233" s="440"/>
      <c r="AE233" s="440"/>
      <c r="AF233" s="440"/>
      <c r="AG233" s="440"/>
      <c r="AH233" s="430">
        <f t="shared" si="184"/>
        <v>0</v>
      </c>
      <c r="AI233" s="369">
        <f t="shared" si="185"/>
        <v>0</v>
      </c>
      <c r="AJ233" s="431">
        <f t="shared" si="170"/>
        <v>0</v>
      </c>
      <c r="AK233" s="443">
        <f t="shared" si="171"/>
        <v>0</v>
      </c>
      <c r="AN233" s="431"/>
      <c r="AO233" s="443"/>
      <c r="AQ233" s="429"/>
      <c r="AT233" s="429"/>
      <c r="AU233" s="445"/>
      <c r="AV233" s="429"/>
      <c r="AY233" s="446"/>
      <c r="AZ233" s="447"/>
      <c r="BA233" s="448"/>
      <c r="BB233" s="367"/>
      <c r="BC233" s="367"/>
      <c r="BD233" s="485"/>
      <c r="BE233" s="446"/>
      <c r="BF233" s="429"/>
      <c r="BG233" s="446"/>
    </row>
    <row r="234" spans="1:60" x14ac:dyDescent="0.2">
      <c r="A234" s="19"/>
      <c r="B234" s="1040" t="s">
        <v>951</v>
      </c>
      <c r="C234" t="s">
        <v>900</v>
      </c>
      <c r="D234" s="449"/>
      <c r="E234" s="450"/>
      <c r="F234" s="440"/>
      <c r="G234" s="440"/>
      <c r="H234" s="440"/>
      <c r="I234" s="440"/>
      <c r="J234" s="440"/>
      <c r="K234" s="441"/>
      <c r="L234" s="440"/>
      <c r="M234" s="440"/>
      <c r="N234" s="440"/>
      <c r="O234" s="440"/>
      <c r="P234" s="442"/>
      <c r="Q234" s="442"/>
      <c r="R234" s="442"/>
      <c r="S234" s="442"/>
      <c r="T234" s="442"/>
      <c r="U234" s="442"/>
      <c r="V234" s="442"/>
      <c r="W234" s="442"/>
      <c r="X234" s="442"/>
      <c r="Y234" s="442"/>
      <c r="Z234" s="442"/>
      <c r="AA234" s="442"/>
      <c r="AB234" s="442"/>
      <c r="AC234" s="442"/>
      <c r="AD234" s="440"/>
      <c r="AE234" s="440"/>
      <c r="AF234" s="440"/>
      <c r="AG234" s="440"/>
      <c r="AH234" s="430">
        <f t="shared" si="184"/>
        <v>0</v>
      </c>
      <c r="AI234" s="369">
        <f t="shared" si="185"/>
        <v>0</v>
      </c>
      <c r="AJ234" s="431">
        <f t="shared" si="170"/>
        <v>0</v>
      </c>
      <c r="AK234" s="443">
        <f t="shared" si="171"/>
        <v>0</v>
      </c>
      <c r="AN234" s="431"/>
      <c r="AO234" s="985">
        <f>'A. Revenue by function'!N113</f>
        <v>507312</v>
      </c>
      <c r="AP234" s="444" t="str">
        <f>'C. Other Revenues'!B207</f>
        <v>C.1</v>
      </c>
      <c r="AQ234" s="480">
        <f>'C. Other Revenues'!K218</f>
        <v>0</v>
      </c>
      <c r="AS234" s="444" t="str">
        <f>'C. Other Revenues'!B207</f>
        <v>C.1</v>
      </c>
      <c r="AT234" s="429">
        <f>'C. Other Revenues'!M218</f>
        <v>0</v>
      </c>
      <c r="AU234" s="445" t="str">
        <f>'L. Eliminations-Consolidations'!A219</f>
        <v>L.5</v>
      </c>
      <c r="AV234" s="429">
        <f>'L. Eliminations-Consolidations'!J219</f>
        <v>0</v>
      </c>
      <c r="AX234" s="452" t="s">
        <v>634</v>
      </c>
      <c r="AY234" s="367">
        <f>'K.1  Int. Service Fd Allocation'!G203+'K.2  Int. Service Fd Alloca'!G198+'K.3 Int. Service Fd Alloca'!G198</f>
        <v>0</v>
      </c>
      <c r="AZ234" s="471"/>
      <c r="BA234" s="448"/>
      <c r="BB234" s="395">
        <f>ROUND(AJ234+AL234+AN234+AQ234+AV234+AZ234,0)</f>
        <v>0</v>
      </c>
      <c r="BC234" s="395">
        <f>ROUND(AK234+AM234+AO234+AT234+AY234+BA234,0)</f>
        <v>507312</v>
      </c>
      <c r="BD234" s="485" t="str">
        <f t="shared" si="174"/>
        <v xml:space="preserve"> </v>
      </c>
      <c r="BE234" s="446">
        <f>IF(BB234-BC234&gt;0," ",BC234-BB234)</f>
        <v>507312</v>
      </c>
      <c r="BF234" s="429"/>
      <c r="BG234" s="446"/>
      <c r="BH234" s="937"/>
    </row>
    <row r="235" spans="1:60" x14ac:dyDescent="0.2">
      <c r="A235" s="19"/>
      <c r="B235" s="1040"/>
      <c r="C235" t="s">
        <v>986</v>
      </c>
      <c r="D235" s="449"/>
      <c r="E235" s="450"/>
      <c r="F235" s="440"/>
      <c r="G235" s="440"/>
      <c r="H235" s="440"/>
      <c r="I235" s="440"/>
      <c r="J235" s="440"/>
      <c r="K235" s="441"/>
      <c r="L235" s="440"/>
      <c r="M235" s="440"/>
      <c r="N235" s="440"/>
      <c r="O235" s="440"/>
      <c r="P235" s="442"/>
      <c r="Q235" s="442"/>
      <c r="R235" s="442"/>
      <c r="S235" s="442"/>
      <c r="T235" s="442"/>
      <c r="U235" s="442"/>
      <c r="V235" s="442"/>
      <c r="W235" s="442"/>
      <c r="X235" s="442"/>
      <c r="Y235" s="442"/>
      <c r="Z235" s="442"/>
      <c r="AA235" s="442"/>
      <c r="AB235" s="442"/>
      <c r="AC235" s="442"/>
      <c r="AD235" s="440"/>
      <c r="AE235" s="440"/>
      <c r="AF235" s="440"/>
      <c r="AG235" s="440"/>
      <c r="AH235" s="430">
        <f t="shared" si="184"/>
        <v>0</v>
      </c>
      <c r="AI235" s="369">
        <f t="shared" si="185"/>
        <v>0</v>
      </c>
      <c r="AJ235" s="431">
        <f t="shared" si="170"/>
        <v>0</v>
      </c>
      <c r="AK235" s="443">
        <f t="shared" si="171"/>
        <v>0</v>
      </c>
      <c r="AN235" s="431"/>
      <c r="AO235" s="443">
        <f>'A. Revenue by function'!N114</f>
        <v>0</v>
      </c>
      <c r="AP235" s="444" t="str">
        <f>'C. Other Revenues'!B207</f>
        <v>C.1</v>
      </c>
      <c r="AQ235" s="429">
        <f>'C. Other Revenues'!K228</f>
        <v>0</v>
      </c>
      <c r="AS235" s="444" t="str">
        <f>'C. Other Revenues'!B207</f>
        <v>C.1</v>
      </c>
      <c r="AT235" s="429">
        <f>'C. Other Revenues'!M228</f>
        <v>0</v>
      </c>
      <c r="AU235" s="445"/>
      <c r="AV235" s="429"/>
      <c r="AX235" s="444" t="str">
        <f>'L. Eliminations-Consolidations'!A243</f>
        <v>L.7</v>
      </c>
      <c r="AY235" s="446">
        <f>'L. Eliminations-Consolidations'!L254</f>
        <v>0</v>
      </c>
      <c r="AZ235" s="447"/>
      <c r="BA235" s="448"/>
      <c r="BB235" s="395">
        <f>ROUND(AJ235+AL235+AN235+AQ235+AV235+AZ235,0)</f>
        <v>0</v>
      </c>
      <c r="BC235" s="395">
        <f>ROUND(AK235+AM235+AO235+AT235+AY235+BA235,0)</f>
        <v>0</v>
      </c>
      <c r="BD235" s="485" t="str">
        <f t="shared" si="174"/>
        <v xml:space="preserve"> </v>
      </c>
      <c r="BE235" s="446">
        <f t="shared" si="175"/>
        <v>0</v>
      </c>
      <c r="BF235" s="429"/>
      <c r="BG235" s="446"/>
    </row>
    <row r="236" spans="1:60" ht="15.75" customHeight="1" x14ac:dyDescent="0.2">
      <c r="A236" s="19"/>
      <c r="B236" s="1040"/>
      <c r="C236" t="s">
        <v>987</v>
      </c>
      <c r="D236" s="449"/>
      <c r="E236" s="450"/>
      <c r="F236" s="440"/>
      <c r="G236" s="440"/>
      <c r="H236" s="440"/>
      <c r="I236" s="440"/>
      <c r="J236" s="440"/>
      <c r="K236" s="441"/>
      <c r="L236" s="440"/>
      <c r="M236" s="440"/>
      <c r="N236" s="440"/>
      <c r="O236" s="440"/>
      <c r="P236" s="442"/>
      <c r="Q236" s="442"/>
      <c r="R236" s="442"/>
      <c r="S236" s="442"/>
      <c r="T236" s="442"/>
      <c r="U236" s="442"/>
      <c r="V236" s="442"/>
      <c r="W236" s="442"/>
      <c r="X236" s="442"/>
      <c r="Y236" s="442"/>
      <c r="Z236" s="442"/>
      <c r="AA236" s="442"/>
      <c r="AB236" s="442"/>
      <c r="AC236" s="442"/>
      <c r="AD236" s="440"/>
      <c r="AE236" s="440"/>
      <c r="AF236" s="440"/>
      <c r="AG236" s="440"/>
      <c r="AH236" s="430">
        <f t="shared" si="184"/>
        <v>0</v>
      </c>
      <c r="AI236" s="369">
        <f t="shared" si="185"/>
        <v>0</v>
      </c>
      <c r="AJ236" s="431">
        <f t="shared" si="170"/>
        <v>0</v>
      </c>
      <c r="AK236" s="443">
        <f t="shared" si="171"/>
        <v>0</v>
      </c>
      <c r="AN236" s="431"/>
      <c r="AO236" s="443">
        <f>'A. Revenue by function'!N115</f>
        <v>0</v>
      </c>
      <c r="AP236" s="444" t="str">
        <f>'C. Other Revenues'!B207</f>
        <v>C.1</v>
      </c>
      <c r="AQ236" s="429">
        <f>'C. Other Revenues'!K238</f>
        <v>0</v>
      </c>
      <c r="AS236" s="444" t="str">
        <f>'C. Other Revenues'!B207</f>
        <v>C.1</v>
      </c>
      <c r="AT236" s="429">
        <f>'C. Other Revenues'!M238</f>
        <v>0</v>
      </c>
      <c r="AU236" s="445"/>
      <c r="AV236" s="429"/>
      <c r="AX236" s="444" t="str">
        <f>'L. Eliminations-Consolidations'!A243</f>
        <v>L.7</v>
      </c>
      <c r="AY236" s="446">
        <f>'L. Eliminations-Consolidations'!L263</f>
        <v>0</v>
      </c>
      <c r="AZ236" s="447"/>
      <c r="BA236" s="448"/>
      <c r="BB236" s="395">
        <f>ROUND(AJ236+AL236+AN236+AQ236+AV236+AZ236,0)</f>
        <v>0</v>
      </c>
      <c r="BC236" s="395">
        <f>ROUND(AK236+AM236+AO236+AT236+AY236+BA236,0)</f>
        <v>0</v>
      </c>
      <c r="BD236" s="485" t="str">
        <f t="shared" si="174"/>
        <v xml:space="preserve"> </v>
      </c>
      <c r="BE236" s="446">
        <f t="shared" si="175"/>
        <v>0</v>
      </c>
      <c r="BF236" s="429"/>
      <c r="BG236" s="446"/>
    </row>
    <row r="237" spans="1:60" x14ac:dyDescent="0.2">
      <c r="A237" s="19"/>
      <c r="D237" s="449"/>
      <c r="E237" s="450"/>
      <c r="F237" s="440"/>
      <c r="G237" s="440"/>
      <c r="H237" s="440"/>
      <c r="I237" s="440"/>
      <c r="J237" s="440"/>
      <c r="K237" s="441"/>
      <c r="L237" s="440"/>
      <c r="M237" s="440"/>
      <c r="N237" s="440"/>
      <c r="O237" s="440"/>
      <c r="P237" s="442"/>
      <c r="Q237" s="442"/>
      <c r="R237" s="442"/>
      <c r="S237" s="442"/>
      <c r="T237" s="442"/>
      <c r="U237" s="442"/>
      <c r="V237" s="442"/>
      <c r="W237" s="442"/>
      <c r="X237" s="442"/>
      <c r="Y237" s="442"/>
      <c r="Z237" s="442"/>
      <c r="AA237" s="442"/>
      <c r="AB237" s="442"/>
      <c r="AC237" s="442"/>
      <c r="AD237" s="440"/>
      <c r="AE237" s="440"/>
      <c r="AF237" s="440"/>
      <c r="AG237" s="440"/>
      <c r="AH237" s="430">
        <f t="shared" si="184"/>
        <v>0</v>
      </c>
      <c r="AI237" s="369">
        <f t="shared" si="185"/>
        <v>0</v>
      </c>
      <c r="AJ237" s="431">
        <f t="shared" si="170"/>
        <v>0</v>
      </c>
      <c r="AK237" s="443">
        <f t="shared" si="171"/>
        <v>0</v>
      </c>
      <c r="AN237" s="431"/>
      <c r="AO237" s="443"/>
      <c r="AQ237" s="429"/>
      <c r="AU237" s="445"/>
      <c r="AV237" s="429"/>
      <c r="AY237" s="446"/>
      <c r="AZ237" s="447"/>
      <c r="BA237" s="448"/>
      <c r="BB237" s="367"/>
      <c r="BC237" s="367"/>
      <c r="BD237" s="485" t="str">
        <f t="shared" si="174"/>
        <v xml:space="preserve"> </v>
      </c>
      <c r="BE237" s="446"/>
      <c r="BF237" s="429"/>
      <c r="BG237" s="446"/>
    </row>
    <row r="238" spans="1:60" x14ac:dyDescent="0.2">
      <c r="A238" s="19"/>
      <c r="B238" s="4" t="s">
        <v>988</v>
      </c>
      <c r="D238" s="449"/>
      <c r="E238" s="450"/>
      <c r="F238" s="440"/>
      <c r="G238" s="440"/>
      <c r="H238" s="440"/>
      <c r="I238" s="440"/>
      <c r="J238" s="440"/>
      <c r="K238" s="441"/>
      <c r="L238" s="440"/>
      <c r="M238" s="440"/>
      <c r="N238" s="440"/>
      <c r="O238" s="440"/>
      <c r="P238" s="442"/>
      <c r="Q238" s="442"/>
      <c r="R238" s="442"/>
      <c r="S238" s="442"/>
      <c r="T238" s="442"/>
      <c r="U238" s="442"/>
      <c r="V238" s="442"/>
      <c r="W238" s="442"/>
      <c r="X238" s="442"/>
      <c r="Y238" s="442"/>
      <c r="Z238" s="442"/>
      <c r="AA238" s="442"/>
      <c r="AB238" s="442"/>
      <c r="AC238" s="442"/>
      <c r="AD238" s="440"/>
      <c r="AE238" s="440"/>
      <c r="AF238" s="440"/>
      <c r="AG238" s="440"/>
      <c r="AH238" s="430">
        <f t="shared" si="184"/>
        <v>0</v>
      </c>
      <c r="AI238" s="369">
        <f t="shared" si="185"/>
        <v>0</v>
      </c>
      <c r="AJ238" s="431">
        <f t="shared" si="170"/>
        <v>0</v>
      </c>
      <c r="AK238" s="443">
        <f t="shared" si="171"/>
        <v>0</v>
      </c>
      <c r="AN238" s="431"/>
      <c r="AO238" s="443"/>
      <c r="AU238" s="445"/>
      <c r="AV238" s="429"/>
      <c r="AY238" s="446"/>
      <c r="AZ238" s="447"/>
      <c r="BA238" s="448"/>
      <c r="BB238" s="367"/>
      <c r="BC238" s="367"/>
      <c r="BD238" s="485" t="str">
        <f t="shared" si="174"/>
        <v xml:space="preserve"> </v>
      </c>
      <c r="BE238" s="446"/>
      <c r="BF238" s="429"/>
      <c r="BG238" s="446"/>
    </row>
    <row r="239" spans="1:60" x14ac:dyDescent="0.2">
      <c r="A239" s="19"/>
      <c r="B239" s="1040" t="s">
        <v>951</v>
      </c>
      <c r="C239" t="s">
        <v>900</v>
      </c>
      <c r="D239" s="449"/>
      <c r="E239" s="450"/>
      <c r="F239" s="440"/>
      <c r="G239" s="440"/>
      <c r="H239" s="440"/>
      <c r="I239" s="440"/>
      <c r="J239" s="440"/>
      <c r="K239" s="487"/>
      <c r="L239" s="488"/>
      <c r="M239" s="488"/>
      <c r="N239" s="440"/>
      <c r="O239" s="440"/>
      <c r="P239" s="442"/>
      <c r="Q239" s="442"/>
      <c r="R239" s="442"/>
      <c r="S239" s="442"/>
      <c r="T239" s="442"/>
      <c r="U239" s="442"/>
      <c r="V239" s="442"/>
      <c r="W239" s="442"/>
      <c r="X239" s="442"/>
      <c r="Y239" s="442"/>
      <c r="Z239" s="442"/>
      <c r="AA239" s="442"/>
      <c r="AB239" s="442"/>
      <c r="AC239" s="442"/>
      <c r="AD239" s="440"/>
      <c r="AE239" s="440"/>
      <c r="AF239" s="440"/>
      <c r="AG239" s="440"/>
      <c r="AH239" s="430">
        <f t="shared" si="184"/>
        <v>0</v>
      </c>
      <c r="AI239" s="369">
        <f t="shared" si="185"/>
        <v>0</v>
      </c>
      <c r="AJ239" s="431">
        <f t="shared" si="170"/>
        <v>0</v>
      </c>
      <c r="AK239" s="443">
        <f t="shared" si="171"/>
        <v>0</v>
      </c>
      <c r="AN239" s="431"/>
      <c r="AO239" s="985">
        <f>'A. Revenue by function'!N116</f>
        <v>1610564</v>
      </c>
      <c r="AP239" s="444" t="str">
        <f>'C. Other Revenues'!B207</f>
        <v>C.1</v>
      </c>
      <c r="AQ239" s="429">
        <f>'C. Other Revenues'!K219</f>
        <v>0</v>
      </c>
      <c r="AS239" s="444" t="str">
        <f>'C. Other Revenues'!B207</f>
        <v>C.1</v>
      </c>
      <c r="AT239" s="429">
        <f>'C. Other Revenues'!M219</f>
        <v>0</v>
      </c>
      <c r="AU239" s="445"/>
      <c r="AV239" s="429"/>
      <c r="AY239" s="446"/>
      <c r="AZ239" s="447"/>
      <c r="BA239" s="448"/>
      <c r="BB239" s="395">
        <f>ROUND(AJ239+AL239+AN239+AQ239+AV239+AZ239,0)</f>
        <v>0</v>
      </c>
      <c r="BC239" s="395">
        <f>ROUND(AK239+AM239+AO239+AT239+AY239+BA239,0)</f>
        <v>1610564</v>
      </c>
      <c r="BD239" s="485" t="str">
        <f t="shared" si="174"/>
        <v xml:space="preserve"> </v>
      </c>
      <c r="BE239" s="446">
        <f t="shared" si="175"/>
        <v>1610564</v>
      </c>
      <c r="BF239" s="429"/>
      <c r="BG239" s="446"/>
    </row>
    <row r="240" spans="1:60" x14ac:dyDescent="0.2">
      <c r="A240" s="19"/>
      <c r="B240" s="1040"/>
      <c r="C240" t="s">
        <v>986</v>
      </c>
      <c r="D240" s="449"/>
      <c r="E240" s="450"/>
      <c r="F240" s="440"/>
      <c r="G240" s="440"/>
      <c r="H240" s="440"/>
      <c r="I240" s="440"/>
      <c r="J240" s="440"/>
      <c r="K240" s="487"/>
      <c r="L240" s="488"/>
      <c r="M240" s="488"/>
      <c r="N240" s="440"/>
      <c r="O240" s="440"/>
      <c r="P240" s="442"/>
      <c r="Q240" s="442"/>
      <c r="R240" s="442"/>
      <c r="S240" s="442"/>
      <c r="T240" s="442"/>
      <c r="U240" s="442"/>
      <c r="V240" s="442"/>
      <c r="W240" s="442"/>
      <c r="X240" s="442"/>
      <c r="Y240" s="442"/>
      <c r="Z240" s="442"/>
      <c r="AA240" s="442"/>
      <c r="AB240" s="442"/>
      <c r="AC240" s="442"/>
      <c r="AD240" s="440"/>
      <c r="AE240" s="440"/>
      <c r="AF240" s="440"/>
      <c r="AG240" s="440"/>
      <c r="AH240" s="430">
        <f t="shared" si="184"/>
        <v>0</v>
      </c>
      <c r="AI240" s="369">
        <f t="shared" si="185"/>
        <v>0</v>
      </c>
      <c r="AJ240" s="431">
        <f t="shared" si="170"/>
        <v>0</v>
      </c>
      <c r="AK240" s="443">
        <f t="shared" si="171"/>
        <v>0</v>
      </c>
      <c r="AN240" s="431"/>
      <c r="AO240" s="985">
        <f>'A. Revenue by function'!N117</f>
        <v>166916</v>
      </c>
      <c r="AP240" s="444" t="str">
        <f>'C. Other Revenues'!B207</f>
        <v>C.1</v>
      </c>
      <c r="AQ240" s="429">
        <f>'C. Other Revenues'!K229</f>
        <v>0</v>
      </c>
      <c r="AS240" s="444" t="str">
        <f>'C. Other Revenues'!B207</f>
        <v>C.1</v>
      </c>
      <c r="AT240" s="429">
        <f>'C. Other Revenues'!M229</f>
        <v>0</v>
      </c>
      <c r="AU240" s="445"/>
      <c r="AV240" s="429"/>
      <c r="AX240" s="444" t="str">
        <f>'L. Eliminations-Consolidations'!A243</f>
        <v>L.7</v>
      </c>
      <c r="AY240" s="446">
        <f>'L. Eliminations-Consolidations'!L255</f>
        <v>0</v>
      </c>
      <c r="AZ240" s="447"/>
      <c r="BA240" s="448"/>
      <c r="BB240" s="395">
        <f>ROUND(AJ240+AL240+AN240+AQ240+AV240+AZ240,0)</f>
        <v>0</v>
      </c>
      <c r="BC240" s="395">
        <f>ROUND(AK240+AM240+AO240+AT240+AY240+BA240,0)</f>
        <v>166916</v>
      </c>
      <c r="BD240" s="485" t="str">
        <f>IF(BB240+BB241-BC240-BC241&lt;=0," ",BB240+BB241-BC240-BC241)</f>
        <v xml:space="preserve"> </v>
      </c>
      <c r="BE240" s="446">
        <f>IF(BB240+BB241-BC240-BC241&gt;0," ",BC240+BC241-BB240-BB241)</f>
        <v>166916</v>
      </c>
      <c r="BF240" s="429"/>
      <c r="BG240" s="446"/>
    </row>
    <row r="241" spans="1:59" x14ac:dyDescent="0.2">
      <c r="A241" s="19"/>
      <c r="B241" s="1040"/>
      <c r="D241" s="449"/>
      <c r="E241" s="450"/>
      <c r="F241" s="440"/>
      <c r="G241" s="440"/>
      <c r="H241" s="440"/>
      <c r="I241" s="440"/>
      <c r="J241" s="440"/>
      <c r="K241" s="487"/>
      <c r="L241" s="488"/>
      <c r="M241" s="488"/>
      <c r="N241" s="440"/>
      <c r="O241" s="440"/>
      <c r="P241" s="442"/>
      <c r="Q241" s="442"/>
      <c r="R241" s="442"/>
      <c r="S241" s="442"/>
      <c r="T241" s="442"/>
      <c r="U241" s="442"/>
      <c r="V241" s="442"/>
      <c r="W241" s="442"/>
      <c r="X241" s="442"/>
      <c r="Y241" s="442"/>
      <c r="Z241" s="442"/>
      <c r="AA241" s="442"/>
      <c r="AB241" s="442"/>
      <c r="AC241" s="442"/>
      <c r="AD241" s="440"/>
      <c r="AE241" s="440"/>
      <c r="AF241" s="440"/>
      <c r="AG241" s="440"/>
      <c r="AH241" s="430"/>
      <c r="AJ241" s="431"/>
      <c r="AK241" s="443"/>
      <c r="AN241" s="431"/>
      <c r="AO241" s="443"/>
      <c r="AP241" s="444" t="s">
        <v>2049</v>
      </c>
      <c r="AQ241" s="429">
        <f>'N.3 GASB 68 FRSWPF'!C28</f>
        <v>0</v>
      </c>
      <c r="AS241" s="444" t="s">
        <v>2049</v>
      </c>
      <c r="AT241" s="429">
        <f>'N.3 GASB 68 FRSWPF'!D28</f>
        <v>0</v>
      </c>
      <c r="AU241" s="445"/>
      <c r="AV241" s="429"/>
      <c r="AY241" s="446"/>
      <c r="AZ241" s="447"/>
      <c r="BA241" s="448"/>
      <c r="BB241" s="395">
        <f>ROUND(AJ241+AL241+AN241+AQ241+AV241+AZ241,0)</f>
        <v>0</v>
      </c>
      <c r="BC241" s="395">
        <f>ROUND(AK241+AM241+AO241+AT241+AY241+BA241,0)</f>
        <v>0</v>
      </c>
      <c r="BD241" s="485"/>
      <c r="BE241" s="446"/>
      <c r="BF241" s="429"/>
      <c r="BG241" s="446"/>
    </row>
    <row r="242" spans="1:59" ht="15" customHeight="1" x14ac:dyDescent="0.2">
      <c r="A242" s="19"/>
      <c r="B242" s="1040"/>
      <c r="C242" t="s">
        <v>987</v>
      </c>
      <c r="D242" s="449"/>
      <c r="E242" s="450"/>
      <c r="F242" s="440"/>
      <c r="G242" s="440"/>
      <c r="H242" s="440"/>
      <c r="I242" s="440"/>
      <c r="J242" s="440"/>
      <c r="K242" s="487"/>
      <c r="L242" s="488"/>
      <c r="M242" s="488"/>
      <c r="N242" s="440"/>
      <c r="O242" s="440"/>
      <c r="P242" s="442"/>
      <c r="Q242" s="442"/>
      <c r="R242" s="442"/>
      <c r="S242" s="442"/>
      <c r="T242" s="442"/>
      <c r="U242" s="442"/>
      <c r="V242" s="442"/>
      <c r="W242" s="442"/>
      <c r="X242" s="442"/>
      <c r="Y242" s="442"/>
      <c r="Z242" s="442"/>
      <c r="AA242" s="442"/>
      <c r="AB242" s="442"/>
      <c r="AC242" s="442"/>
      <c r="AD242" s="440"/>
      <c r="AE242" s="440"/>
      <c r="AF242" s="440"/>
      <c r="AG242" s="440"/>
      <c r="AH242" s="430">
        <f t="shared" ref="AH242:AH280" si="186">L242+N242+P242+R242+T242+V242+X242+Z242+AB242+AD242+AF242</f>
        <v>0</v>
      </c>
      <c r="AI242" s="369">
        <f t="shared" ref="AI242:AI280" si="187">M242+O242+Q242+S242+U242+W242+Y242+AA242+AC242+AE242+AG242</f>
        <v>0</v>
      </c>
      <c r="AJ242" s="431">
        <f t="shared" ref="AJ242:AJ285" si="188">D242+F242+H242+J242+AH242</f>
        <v>0</v>
      </c>
      <c r="AK242" s="443">
        <f t="shared" ref="AK242:AK285" si="189">E242+G242+I242+K242+AI242</f>
        <v>0</v>
      </c>
      <c r="AN242" s="431"/>
      <c r="AO242" s="443">
        <f>'A. Revenue by function'!N118</f>
        <v>0</v>
      </c>
      <c r="AP242" s="444" t="str">
        <f>'C. Other Revenues'!B207</f>
        <v>C.1</v>
      </c>
      <c r="AQ242" s="429">
        <f>'C. Other Revenues'!K239</f>
        <v>0</v>
      </c>
      <c r="AS242" s="444" t="str">
        <f>'C. Other Revenues'!B207</f>
        <v>C.1</v>
      </c>
      <c r="AT242" s="429">
        <f>'C. Other Revenues'!M239</f>
        <v>0</v>
      </c>
      <c r="AU242" s="445"/>
      <c r="AV242" s="429"/>
      <c r="AX242" s="444" t="str">
        <f>'L. Eliminations-Consolidations'!A243</f>
        <v>L.7</v>
      </c>
      <c r="AY242" s="446">
        <f>'L. Eliminations-Consolidations'!L264</f>
        <v>0</v>
      </c>
      <c r="AZ242" s="447"/>
      <c r="BA242" s="448"/>
      <c r="BB242" s="395">
        <f>ROUND(AJ242+AL242+AN242+AQ242+AV242+AZ242,0)</f>
        <v>0</v>
      </c>
      <c r="BC242" s="395">
        <f>ROUND(AK242+AM242+AO242+AT242+AY242+BA242,0)</f>
        <v>0</v>
      </c>
      <c r="BD242" s="485" t="str">
        <f t="shared" si="174"/>
        <v xml:space="preserve"> </v>
      </c>
      <c r="BE242" s="446">
        <f t="shared" si="175"/>
        <v>0</v>
      </c>
      <c r="BF242" s="429"/>
      <c r="BG242" s="446"/>
    </row>
    <row r="243" spans="1:59" x14ac:dyDescent="0.2">
      <c r="A243" s="19"/>
      <c r="D243" s="449"/>
      <c r="E243" s="450"/>
      <c r="F243" s="440"/>
      <c r="G243" s="440"/>
      <c r="H243" s="440"/>
      <c r="I243" s="440"/>
      <c r="J243" s="440"/>
      <c r="K243" s="441"/>
      <c r="L243" s="440"/>
      <c r="M243" s="440"/>
      <c r="N243" s="440"/>
      <c r="O243" s="440"/>
      <c r="P243" s="442"/>
      <c r="Q243" s="442"/>
      <c r="R243" s="442"/>
      <c r="S243" s="442"/>
      <c r="T243" s="442"/>
      <c r="U243" s="442"/>
      <c r="V243" s="442"/>
      <c r="W243" s="442"/>
      <c r="X243" s="442"/>
      <c r="Y243" s="442"/>
      <c r="Z243" s="442"/>
      <c r="AA243" s="442"/>
      <c r="AB243" s="442"/>
      <c r="AC243" s="442"/>
      <c r="AD243" s="440"/>
      <c r="AE243" s="440"/>
      <c r="AF243" s="440"/>
      <c r="AG243" s="440"/>
      <c r="AH243" s="430">
        <f t="shared" si="186"/>
        <v>0</v>
      </c>
      <c r="AI243" s="369">
        <f t="shared" si="187"/>
        <v>0</v>
      </c>
      <c r="AJ243" s="431">
        <f t="shared" si="188"/>
        <v>0</v>
      </c>
      <c r="AK243" s="443">
        <f t="shared" si="189"/>
        <v>0</v>
      </c>
      <c r="AN243" s="431"/>
      <c r="AO243" s="443"/>
      <c r="AQ243" s="429"/>
      <c r="AU243" s="445"/>
      <c r="AV243" s="429"/>
      <c r="AY243" s="446"/>
      <c r="AZ243" s="447"/>
      <c r="BA243" s="448"/>
      <c r="BB243" s="367"/>
      <c r="BC243" s="367"/>
      <c r="BD243" s="485" t="str">
        <f t="shared" si="174"/>
        <v xml:space="preserve"> </v>
      </c>
      <c r="BE243" s="446"/>
      <c r="BF243" s="429"/>
      <c r="BG243" s="446"/>
    </row>
    <row r="244" spans="1:59" x14ac:dyDescent="0.2">
      <c r="A244" s="19"/>
      <c r="B244" s="4" t="s">
        <v>989</v>
      </c>
      <c r="D244" s="449"/>
      <c r="E244" s="450"/>
      <c r="F244" s="440"/>
      <c r="G244" s="440"/>
      <c r="H244" s="440"/>
      <c r="I244" s="440"/>
      <c r="J244" s="440"/>
      <c r="K244" s="441"/>
      <c r="L244" s="440"/>
      <c r="M244" s="440"/>
      <c r="N244" s="440"/>
      <c r="O244" s="440"/>
      <c r="P244" s="442"/>
      <c r="Q244" s="442"/>
      <c r="R244" s="442"/>
      <c r="S244" s="442"/>
      <c r="T244" s="442"/>
      <c r="U244" s="442"/>
      <c r="V244" s="442"/>
      <c r="W244" s="442"/>
      <c r="X244" s="442"/>
      <c r="Y244" s="442"/>
      <c r="Z244" s="442"/>
      <c r="AA244" s="442"/>
      <c r="AB244" s="442"/>
      <c r="AC244" s="442"/>
      <c r="AD244" s="440"/>
      <c r="AE244" s="440"/>
      <c r="AF244" s="440"/>
      <c r="AG244" s="440"/>
      <c r="AH244" s="430">
        <f t="shared" si="186"/>
        <v>0</v>
      </c>
      <c r="AI244" s="369">
        <f t="shared" si="187"/>
        <v>0</v>
      </c>
      <c r="AJ244" s="431">
        <f t="shared" si="188"/>
        <v>0</v>
      </c>
      <c r="AK244" s="443">
        <f t="shared" si="189"/>
        <v>0</v>
      </c>
      <c r="AN244" s="431"/>
      <c r="AO244" s="443"/>
      <c r="AQ244" s="429"/>
      <c r="AT244" s="429"/>
      <c r="AU244" s="445"/>
      <c r="AV244" s="429"/>
      <c r="AY244" s="446"/>
      <c r="AZ244" s="447"/>
      <c r="BA244" s="448"/>
      <c r="BB244" s="367"/>
      <c r="BC244" s="367"/>
      <c r="BD244" s="485" t="str">
        <f t="shared" si="174"/>
        <v xml:space="preserve"> </v>
      </c>
      <c r="BE244" s="446"/>
      <c r="BF244" s="429"/>
      <c r="BG244" s="446"/>
    </row>
    <row r="245" spans="1:59" x14ac:dyDescent="0.2">
      <c r="A245" s="19"/>
      <c r="B245" s="1040" t="s">
        <v>951</v>
      </c>
      <c r="C245" t="s">
        <v>900</v>
      </c>
      <c r="D245" s="449"/>
      <c r="E245" s="450"/>
      <c r="F245" s="440"/>
      <c r="G245" s="440"/>
      <c r="H245" s="440"/>
      <c r="I245" s="440"/>
      <c r="J245" s="440"/>
      <c r="K245" s="441"/>
      <c r="L245" s="440"/>
      <c r="M245" s="440"/>
      <c r="N245" s="440"/>
      <c r="O245" s="440"/>
      <c r="P245" s="442"/>
      <c r="Q245" s="442"/>
      <c r="R245" s="442"/>
      <c r="S245" s="442"/>
      <c r="T245" s="442"/>
      <c r="U245" s="442"/>
      <c r="V245" s="442"/>
      <c r="W245" s="442"/>
      <c r="X245" s="442"/>
      <c r="Y245" s="442"/>
      <c r="Z245" s="442"/>
      <c r="AA245" s="442"/>
      <c r="AB245" s="442"/>
      <c r="AC245" s="442"/>
      <c r="AD245" s="440"/>
      <c r="AE245" s="440"/>
      <c r="AF245" s="440"/>
      <c r="AG245" s="440"/>
      <c r="AH245" s="430">
        <f t="shared" si="186"/>
        <v>0</v>
      </c>
      <c r="AI245" s="369">
        <f t="shared" si="187"/>
        <v>0</v>
      </c>
      <c r="AJ245" s="431">
        <f t="shared" si="188"/>
        <v>0</v>
      </c>
      <c r="AK245" s="443">
        <f t="shared" si="189"/>
        <v>0</v>
      </c>
      <c r="AN245" s="431"/>
      <c r="AO245" s="443">
        <f>'A. Revenue by function'!N119</f>
        <v>0</v>
      </c>
      <c r="AP245" s="444" t="str">
        <f>'C. Other Revenues'!B207</f>
        <v>C.1</v>
      </c>
      <c r="AQ245" s="429">
        <f>'C. Other Revenues'!K220</f>
        <v>0</v>
      </c>
      <c r="AS245" s="444" t="str">
        <f>'C. Other Revenues'!B207</f>
        <v>C.1</v>
      </c>
      <c r="AT245" s="429">
        <f>'C. Other Revenues'!M220</f>
        <v>0</v>
      </c>
      <c r="AU245" s="445" t="str">
        <f>'L. Eliminations-Consolidations'!A219</f>
        <v>L.5</v>
      </c>
      <c r="AV245" s="429">
        <f>'L. Eliminations-Consolidations'!J220</f>
        <v>0</v>
      </c>
      <c r="AY245" s="446"/>
      <c r="AZ245" s="447"/>
      <c r="BA245" s="448"/>
      <c r="BB245" s="395">
        <f>ROUND(AJ245+AL245+AN245+AQ245+AV245+AZ245,0)</f>
        <v>0</v>
      </c>
      <c r="BC245" s="395">
        <f>ROUND(AK245+AM245+AO245+AT245+AY245+BA245,0)</f>
        <v>0</v>
      </c>
      <c r="BD245" s="485" t="str">
        <f t="shared" si="174"/>
        <v xml:space="preserve"> </v>
      </c>
      <c r="BE245" s="446">
        <f t="shared" si="175"/>
        <v>0</v>
      </c>
      <c r="BF245" s="429"/>
      <c r="BG245" s="446"/>
    </row>
    <row r="246" spans="1:59" x14ac:dyDescent="0.2">
      <c r="A246" s="19"/>
      <c r="B246" s="1040"/>
      <c r="C246" t="s">
        <v>986</v>
      </c>
      <c r="D246" s="449"/>
      <c r="E246" s="450"/>
      <c r="F246" s="440"/>
      <c r="G246" s="440"/>
      <c r="H246" s="440"/>
      <c r="I246" s="440"/>
      <c r="J246" s="440"/>
      <c r="K246" s="441"/>
      <c r="L246" s="440"/>
      <c r="M246" s="440"/>
      <c r="N246" s="440"/>
      <c r="O246" s="440"/>
      <c r="P246" s="442"/>
      <c r="Q246" s="442"/>
      <c r="R246" s="442"/>
      <c r="S246" s="442"/>
      <c r="T246" s="442"/>
      <c r="U246" s="442"/>
      <c r="V246" s="442"/>
      <c r="W246" s="442"/>
      <c r="X246" s="442"/>
      <c r="Y246" s="442"/>
      <c r="Z246" s="442"/>
      <c r="AA246" s="442"/>
      <c r="AB246" s="442"/>
      <c r="AC246" s="442"/>
      <c r="AD246" s="440"/>
      <c r="AE246" s="440"/>
      <c r="AF246" s="440"/>
      <c r="AG246" s="440"/>
      <c r="AH246" s="430">
        <f t="shared" si="186"/>
        <v>0</v>
      </c>
      <c r="AI246" s="369">
        <f t="shared" si="187"/>
        <v>0</v>
      </c>
      <c r="AJ246" s="431">
        <f t="shared" si="188"/>
        <v>0</v>
      </c>
      <c r="AK246" s="443">
        <f t="shared" si="189"/>
        <v>0</v>
      </c>
      <c r="AN246" s="431"/>
      <c r="AO246" s="443">
        <f>'A. Revenue by function'!N120</f>
        <v>0</v>
      </c>
      <c r="AP246" s="444" t="str">
        <f>'C. Other Revenues'!B207</f>
        <v>C.1</v>
      </c>
      <c r="AQ246" s="429">
        <f>'C. Other Revenues'!K230</f>
        <v>0</v>
      </c>
      <c r="AS246" s="444" t="str">
        <f>'C. Other Revenues'!B207</f>
        <v>C.1</v>
      </c>
      <c r="AT246" s="429">
        <f>'C. Other Revenues'!M230</f>
        <v>0</v>
      </c>
      <c r="AU246" s="445"/>
      <c r="AV246" s="429"/>
      <c r="AX246" s="444" t="str">
        <f>'L. Eliminations-Consolidations'!A243</f>
        <v>L.7</v>
      </c>
      <c r="AY246" s="446">
        <f>'L. Eliminations-Consolidations'!L256</f>
        <v>0</v>
      </c>
      <c r="AZ246" s="447"/>
      <c r="BA246" s="448"/>
      <c r="BB246" s="395">
        <f>ROUND(AJ246+AL246+AN246+AQ246+AV246+AZ246,0)</f>
        <v>0</v>
      </c>
      <c r="BC246" s="395">
        <f>ROUND(AK246+AM246+AO246+AT246+AY246+BA246,0)</f>
        <v>0</v>
      </c>
      <c r="BD246" s="485" t="str">
        <f t="shared" si="174"/>
        <v xml:space="preserve"> </v>
      </c>
      <c r="BE246" s="446">
        <f t="shared" si="175"/>
        <v>0</v>
      </c>
      <c r="BF246" s="429"/>
      <c r="BG246" s="446"/>
    </row>
    <row r="247" spans="1:59" ht="15" customHeight="1" x14ac:dyDescent="0.2">
      <c r="A247" s="19"/>
      <c r="B247" s="1040"/>
      <c r="C247" t="s">
        <v>987</v>
      </c>
      <c r="D247" s="449"/>
      <c r="E247" s="450"/>
      <c r="F247" s="440"/>
      <c r="G247" s="440"/>
      <c r="H247" s="440"/>
      <c r="I247" s="440"/>
      <c r="J247" s="440"/>
      <c r="K247" s="441"/>
      <c r="L247" s="440"/>
      <c r="M247" s="440"/>
      <c r="N247" s="440"/>
      <c r="O247" s="440"/>
      <c r="P247" s="442"/>
      <c r="Q247" s="442"/>
      <c r="R247" s="442"/>
      <c r="S247" s="442"/>
      <c r="T247" s="442"/>
      <c r="U247" s="442"/>
      <c r="V247" s="442"/>
      <c r="W247" s="442"/>
      <c r="X247" s="442"/>
      <c r="Y247" s="442"/>
      <c r="Z247" s="442"/>
      <c r="AA247" s="442"/>
      <c r="AB247" s="442"/>
      <c r="AC247" s="442"/>
      <c r="AD247" s="440"/>
      <c r="AE247" s="440"/>
      <c r="AF247" s="440"/>
      <c r="AG247" s="440"/>
      <c r="AH247" s="430">
        <f t="shared" si="186"/>
        <v>0</v>
      </c>
      <c r="AI247" s="369">
        <f t="shared" si="187"/>
        <v>0</v>
      </c>
      <c r="AJ247" s="431">
        <f t="shared" si="188"/>
        <v>0</v>
      </c>
      <c r="AK247" s="443">
        <f t="shared" si="189"/>
        <v>0</v>
      </c>
      <c r="AN247" s="431"/>
      <c r="AO247" s="443">
        <f>'A. Revenue by function'!N121</f>
        <v>0</v>
      </c>
      <c r="AP247" s="444" t="str">
        <f>'C. Other Revenues'!B207</f>
        <v>C.1</v>
      </c>
      <c r="AQ247" s="429">
        <f>'C. Other Revenues'!K240</f>
        <v>0</v>
      </c>
      <c r="AS247" s="444" t="str">
        <f>'C. Other Revenues'!B207</f>
        <v>C.1</v>
      </c>
      <c r="AT247" s="429">
        <f>'C. Other Revenues'!M240</f>
        <v>0</v>
      </c>
      <c r="AU247" s="445"/>
      <c r="AV247" s="429"/>
      <c r="AX247" s="444" t="str">
        <f>'L. Eliminations-Consolidations'!A243</f>
        <v>L.7</v>
      </c>
      <c r="AY247" s="446">
        <f>'L. Eliminations-Consolidations'!L265</f>
        <v>0</v>
      </c>
      <c r="AZ247" s="447"/>
      <c r="BA247" s="448"/>
      <c r="BB247" s="395">
        <f>ROUND(AJ247+AL247+AN247+AQ247+AV247+AZ247,0)</f>
        <v>0</v>
      </c>
      <c r="BC247" s="395">
        <f>ROUND(AK247+AM247+AO247+AT247+AY247+BA247,0)</f>
        <v>0</v>
      </c>
      <c r="BD247" s="485" t="str">
        <f t="shared" si="174"/>
        <v xml:space="preserve"> </v>
      </c>
      <c r="BE247" s="446">
        <f t="shared" si="175"/>
        <v>0</v>
      </c>
      <c r="BF247" s="429"/>
      <c r="BG247" s="446"/>
    </row>
    <row r="248" spans="1:59" x14ac:dyDescent="0.2">
      <c r="A248" s="19"/>
      <c r="D248" s="449"/>
      <c r="E248" s="450"/>
      <c r="F248" s="440"/>
      <c r="G248" s="440"/>
      <c r="H248" s="440"/>
      <c r="I248" s="440"/>
      <c r="J248" s="440"/>
      <c r="K248" s="441"/>
      <c r="L248" s="440"/>
      <c r="M248" s="440"/>
      <c r="N248" s="440"/>
      <c r="O248" s="440"/>
      <c r="P248" s="442"/>
      <c r="Q248" s="442"/>
      <c r="R248" s="442"/>
      <c r="S248" s="442"/>
      <c r="T248" s="442"/>
      <c r="U248" s="442"/>
      <c r="V248" s="442"/>
      <c r="W248" s="442"/>
      <c r="X248" s="442"/>
      <c r="Y248" s="442"/>
      <c r="Z248" s="442"/>
      <c r="AA248" s="442"/>
      <c r="AB248" s="442"/>
      <c r="AC248" s="442"/>
      <c r="AD248" s="440"/>
      <c r="AE248" s="440"/>
      <c r="AF248" s="440"/>
      <c r="AG248" s="440"/>
      <c r="AH248" s="430">
        <f t="shared" si="186"/>
        <v>0</v>
      </c>
      <c r="AI248" s="369">
        <f t="shared" si="187"/>
        <v>0</v>
      </c>
      <c r="AJ248" s="431">
        <f t="shared" si="188"/>
        <v>0</v>
      </c>
      <c r="AK248" s="443">
        <f t="shared" si="189"/>
        <v>0</v>
      </c>
      <c r="AN248" s="431"/>
      <c r="AO248" s="443"/>
      <c r="AQ248" s="429"/>
      <c r="AU248" s="445"/>
      <c r="AV248" s="429"/>
      <c r="AY248" s="446"/>
      <c r="AZ248" s="447"/>
      <c r="BA248" s="448"/>
      <c r="BB248" s="367"/>
      <c r="BC248" s="367"/>
      <c r="BD248" s="485" t="str">
        <f t="shared" si="174"/>
        <v xml:space="preserve"> </v>
      </c>
      <c r="BE248" s="446"/>
      <c r="BF248" s="429"/>
      <c r="BG248" s="446"/>
    </row>
    <row r="249" spans="1:59" x14ac:dyDescent="0.2">
      <c r="A249" s="19"/>
      <c r="B249" s="4" t="s">
        <v>815</v>
      </c>
      <c r="D249" s="449"/>
      <c r="E249" s="450"/>
      <c r="F249" s="440"/>
      <c r="G249" s="440"/>
      <c r="H249" s="440"/>
      <c r="I249" s="440"/>
      <c r="J249" s="440"/>
      <c r="K249" s="441"/>
      <c r="L249" s="440"/>
      <c r="M249" s="440"/>
      <c r="N249" s="440"/>
      <c r="O249" s="440"/>
      <c r="P249" s="442"/>
      <c r="Q249" s="442"/>
      <c r="R249" s="442"/>
      <c r="S249" s="442"/>
      <c r="T249" s="442"/>
      <c r="U249" s="442"/>
      <c r="V249" s="442"/>
      <c r="W249" s="442"/>
      <c r="X249" s="442"/>
      <c r="Y249" s="442"/>
      <c r="Z249" s="442"/>
      <c r="AA249" s="442"/>
      <c r="AB249" s="442"/>
      <c r="AC249" s="442"/>
      <c r="AD249" s="440"/>
      <c r="AE249" s="440"/>
      <c r="AF249" s="440"/>
      <c r="AG249" s="440"/>
      <c r="AH249" s="430">
        <f t="shared" si="186"/>
        <v>0</v>
      </c>
      <c r="AI249" s="369">
        <f t="shared" si="187"/>
        <v>0</v>
      </c>
      <c r="AJ249" s="431">
        <f t="shared" si="188"/>
        <v>0</v>
      </c>
      <c r="AK249" s="443">
        <f t="shared" si="189"/>
        <v>0</v>
      </c>
      <c r="AN249" s="431"/>
      <c r="AO249" s="443"/>
      <c r="AQ249" s="429"/>
      <c r="AT249" s="429"/>
      <c r="AU249" s="445"/>
      <c r="AV249" s="429"/>
      <c r="AY249" s="446"/>
      <c r="AZ249" s="447"/>
      <c r="BA249" s="448"/>
      <c r="BB249" s="367"/>
      <c r="BC249" s="367"/>
      <c r="BD249" s="485" t="str">
        <f t="shared" si="174"/>
        <v xml:space="preserve"> </v>
      </c>
      <c r="BE249" s="446"/>
      <c r="BF249" s="429"/>
      <c r="BG249" s="446"/>
    </row>
    <row r="250" spans="1:59" x14ac:dyDescent="0.2">
      <c r="A250" s="19"/>
      <c r="B250" s="1040" t="s">
        <v>951</v>
      </c>
      <c r="C250" t="s">
        <v>900</v>
      </c>
      <c r="D250" s="449"/>
      <c r="E250" s="450"/>
      <c r="F250" s="440"/>
      <c r="G250" s="440"/>
      <c r="H250" s="440"/>
      <c r="I250" s="440"/>
      <c r="J250" s="440"/>
      <c r="K250" s="441"/>
      <c r="L250" s="440"/>
      <c r="M250" s="440"/>
      <c r="N250" s="440"/>
      <c r="O250" s="440"/>
      <c r="P250" s="442"/>
      <c r="Q250" s="442"/>
      <c r="R250" s="442"/>
      <c r="S250" s="442"/>
      <c r="T250" s="442"/>
      <c r="U250" s="442"/>
      <c r="V250" s="442"/>
      <c r="W250" s="442"/>
      <c r="X250" s="442"/>
      <c r="Y250" s="442"/>
      <c r="Z250" s="442"/>
      <c r="AA250" s="442"/>
      <c r="AB250" s="442"/>
      <c r="AC250" s="442"/>
      <c r="AD250" s="440"/>
      <c r="AE250" s="440"/>
      <c r="AF250" s="440"/>
      <c r="AG250" s="440"/>
      <c r="AH250" s="430">
        <f t="shared" si="186"/>
        <v>0</v>
      </c>
      <c r="AI250" s="369">
        <f t="shared" si="187"/>
        <v>0</v>
      </c>
      <c r="AJ250" s="431">
        <f t="shared" si="188"/>
        <v>0</v>
      </c>
      <c r="AK250" s="443">
        <f t="shared" si="189"/>
        <v>0</v>
      </c>
      <c r="AN250" s="431"/>
      <c r="AO250" s="985">
        <f>'A. Revenue by function'!N122</f>
        <v>1226891</v>
      </c>
      <c r="AP250" s="444" t="str">
        <f>'C. Other Revenues'!B207</f>
        <v>C.1</v>
      </c>
      <c r="AQ250" s="429">
        <f>'C. Other Revenues'!K221</f>
        <v>0</v>
      </c>
      <c r="AS250" s="444" t="str">
        <f>'C. Other Revenues'!B207</f>
        <v>C.1</v>
      </c>
      <c r="AT250" s="429">
        <f>'C. Other Revenues'!M221</f>
        <v>0</v>
      </c>
      <c r="AU250" s="445"/>
      <c r="AV250" s="429"/>
      <c r="AY250" s="446"/>
      <c r="AZ250" s="447"/>
      <c r="BA250" s="448"/>
      <c r="BB250" s="395">
        <f>ROUND(AJ250+AL250+AN250+AQ250+AV250+AZ250,0)</f>
        <v>0</v>
      </c>
      <c r="BC250" s="395">
        <f>ROUND(AK250+AM250+AO250+AT250+AY250+BA250,0)</f>
        <v>1226891</v>
      </c>
      <c r="BD250" s="485" t="str">
        <f t="shared" si="174"/>
        <v xml:space="preserve"> </v>
      </c>
      <c r="BE250" s="446">
        <f t="shared" si="175"/>
        <v>1226891</v>
      </c>
      <c r="BF250" s="429"/>
      <c r="BG250" s="446"/>
    </row>
    <row r="251" spans="1:59" x14ac:dyDescent="0.2">
      <c r="A251" s="19"/>
      <c r="B251" s="1040"/>
      <c r="C251" t="s">
        <v>986</v>
      </c>
      <c r="D251" s="449"/>
      <c r="E251" s="450"/>
      <c r="F251" s="440"/>
      <c r="G251" s="440"/>
      <c r="H251" s="440"/>
      <c r="I251" s="440"/>
      <c r="J251" s="440"/>
      <c r="K251" s="441"/>
      <c r="L251" s="440"/>
      <c r="M251" s="440"/>
      <c r="N251" s="440"/>
      <c r="O251" s="440"/>
      <c r="P251" s="442"/>
      <c r="Q251" s="442"/>
      <c r="R251" s="442"/>
      <c r="S251" s="442"/>
      <c r="T251" s="442"/>
      <c r="U251" s="442"/>
      <c r="V251" s="442"/>
      <c r="W251" s="442"/>
      <c r="X251" s="442"/>
      <c r="Y251" s="442"/>
      <c r="Z251" s="442"/>
      <c r="AA251" s="442"/>
      <c r="AB251" s="442"/>
      <c r="AC251" s="442"/>
      <c r="AD251" s="440"/>
      <c r="AE251" s="440"/>
      <c r="AF251" s="440"/>
      <c r="AG251" s="440"/>
      <c r="AH251" s="430">
        <f t="shared" si="186"/>
        <v>0</v>
      </c>
      <c r="AI251" s="369">
        <f t="shared" si="187"/>
        <v>0</v>
      </c>
      <c r="AJ251" s="431">
        <f t="shared" si="188"/>
        <v>0</v>
      </c>
      <c r="AK251" s="443">
        <f t="shared" si="189"/>
        <v>0</v>
      </c>
      <c r="AN251" s="431"/>
      <c r="AO251" s="443">
        <f>'A. Revenue by function'!N123</f>
        <v>0</v>
      </c>
      <c r="AP251" s="444" t="str">
        <f>'C. Other Revenues'!B207</f>
        <v>C.1</v>
      </c>
      <c r="AQ251" s="429">
        <f>'C. Other Revenues'!K231</f>
        <v>0</v>
      </c>
      <c r="AS251" s="444" t="str">
        <f>'C. Other Revenues'!B207</f>
        <v>C.1</v>
      </c>
      <c r="AT251" s="429">
        <f>'C. Other Revenues'!M231</f>
        <v>0</v>
      </c>
      <c r="AU251" s="445"/>
      <c r="AV251" s="429"/>
      <c r="AX251" s="444" t="str">
        <f>'L. Eliminations-Consolidations'!A243</f>
        <v>L.7</v>
      </c>
      <c r="AY251" s="446">
        <f>'L. Eliminations-Consolidations'!L257</f>
        <v>0</v>
      </c>
      <c r="AZ251" s="447"/>
      <c r="BA251" s="448"/>
      <c r="BB251" s="395">
        <f>ROUND(AJ251+AL251+AN251+AQ251+AV251+AZ251,0)</f>
        <v>0</v>
      </c>
      <c r="BC251" s="395">
        <f>ROUND(AK251+AM251+AO251+AT251+AY251+BA251,0)</f>
        <v>0</v>
      </c>
      <c r="BD251" s="485" t="str">
        <f t="shared" si="174"/>
        <v xml:space="preserve"> </v>
      </c>
      <c r="BE251" s="446">
        <f t="shared" si="175"/>
        <v>0</v>
      </c>
      <c r="BF251" s="429"/>
      <c r="BG251" s="446"/>
    </row>
    <row r="252" spans="1:59" ht="15.75" customHeight="1" x14ac:dyDescent="0.2">
      <c r="A252" s="19"/>
      <c r="B252" s="1040"/>
      <c r="C252" t="s">
        <v>987</v>
      </c>
      <c r="D252" s="449"/>
      <c r="E252" s="450"/>
      <c r="F252" s="440"/>
      <c r="G252" s="440"/>
      <c r="H252" s="440"/>
      <c r="I252" s="440"/>
      <c r="J252" s="440"/>
      <c r="K252" s="441"/>
      <c r="L252" s="440"/>
      <c r="M252" s="440"/>
      <c r="N252" s="440"/>
      <c r="O252" s="440"/>
      <c r="P252" s="442"/>
      <c r="Q252" s="442"/>
      <c r="R252" s="442"/>
      <c r="S252" s="442"/>
      <c r="T252" s="442"/>
      <c r="U252" s="442"/>
      <c r="V252" s="442"/>
      <c r="W252" s="442"/>
      <c r="X252" s="442"/>
      <c r="Y252" s="442"/>
      <c r="Z252" s="442"/>
      <c r="AA252" s="442"/>
      <c r="AB252" s="442"/>
      <c r="AC252" s="442"/>
      <c r="AD252" s="440"/>
      <c r="AE252" s="440"/>
      <c r="AF252" s="440"/>
      <c r="AG252" s="440"/>
      <c r="AH252" s="430">
        <f t="shared" si="186"/>
        <v>0</v>
      </c>
      <c r="AI252" s="369">
        <f t="shared" si="187"/>
        <v>0</v>
      </c>
      <c r="AJ252" s="431">
        <f t="shared" si="188"/>
        <v>0</v>
      </c>
      <c r="AK252" s="443">
        <f t="shared" si="189"/>
        <v>0</v>
      </c>
      <c r="AN252" s="431"/>
      <c r="AO252" s="985">
        <f>'A. Revenue by function'!N124</f>
        <v>0</v>
      </c>
      <c r="AP252" s="444" t="str">
        <f>'C. Other Revenues'!B207</f>
        <v>C.1</v>
      </c>
      <c r="AQ252" s="996">
        <f>'C. Other Revenues'!K241</f>
        <v>4190</v>
      </c>
      <c r="AS252" s="444" t="str">
        <f>'C. Other Revenues'!B207</f>
        <v>C.1</v>
      </c>
      <c r="AT252" s="429">
        <f>'C. Other Revenues'!M241</f>
        <v>0</v>
      </c>
      <c r="AU252" s="445"/>
      <c r="AV252" s="429"/>
      <c r="AX252" s="444" t="str">
        <f>'L. Eliminations-Consolidations'!A243</f>
        <v>L.7</v>
      </c>
      <c r="AY252" s="446">
        <f>'L. Eliminations-Consolidations'!L266</f>
        <v>0</v>
      </c>
      <c r="AZ252" s="447"/>
      <c r="BA252" s="448"/>
      <c r="BB252" s="395">
        <f>ROUND(AJ252+AL252+AN252+AQ252+AV252+AZ252,0)</f>
        <v>4190</v>
      </c>
      <c r="BC252" s="395">
        <f>ROUND(AK252+AM252+AO252+AT252+AY252+BA252,0)</f>
        <v>0</v>
      </c>
      <c r="BD252" s="485">
        <f t="shared" si="174"/>
        <v>4190</v>
      </c>
      <c r="BE252" s="446" t="str">
        <f t="shared" si="175"/>
        <v xml:space="preserve"> </v>
      </c>
      <c r="BF252" s="429"/>
      <c r="BG252" s="446"/>
    </row>
    <row r="253" spans="1:59" x14ac:dyDescent="0.2">
      <c r="A253" s="19"/>
      <c r="D253" s="449"/>
      <c r="E253" s="450"/>
      <c r="F253" s="440"/>
      <c r="G253" s="440"/>
      <c r="H253" s="440"/>
      <c r="I253" s="440"/>
      <c r="J253" s="440"/>
      <c r="K253" s="441"/>
      <c r="L253" s="440"/>
      <c r="M253" s="440"/>
      <c r="N253" s="440"/>
      <c r="O253" s="440"/>
      <c r="P253" s="442"/>
      <c r="Q253" s="442"/>
      <c r="R253" s="442"/>
      <c r="S253" s="442"/>
      <c r="T253" s="442"/>
      <c r="U253" s="442"/>
      <c r="V253" s="442"/>
      <c r="W253" s="442"/>
      <c r="X253" s="442"/>
      <c r="Y253" s="442"/>
      <c r="Z253" s="442"/>
      <c r="AA253" s="442"/>
      <c r="AB253" s="442"/>
      <c r="AC253" s="442"/>
      <c r="AD253" s="440"/>
      <c r="AE253" s="440"/>
      <c r="AF253" s="440"/>
      <c r="AG253" s="440"/>
      <c r="AH253" s="430">
        <f t="shared" si="186"/>
        <v>0</v>
      </c>
      <c r="AI253" s="369">
        <f t="shared" si="187"/>
        <v>0</v>
      </c>
      <c r="AJ253" s="431">
        <f t="shared" si="188"/>
        <v>0</v>
      </c>
      <c r="AK253" s="443">
        <f t="shared" si="189"/>
        <v>0</v>
      </c>
      <c r="AN253" s="431"/>
      <c r="AO253" s="443"/>
      <c r="AQ253" s="429"/>
      <c r="AU253" s="445"/>
      <c r="AV253" s="429"/>
      <c r="AY253" s="446"/>
      <c r="AZ253" s="447"/>
      <c r="BA253" s="448"/>
      <c r="BB253" s="367"/>
      <c r="BC253" s="367"/>
      <c r="BD253" s="485" t="str">
        <f t="shared" si="174"/>
        <v xml:space="preserve"> </v>
      </c>
      <c r="BE253" s="446"/>
      <c r="BF253" s="429"/>
      <c r="BG253" s="446"/>
    </row>
    <row r="254" spans="1:59" x14ac:dyDescent="0.2">
      <c r="A254" s="19"/>
      <c r="B254" s="4" t="s">
        <v>183</v>
      </c>
      <c r="D254" s="449"/>
      <c r="E254" s="450"/>
      <c r="F254" s="440"/>
      <c r="G254" s="440"/>
      <c r="H254" s="440"/>
      <c r="I254" s="440"/>
      <c r="J254" s="440"/>
      <c r="K254" s="441"/>
      <c r="L254" s="440"/>
      <c r="M254" s="440"/>
      <c r="N254" s="440"/>
      <c r="O254" s="440"/>
      <c r="P254" s="442"/>
      <c r="Q254" s="442"/>
      <c r="R254" s="442"/>
      <c r="S254" s="442"/>
      <c r="T254" s="442"/>
      <c r="U254" s="442"/>
      <c r="V254" s="442"/>
      <c r="W254" s="442"/>
      <c r="X254" s="442"/>
      <c r="Y254" s="442"/>
      <c r="Z254" s="442"/>
      <c r="AA254" s="442"/>
      <c r="AB254" s="442"/>
      <c r="AC254" s="442"/>
      <c r="AD254" s="440"/>
      <c r="AE254" s="440"/>
      <c r="AF254" s="440"/>
      <c r="AG254" s="440"/>
      <c r="AH254" s="430">
        <f t="shared" si="186"/>
        <v>0</v>
      </c>
      <c r="AI254" s="369">
        <f t="shared" si="187"/>
        <v>0</v>
      </c>
      <c r="AJ254" s="431">
        <f t="shared" si="188"/>
        <v>0</v>
      </c>
      <c r="AK254" s="443">
        <f t="shared" si="189"/>
        <v>0</v>
      </c>
      <c r="AN254" s="431"/>
      <c r="AO254" s="443"/>
      <c r="AQ254" s="429"/>
      <c r="AT254" s="429"/>
      <c r="AU254" s="445"/>
      <c r="AV254" s="429"/>
      <c r="AY254" s="446"/>
      <c r="AZ254" s="447"/>
      <c r="BA254" s="448"/>
      <c r="BB254" s="367"/>
      <c r="BC254" s="367"/>
      <c r="BD254" s="485" t="str">
        <f t="shared" si="174"/>
        <v xml:space="preserve"> </v>
      </c>
      <c r="BE254" s="446"/>
      <c r="BF254" s="429"/>
      <c r="BG254" s="446"/>
    </row>
    <row r="255" spans="1:59" x14ac:dyDescent="0.2">
      <c r="A255" s="19"/>
      <c r="B255" s="1040" t="s">
        <v>951</v>
      </c>
      <c r="C255" t="s">
        <v>900</v>
      </c>
      <c r="D255" s="449"/>
      <c r="E255" s="450"/>
      <c r="F255" s="440"/>
      <c r="G255" s="440"/>
      <c r="H255" s="440"/>
      <c r="I255" s="440"/>
      <c r="J255" s="440"/>
      <c r="K255" s="441"/>
      <c r="L255" s="440"/>
      <c r="M255" s="440"/>
      <c r="N255" s="440"/>
      <c r="O255" s="440"/>
      <c r="P255" s="442"/>
      <c r="Q255" s="442"/>
      <c r="R255" s="442"/>
      <c r="S255" s="442"/>
      <c r="T255" s="442"/>
      <c r="U255" s="442"/>
      <c r="V255" s="442"/>
      <c r="W255" s="442"/>
      <c r="X255" s="442"/>
      <c r="Y255" s="442"/>
      <c r="Z255" s="442"/>
      <c r="AA255" s="442"/>
      <c r="AB255" s="442"/>
      <c r="AC255" s="442"/>
      <c r="AD255" s="440"/>
      <c r="AE255" s="440"/>
      <c r="AF255" s="440"/>
      <c r="AG255" s="440"/>
      <c r="AH255" s="430">
        <f t="shared" si="186"/>
        <v>0</v>
      </c>
      <c r="AI255" s="369">
        <f t="shared" si="187"/>
        <v>0</v>
      </c>
      <c r="AJ255" s="431">
        <f t="shared" si="188"/>
        <v>0</v>
      </c>
      <c r="AK255" s="443">
        <f t="shared" si="189"/>
        <v>0</v>
      </c>
      <c r="AN255" s="431"/>
      <c r="AO255" s="443">
        <f>'A. Revenue by function'!N125</f>
        <v>0</v>
      </c>
      <c r="AP255" s="444" t="str">
        <f>'C. Other Revenues'!B207</f>
        <v>C.1</v>
      </c>
      <c r="AQ255" s="429">
        <f>'C. Other Revenues'!K222</f>
        <v>0</v>
      </c>
      <c r="AS255" s="444" t="str">
        <f>'C. Other Revenues'!B207</f>
        <v>C.1</v>
      </c>
      <c r="AT255" s="429">
        <f>'C. Other Revenues'!M222</f>
        <v>0</v>
      </c>
      <c r="AU255" s="445"/>
      <c r="AV255" s="429"/>
      <c r="AY255" s="446"/>
      <c r="AZ255" s="447"/>
      <c r="BA255" s="448"/>
      <c r="BB255" s="395">
        <f>ROUND(AJ255+AL255+AN255+AQ255+AV255+AZ255,0)</f>
        <v>0</v>
      </c>
      <c r="BC255" s="395">
        <f>ROUND(AK255+AM255+AO255+AT255+AY255+BA255,0)</f>
        <v>0</v>
      </c>
      <c r="BD255" s="485" t="str">
        <f t="shared" si="174"/>
        <v xml:space="preserve"> </v>
      </c>
      <c r="BE255" s="446">
        <f t="shared" si="175"/>
        <v>0</v>
      </c>
      <c r="BF255" s="429"/>
      <c r="BG255" s="446"/>
    </row>
    <row r="256" spans="1:59" x14ac:dyDescent="0.2">
      <c r="A256" s="19"/>
      <c r="B256" s="1040"/>
      <c r="C256" t="s">
        <v>986</v>
      </c>
      <c r="D256" s="449"/>
      <c r="E256" s="450"/>
      <c r="F256" s="440"/>
      <c r="G256" s="440"/>
      <c r="H256" s="440"/>
      <c r="I256" s="440"/>
      <c r="J256" s="440"/>
      <c r="K256" s="441"/>
      <c r="L256" s="440"/>
      <c r="M256" s="440"/>
      <c r="N256" s="440"/>
      <c r="O256" s="440"/>
      <c r="P256" s="442"/>
      <c r="Q256" s="442"/>
      <c r="R256" s="442"/>
      <c r="S256" s="442"/>
      <c r="T256" s="442"/>
      <c r="U256" s="442"/>
      <c r="V256" s="442"/>
      <c r="W256" s="442"/>
      <c r="X256" s="442"/>
      <c r="Y256" s="442"/>
      <c r="Z256" s="442"/>
      <c r="AA256" s="442"/>
      <c r="AB256" s="442"/>
      <c r="AC256" s="442"/>
      <c r="AD256" s="440"/>
      <c r="AE256" s="440"/>
      <c r="AF256" s="440"/>
      <c r="AG256" s="440"/>
      <c r="AH256" s="430">
        <f t="shared" si="186"/>
        <v>0</v>
      </c>
      <c r="AI256" s="369">
        <f t="shared" si="187"/>
        <v>0</v>
      </c>
      <c r="AJ256" s="431">
        <f t="shared" si="188"/>
        <v>0</v>
      </c>
      <c r="AK256" s="443">
        <f t="shared" si="189"/>
        <v>0</v>
      </c>
      <c r="AN256" s="431"/>
      <c r="AO256" s="443">
        <f>'A. Revenue by function'!N126</f>
        <v>0</v>
      </c>
      <c r="AP256" s="444" t="str">
        <f>'C. Other Revenues'!B207</f>
        <v>C.1</v>
      </c>
      <c r="AQ256" s="429">
        <f>'C. Other Revenues'!K232</f>
        <v>0</v>
      </c>
      <c r="AS256" s="444" t="str">
        <f>'C. Other Revenues'!B207</f>
        <v>C.1</v>
      </c>
      <c r="AT256" s="429">
        <f>'C. Other Revenues'!M232</f>
        <v>0</v>
      </c>
      <c r="AU256" s="445"/>
      <c r="AV256" s="429"/>
      <c r="AX256" s="444" t="str">
        <f>'L. Eliminations-Consolidations'!A243</f>
        <v>L.7</v>
      </c>
      <c r="AY256" s="446">
        <f>'L. Eliminations-Consolidations'!L258</f>
        <v>0</v>
      </c>
      <c r="AZ256" s="447"/>
      <c r="BA256" s="448"/>
      <c r="BB256" s="395">
        <f>ROUND(AJ256+AL256+AN256+AQ256+AV256+AZ256,0)</f>
        <v>0</v>
      </c>
      <c r="BC256" s="395">
        <f>ROUND(AK256+AM256+AO256+AT256+AY256+BA256,0)</f>
        <v>0</v>
      </c>
      <c r="BD256" s="485" t="str">
        <f t="shared" si="174"/>
        <v xml:space="preserve"> </v>
      </c>
      <c r="BE256" s="446">
        <f t="shared" si="175"/>
        <v>0</v>
      </c>
      <c r="BF256" s="429"/>
      <c r="BG256" s="446"/>
    </row>
    <row r="257" spans="1:60" ht="15.75" customHeight="1" x14ac:dyDescent="0.2">
      <c r="A257" s="19"/>
      <c r="B257" s="1040"/>
      <c r="C257" t="s">
        <v>987</v>
      </c>
      <c r="D257" s="449"/>
      <c r="E257" s="450"/>
      <c r="F257" s="440"/>
      <c r="G257" s="440"/>
      <c r="H257" s="440"/>
      <c r="I257" s="440"/>
      <c r="J257" s="440"/>
      <c r="K257" s="441"/>
      <c r="L257" s="440"/>
      <c r="M257" s="440"/>
      <c r="N257" s="440"/>
      <c r="O257" s="440"/>
      <c r="P257" s="442"/>
      <c r="Q257" s="442"/>
      <c r="R257" s="442"/>
      <c r="S257" s="442"/>
      <c r="T257" s="442"/>
      <c r="U257" s="442"/>
      <c r="V257" s="442"/>
      <c r="W257" s="442"/>
      <c r="X257" s="442"/>
      <c r="Y257" s="442"/>
      <c r="Z257" s="442"/>
      <c r="AA257" s="442"/>
      <c r="AB257" s="442"/>
      <c r="AC257" s="442"/>
      <c r="AD257" s="440"/>
      <c r="AE257" s="440"/>
      <c r="AF257" s="440"/>
      <c r="AG257" s="440"/>
      <c r="AH257" s="430">
        <f t="shared" si="186"/>
        <v>0</v>
      </c>
      <c r="AI257" s="369">
        <f t="shared" si="187"/>
        <v>0</v>
      </c>
      <c r="AJ257" s="431">
        <f t="shared" si="188"/>
        <v>0</v>
      </c>
      <c r="AK257" s="443">
        <f t="shared" si="189"/>
        <v>0</v>
      </c>
      <c r="AN257" s="431"/>
      <c r="AO257" s="443">
        <f>'A. Revenue by function'!N127</f>
        <v>0</v>
      </c>
      <c r="AP257" s="444" t="str">
        <f>'C. Other Revenues'!B207</f>
        <v>C.1</v>
      </c>
      <c r="AQ257" s="429">
        <f>'C. Other Revenues'!K242</f>
        <v>0</v>
      </c>
      <c r="AS257" s="444" t="str">
        <f>'C. Other Revenues'!B207</f>
        <v>C.1</v>
      </c>
      <c r="AT257" s="429">
        <f>'C. Other Revenues'!M242</f>
        <v>0</v>
      </c>
      <c r="AU257" s="445"/>
      <c r="AV257" s="429"/>
      <c r="AX257" s="444" t="str">
        <f>'L. Eliminations-Consolidations'!A243</f>
        <v>L.7</v>
      </c>
      <c r="AY257" s="446">
        <f>'L. Eliminations-Consolidations'!L267</f>
        <v>0</v>
      </c>
      <c r="AZ257" s="447"/>
      <c r="BA257" s="448"/>
      <c r="BB257" s="395">
        <f>ROUND(AJ257+AL257+AN257+AQ257+AV257+AZ257,0)</f>
        <v>0</v>
      </c>
      <c r="BC257" s="395">
        <f>ROUND(AK257+AM257+AO257+AT257+AY257+BA257,0)</f>
        <v>0</v>
      </c>
      <c r="BD257" s="485" t="str">
        <f t="shared" si="174"/>
        <v xml:space="preserve"> </v>
      </c>
      <c r="BE257" s="446">
        <f t="shared" si="175"/>
        <v>0</v>
      </c>
      <c r="BF257" s="429"/>
      <c r="BG257" s="446"/>
    </row>
    <row r="258" spans="1:60" x14ac:dyDescent="0.2">
      <c r="A258" s="19"/>
      <c r="D258" s="449"/>
      <c r="E258" s="450"/>
      <c r="F258" s="440"/>
      <c r="G258" s="440"/>
      <c r="H258" s="440"/>
      <c r="I258" s="440"/>
      <c r="J258" s="440"/>
      <c r="K258" s="441"/>
      <c r="L258" s="440"/>
      <c r="M258" s="440"/>
      <c r="N258" s="440"/>
      <c r="O258" s="440"/>
      <c r="P258" s="442"/>
      <c r="Q258" s="442"/>
      <c r="R258" s="442"/>
      <c r="S258" s="442"/>
      <c r="T258" s="442"/>
      <c r="U258" s="442"/>
      <c r="V258" s="442"/>
      <c r="W258" s="442"/>
      <c r="X258" s="442"/>
      <c r="Y258" s="442"/>
      <c r="Z258" s="442"/>
      <c r="AA258" s="442"/>
      <c r="AB258" s="442"/>
      <c r="AC258" s="442"/>
      <c r="AD258" s="440"/>
      <c r="AE258" s="440"/>
      <c r="AF258" s="440"/>
      <c r="AG258" s="440"/>
      <c r="AH258" s="430">
        <f t="shared" si="186"/>
        <v>0</v>
      </c>
      <c r="AI258" s="369">
        <f t="shared" si="187"/>
        <v>0</v>
      </c>
      <c r="AJ258" s="431">
        <f t="shared" si="188"/>
        <v>0</v>
      </c>
      <c r="AK258" s="443">
        <f t="shared" si="189"/>
        <v>0</v>
      </c>
      <c r="AN258" s="431"/>
      <c r="AO258" s="443"/>
      <c r="AQ258" s="429"/>
      <c r="AU258" s="445"/>
      <c r="AV258" s="429"/>
      <c r="AY258" s="446"/>
      <c r="AZ258" s="447"/>
      <c r="BA258" s="448"/>
      <c r="BB258" s="367"/>
      <c r="BC258" s="367"/>
      <c r="BD258" s="485" t="str">
        <f t="shared" si="174"/>
        <v xml:space="preserve"> </v>
      </c>
      <c r="BE258" s="446"/>
      <c r="BF258" s="429"/>
      <c r="BG258" s="446"/>
    </row>
    <row r="259" spans="1:60" x14ac:dyDescent="0.2">
      <c r="A259" s="19"/>
      <c r="B259" s="4" t="s">
        <v>4199</v>
      </c>
      <c r="D259" s="449"/>
      <c r="E259" s="450"/>
      <c r="F259" s="440"/>
      <c r="G259" s="440"/>
      <c r="H259" s="440"/>
      <c r="I259" s="440"/>
      <c r="J259" s="440"/>
      <c r="K259" s="441"/>
      <c r="L259" s="440"/>
      <c r="M259" s="440"/>
      <c r="N259" s="440"/>
      <c r="O259" s="440"/>
      <c r="P259" s="442"/>
      <c r="Q259" s="442"/>
      <c r="R259" s="442"/>
      <c r="S259" s="442"/>
      <c r="T259" s="442"/>
      <c r="U259" s="442"/>
      <c r="V259" s="442"/>
      <c r="W259" s="442"/>
      <c r="X259" s="442"/>
      <c r="Y259" s="442"/>
      <c r="Z259" s="442"/>
      <c r="AA259" s="442"/>
      <c r="AB259" s="442"/>
      <c r="AC259" s="442"/>
      <c r="AD259" s="440"/>
      <c r="AE259" s="440"/>
      <c r="AF259" s="440"/>
      <c r="AG259" s="440"/>
      <c r="AH259" s="430">
        <f t="shared" si="186"/>
        <v>0</v>
      </c>
      <c r="AI259" s="369">
        <f t="shared" si="187"/>
        <v>0</v>
      </c>
      <c r="AJ259" s="431">
        <f t="shared" si="188"/>
        <v>0</v>
      </c>
      <c r="AK259" s="443">
        <f t="shared" si="189"/>
        <v>0</v>
      </c>
      <c r="AN259" s="431"/>
      <c r="AO259" s="443"/>
      <c r="AQ259" s="429"/>
      <c r="AT259" s="429"/>
      <c r="AU259" s="445"/>
      <c r="AV259" s="429"/>
      <c r="AY259" s="446"/>
      <c r="AZ259" s="447"/>
      <c r="BA259" s="448"/>
      <c r="BB259" s="367"/>
      <c r="BC259" s="367"/>
      <c r="BD259" s="485" t="str">
        <f t="shared" si="174"/>
        <v xml:space="preserve"> </v>
      </c>
      <c r="BE259" s="446"/>
      <c r="BF259" s="429"/>
      <c r="BG259" s="446"/>
    </row>
    <row r="260" spans="1:60" x14ac:dyDescent="0.2">
      <c r="A260" s="19"/>
      <c r="B260" s="1040" t="s">
        <v>951</v>
      </c>
      <c r="C260" t="s">
        <v>900</v>
      </c>
      <c r="D260" s="449"/>
      <c r="E260" s="450"/>
      <c r="F260" s="440"/>
      <c r="G260" s="440"/>
      <c r="H260" s="440"/>
      <c r="I260" s="440"/>
      <c r="J260" s="440"/>
      <c r="K260" s="441"/>
      <c r="L260" s="440"/>
      <c r="M260" s="440"/>
      <c r="N260" s="440"/>
      <c r="O260" s="440"/>
      <c r="P260" s="442"/>
      <c r="Q260" s="442"/>
      <c r="R260" s="442"/>
      <c r="S260" s="442"/>
      <c r="T260" s="442"/>
      <c r="U260" s="442"/>
      <c r="V260" s="442"/>
      <c r="W260" s="442"/>
      <c r="X260" s="442"/>
      <c r="Y260" s="442"/>
      <c r="Z260" s="442"/>
      <c r="AA260" s="442"/>
      <c r="AB260" s="442"/>
      <c r="AC260" s="442"/>
      <c r="AD260" s="440"/>
      <c r="AE260" s="440"/>
      <c r="AF260" s="440"/>
      <c r="AG260" s="440"/>
      <c r="AH260" s="430">
        <f t="shared" si="186"/>
        <v>0</v>
      </c>
      <c r="AI260" s="369">
        <f t="shared" si="187"/>
        <v>0</v>
      </c>
      <c r="AJ260" s="431">
        <f t="shared" si="188"/>
        <v>0</v>
      </c>
      <c r="AK260" s="443">
        <f t="shared" si="189"/>
        <v>0</v>
      </c>
      <c r="AN260" s="431"/>
      <c r="AO260" s="985">
        <f>'A. Revenue by function'!H72</f>
        <v>540000</v>
      </c>
      <c r="AP260" s="444" t="str">
        <f>'C. Other Revenues'!B207</f>
        <v>C.1</v>
      </c>
      <c r="AQ260" s="429">
        <f>'C. Other Revenues'!K223</f>
        <v>0</v>
      </c>
      <c r="AS260" s="444" t="str">
        <f>'C. Other Revenues'!B207</f>
        <v>C.1</v>
      </c>
      <c r="AT260" s="996">
        <f>'C. Other Revenues'!M223</f>
        <v>164961</v>
      </c>
      <c r="AU260" s="445"/>
      <c r="AV260" s="429"/>
      <c r="AY260" s="446"/>
      <c r="AZ260" s="447"/>
      <c r="BA260" s="448"/>
      <c r="BB260" s="395">
        <f>ROUND(AJ260+AL260+AN260+AQ260+AV260+AZ260,0)</f>
        <v>0</v>
      </c>
      <c r="BC260" s="395">
        <f>ROUND(AK260+AM260+AO260+AT260+AY260+BA260,0)</f>
        <v>704961</v>
      </c>
      <c r="BD260" s="485" t="str">
        <f t="shared" si="174"/>
        <v xml:space="preserve"> </v>
      </c>
      <c r="BE260" s="446">
        <f t="shared" si="175"/>
        <v>704961</v>
      </c>
      <c r="BF260" s="429"/>
      <c r="BG260" s="446"/>
    </row>
    <row r="261" spans="1:60" x14ac:dyDescent="0.2">
      <c r="A261" s="19"/>
      <c r="B261" s="1040"/>
      <c r="C261" t="s">
        <v>986</v>
      </c>
      <c r="D261" s="449"/>
      <c r="E261" s="450"/>
      <c r="F261" s="440"/>
      <c r="G261" s="440"/>
      <c r="H261" s="440"/>
      <c r="I261" s="440"/>
      <c r="J261" s="440"/>
      <c r="K261" s="441"/>
      <c r="L261" s="440"/>
      <c r="M261" s="440"/>
      <c r="N261" s="440"/>
      <c r="O261" s="440"/>
      <c r="P261" s="442"/>
      <c r="Q261" s="442"/>
      <c r="R261" s="442"/>
      <c r="S261" s="442"/>
      <c r="T261" s="442"/>
      <c r="U261" s="442"/>
      <c r="V261" s="442"/>
      <c r="W261" s="442"/>
      <c r="X261" s="442"/>
      <c r="Y261" s="442"/>
      <c r="Z261" s="442"/>
      <c r="AA261" s="442"/>
      <c r="AB261" s="442"/>
      <c r="AC261" s="442"/>
      <c r="AD261" s="440"/>
      <c r="AE261" s="440"/>
      <c r="AF261" s="440"/>
      <c r="AG261" s="440"/>
      <c r="AH261" s="430">
        <f t="shared" si="186"/>
        <v>0</v>
      </c>
      <c r="AI261" s="369">
        <f t="shared" si="187"/>
        <v>0</v>
      </c>
      <c r="AJ261" s="431">
        <f t="shared" si="188"/>
        <v>0</v>
      </c>
      <c r="AK261" s="443">
        <f t="shared" si="189"/>
        <v>0</v>
      </c>
      <c r="AN261" s="431"/>
      <c r="AO261" s="985">
        <f>'A. Revenue by function'!H73</f>
        <v>13067331</v>
      </c>
      <c r="AP261" s="444" t="str">
        <f>'C. Other Revenues'!B207</f>
        <v>C.1</v>
      </c>
      <c r="AQ261" s="429">
        <f>'C. Other Revenues'!K233</f>
        <v>0</v>
      </c>
      <c r="AS261" s="444" t="str">
        <f>'C. Other Revenues'!B207</f>
        <v>C.1</v>
      </c>
      <c r="AT261" s="429">
        <f>'C. Other Revenues'!M233</f>
        <v>0</v>
      </c>
      <c r="AU261" s="445"/>
      <c r="AV261" s="429"/>
      <c r="AX261" s="444" t="str">
        <f>'L. Eliminations-Consolidations'!A243</f>
        <v>L.7</v>
      </c>
      <c r="AY261" s="446">
        <f>'L. Eliminations-Consolidations'!L259</f>
        <v>0</v>
      </c>
      <c r="AZ261" s="447"/>
      <c r="BA261" s="448"/>
      <c r="BB261" s="395">
        <f>ROUND(AJ261+AL261+AN261+AQ261+AV261+AZ261,0)</f>
        <v>0</v>
      </c>
      <c r="BC261" s="395">
        <f>ROUND(AK261+AM261+AO261+AT261+AY261+BA261,0)</f>
        <v>13067331</v>
      </c>
      <c r="BD261" s="485" t="str">
        <f t="shared" si="174"/>
        <v xml:space="preserve"> </v>
      </c>
      <c r="BE261" s="446">
        <f t="shared" si="175"/>
        <v>13067331</v>
      </c>
      <c r="BF261" s="429"/>
      <c r="BG261" s="446"/>
    </row>
    <row r="262" spans="1:60" ht="15.75" customHeight="1" x14ac:dyDescent="0.2">
      <c r="A262" s="19"/>
      <c r="B262" s="1040"/>
      <c r="C262" t="s">
        <v>987</v>
      </c>
      <c r="D262" s="449"/>
      <c r="E262" s="450"/>
      <c r="F262" s="440"/>
      <c r="G262" s="440"/>
      <c r="H262" s="440"/>
      <c r="I262" s="440"/>
      <c r="J262" s="440"/>
      <c r="K262" s="441"/>
      <c r="L262" s="440"/>
      <c r="M262" s="440"/>
      <c r="N262" s="440"/>
      <c r="O262" s="440"/>
      <c r="P262" s="442"/>
      <c r="Q262" s="442"/>
      <c r="R262" s="442"/>
      <c r="S262" s="442"/>
      <c r="T262" s="442"/>
      <c r="U262" s="442"/>
      <c r="V262" s="442"/>
      <c r="W262" s="442"/>
      <c r="X262" s="442"/>
      <c r="Y262" s="442"/>
      <c r="Z262" s="442"/>
      <c r="AA262" s="442"/>
      <c r="AB262" s="442"/>
      <c r="AC262" s="442"/>
      <c r="AD262" s="440"/>
      <c r="AE262" s="440"/>
      <c r="AF262" s="440"/>
      <c r="AG262" s="440"/>
      <c r="AH262" s="430">
        <f t="shared" si="186"/>
        <v>0</v>
      </c>
      <c r="AI262" s="369">
        <f t="shared" si="187"/>
        <v>0</v>
      </c>
      <c r="AJ262" s="431">
        <f t="shared" si="188"/>
        <v>0</v>
      </c>
      <c r="AK262" s="443">
        <f t="shared" si="189"/>
        <v>0</v>
      </c>
      <c r="AN262" s="431"/>
      <c r="AO262" s="443">
        <f>'A. Revenue by function'!H74</f>
        <v>0</v>
      </c>
      <c r="AP262" s="444" t="str">
        <f>'C. Other Revenues'!B207</f>
        <v>C.1</v>
      </c>
      <c r="AQ262" s="429">
        <f>'C. Other Revenues'!K243</f>
        <v>0</v>
      </c>
      <c r="AS262" s="444" t="str">
        <f>'C. Other Revenues'!B207</f>
        <v>C.1</v>
      </c>
      <c r="AT262" s="429">
        <f>'C. Other Revenues'!M243</f>
        <v>0</v>
      </c>
      <c r="AU262" s="445"/>
      <c r="AV262" s="429"/>
      <c r="AX262" s="444" t="str">
        <f>'L. Eliminations-Consolidations'!A243</f>
        <v>L.7</v>
      </c>
      <c r="AY262" s="446">
        <f>'L. Eliminations-Consolidations'!L268</f>
        <v>0</v>
      </c>
      <c r="AZ262" s="447"/>
      <c r="BA262" s="448"/>
      <c r="BB262" s="395">
        <f>ROUND(AJ262+AL262+AN262+AQ262+AV262+AZ262,0)</f>
        <v>0</v>
      </c>
      <c r="BC262" s="395">
        <f>ROUND(AK262+AM262+AO262+AT262+AY262+BA262,0)</f>
        <v>0</v>
      </c>
      <c r="BD262" s="485" t="str">
        <f t="shared" si="174"/>
        <v xml:space="preserve"> </v>
      </c>
      <c r="BE262" s="446">
        <f t="shared" si="175"/>
        <v>0</v>
      </c>
      <c r="BF262" s="429"/>
      <c r="BG262" s="446"/>
    </row>
    <row r="263" spans="1:60" x14ac:dyDescent="0.2">
      <c r="A263" s="19"/>
      <c r="D263" s="449"/>
      <c r="E263" s="450"/>
      <c r="F263" s="440"/>
      <c r="G263" s="440"/>
      <c r="H263" s="440"/>
      <c r="I263" s="440"/>
      <c r="J263" s="440"/>
      <c r="K263" s="441"/>
      <c r="L263" s="440"/>
      <c r="M263" s="440"/>
      <c r="N263" s="440"/>
      <c r="O263" s="440"/>
      <c r="P263" s="442"/>
      <c r="Q263" s="442"/>
      <c r="R263" s="442"/>
      <c r="S263" s="442"/>
      <c r="T263" s="442"/>
      <c r="U263" s="442"/>
      <c r="V263" s="442"/>
      <c r="W263" s="442"/>
      <c r="X263" s="442"/>
      <c r="Y263" s="442"/>
      <c r="Z263" s="442"/>
      <c r="AA263" s="442"/>
      <c r="AB263" s="442"/>
      <c r="AC263" s="442"/>
      <c r="AD263" s="440"/>
      <c r="AE263" s="440"/>
      <c r="AF263" s="440"/>
      <c r="AG263" s="440"/>
      <c r="AH263" s="430">
        <f t="shared" si="186"/>
        <v>0</v>
      </c>
      <c r="AI263" s="369">
        <f t="shared" si="187"/>
        <v>0</v>
      </c>
      <c r="AJ263" s="431">
        <f t="shared" si="188"/>
        <v>0</v>
      </c>
      <c r="AK263" s="443">
        <f t="shared" si="189"/>
        <v>0</v>
      </c>
      <c r="AN263" s="431"/>
      <c r="AO263" s="443"/>
      <c r="AQ263" s="429"/>
      <c r="AT263" s="429"/>
      <c r="AU263" s="445"/>
      <c r="AV263" s="429"/>
      <c r="AY263" s="446"/>
      <c r="AZ263" s="447"/>
      <c r="BA263" s="448"/>
      <c r="BB263" s="367"/>
      <c r="BC263" s="367"/>
      <c r="BD263" s="485" t="str">
        <f t="shared" si="174"/>
        <v xml:space="preserve"> </v>
      </c>
      <c r="BE263" s="446"/>
      <c r="BF263" s="429"/>
      <c r="BG263" s="446"/>
    </row>
    <row r="264" spans="1:60" x14ac:dyDescent="0.2">
      <c r="A264" s="19"/>
      <c r="B264" s="4" t="s">
        <v>130</v>
      </c>
      <c r="D264" s="449"/>
      <c r="E264" s="450"/>
      <c r="F264" s="440"/>
      <c r="G264" s="440"/>
      <c r="H264" s="440"/>
      <c r="I264" s="440"/>
      <c r="J264" s="440"/>
      <c r="K264" s="441"/>
      <c r="L264" s="440"/>
      <c r="M264" s="440"/>
      <c r="N264" s="440"/>
      <c r="O264" s="440"/>
      <c r="P264" s="442"/>
      <c r="Q264" s="442"/>
      <c r="R264" s="442"/>
      <c r="S264" s="442"/>
      <c r="T264" s="442"/>
      <c r="U264" s="442"/>
      <c r="V264" s="442"/>
      <c r="W264" s="442"/>
      <c r="X264" s="442"/>
      <c r="Y264" s="442"/>
      <c r="Z264" s="442"/>
      <c r="AA264" s="442"/>
      <c r="AB264" s="442"/>
      <c r="AC264" s="442"/>
      <c r="AD264" s="440"/>
      <c r="AE264" s="440"/>
      <c r="AF264" s="440"/>
      <c r="AG264" s="440"/>
      <c r="AH264" s="430">
        <f t="shared" si="186"/>
        <v>0</v>
      </c>
      <c r="AI264" s="369">
        <f t="shared" si="187"/>
        <v>0</v>
      </c>
      <c r="AJ264" s="431">
        <f t="shared" si="188"/>
        <v>0</v>
      </c>
      <c r="AK264" s="443">
        <f t="shared" si="189"/>
        <v>0</v>
      </c>
      <c r="AN264" s="431"/>
      <c r="AO264" s="443"/>
      <c r="AQ264" s="429"/>
      <c r="AT264" s="429"/>
      <c r="AU264" s="445"/>
      <c r="AV264" s="429"/>
      <c r="AY264" s="446"/>
      <c r="AZ264" s="447"/>
      <c r="BA264" s="448"/>
      <c r="BB264" s="367"/>
      <c r="BC264" s="367"/>
      <c r="BD264" s="485" t="str">
        <f t="shared" si="174"/>
        <v xml:space="preserve"> </v>
      </c>
      <c r="BE264" s="446"/>
      <c r="BF264" s="429"/>
      <c r="BG264" s="446"/>
    </row>
    <row r="265" spans="1:60" x14ac:dyDescent="0.2">
      <c r="A265" s="19"/>
      <c r="B265" s="1040" t="s">
        <v>951</v>
      </c>
      <c r="C265" t="s">
        <v>900</v>
      </c>
      <c r="D265" s="449"/>
      <c r="E265" s="450"/>
      <c r="F265" s="440"/>
      <c r="G265" s="440"/>
      <c r="H265" s="440"/>
      <c r="I265" s="440"/>
      <c r="J265" s="440"/>
      <c r="K265" s="441"/>
      <c r="L265" s="440"/>
      <c r="M265" s="440"/>
      <c r="N265" s="440"/>
      <c r="O265" s="440"/>
      <c r="P265" s="442"/>
      <c r="Q265" s="442"/>
      <c r="R265" s="442"/>
      <c r="S265" s="442"/>
      <c r="T265" s="442"/>
      <c r="U265" s="442"/>
      <c r="V265" s="442"/>
      <c r="W265" s="442"/>
      <c r="X265" s="442"/>
      <c r="Y265" s="442"/>
      <c r="Z265" s="442"/>
      <c r="AA265" s="442"/>
      <c r="AB265" s="442"/>
      <c r="AC265" s="442"/>
      <c r="AD265" s="440"/>
      <c r="AE265" s="440"/>
      <c r="AF265" s="440"/>
      <c r="AG265" s="440"/>
      <c r="AH265" s="430">
        <f t="shared" si="186"/>
        <v>0</v>
      </c>
      <c r="AI265" s="369">
        <f t="shared" si="187"/>
        <v>0</v>
      </c>
      <c r="AJ265" s="431">
        <f t="shared" si="188"/>
        <v>0</v>
      </c>
      <c r="AK265" s="443">
        <f t="shared" si="189"/>
        <v>0</v>
      </c>
      <c r="AN265" s="431"/>
      <c r="AO265" s="985">
        <f>'A. Revenue by function'!N131</f>
        <v>204991</v>
      </c>
      <c r="AP265" s="444" t="str">
        <f>'C. Other Revenues'!B207</f>
        <v>C.1</v>
      </c>
      <c r="AQ265" s="429">
        <f>'C. Other Revenues'!K224</f>
        <v>0</v>
      </c>
      <c r="AS265" s="444" t="str">
        <f>'C. Other Revenues'!B207</f>
        <v>C.1</v>
      </c>
      <c r="AT265" s="429">
        <f>'C. Other Revenues'!M224</f>
        <v>0</v>
      </c>
      <c r="AU265" s="445"/>
      <c r="AV265" s="429"/>
      <c r="AY265" s="446"/>
      <c r="AZ265" s="447"/>
      <c r="BA265" s="448"/>
      <c r="BB265" s="395">
        <f>ROUND(AJ265+AL265+AN265+AQ265+AV265+AZ265,0)</f>
        <v>0</v>
      </c>
      <c r="BC265" s="395">
        <f>ROUND(AK265+AM265+AO265+AT265+AY265+BA265,0)</f>
        <v>204991</v>
      </c>
      <c r="BD265" s="485" t="str">
        <f t="shared" si="174"/>
        <v xml:space="preserve"> </v>
      </c>
      <c r="BE265" s="446">
        <f t="shared" si="175"/>
        <v>204991</v>
      </c>
      <c r="BF265" s="429"/>
      <c r="BG265" s="446"/>
    </row>
    <row r="266" spans="1:60" x14ac:dyDescent="0.2">
      <c r="A266" s="19"/>
      <c r="B266" s="1040"/>
      <c r="C266" t="s">
        <v>986</v>
      </c>
      <c r="D266" s="449"/>
      <c r="E266" s="450"/>
      <c r="F266" s="440"/>
      <c r="G266" s="440"/>
      <c r="H266" s="440"/>
      <c r="I266" s="440"/>
      <c r="J266" s="440"/>
      <c r="K266" s="441"/>
      <c r="L266" s="440"/>
      <c r="M266" s="440"/>
      <c r="N266" s="440"/>
      <c r="O266" s="440"/>
      <c r="P266" s="442"/>
      <c r="Q266" s="442"/>
      <c r="R266" s="442"/>
      <c r="S266" s="442"/>
      <c r="T266" s="442"/>
      <c r="U266" s="442"/>
      <c r="V266" s="442"/>
      <c r="W266" s="442"/>
      <c r="X266" s="442"/>
      <c r="Y266" s="442"/>
      <c r="Z266" s="442"/>
      <c r="AA266" s="442"/>
      <c r="AB266" s="442"/>
      <c r="AC266" s="442"/>
      <c r="AD266" s="440"/>
      <c r="AE266" s="440"/>
      <c r="AF266" s="440"/>
      <c r="AG266" s="440"/>
      <c r="AH266" s="430">
        <f t="shared" si="186"/>
        <v>0</v>
      </c>
      <c r="AI266" s="369">
        <f t="shared" si="187"/>
        <v>0</v>
      </c>
      <c r="AJ266" s="431">
        <f t="shared" si="188"/>
        <v>0</v>
      </c>
      <c r="AK266" s="443">
        <f t="shared" si="189"/>
        <v>0</v>
      </c>
      <c r="AN266" s="431"/>
      <c r="AO266" s="985">
        <f>'A. Revenue by function'!N132</f>
        <v>0</v>
      </c>
      <c r="AP266" s="444" t="str">
        <f>'C. Other Revenues'!B207</f>
        <v>C.1</v>
      </c>
      <c r="AQ266" s="429">
        <f>'C. Other Revenues'!K234</f>
        <v>0</v>
      </c>
      <c r="AS266" s="444" t="str">
        <f>'C. Other Revenues'!B207</f>
        <v>C.1</v>
      </c>
      <c r="AT266" s="429">
        <f>'C. Other Revenues'!M234</f>
        <v>0</v>
      </c>
      <c r="AU266" s="445"/>
      <c r="AV266" s="429"/>
      <c r="AX266" s="444" t="str">
        <f>'L. Eliminations-Consolidations'!A243</f>
        <v>L.7</v>
      </c>
      <c r="AY266" s="446">
        <f>'L. Eliminations-Consolidations'!L260</f>
        <v>0</v>
      </c>
      <c r="AZ266" s="447"/>
      <c r="BA266" s="448"/>
      <c r="BB266" s="395">
        <f>ROUND(AJ266+AL266+AN266+AQ266+AV266+AZ266,0)</f>
        <v>0</v>
      </c>
      <c r="BC266" s="395">
        <f>ROUND(AK266+AM266+AO266+AT266+AY266+BA266,0)</f>
        <v>0</v>
      </c>
      <c r="BD266" s="485" t="str">
        <f t="shared" si="174"/>
        <v xml:space="preserve"> </v>
      </c>
      <c r="BE266" s="446">
        <f t="shared" si="175"/>
        <v>0</v>
      </c>
      <c r="BF266" s="429"/>
      <c r="BG266" s="446"/>
    </row>
    <row r="267" spans="1:60" ht="15" customHeight="1" x14ac:dyDescent="0.2">
      <c r="A267" s="19"/>
      <c r="B267" s="1040"/>
      <c r="C267" t="s">
        <v>987</v>
      </c>
      <c r="D267" s="449"/>
      <c r="E267" s="450"/>
      <c r="F267" s="440"/>
      <c r="G267" s="440"/>
      <c r="H267" s="440"/>
      <c r="I267" s="440"/>
      <c r="J267" s="440"/>
      <c r="K267" s="441"/>
      <c r="L267" s="440"/>
      <c r="M267" s="440"/>
      <c r="N267" s="440"/>
      <c r="O267" s="440"/>
      <c r="P267" s="442"/>
      <c r="Q267" s="442"/>
      <c r="R267" s="442"/>
      <c r="S267" s="442"/>
      <c r="T267" s="442"/>
      <c r="U267" s="442"/>
      <c r="V267" s="442"/>
      <c r="W267" s="442"/>
      <c r="X267" s="442"/>
      <c r="Y267" s="442"/>
      <c r="Z267" s="442"/>
      <c r="AA267" s="442"/>
      <c r="AB267" s="442"/>
      <c r="AC267" s="442"/>
      <c r="AD267" s="440"/>
      <c r="AE267" s="440"/>
      <c r="AF267" s="440"/>
      <c r="AG267" s="440"/>
      <c r="AH267" s="430">
        <f t="shared" si="186"/>
        <v>0</v>
      </c>
      <c r="AI267" s="369">
        <f t="shared" si="187"/>
        <v>0</v>
      </c>
      <c r="AJ267" s="431">
        <f t="shared" si="188"/>
        <v>0</v>
      </c>
      <c r="AK267" s="443">
        <f t="shared" si="189"/>
        <v>0</v>
      </c>
      <c r="AN267" s="431"/>
      <c r="AO267" s="985">
        <f>'A. Revenue by function'!N133</f>
        <v>102832</v>
      </c>
      <c r="AP267" s="444" t="str">
        <f>'C. Other Revenues'!B207</f>
        <v>C.1</v>
      </c>
      <c r="AQ267" s="429">
        <f>'C. Other Revenues'!K244</f>
        <v>0</v>
      </c>
      <c r="AS267" s="444" t="str">
        <f>'C. Other Revenues'!B207</f>
        <v>C.1</v>
      </c>
      <c r="AT267" s="429">
        <f>'C. Other Revenues'!M244</f>
        <v>0</v>
      </c>
      <c r="AU267" s="445"/>
      <c r="AV267" s="429"/>
      <c r="AX267" s="444" t="str">
        <f>'L. Eliminations-Consolidations'!A243</f>
        <v>L.7</v>
      </c>
      <c r="AY267" s="446">
        <f>'L. Eliminations-Consolidations'!L269</f>
        <v>0</v>
      </c>
      <c r="AZ267" s="447"/>
      <c r="BA267" s="448"/>
      <c r="BB267" s="395">
        <f>ROUND(AJ267+AL267+AN267+AQ267+AV267+AZ267,0)</f>
        <v>0</v>
      </c>
      <c r="BC267" s="395">
        <f>ROUND(AK267+AM267+AO267+AT267+AY267+BA267,0)</f>
        <v>102832</v>
      </c>
      <c r="BD267" s="485" t="str">
        <f t="shared" si="174"/>
        <v xml:space="preserve"> </v>
      </c>
      <c r="BE267" s="446">
        <f t="shared" si="175"/>
        <v>102832</v>
      </c>
      <c r="BF267" s="429"/>
      <c r="BG267" s="446"/>
      <c r="BH267" s="937"/>
    </row>
    <row r="268" spans="1:60" ht="12.75" customHeight="1" x14ac:dyDescent="0.2">
      <c r="A268" s="19"/>
      <c r="B268" s="220"/>
      <c r="D268" s="449"/>
      <c r="E268" s="450"/>
      <c r="F268" s="440"/>
      <c r="G268" s="440"/>
      <c r="H268" s="440"/>
      <c r="I268" s="440"/>
      <c r="J268" s="440"/>
      <c r="K268" s="441"/>
      <c r="L268" s="440"/>
      <c r="M268" s="440"/>
      <c r="N268" s="440"/>
      <c r="O268" s="440"/>
      <c r="P268" s="442"/>
      <c r="Q268" s="442"/>
      <c r="R268" s="442"/>
      <c r="S268" s="442"/>
      <c r="T268" s="442"/>
      <c r="U268" s="442"/>
      <c r="V268" s="442"/>
      <c r="W268" s="442"/>
      <c r="X268" s="442"/>
      <c r="Y268" s="442"/>
      <c r="Z268" s="442"/>
      <c r="AA268" s="442"/>
      <c r="AB268" s="442"/>
      <c r="AC268" s="442"/>
      <c r="AD268" s="440"/>
      <c r="AE268" s="440"/>
      <c r="AF268" s="440"/>
      <c r="AG268" s="440"/>
      <c r="AH268" s="430">
        <f t="shared" si="186"/>
        <v>0</v>
      </c>
      <c r="AI268" s="369">
        <f t="shared" si="187"/>
        <v>0</v>
      </c>
      <c r="AJ268" s="431">
        <f t="shared" si="188"/>
        <v>0</v>
      </c>
      <c r="AK268" s="443">
        <f t="shared" si="189"/>
        <v>0</v>
      </c>
      <c r="AN268" s="431"/>
      <c r="AO268" s="443"/>
      <c r="AQ268" s="429"/>
      <c r="AU268" s="445"/>
      <c r="AV268" s="429"/>
      <c r="AY268" s="446"/>
      <c r="AZ268" s="447"/>
      <c r="BA268" s="448"/>
      <c r="BB268" s="367"/>
      <c r="BC268" s="367"/>
      <c r="BD268" s="485" t="str">
        <f t="shared" si="174"/>
        <v xml:space="preserve"> </v>
      </c>
      <c r="BE268" s="446"/>
      <c r="BF268" s="429"/>
      <c r="BG268" s="446"/>
    </row>
    <row r="269" spans="1:60" ht="15" customHeight="1" x14ac:dyDescent="0.2">
      <c r="A269" s="19"/>
      <c r="B269" s="4" t="s">
        <v>172</v>
      </c>
      <c r="D269" s="449"/>
      <c r="E269" s="450"/>
      <c r="F269" s="440"/>
      <c r="G269" s="440"/>
      <c r="H269" s="440"/>
      <c r="I269" s="440"/>
      <c r="J269" s="440"/>
      <c r="K269" s="441"/>
      <c r="L269" s="440"/>
      <c r="M269" s="440"/>
      <c r="N269" s="440"/>
      <c r="O269" s="440"/>
      <c r="P269" s="442"/>
      <c r="Q269" s="442"/>
      <c r="R269" s="442"/>
      <c r="S269" s="442"/>
      <c r="T269" s="442"/>
      <c r="U269" s="442"/>
      <c r="V269" s="442"/>
      <c r="W269" s="442"/>
      <c r="X269" s="442"/>
      <c r="Y269" s="442"/>
      <c r="Z269" s="442"/>
      <c r="AA269" s="442"/>
      <c r="AB269" s="442"/>
      <c r="AC269" s="442"/>
      <c r="AD269" s="440"/>
      <c r="AE269" s="440"/>
      <c r="AF269" s="440"/>
      <c r="AG269" s="440"/>
      <c r="AH269" s="430">
        <f t="shared" si="186"/>
        <v>0</v>
      </c>
      <c r="AI269" s="369">
        <f t="shared" si="187"/>
        <v>0</v>
      </c>
      <c r="AJ269" s="431">
        <f t="shared" si="188"/>
        <v>0</v>
      </c>
      <c r="AK269" s="443">
        <f t="shared" si="189"/>
        <v>0</v>
      </c>
      <c r="AN269" s="431"/>
      <c r="AO269" s="443"/>
      <c r="AQ269" s="429"/>
      <c r="AT269" s="429"/>
      <c r="AU269" s="445"/>
      <c r="AV269" s="429"/>
      <c r="AY269" s="446"/>
      <c r="AZ269" s="447"/>
      <c r="BA269" s="448"/>
      <c r="BB269" s="367"/>
      <c r="BC269" s="367"/>
      <c r="BD269" s="485" t="str">
        <f t="shared" si="174"/>
        <v xml:space="preserve"> </v>
      </c>
      <c r="BE269" s="446"/>
      <c r="BF269" s="429"/>
      <c r="BG269" s="446"/>
    </row>
    <row r="270" spans="1:60" ht="15" customHeight="1" x14ac:dyDescent="0.2">
      <c r="A270" s="19"/>
      <c r="B270" s="1040" t="s">
        <v>951</v>
      </c>
      <c r="C270" t="s">
        <v>900</v>
      </c>
      <c r="D270" s="449"/>
      <c r="E270" s="450"/>
      <c r="F270" s="440"/>
      <c r="G270" s="440"/>
      <c r="H270" s="440"/>
      <c r="I270" s="440"/>
      <c r="J270" s="440"/>
      <c r="K270" s="441"/>
      <c r="L270" s="440"/>
      <c r="M270" s="440"/>
      <c r="N270" s="440"/>
      <c r="O270" s="440"/>
      <c r="P270" s="442"/>
      <c r="Q270" s="442"/>
      <c r="R270" s="442"/>
      <c r="S270" s="442"/>
      <c r="T270" s="442"/>
      <c r="U270" s="442"/>
      <c r="V270" s="442"/>
      <c r="W270" s="442"/>
      <c r="X270" s="442"/>
      <c r="Y270" s="442"/>
      <c r="Z270" s="442"/>
      <c r="AA270" s="442"/>
      <c r="AB270" s="442"/>
      <c r="AC270" s="442"/>
      <c r="AD270" s="440"/>
      <c r="AE270" s="440"/>
      <c r="AF270" s="440"/>
      <c r="AG270" s="440"/>
      <c r="AH270" s="430">
        <f t="shared" si="186"/>
        <v>0</v>
      </c>
      <c r="AI270" s="369">
        <f t="shared" si="187"/>
        <v>0</v>
      </c>
      <c r="AJ270" s="431">
        <f t="shared" si="188"/>
        <v>0</v>
      </c>
      <c r="AK270" s="443">
        <f t="shared" si="189"/>
        <v>0</v>
      </c>
      <c r="AN270" s="431"/>
      <c r="AO270" s="443">
        <f>'A. Revenue by function'!N134</f>
        <v>0</v>
      </c>
      <c r="AP270" s="444" t="str">
        <f>'C. Other Revenues'!B207</f>
        <v>C.1</v>
      </c>
      <c r="AQ270" s="429">
        <f>'C. Other Revenues'!K225</f>
        <v>0</v>
      </c>
      <c r="AS270" s="444" t="str">
        <f>'C. Other Revenues'!B207</f>
        <v>C.1</v>
      </c>
      <c r="AT270" s="429">
        <f>'C. Other Revenues'!M225</f>
        <v>0</v>
      </c>
      <c r="AU270" s="445"/>
      <c r="AV270" s="429"/>
      <c r="AY270" s="446"/>
      <c r="AZ270" s="447"/>
      <c r="BA270" s="448"/>
      <c r="BB270" s="395">
        <f>ROUND(AJ270+AL270+AN270+AQ270+AV270+AZ270,0)</f>
        <v>0</v>
      </c>
      <c r="BC270" s="395">
        <f>ROUND(AK270+AM270+AO270+AT270+AY270+BA270,0)</f>
        <v>0</v>
      </c>
      <c r="BD270" s="485" t="str">
        <f t="shared" si="174"/>
        <v xml:space="preserve"> </v>
      </c>
      <c r="BE270" s="446">
        <f t="shared" si="175"/>
        <v>0</v>
      </c>
      <c r="BF270" s="429"/>
      <c r="BG270" s="446"/>
    </row>
    <row r="271" spans="1:60" ht="15" customHeight="1" x14ac:dyDescent="0.2">
      <c r="A271" s="19"/>
      <c r="B271" s="1040"/>
      <c r="C271" t="s">
        <v>986</v>
      </c>
      <c r="D271" s="449"/>
      <c r="E271" s="450"/>
      <c r="F271" s="440"/>
      <c r="G271" s="440"/>
      <c r="H271" s="440"/>
      <c r="I271" s="440"/>
      <c r="J271" s="440"/>
      <c r="K271" s="441"/>
      <c r="L271" s="440"/>
      <c r="M271" s="440"/>
      <c r="N271" s="440"/>
      <c r="O271" s="440"/>
      <c r="P271" s="442"/>
      <c r="Q271" s="442"/>
      <c r="R271" s="442"/>
      <c r="S271" s="442"/>
      <c r="T271" s="442"/>
      <c r="U271" s="442"/>
      <c r="V271" s="442"/>
      <c r="W271" s="442"/>
      <c r="X271" s="442"/>
      <c r="Y271" s="442"/>
      <c r="Z271" s="442"/>
      <c r="AA271" s="442"/>
      <c r="AB271" s="442"/>
      <c r="AC271" s="442"/>
      <c r="AD271" s="440"/>
      <c r="AE271" s="440"/>
      <c r="AF271" s="440"/>
      <c r="AG271" s="440"/>
      <c r="AH271" s="430">
        <f t="shared" si="186"/>
        <v>0</v>
      </c>
      <c r="AI271" s="369">
        <f t="shared" si="187"/>
        <v>0</v>
      </c>
      <c r="AJ271" s="431">
        <f t="shared" si="188"/>
        <v>0</v>
      </c>
      <c r="AK271" s="443">
        <f t="shared" si="189"/>
        <v>0</v>
      </c>
      <c r="AN271" s="431"/>
      <c r="AO271" s="443">
        <f>'A. Revenue by function'!N135</f>
        <v>0</v>
      </c>
      <c r="AP271" s="444" t="str">
        <f>'C. Other Revenues'!B207</f>
        <v>C.1</v>
      </c>
      <c r="AQ271" s="429">
        <f>'C. Other Revenues'!K235</f>
        <v>0</v>
      </c>
      <c r="AS271" s="444" t="str">
        <f>'C. Other Revenues'!B207</f>
        <v>C.1</v>
      </c>
      <c r="AT271" s="429">
        <f>'C. Other Revenues'!M235</f>
        <v>0</v>
      </c>
      <c r="AU271" s="445"/>
      <c r="AV271" s="429"/>
      <c r="AX271" s="444" t="str">
        <f>'L. Eliminations-Consolidations'!A243</f>
        <v>L.7</v>
      </c>
      <c r="AY271" s="446">
        <f>'L. Eliminations-Consolidations'!L261</f>
        <v>0</v>
      </c>
      <c r="AZ271" s="447"/>
      <c r="BA271" s="448"/>
      <c r="BB271" s="395">
        <f>ROUND(AJ271+AL271+AN271+AQ271+AV271+AZ271,0)</f>
        <v>0</v>
      </c>
      <c r="BC271" s="395">
        <f>ROUND(AK271+AM271+AO271+AT271+AY271+BA271,0)</f>
        <v>0</v>
      </c>
      <c r="BD271" s="485" t="str">
        <f t="shared" si="174"/>
        <v xml:space="preserve"> </v>
      </c>
      <c r="BE271" s="446">
        <f t="shared" si="175"/>
        <v>0</v>
      </c>
      <c r="BF271" s="429"/>
      <c r="BG271" s="446"/>
    </row>
    <row r="272" spans="1:60" ht="15" customHeight="1" x14ac:dyDescent="0.2">
      <c r="A272" s="19"/>
      <c r="B272" s="1040"/>
      <c r="C272" t="s">
        <v>987</v>
      </c>
      <c r="D272" s="449"/>
      <c r="E272" s="450"/>
      <c r="F272" s="440"/>
      <c r="G272" s="440"/>
      <c r="H272" s="440"/>
      <c r="I272" s="440"/>
      <c r="J272" s="440"/>
      <c r="K272" s="441"/>
      <c r="L272" s="440"/>
      <c r="M272" s="440"/>
      <c r="N272" s="440"/>
      <c r="O272" s="440"/>
      <c r="P272" s="442"/>
      <c r="Q272" s="442"/>
      <c r="R272" s="442"/>
      <c r="S272" s="442"/>
      <c r="T272" s="442"/>
      <c r="U272" s="442"/>
      <c r="V272" s="442"/>
      <c r="W272" s="442"/>
      <c r="X272" s="442"/>
      <c r="Y272" s="442"/>
      <c r="Z272" s="442"/>
      <c r="AA272" s="442"/>
      <c r="AB272" s="442"/>
      <c r="AC272" s="442"/>
      <c r="AD272" s="440"/>
      <c r="AE272" s="440"/>
      <c r="AF272" s="440"/>
      <c r="AG272" s="440"/>
      <c r="AH272" s="430">
        <f t="shared" si="186"/>
        <v>0</v>
      </c>
      <c r="AI272" s="369">
        <f t="shared" si="187"/>
        <v>0</v>
      </c>
      <c r="AJ272" s="431">
        <f t="shared" si="188"/>
        <v>0</v>
      </c>
      <c r="AK272" s="443">
        <f t="shared" si="189"/>
        <v>0</v>
      </c>
      <c r="AN272" s="431"/>
      <c r="AO272" s="985">
        <f>'A. Revenue by function'!N136</f>
        <v>721066</v>
      </c>
      <c r="AP272" s="444" t="str">
        <f>'C. Other Revenues'!B207</f>
        <v>C.1</v>
      </c>
      <c r="AQ272" s="429">
        <f>'C. Other Revenues'!K245</f>
        <v>0</v>
      </c>
      <c r="AS272" s="444" t="str">
        <f>'C. Other Revenues'!B207</f>
        <v>C.1</v>
      </c>
      <c r="AT272" s="429">
        <f>'C. Other Revenues'!M245</f>
        <v>0</v>
      </c>
      <c r="AU272" s="445"/>
      <c r="AV272" s="429"/>
      <c r="AX272" s="444" t="str">
        <f>'L. Eliminations-Consolidations'!A243</f>
        <v>L.7</v>
      </c>
      <c r="AY272" s="446">
        <f>'L. Eliminations-Consolidations'!L270</f>
        <v>0</v>
      </c>
      <c r="AZ272" s="447"/>
      <c r="BA272" s="448"/>
      <c r="BB272" s="395">
        <f>ROUND(AJ272+AL272+AN272+AQ272+AV272+AZ272,0)</f>
        <v>0</v>
      </c>
      <c r="BC272" s="395">
        <f>ROUND(AK272+AM272+AO272+AT272+AY272+BA272,0)</f>
        <v>721066</v>
      </c>
      <c r="BD272" s="485" t="str">
        <f t="shared" si="174"/>
        <v xml:space="preserve"> </v>
      </c>
      <c r="BE272" s="446">
        <f t="shared" si="175"/>
        <v>721066</v>
      </c>
      <c r="BF272" s="429"/>
      <c r="BG272" s="446"/>
    </row>
    <row r="273" spans="1:61" ht="12.75" customHeight="1" x14ac:dyDescent="0.2">
      <c r="A273" s="19"/>
      <c r="B273" s="220"/>
      <c r="D273" s="449"/>
      <c r="E273" s="450"/>
      <c r="F273" s="440"/>
      <c r="G273" s="440"/>
      <c r="H273" s="440"/>
      <c r="I273" s="440"/>
      <c r="J273" s="440"/>
      <c r="K273" s="441"/>
      <c r="L273" s="440"/>
      <c r="M273" s="440"/>
      <c r="N273" s="440"/>
      <c r="O273" s="440"/>
      <c r="P273" s="442"/>
      <c r="Q273" s="442"/>
      <c r="R273" s="442"/>
      <c r="S273" s="442"/>
      <c r="T273" s="442"/>
      <c r="U273" s="442"/>
      <c r="V273" s="442"/>
      <c r="W273" s="442"/>
      <c r="X273" s="442"/>
      <c r="Y273" s="442"/>
      <c r="Z273" s="442"/>
      <c r="AA273" s="442"/>
      <c r="AB273" s="442"/>
      <c r="AC273" s="442"/>
      <c r="AD273" s="440"/>
      <c r="AE273" s="440"/>
      <c r="AF273" s="440"/>
      <c r="AG273" s="440"/>
      <c r="AH273" s="430">
        <f t="shared" si="186"/>
        <v>0</v>
      </c>
      <c r="AI273" s="369">
        <f t="shared" si="187"/>
        <v>0</v>
      </c>
      <c r="AJ273" s="431">
        <f t="shared" si="188"/>
        <v>0</v>
      </c>
      <c r="AK273" s="443">
        <f t="shared" si="189"/>
        <v>0</v>
      </c>
      <c r="AN273" s="431"/>
      <c r="AO273" s="443"/>
      <c r="AQ273" s="429"/>
      <c r="AU273" s="445"/>
      <c r="AV273" s="429"/>
      <c r="AY273" s="446"/>
      <c r="AZ273" s="447"/>
      <c r="BA273" s="448"/>
      <c r="BB273" s="367"/>
      <c r="BC273" s="367"/>
      <c r="BD273" s="485" t="str">
        <f t="shared" si="174"/>
        <v xml:space="preserve"> </v>
      </c>
      <c r="BE273" s="446"/>
      <c r="BF273" s="429"/>
      <c r="BG273" s="446"/>
    </row>
    <row r="274" spans="1:61" ht="15" customHeight="1" x14ac:dyDescent="0.2">
      <c r="A274" s="19"/>
      <c r="B274" s="317" t="s">
        <v>726</v>
      </c>
      <c r="D274" s="449"/>
      <c r="E274" s="450"/>
      <c r="F274" s="440"/>
      <c r="G274" s="440"/>
      <c r="H274" s="440"/>
      <c r="I274" s="440"/>
      <c r="J274" s="440"/>
      <c r="K274" s="441"/>
      <c r="L274" s="440"/>
      <c r="M274" s="440"/>
      <c r="N274" s="440"/>
      <c r="O274" s="440"/>
      <c r="P274" s="442"/>
      <c r="Q274" s="442"/>
      <c r="R274" s="442"/>
      <c r="S274" s="442"/>
      <c r="T274" s="442"/>
      <c r="U274" s="442"/>
      <c r="V274" s="442"/>
      <c r="W274" s="442"/>
      <c r="X274" s="442"/>
      <c r="Y274" s="442"/>
      <c r="Z274" s="442"/>
      <c r="AA274" s="442"/>
      <c r="AB274" s="442"/>
      <c r="AC274" s="442"/>
      <c r="AD274" s="440"/>
      <c r="AE274" s="440"/>
      <c r="AF274" s="440"/>
      <c r="AG274" s="440"/>
      <c r="AH274" s="430">
        <f t="shared" si="186"/>
        <v>0</v>
      </c>
      <c r="AI274" s="369">
        <f t="shared" si="187"/>
        <v>0</v>
      </c>
      <c r="AJ274" s="431">
        <f t="shared" si="188"/>
        <v>0</v>
      </c>
      <c r="AK274" s="443">
        <f t="shared" si="189"/>
        <v>0</v>
      </c>
      <c r="AN274" s="431"/>
      <c r="AO274" s="443"/>
      <c r="AQ274" s="429"/>
      <c r="AT274" s="429"/>
      <c r="AU274" s="445"/>
      <c r="AV274" s="429"/>
      <c r="AY274" s="446"/>
      <c r="AZ274" s="447"/>
      <c r="BA274" s="448"/>
      <c r="BB274" s="367"/>
      <c r="BC274" s="367"/>
      <c r="BD274" s="485" t="str">
        <f t="shared" si="174"/>
        <v xml:space="preserve"> </v>
      </c>
      <c r="BE274" s="446"/>
      <c r="BF274" s="429"/>
      <c r="BG274" s="446"/>
    </row>
    <row r="275" spans="1:61" ht="14.25" customHeight="1" x14ac:dyDescent="0.2">
      <c r="A275" s="19"/>
      <c r="B275" s="1040" t="s">
        <v>951</v>
      </c>
      <c r="C275" t="s">
        <v>900</v>
      </c>
      <c r="D275" s="449"/>
      <c r="E275" s="450"/>
      <c r="F275" s="440"/>
      <c r="G275" s="440"/>
      <c r="H275" s="440"/>
      <c r="I275" s="440"/>
      <c r="J275" s="440"/>
      <c r="K275" s="441"/>
      <c r="L275" s="440"/>
      <c r="M275" s="440"/>
      <c r="N275" s="440"/>
      <c r="O275" s="440"/>
      <c r="P275" s="442"/>
      <c r="Q275" s="442"/>
      <c r="R275" s="442"/>
      <c r="S275" s="442"/>
      <c r="T275" s="442"/>
      <c r="U275" s="442"/>
      <c r="V275" s="442"/>
      <c r="W275" s="442"/>
      <c r="X275" s="442"/>
      <c r="Y275" s="442"/>
      <c r="Z275" s="442"/>
      <c r="AA275" s="442"/>
      <c r="AB275" s="442"/>
      <c r="AC275" s="442"/>
      <c r="AD275" s="440"/>
      <c r="AE275" s="440"/>
      <c r="AF275" s="440"/>
      <c r="AG275" s="440"/>
      <c r="AH275" s="430">
        <f t="shared" si="186"/>
        <v>0</v>
      </c>
      <c r="AI275" s="369">
        <f t="shared" si="187"/>
        <v>0</v>
      </c>
      <c r="AJ275" s="431">
        <f t="shared" si="188"/>
        <v>0</v>
      </c>
      <c r="AK275" s="443">
        <f t="shared" si="189"/>
        <v>0</v>
      </c>
      <c r="AN275" s="431"/>
      <c r="AO275" s="443">
        <f>'A. Revenue by function'!N137</f>
        <v>0</v>
      </c>
      <c r="AP275" s="444" t="str">
        <f>'C. Other Revenues'!B207</f>
        <v>C.1</v>
      </c>
      <c r="AQ275" s="429">
        <f>'C. Other Revenues'!K226</f>
        <v>0</v>
      </c>
      <c r="AS275" s="444" t="str">
        <f>'C. Other Revenues'!B207</f>
        <v>C.1</v>
      </c>
      <c r="AT275" s="429">
        <f>'C. Other Revenues'!M226</f>
        <v>0</v>
      </c>
      <c r="AU275" s="445"/>
      <c r="AV275" s="429"/>
      <c r="AY275" s="446"/>
      <c r="AZ275" s="447"/>
      <c r="BA275" s="448"/>
      <c r="BB275" s="395">
        <f>ROUND(AJ275+AL275+AN275+AQ275+AV275+AZ275,0)</f>
        <v>0</v>
      </c>
      <c r="BC275" s="395">
        <f>ROUND(AK275+AM275+AO275+AT275+AY275+BA275,0)</f>
        <v>0</v>
      </c>
      <c r="BD275" s="485" t="str">
        <f t="shared" si="174"/>
        <v xml:space="preserve"> </v>
      </c>
      <c r="BE275" s="446">
        <f t="shared" si="175"/>
        <v>0</v>
      </c>
      <c r="BF275" s="429"/>
      <c r="BG275" s="446"/>
    </row>
    <row r="276" spans="1:61" ht="15" customHeight="1" x14ac:dyDescent="0.2">
      <c r="A276" s="19"/>
      <c r="B276" s="1040"/>
      <c r="C276" t="s">
        <v>986</v>
      </c>
      <c r="D276" s="449"/>
      <c r="E276" s="450"/>
      <c r="F276" s="440"/>
      <c r="G276" s="440"/>
      <c r="H276" s="440"/>
      <c r="I276" s="440"/>
      <c r="J276" s="440"/>
      <c r="K276" s="441"/>
      <c r="L276" s="440"/>
      <c r="M276" s="440"/>
      <c r="N276" s="440"/>
      <c r="O276" s="440"/>
      <c r="P276" s="442"/>
      <c r="Q276" s="442"/>
      <c r="R276" s="442"/>
      <c r="S276" s="442"/>
      <c r="T276" s="442"/>
      <c r="U276" s="442"/>
      <c r="V276" s="442"/>
      <c r="W276" s="442"/>
      <c r="X276" s="442"/>
      <c r="Y276" s="442"/>
      <c r="Z276" s="442"/>
      <c r="AA276" s="442"/>
      <c r="AB276" s="442"/>
      <c r="AC276" s="442"/>
      <c r="AD276" s="440"/>
      <c r="AE276" s="440"/>
      <c r="AF276" s="440"/>
      <c r="AG276" s="440"/>
      <c r="AH276" s="430">
        <f t="shared" si="186"/>
        <v>0</v>
      </c>
      <c r="AI276" s="369">
        <f t="shared" si="187"/>
        <v>0</v>
      </c>
      <c r="AJ276" s="431">
        <f t="shared" si="188"/>
        <v>0</v>
      </c>
      <c r="AK276" s="443">
        <f t="shared" si="189"/>
        <v>0</v>
      </c>
      <c r="AN276" s="431"/>
      <c r="AO276" s="443">
        <f>'A. Revenue by function'!N138</f>
        <v>0</v>
      </c>
      <c r="AP276" s="444" t="str">
        <f>'C. Other Revenues'!B207</f>
        <v>C.1</v>
      </c>
      <c r="AQ276" s="429">
        <f>'C. Other Revenues'!K236</f>
        <v>0</v>
      </c>
      <c r="AS276" s="444" t="str">
        <f>'C. Other Revenues'!B207</f>
        <v>C.1</v>
      </c>
      <c r="AT276" s="429">
        <f>'C. Other Revenues'!M236</f>
        <v>0</v>
      </c>
      <c r="AU276" s="445"/>
      <c r="AV276" s="429"/>
      <c r="AX276" s="444" t="str">
        <f>'L. Eliminations-Consolidations'!A243</f>
        <v>L.7</v>
      </c>
      <c r="AY276" s="446">
        <f>'L. Eliminations-Consolidations'!L262</f>
        <v>0</v>
      </c>
      <c r="AZ276" s="447"/>
      <c r="BA276" s="448"/>
      <c r="BB276" s="395">
        <f>ROUND(AJ276+AL276+AN276+AQ276+AV276+AZ276,0)</f>
        <v>0</v>
      </c>
      <c r="BC276" s="395">
        <f>ROUND(AK276+AM276+AO276+AT276+AY276+BA276,0)</f>
        <v>0</v>
      </c>
      <c r="BD276" s="485" t="str">
        <f t="shared" si="174"/>
        <v xml:space="preserve"> </v>
      </c>
      <c r="BE276" s="446">
        <f t="shared" si="175"/>
        <v>0</v>
      </c>
      <c r="BF276" s="429"/>
      <c r="BG276" s="446"/>
    </row>
    <row r="277" spans="1:61" ht="15" customHeight="1" x14ac:dyDescent="0.2">
      <c r="A277" s="19"/>
      <c r="B277" s="1040"/>
      <c r="C277" t="s">
        <v>987</v>
      </c>
      <c r="D277" s="449"/>
      <c r="E277" s="450"/>
      <c r="F277" s="440"/>
      <c r="G277" s="440"/>
      <c r="H277" s="440"/>
      <c r="I277" s="440"/>
      <c r="J277" s="440"/>
      <c r="K277" s="441"/>
      <c r="L277" s="440"/>
      <c r="M277" s="440"/>
      <c r="N277" s="440"/>
      <c r="O277" s="440"/>
      <c r="P277" s="442"/>
      <c r="Q277" s="442"/>
      <c r="R277" s="442"/>
      <c r="S277" s="442"/>
      <c r="T277" s="442"/>
      <c r="U277" s="442"/>
      <c r="V277" s="442"/>
      <c r="W277" s="442"/>
      <c r="X277" s="442"/>
      <c r="Y277" s="442"/>
      <c r="Z277" s="442"/>
      <c r="AA277" s="442"/>
      <c r="AB277" s="442"/>
      <c r="AC277" s="442"/>
      <c r="AD277" s="440"/>
      <c r="AE277" s="440"/>
      <c r="AF277" s="440"/>
      <c r="AG277" s="440"/>
      <c r="AH277" s="430">
        <f t="shared" si="186"/>
        <v>0</v>
      </c>
      <c r="AI277" s="369">
        <f t="shared" si="187"/>
        <v>0</v>
      </c>
      <c r="AJ277" s="431">
        <f t="shared" si="188"/>
        <v>0</v>
      </c>
      <c r="AK277" s="443">
        <f t="shared" si="189"/>
        <v>0</v>
      </c>
      <c r="AN277" s="431"/>
      <c r="AO277" s="443">
        <f>'A. Revenue by function'!N139</f>
        <v>0</v>
      </c>
      <c r="AP277" s="444" t="str">
        <f>'C. Other Revenues'!B207</f>
        <v>C.1</v>
      </c>
      <c r="AQ277" s="429">
        <f>'C. Other Revenues'!K246</f>
        <v>0</v>
      </c>
      <c r="AS277" s="444" t="str">
        <f>'C. Other Revenues'!B207</f>
        <v>C.1</v>
      </c>
      <c r="AT277" s="429">
        <f>'C. Other Revenues'!M246</f>
        <v>0</v>
      </c>
      <c r="AU277" s="445"/>
      <c r="AV277" s="429"/>
      <c r="AX277" s="444" t="str">
        <f>'L. Eliminations-Consolidations'!A243</f>
        <v>L.7</v>
      </c>
      <c r="AY277" s="446">
        <f>'L. Eliminations-Consolidations'!L271</f>
        <v>0</v>
      </c>
      <c r="AZ277" s="447"/>
      <c r="BA277" s="448"/>
      <c r="BB277" s="395">
        <f>ROUND(AJ277+AL277+AN277+AQ277+AV277+AZ277,0)</f>
        <v>0</v>
      </c>
      <c r="BC277" s="395">
        <f>ROUND(AK277+AM277+AO277+AT277+AY277+BA277,0)</f>
        <v>0</v>
      </c>
      <c r="BD277" s="485" t="str">
        <f t="shared" si="174"/>
        <v xml:space="preserve"> </v>
      </c>
      <c r="BE277" s="446">
        <f t="shared" si="175"/>
        <v>0</v>
      </c>
      <c r="BF277" s="429"/>
      <c r="BG277" s="446"/>
    </row>
    <row r="278" spans="1:61" ht="15" customHeight="1" x14ac:dyDescent="0.2">
      <c r="A278" s="19"/>
      <c r="B278" s="220"/>
      <c r="D278" s="449"/>
      <c r="E278" s="450"/>
      <c r="F278" s="440"/>
      <c r="G278" s="440"/>
      <c r="H278" s="440"/>
      <c r="I278" s="440"/>
      <c r="J278" s="440"/>
      <c r="K278" s="441"/>
      <c r="L278" s="440"/>
      <c r="M278" s="440"/>
      <c r="N278" s="440"/>
      <c r="O278" s="440"/>
      <c r="P278" s="442"/>
      <c r="Q278" s="442"/>
      <c r="R278" s="442"/>
      <c r="S278" s="442"/>
      <c r="T278" s="442"/>
      <c r="U278" s="442"/>
      <c r="V278" s="442"/>
      <c r="W278" s="442"/>
      <c r="X278" s="442"/>
      <c r="Y278" s="442"/>
      <c r="Z278" s="442"/>
      <c r="AA278" s="442"/>
      <c r="AB278" s="442"/>
      <c r="AC278" s="442"/>
      <c r="AD278" s="440"/>
      <c r="AE278" s="440"/>
      <c r="AF278" s="440"/>
      <c r="AG278" s="440"/>
      <c r="AH278" s="430">
        <f t="shared" si="186"/>
        <v>0</v>
      </c>
      <c r="AI278" s="369">
        <f t="shared" si="187"/>
        <v>0</v>
      </c>
      <c r="AJ278" s="431">
        <f t="shared" si="188"/>
        <v>0</v>
      </c>
      <c r="AK278" s="443">
        <f t="shared" si="189"/>
        <v>0</v>
      </c>
      <c r="AN278" s="431"/>
      <c r="AO278" s="443"/>
      <c r="AQ278" s="429"/>
      <c r="AU278" s="445"/>
      <c r="AV278" s="429"/>
      <c r="AY278" s="446"/>
      <c r="AZ278" s="447"/>
      <c r="BA278" s="448"/>
      <c r="BB278" s="367"/>
      <c r="BC278" s="367"/>
      <c r="BD278" s="485" t="str">
        <f t="shared" si="174"/>
        <v xml:space="preserve"> </v>
      </c>
      <c r="BE278" s="446"/>
      <c r="BF278" s="429"/>
      <c r="BG278" s="446"/>
      <c r="BI278" s="946"/>
    </row>
    <row r="279" spans="1:61" ht="18" customHeight="1" x14ac:dyDescent="0.2">
      <c r="A279" s="1039" t="s">
        <v>722</v>
      </c>
      <c r="B279" s="1037"/>
      <c r="C279" s="1038"/>
      <c r="D279" s="449"/>
      <c r="E279" s="450"/>
      <c r="F279" s="369"/>
      <c r="G279" s="440"/>
      <c r="H279" s="440"/>
      <c r="I279" s="440"/>
      <c r="J279" s="440"/>
      <c r="K279" s="441"/>
      <c r="L279" s="440"/>
      <c r="M279" s="440"/>
      <c r="N279" s="440"/>
      <c r="O279" s="440"/>
      <c r="P279" s="442"/>
      <c r="Q279" s="442"/>
      <c r="R279" s="442"/>
      <c r="S279" s="442"/>
      <c r="T279" s="442"/>
      <c r="U279" s="442"/>
      <c r="V279" s="442"/>
      <c r="W279" s="442"/>
      <c r="X279" s="442"/>
      <c r="Y279" s="442"/>
      <c r="Z279" s="442"/>
      <c r="AA279" s="442"/>
      <c r="AB279" s="442"/>
      <c r="AC279" s="442"/>
      <c r="AD279" s="440"/>
      <c r="AE279" s="440"/>
      <c r="AF279" s="440"/>
      <c r="AG279" s="440"/>
      <c r="AH279" s="430">
        <f t="shared" si="186"/>
        <v>0</v>
      </c>
      <c r="AI279" s="369">
        <f t="shared" si="187"/>
        <v>0</v>
      </c>
      <c r="AJ279" s="431">
        <f t="shared" si="188"/>
        <v>0</v>
      </c>
      <c r="AK279" s="443">
        <f t="shared" si="189"/>
        <v>0</v>
      </c>
      <c r="AN279" s="431"/>
      <c r="AO279" s="443"/>
      <c r="AQ279" s="429">
        <f>AQ281+AQ294+AQ295+AQ307+AQ316+AQ317+AQ336+AQ337+AQ346+AQ347+AQ358</f>
        <v>3041936</v>
      </c>
      <c r="AT279" s="429">
        <f>AT281+AT283+AT294+AT295+AT307+AT316+AT317+AT336+AT337+AT346+AT347+AT376+AT377</f>
        <v>3398996</v>
      </c>
      <c r="AU279" s="445"/>
      <c r="AV279" s="429"/>
      <c r="AY279" s="446"/>
      <c r="AZ279" s="447"/>
      <c r="BA279" s="448"/>
      <c r="BB279" s="367"/>
      <c r="BC279" s="367"/>
      <c r="BD279" s="485" t="str">
        <f t="shared" si="174"/>
        <v xml:space="preserve"> </v>
      </c>
      <c r="BE279" s="446"/>
      <c r="BF279" s="429"/>
      <c r="BG279" s="446"/>
      <c r="BI279" s="946"/>
    </row>
    <row r="280" spans="1:61" ht="9" customHeight="1" x14ac:dyDescent="0.2">
      <c r="A280" s="223"/>
      <c r="B280" s="4"/>
      <c r="C280" s="332"/>
      <c r="D280" s="449"/>
      <c r="E280" s="450"/>
      <c r="F280" s="369"/>
      <c r="G280" s="440"/>
      <c r="H280" s="440"/>
      <c r="I280" s="440"/>
      <c r="J280" s="440"/>
      <c r="K280" s="441"/>
      <c r="L280" s="440"/>
      <c r="M280" s="440"/>
      <c r="N280" s="440"/>
      <c r="O280" s="440"/>
      <c r="P280" s="442"/>
      <c r="Q280" s="442"/>
      <c r="R280" s="442"/>
      <c r="S280" s="442"/>
      <c r="T280" s="442"/>
      <c r="U280" s="442"/>
      <c r="V280" s="442"/>
      <c r="W280" s="442"/>
      <c r="X280" s="442"/>
      <c r="Y280" s="442"/>
      <c r="Z280" s="442"/>
      <c r="AA280" s="442"/>
      <c r="AB280" s="442"/>
      <c r="AC280" s="442"/>
      <c r="AD280" s="440"/>
      <c r="AE280" s="440"/>
      <c r="AF280" s="440"/>
      <c r="AG280" s="440"/>
      <c r="AH280" s="430">
        <f t="shared" si="186"/>
        <v>0</v>
      </c>
      <c r="AI280" s="369">
        <f t="shared" si="187"/>
        <v>0</v>
      </c>
      <c r="AJ280" s="431">
        <f t="shared" si="188"/>
        <v>0</v>
      </c>
      <c r="AK280" s="443">
        <f t="shared" si="189"/>
        <v>0</v>
      </c>
      <c r="AN280" s="431"/>
      <c r="AO280" s="443"/>
      <c r="AQ280" s="429"/>
      <c r="AT280" s="429"/>
      <c r="AU280" s="445"/>
      <c r="AV280" s="429"/>
      <c r="AY280" s="446"/>
      <c r="AZ280" s="447"/>
      <c r="BA280" s="448"/>
      <c r="BB280" s="367"/>
      <c r="BC280" s="367"/>
      <c r="BD280" s="485" t="str">
        <f t="shared" si="174"/>
        <v xml:space="preserve"> </v>
      </c>
      <c r="BE280" s="446"/>
      <c r="BF280" s="429"/>
      <c r="BG280" s="446"/>
      <c r="BI280" s="946"/>
    </row>
    <row r="281" spans="1:61" x14ac:dyDescent="0.2">
      <c r="A281" s="19"/>
      <c r="B281" s="224" t="s">
        <v>899</v>
      </c>
      <c r="C281" s="204"/>
      <c r="D281" s="456">
        <f>7821696+4000+1221075+48781</f>
        <v>9095552</v>
      </c>
      <c r="E281" s="457"/>
      <c r="F281" s="458">
        <v>2260000</v>
      </c>
      <c r="G281" s="458"/>
      <c r="H281" s="458"/>
      <c r="I281" s="458"/>
      <c r="J281" s="458"/>
      <c r="K281" s="459"/>
      <c r="L281" s="458"/>
      <c r="M281" s="458"/>
      <c r="N281" s="458"/>
      <c r="O281" s="458"/>
      <c r="P281" s="460"/>
      <c r="Q281" s="460"/>
      <c r="R281" s="460"/>
      <c r="S281" s="460"/>
      <c r="T281" s="460">
        <v>12600</v>
      </c>
      <c r="U281" s="460"/>
      <c r="V281" s="460">
        <v>482577</v>
      </c>
      <c r="W281" s="460"/>
      <c r="X281" s="460"/>
      <c r="Y281" s="460"/>
      <c r="Z281" s="460"/>
      <c r="AA281" s="460"/>
      <c r="AB281" s="460"/>
      <c r="AC281" s="460"/>
      <c r="AD281" s="458"/>
      <c r="AE281" s="458"/>
      <c r="AF281" s="458"/>
      <c r="AG281" s="458"/>
      <c r="AH281" s="461">
        <f t="shared" ref="AH281:AH285" si="190">L281+N281+P281+R281+T281+V281+X281+Z281+AB281+AD281+AF281</f>
        <v>495177</v>
      </c>
      <c r="AI281" s="462">
        <f t="shared" ref="AI281:AI285" si="191">M281+O281+Q281+S281+U281+W281+Y281+AA281+AC281+AE281+AG281</f>
        <v>0</v>
      </c>
      <c r="AJ281" s="463">
        <f t="shared" si="188"/>
        <v>11850729</v>
      </c>
      <c r="AK281" s="464">
        <f t="shared" si="189"/>
        <v>0</v>
      </c>
      <c r="AL281" s="462"/>
      <c r="AM281" s="462"/>
      <c r="AN281" s="463"/>
      <c r="AO281" s="464"/>
      <c r="AP281" s="465" t="str">
        <f>'D. Depreciation'!A55</f>
        <v>D.1</v>
      </c>
      <c r="AQ281" s="367">
        <f>'D. Depreciation'!J55</f>
        <v>292806</v>
      </c>
      <c r="AR281" s="462"/>
      <c r="AS281" s="465" t="str">
        <f>'E. Capital Outlay'!D54</f>
        <v>E.1</v>
      </c>
      <c r="AT281" s="367">
        <f>'E. Capital Outlay'!N65</f>
        <v>0</v>
      </c>
      <c r="AU281" s="469" t="s">
        <v>634</v>
      </c>
      <c r="AV281" s="466">
        <f>'K.1  Int. Service Fd Allocation'!E204+'K.2  Int. Service Fd Alloca'!E199+'K.3 Int. Service Fd Alloca'!E199</f>
        <v>0</v>
      </c>
      <c r="AW281" s="462"/>
      <c r="AX281" s="470" t="s">
        <v>634</v>
      </c>
      <c r="AY281" s="466">
        <f>'K.1  Int. Service Fd Allocation'!G209+'K.2  Int. Service Fd Alloca'!G204+'K.3 Int. Service Fd Alloca'!G204</f>
        <v>0</v>
      </c>
      <c r="AZ281" s="471"/>
      <c r="BA281" s="448"/>
      <c r="BB281" s="466">
        <f>ROUND(AJ281+AL281+AN281+AQ281+AV281+AZ281,0)</f>
        <v>12143535</v>
      </c>
      <c r="BC281" s="466">
        <f t="shared" ref="BC281:BC287" si="192">ROUND(AK281+AM281+AO281+AT281+AY281+BA281,0)</f>
        <v>0</v>
      </c>
      <c r="BD281" s="967">
        <f>IF((SUM(BB281:BB292))-(SUM(BC281:BC292))&lt;=0," ",(SUM(BB281:BB292))-(SUM(BC281:BC292)))</f>
        <v>16591352</v>
      </c>
      <c r="BE281" s="468" t="str">
        <f>IF((SUM(BB281:BB292))-(SUM(BC281:BC292))&gt;0," ",-(SUM(BB281:BB292))+(SUM(BC281:BC292)))</f>
        <v xml:space="preserve"> </v>
      </c>
      <c r="BG281" s="446"/>
      <c r="BH281" s="941"/>
    </row>
    <row r="282" spans="1:61" x14ac:dyDescent="0.2">
      <c r="A282" s="19"/>
      <c r="B282" s="224"/>
      <c r="C282" s="204"/>
      <c r="D282" s="456"/>
      <c r="E282" s="457"/>
      <c r="F282" s="458"/>
      <c r="G282" s="458"/>
      <c r="H282" s="458"/>
      <c r="I282" s="458"/>
      <c r="J282" s="458"/>
      <c r="K282" s="459"/>
      <c r="L282" s="458"/>
      <c r="M282" s="458"/>
      <c r="N282" s="458"/>
      <c r="O282" s="458"/>
      <c r="P282" s="460"/>
      <c r="Q282" s="460"/>
      <c r="R282" s="460"/>
      <c r="S282" s="460"/>
      <c r="T282" s="460"/>
      <c r="U282" s="460"/>
      <c r="V282" s="460"/>
      <c r="W282" s="460"/>
      <c r="X282" s="460"/>
      <c r="Y282" s="460"/>
      <c r="Z282" s="460"/>
      <c r="AA282" s="460"/>
      <c r="AB282" s="460"/>
      <c r="AC282" s="460"/>
      <c r="AD282" s="458"/>
      <c r="AE282" s="458"/>
      <c r="AF282" s="458"/>
      <c r="AG282" s="458"/>
      <c r="AH282" s="461">
        <f t="shared" si="190"/>
        <v>0</v>
      </c>
      <c r="AI282" s="462">
        <f t="shared" si="191"/>
        <v>0</v>
      </c>
      <c r="AJ282" s="463">
        <f t="shared" si="188"/>
        <v>0</v>
      </c>
      <c r="AK282" s="464">
        <f t="shared" si="189"/>
        <v>0</v>
      </c>
      <c r="AL282" s="462"/>
      <c r="AM282" s="462"/>
      <c r="AN282" s="463"/>
      <c r="AO282" s="464"/>
      <c r="AP282" s="465" t="str">
        <f>'F.  Other Cap Asset Entries'!D220</f>
        <v>F.1</v>
      </c>
      <c r="AQ282" s="997">
        <f>'F.  Other Cap Asset Entries'!M230</f>
        <v>0</v>
      </c>
      <c r="AR282" s="998"/>
      <c r="AS282" s="999" t="str">
        <f>'I.  Other Asset Entries'!B108</f>
        <v>I.1</v>
      </c>
      <c r="AT282" s="367">
        <f>'I.  Other Asset Entries'!N113</f>
        <v>50000</v>
      </c>
      <c r="AU282" s="467" t="str">
        <f>'L. Eliminations-Consolidations'!A243</f>
        <v>L.7</v>
      </c>
      <c r="AV282" s="466">
        <f>'L. Eliminations-Consolidations'!J243</f>
        <v>0</v>
      </c>
      <c r="AW282" s="462"/>
      <c r="AX282" s="465" t="str">
        <f>'L. Eliminations-Consolidations'!A219</f>
        <v>L.5</v>
      </c>
      <c r="AY282" s="468">
        <f>'L. Eliminations-Consolidations'!L221</f>
        <v>0</v>
      </c>
      <c r="AZ282" s="447"/>
      <c r="BA282" s="448"/>
      <c r="BB282" s="466">
        <f t="shared" ref="BB282:BB287" si="193">ROUND(AJ282+AL282+AN282+AQ282+AV282+AZ282,0)</f>
        <v>0</v>
      </c>
      <c r="BC282" s="466">
        <f t="shared" si="192"/>
        <v>50000</v>
      </c>
      <c r="BD282" s="486"/>
      <c r="BE282" s="468"/>
      <c r="BF282" s="429"/>
      <c r="BG282" s="446"/>
      <c r="BI282" s="946"/>
    </row>
    <row r="283" spans="1:61" x14ac:dyDescent="0.2">
      <c r="A283" s="19"/>
      <c r="B283" s="224"/>
      <c r="C283" s="204"/>
      <c r="D283" s="456"/>
      <c r="E283" s="457"/>
      <c r="F283" s="458"/>
      <c r="G283" s="458"/>
      <c r="H283" s="458"/>
      <c r="I283" s="458"/>
      <c r="J283" s="458"/>
      <c r="K283" s="459"/>
      <c r="L283" s="458"/>
      <c r="M283" s="458"/>
      <c r="N283" s="458"/>
      <c r="O283" s="458"/>
      <c r="P283" s="460"/>
      <c r="Q283" s="460"/>
      <c r="R283" s="460"/>
      <c r="S283" s="460"/>
      <c r="T283" s="460"/>
      <c r="U283" s="460"/>
      <c r="V283" s="460"/>
      <c r="W283" s="460"/>
      <c r="X283" s="460"/>
      <c r="Y283" s="460"/>
      <c r="Z283" s="460"/>
      <c r="AA283" s="460"/>
      <c r="AB283" s="460"/>
      <c r="AC283" s="460"/>
      <c r="AD283" s="458"/>
      <c r="AE283" s="458"/>
      <c r="AF283" s="458"/>
      <c r="AG283" s="458"/>
      <c r="AH283" s="461">
        <f t="shared" si="190"/>
        <v>0</v>
      </c>
      <c r="AI283" s="462">
        <f t="shared" si="191"/>
        <v>0</v>
      </c>
      <c r="AJ283" s="463">
        <f t="shared" si="188"/>
        <v>0</v>
      </c>
      <c r="AK283" s="464">
        <f t="shared" si="189"/>
        <v>0</v>
      </c>
      <c r="AL283" s="462"/>
      <c r="AM283" s="462"/>
      <c r="AN283" s="463"/>
      <c r="AO283" s="464"/>
      <c r="AP283" s="465" t="str">
        <f>'H. Debt Issues'!D78</f>
        <v>H.1</v>
      </c>
      <c r="AQ283" s="367">
        <f>'H. Debt Issues'!L86</f>
        <v>65000</v>
      </c>
      <c r="AR283" s="998"/>
      <c r="AS283" s="1000" t="str">
        <f>'J. Other Liability &amp; Expenses'!D203</f>
        <v>J.1</v>
      </c>
      <c r="AT283" s="367">
        <f>'J. Other Liability &amp; Expenses'!N203</f>
        <v>1167439</v>
      </c>
      <c r="AU283" s="467" t="str">
        <f>'L. Eliminations-Consolidations'!B273</f>
        <v>L.8</v>
      </c>
      <c r="AV283" s="466">
        <f>'L. Eliminations-Consolidations'!J274</f>
        <v>0</v>
      </c>
      <c r="AW283" s="462"/>
      <c r="AX283" s="465" t="str">
        <f>'L. Eliminations-Consolidations'!B273</f>
        <v>L.8</v>
      </c>
      <c r="AY283" s="468">
        <f>'L. Eliminations-Consolidations'!L274</f>
        <v>0</v>
      </c>
      <c r="AZ283" s="447"/>
      <c r="BA283" s="448"/>
      <c r="BB283" s="466">
        <f t="shared" si="193"/>
        <v>65000</v>
      </c>
      <c r="BC283" s="466">
        <f t="shared" si="192"/>
        <v>1167439</v>
      </c>
      <c r="BD283" s="486"/>
      <c r="BE283" s="468"/>
      <c r="BF283" s="429"/>
      <c r="BG283" s="446"/>
      <c r="BI283" s="946"/>
    </row>
    <row r="284" spans="1:61" x14ac:dyDescent="0.2">
      <c r="A284" s="19"/>
      <c r="B284" s="224"/>
      <c r="C284" s="204"/>
      <c r="D284" s="456"/>
      <c r="E284" s="457"/>
      <c r="F284" s="458"/>
      <c r="G284" s="458"/>
      <c r="H284" s="458"/>
      <c r="I284" s="458"/>
      <c r="J284" s="458"/>
      <c r="K284" s="459"/>
      <c r="L284" s="458"/>
      <c r="M284" s="458"/>
      <c r="N284" s="458"/>
      <c r="O284" s="458"/>
      <c r="P284" s="460"/>
      <c r="Q284" s="460"/>
      <c r="R284" s="460"/>
      <c r="S284" s="460"/>
      <c r="T284" s="460"/>
      <c r="U284" s="460"/>
      <c r="V284" s="460"/>
      <c r="W284" s="460"/>
      <c r="X284" s="460"/>
      <c r="Y284" s="460"/>
      <c r="Z284" s="460"/>
      <c r="AA284" s="460"/>
      <c r="AB284" s="460"/>
      <c r="AC284" s="460"/>
      <c r="AD284" s="458"/>
      <c r="AE284" s="458"/>
      <c r="AF284" s="458"/>
      <c r="AG284" s="458"/>
      <c r="AH284" s="461">
        <f t="shared" si="190"/>
        <v>0</v>
      </c>
      <c r="AI284" s="462">
        <f t="shared" si="191"/>
        <v>0</v>
      </c>
      <c r="AJ284" s="463">
        <f t="shared" si="188"/>
        <v>0</v>
      </c>
      <c r="AK284" s="464">
        <f t="shared" si="189"/>
        <v>0</v>
      </c>
      <c r="AL284" s="462"/>
      <c r="AM284" s="462"/>
      <c r="AN284" s="463"/>
      <c r="AO284" s="464"/>
      <c r="AP284" s="465" t="str">
        <f>'J. Other Liability &amp; Expenses'!D203</f>
        <v>J.1</v>
      </c>
      <c r="AQ284" s="997">
        <f>'J. Other Liability &amp; Expenses'!L203</f>
        <v>0</v>
      </c>
      <c r="AR284" s="998"/>
      <c r="AS284" s="1000" t="s">
        <v>2047</v>
      </c>
      <c r="AT284" s="997">
        <f>'N.1 GASB 68 LGERS'!D97</f>
        <v>0</v>
      </c>
      <c r="AU284" s="467" t="str">
        <f>'L. Eliminations-Consolidations'!B285</f>
        <v>L.10</v>
      </c>
      <c r="AV284" s="466">
        <f>'L. Eliminations-Consolidations'!J285</f>
        <v>0</v>
      </c>
      <c r="AW284" s="462"/>
      <c r="AX284" s="465"/>
      <c r="AY284" s="468"/>
      <c r="AZ284" s="447"/>
      <c r="BA284" s="448"/>
      <c r="BB284" s="466">
        <f t="shared" si="193"/>
        <v>0</v>
      </c>
      <c r="BC284" s="466">
        <f t="shared" si="192"/>
        <v>0</v>
      </c>
      <c r="BD284" s="486"/>
      <c r="BE284" s="468"/>
      <c r="BF284" s="429"/>
      <c r="BG284" s="446"/>
      <c r="BI284" s="946"/>
    </row>
    <row r="285" spans="1:61" x14ac:dyDescent="0.2">
      <c r="A285" s="19"/>
      <c r="B285" s="224"/>
      <c r="C285" s="204"/>
      <c r="D285" s="456"/>
      <c r="E285" s="457"/>
      <c r="F285" s="458"/>
      <c r="G285" s="458"/>
      <c r="H285" s="458"/>
      <c r="I285" s="458"/>
      <c r="J285" s="458"/>
      <c r="K285" s="459"/>
      <c r="L285" s="458"/>
      <c r="M285" s="458"/>
      <c r="N285" s="458"/>
      <c r="O285" s="458"/>
      <c r="P285" s="460"/>
      <c r="Q285" s="460"/>
      <c r="R285" s="460"/>
      <c r="S285" s="460"/>
      <c r="T285" s="460"/>
      <c r="U285" s="460"/>
      <c r="V285" s="460"/>
      <c r="W285" s="460"/>
      <c r="X285" s="460"/>
      <c r="Y285" s="460"/>
      <c r="Z285" s="460"/>
      <c r="AA285" s="460"/>
      <c r="AB285" s="460"/>
      <c r="AC285" s="460"/>
      <c r="AD285" s="458"/>
      <c r="AE285" s="458"/>
      <c r="AF285" s="458"/>
      <c r="AG285" s="458"/>
      <c r="AH285" s="461">
        <f t="shared" si="190"/>
        <v>0</v>
      </c>
      <c r="AI285" s="462">
        <f t="shared" si="191"/>
        <v>0</v>
      </c>
      <c r="AJ285" s="463">
        <f t="shared" si="188"/>
        <v>0</v>
      </c>
      <c r="AK285" s="464">
        <f t="shared" si="189"/>
        <v>0</v>
      </c>
      <c r="AL285" s="462">
        <f>+(8778)+(190721)</f>
        <v>199499</v>
      </c>
      <c r="AM285" s="462"/>
      <c r="AN285" s="463"/>
      <c r="AO285" s="464"/>
      <c r="AP285" s="465" t="s">
        <v>621</v>
      </c>
      <c r="AQ285" s="997">
        <f>'F.  Other Cap Asset Entries'!M277</f>
        <v>4000000</v>
      </c>
      <c r="AR285" s="998"/>
      <c r="AS285" s="1000" t="s">
        <v>2048</v>
      </c>
      <c r="AT285" s="997">
        <f>'N.2 GASB 68 ROD'!D69</f>
        <v>0</v>
      </c>
      <c r="AU285" s="467"/>
      <c r="AV285" s="466"/>
      <c r="AW285" s="462"/>
      <c r="AX285" s="465"/>
      <c r="AY285" s="468"/>
      <c r="AZ285" s="447"/>
      <c r="BA285" s="448"/>
      <c r="BB285" s="466">
        <f t="shared" si="193"/>
        <v>4199499</v>
      </c>
      <c r="BC285" s="466">
        <f t="shared" si="192"/>
        <v>0</v>
      </c>
      <c r="BD285" s="486"/>
      <c r="BE285" s="468"/>
      <c r="BF285" s="429"/>
      <c r="BG285" s="446"/>
      <c r="BI285" s="946"/>
    </row>
    <row r="286" spans="1:61" x14ac:dyDescent="0.2">
      <c r="A286" s="19"/>
      <c r="B286" s="224"/>
      <c r="C286" s="204"/>
      <c r="D286" s="456"/>
      <c r="E286" s="457"/>
      <c r="F286" s="458"/>
      <c r="G286" s="458"/>
      <c r="H286" s="458"/>
      <c r="I286" s="458"/>
      <c r="J286" s="458"/>
      <c r="K286" s="459"/>
      <c r="L286" s="458"/>
      <c r="M286" s="458"/>
      <c r="N286" s="458"/>
      <c r="O286" s="458"/>
      <c r="P286" s="460"/>
      <c r="Q286" s="460"/>
      <c r="R286" s="460"/>
      <c r="S286" s="460"/>
      <c r="T286" s="460"/>
      <c r="U286" s="460"/>
      <c r="V286" s="460"/>
      <c r="W286" s="460"/>
      <c r="X286" s="460"/>
      <c r="Y286" s="460"/>
      <c r="Z286" s="460"/>
      <c r="AA286" s="460"/>
      <c r="AB286" s="460"/>
      <c r="AC286" s="460"/>
      <c r="AD286" s="458"/>
      <c r="AE286" s="458"/>
      <c r="AF286" s="458"/>
      <c r="AG286" s="458"/>
      <c r="AH286" s="461"/>
      <c r="AI286" s="462"/>
      <c r="AJ286" s="463"/>
      <c r="AK286" s="464"/>
      <c r="AL286" s="462"/>
      <c r="AM286" s="462"/>
      <c r="AN286" s="463"/>
      <c r="AO286" s="464"/>
      <c r="AP286" s="465" t="s">
        <v>2047</v>
      </c>
      <c r="AQ286" s="367">
        <f>'N.1 GASB 68 LGERS'!C97</f>
        <v>1471592</v>
      </c>
      <c r="AR286" s="998"/>
      <c r="AS286" s="1000"/>
      <c r="AT286" s="997"/>
      <c r="AU286" s="467"/>
      <c r="AV286" s="466"/>
      <c r="AW286" s="462"/>
      <c r="AX286" s="465"/>
      <c r="AY286" s="468"/>
      <c r="AZ286" s="447"/>
      <c r="BA286" s="448"/>
      <c r="BB286" s="466">
        <f t="shared" si="193"/>
        <v>1471592</v>
      </c>
      <c r="BC286" s="466">
        <f t="shared" si="192"/>
        <v>0</v>
      </c>
      <c r="BD286" s="486"/>
      <c r="BE286" s="468"/>
      <c r="BF286" s="429"/>
      <c r="BG286" s="446"/>
      <c r="BH286" s="945"/>
      <c r="BI286" s="946"/>
    </row>
    <row r="287" spans="1:61" x14ac:dyDescent="0.2">
      <c r="A287" s="19"/>
      <c r="B287" s="224"/>
      <c r="C287" s="204"/>
      <c r="D287" s="456"/>
      <c r="E287" s="457"/>
      <c r="F287" s="458"/>
      <c r="G287" s="458"/>
      <c r="H287" s="458"/>
      <c r="I287" s="458"/>
      <c r="J287" s="458"/>
      <c r="K287" s="459"/>
      <c r="L287" s="458"/>
      <c r="M287" s="458"/>
      <c r="N287" s="458"/>
      <c r="O287" s="458"/>
      <c r="P287" s="460"/>
      <c r="Q287" s="460"/>
      <c r="R287" s="460"/>
      <c r="S287" s="460"/>
      <c r="T287" s="460"/>
      <c r="U287" s="460"/>
      <c r="V287" s="460"/>
      <c r="W287" s="460"/>
      <c r="X287" s="460"/>
      <c r="Y287" s="460"/>
      <c r="Z287" s="460"/>
      <c r="AA287" s="460"/>
      <c r="AB287" s="460"/>
      <c r="AC287" s="460"/>
      <c r="AD287" s="458"/>
      <c r="AE287" s="458"/>
      <c r="AF287" s="458"/>
      <c r="AG287" s="458"/>
      <c r="AH287" s="461"/>
      <c r="AI287" s="462"/>
      <c r="AJ287" s="463"/>
      <c r="AK287" s="464"/>
      <c r="AL287" s="462"/>
      <c r="AM287" s="462"/>
      <c r="AN287" s="463"/>
      <c r="AO287" s="464"/>
      <c r="AP287" s="465" t="s">
        <v>2048</v>
      </c>
      <c r="AQ287" s="367">
        <f>'N.2 GASB 68 ROD'!C69</f>
        <v>11457</v>
      </c>
      <c r="AR287" s="998"/>
      <c r="AS287" s="1000"/>
      <c r="AT287" s="997"/>
      <c r="AU287" s="467"/>
      <c r="AV287" s="466"/>
      <c r="AW287" s="462"/>
      <c r="AX287" s="465"/>
      <c r="AY287" s="468"/>
      <c r="AZ287" s="447">
        <v>0</v>
      </c>
      <c r="BA287" s="448"/>
      <c r="BB287" s="466">
        <f t="shared" si="193"/>
        <v>11457</v>
      </c>
      <c r="BC287" s="466">
        <f t="shared" si="192"/>
        <v>0</v>
      </c>
      <c r="BD287" s="486"/>
      <c r="BE287" s="468"/>
      <c r="BF287" s="429"/>
      <c r="BG287" s="446"/>
      <c r="BI287" s="946"/>
    </row>
    <row r="288" spans="1:61" x14ac:dyDescent="0.2">
      <c r="A288" s="19"/>
      <c r="B288" s="224"/>
      <c r="C288" s="204"/>
      <c r="D288" s="456"/>
      <c r="E288" s="457"/>
      <c r="F288" s="458"/>
      <c r="G288" s="458"/>
      <c r="H288" s="458"/>
      <c r="I288" s="458"/>
      <c r="J288" s="458"/>
      <c r="K288" s="459"/>
      <c r="L288" s="458"/>
      <c r="M288" s="458"/>
      <c r="N288" s="458"/>
      <c r="O288" s="458"/>
      <c r="P288" s="460"/>
      <c r="Q288" s="460"/>
      <c r="R288" s="460"/>
      <c r="S288" s="460"/>
      <c r="T288" s="460"/>
      <c r="U288" s="460"/>
      <c r="V288" s="460"/>
      <c r="W288" s="460"/>
      <c r="X288" s="460"/>
      <c r="Y288" s="460"/>
      <c r="Z288" s="460"/>
      <c r="AA288" s="460"/>
      <c r="AB288" s="460"/>
      <c r="AC288" s="460"/>
      <c r="AD288" s="458"/>
      <c r="AE288" s="458"/>
      <c r="AF288" s="458"/>
      <c r="AG288" s="458"/>
      <c r="AH288" s="461"/>
      <c r="AI288" s="462"/>
      <c r="AJ288" s="463"/>
      <c r="AK288" s="464"/>
      <c r="AL288" s="466"/>
      <c r="AM288" s="466"/>
      <c r="AN288" s="463"/>
      <c r="AO288" s="464"/>
      <c r="AP288" s="465" t="s">
        <v>4019</v>
      </c>
      <c r="AQ288" s="367">
        <f>'P.1 GASB 75 OPEB  - plan 1'!C105+'P.1 GASB 75 OPEB  - plan 1'!C114+'P.1 GASB 75 OPEB  - plan 1'!C123</f>
        <v>65804</v>
      </c>
      <c r="AR288" s="998"/>
      <c r="AS288" s="1000" t="s">
        <v>4019</v>
      </c>
      <c r="AT288" s="367">
        <f>'P.1 GASB 75 OPEB  - plan 1'!D105+'P.1 GASB 75 OPEB  - plan 1'!D114+'P.1 GASB 75 OPEB  - plan 1'!D123</f>
        <v>40850</v>
      </c>
      <c r="AU288" s="467"/>
      <c r="AV288" s="466"/>
      <c r="AW288" s="462"/>
      <c r="AX288" s="465"/>
      <c r="AY288" s="468"/>
      <c r="AZ288" s="447"/>
      <c r="BA288" s="448"/>
      <c r="BB288" s="466">
        <f>ROUND(AJ288+AL288+AN288+AQ288+AV288+AZ288,0)</f>
        <v>65804</v>
      </c>
      <c r="BC288" s="466">
        <f>ROUND(AK288+AM288+AO288+AT288+AY288+BA288,0)</f>
        <v>40850</v>
      </c>
      <c r="BD288" s="486"/>
      <c r="BE288" s="468"/>
      <c r="BF288" s="429"/>
      <c r="BG288" s="446"/>
      <c r="BI288" s="946"/>
    </row>
    <row r="289" spans="1:61" x14ac:dyDescent="0.2">
      <c r="A289" s="19"/>
      <c r="B289" s="224"/>
      <c r="C289" s="204"/>
      <c r="D289" s="456"/>
      <c r="E289" s="457"/>
      <c r="F289" s="458"/>
      <c r="G289" s="458"/>
      <c r="H289" s="458"/>
      <c r="I289" s="458"/>
      <c r="J289" s="458"/>
      <c r="K289" s="459"/>
      <c r="L289" s="458"/>
      <c r="M289" s="458"/>
      <c r="N289" s="458"/>
      <c r="O289" s="458"/>
      <c r="P289" s="460"/>
      <c r="Q289" s="460"/>
      <c r="R289" s="460"/>
      <c r="S289" s="460"/>
      <c r="T289" s="460"/>
      <c r="U289" s="460"/>
      <c r="V289" s="460"/>
      <c r="W289" s="460"/>
      <c r="X289" s="460"/>
      <c r="Y289" s="460"/>
      <c r="Z289" s="460"/>
      <c r="AA289" s="460"/>
      <c r="AB289" s="460"/>
      <c r="AC289" s="460"/>
      <c r="AD289" s="458"/>
      <c r="AE289" s="458"/>
      <c r="AF289" s="458"/>
      <c r="AG289" s="458"/>
      <c r="AH289" s="461"/>
      <c r="AI289" s="462"/>
      <c r="AJ289" s="463"/>
      <c r="AK289" s="464"/>
      <c r="AL289" s="466"/>
      <c r="AM289" s="466"/>
      <c r="AN289" s="463"/>
      <c r="AO289" s="464"/>
      <c r="AP289" s="465" t="s">
        <v>4020</v>
      </c>
      <c r="AQ289" s="997">
        <f>'P.2 GASB 75 OPEB - plan 2'!C105+'P.2 GASB 75 OPEB - plan 2'!C114+'P.2 GASB 75 OPEB - plan 2'!C123</f>
        <v>0</v>
      </c>
      <c r="AR289" s="998"/>
      <c r="AS289" s="1000" t="s">
        <v>4020</v>
      </c>
      <c r="AT289" s="997">
        <f>'P.2 GASB 75 OPEB - plan 2'!D105+'P.2 GASB 75 OPEB - plan 2'!D114+'P.2 GASB 75 OPEB - plan 2'!D123</f>
        <v>0</v>
      </c>
      <c r="AU289" s="467"/>
      <c r="AV289" s="466"/>
      <c r="AW289" s="462"/>
      <c r="AX289" s="465"/>
      <c r="AY289" s="468"/>
      <c r="AZ289" s="447"/>
      <c r="BA289" s="448"/>
      <c r="BB289" s="466">
        <f t="shared" ref="BB289:BB291" si="194">ROUND(AJ289+AL289+AN289+AQ289+AV289+AZ289,0)</f>
        <v>0</v>
      </c>
      <c r="BC289" s="466">
        <f t="shared" ref="BC289:BC291" si="195">ROUND(AK289+AM289+AO289+AT289+AY289+BA289,0)</f>
        <v>0</v>
      </c>
      <c r="BD289" s="486"/>
      <c r="BE289" s="468"/>
      <c r="BF289" s="429"/>
      <c r="BG289" s="446"/>
      <c r="BI289" s="946"/>
    </row>
    <row r="290" spans="1:61" x14ac:dyDescent="0.2">
      <c r="A290" s="19"/>
      <c r="B290" s="224"/>
      <c r="C290" s="204"/>
      <c r="D290" s="456"/>
      <c r="E290" s="457"/>
      <c r="F290" s="458"/>
      <c r="G290" s="458"/>
      <c r="H290" s="458"/>
      <c r="I290" s="458"/>
      <c r="J290" s="458"/>
      <c r="K290" s="459"/>
      <c r="L290" s="458"/>
      <c r="M290" s="458"/>
      <c r="N290" s="458"/>
      <c r="O290" s="458"/>
      <c r="P290" s="460"/>
      <c r="Q290" s="460"/>
      <c r="R290" s="460"/>
      <c r="S290" s="460"/>
      <c r="T290" s="460"/>
      <c r="U290" s="460"/>
      <c r="V290" s="460"/>
      <c r="W290" s="460"/>
      <c r="X290" s="460"/>
      <c r="Y290" s="460"/>
      <c r="Z290" s="460"/>
      <c r="AA290" s="460"/>
      <c r="AB290" s="460"/>
      <c r="AC290" s="460"/>
      <c r="AD290" s="458"/>
      <c r="AE290" s="458"/>
      <c r="AF290" s="458"/>
      <c r="AG290" s="458"/>
      <c r="AH290" s="461"/>
      <c r="AI290" s="462"/>
      <c r="AJ290" s="463"/>
      <c r="AK290" s="464"/>
      <c r="AL290" s="466"/>
      <c r="AM290" s="466"/>
      <c r="AN290" s="463"/>
      <c r="AO290" s="464"/>
      <c r="AP290" s="465" t="s">
        <v>4021</v>
      </c>
      <c r="AQ290" s="997">
        <f>'P.3 GASB 75 OPEB - plan 3'!C105+'P.3 GASB 75 OPEB - plan 3'!C114+'P.3 GASB 75 OPEB - plan 3'!C123</f>
        <v>0</v>
      </c>
      <c r="AR290" s="998"/>
      <c r="AS290" s="1000" t="s">
        <v>4021</v>
      </c>
      <c r="AT290" s="997">
        <f>'P.3 GASB 75 OPEB - plan 3'!D105+'P.3 GASB 75 OPEB - plan 3'!D114+'P.3 GASB 75 OPEB - plan 3'!D123</f>
        <v>0</v>
      </c>
      <c r="AU290" s="467"/>
      <c r="AV290" s="466"/>
      <c r="AW290" s="462"/>
      <c r="AX290" s="465"/>
      <c r="AY290" s="468"/>
      <c r="AZ290" s="447"/>
      <c r="BA290" s="448"/>
      <c r="BB290" s="466">
        <f t="shared" si="194"/>
        <v>0</v>
      </c>
      <c r="BC290" s="466">
        <f t="shared" si="195"/>
        <v>0</v>
      </c>
      <c r="BD290" s="486"/>
      <c r="BE290" s="468"/>
      <c r="BF290" s="429"/>
      <c r="BG290" s="446"/>
      <c r="BI290" s="946"/>
    </row>
    <row r="291" spans="1:61" x14ac:dyDescent="0.2">
      <c r="A291" s="19"/>
      <c r="B291" s="224"/>
      <c r="C291" s="204"/>
      <c r="D291" s="456"/>
      <c r="E291" s="457"/>
      <c r="F291" s="458"/>
      <c r="G291" s="458"/>
      <c r="H291" s="458"/>
      <c r="I291" s="458"/>
      <c r="J291" s="458"/>
      <c r="K291" s="459"/>
      <c r="L291" s="458"/>
      <c r="M291" s="458"/>
      <c r="N291" s="458"/>
      <c r="O291" s="458"/>
      <c r="P291" s="460"/>
      <c r="Q291" s="460"/>
      <c r="R291" s="460"/>
      <c r="S291" s="460"/>
      <c r="T291" s="460"/>
      <c r="U291" s="460"/>
      <c r="V291" s="460"/>
      <c r="W291" s="460"/>
      <c r="X291" s="460"/>
      <c r="Y291" s="460"/>
      <c r="Z291" s="460"/>
      <c r="AA291" s="460"/>
      <c r="AB291" s="460"/>
      <c r="AC291" s="460"/>
      <c r="AD291" s="458"/>
      <c r="AE291" s="458"/>
      <c r="AF291" s="458"/>
      <c r="AG291" s="458"/>
      <c r="AH291" s="461"/>
      <c r="AI291" s="462"/>
      <c r="AJ291" s="463"/>
      <c r="AK291" s="464"/>
      <c r="AL291" s="466"/>
      <c r="AM291" s="466"/>
      <c r="AN291" s="463"/>
      <c r="AO291" s="464"/>
      <c r="AP291" s="465" t="s">
        <v>4114</v>
      </c>
      <c r="AQ291" s="367">
        <f>'Q. GASB 87 Lease Entries'!M68</f>
        <v>20000</v>
      </c>
      <c r="AR291" s="998"/>
      <c r="AS291" s="1000" t="s">
        <v>4110</v>
      </c>
      <c r="AT291" s="1002">
        <f>'Q. GASB 87 Lease Entries'!O32</f>
        <v>100000</v>
      </c>
      <c r="AU291" s="467"/>
      <c r="AV291" s="466"/>
      <c r="AW291" s="462"/>
      <c r="AX291" s="465"/>
      <c r="AY291" s="468"/>
      <c r="AZ291" s="447"/>
      <c r="BA291" s="448"/>
      <c r="BB291" s="466">
        <f t="shared" si="194"/>
        <v>20000</v>
      </c>
      <c r="BC291" s="466">
        <f t="shared" si="195"/>
        <v>100000</v>
      </c>
      <c r="BD291" s="486"/>
      <c r="BE291" s="468"/>
      <c r="BF291" s="429"/>
      <c r="BG291" s="446"/>
      <c r="BI291" s="946"/>
    </row>
    <row r="292" spans="1:61" x14ac:dyDescent="0.2">
      <c r="A292" s="19"/>
      <c r="B292" s="224"/>
      <c r="C292" s="204"/>
      <c r="D292" s="456"/>
      <c r="E292" s="457"/>
      <c r="F292" s="458"/>
      <c r="G292" s="458"/>
      <c r="H292" s="458"/>
      <c r="I292" s="458"/>
      <c r="J292" s="458"/>
      <c r="K292" s="459"/>
      <c r="L292" s="458"/>
      <c r="M292" s="458"/>
      <c r="N292" s="458"/>
      <c r="O292" s="458"/>
      <c r="P292" s="460"/>
      <c r="Q292" s="460"/>
      <c r="R292" s="460"/>
      <c r="S292" s="460"/>
      <c r="T292" s="460"/>
      <c r="U292" s="460"/>
      <c r="V292" s="460"/>
      <c r="W292" s="460"/>
      <c r="X292" s="460"/>
      <c r="Y292" s="460"/>
      <c r="Z292" s="460"/>
      <c r="AA292" s="460"/>
      <c r="AB292" s="460"/>
      <c r="AC292" s="460"/>
      <c r="AD292" s="458"/>
      <c r="AE292" s="458"/>
      <c r="AF292" s="458"/>
      <c r="AG292" s="458"/>
      <c r="AH292" s="461"/>
      <c r="AI292" s="462"/>
      <c r="AJ292" s="463"/>
      <c r="AK292" s="464"/>
      <c r="AL292" s="466"/>
      <c r="AM292" s="466"/>
      <c r="AN292" s="463"/>
      <c r="AO292" s="464"/>
      <c r="AP292" s="979" t="s">
        <v>4127</v>
      </c>
      <c r="AQ292" s="5">
        <f>'R. GASB 96 Subscription Entries'!M68</f>
        <v>21535</v>
      </c>
      <c r="AR292" s="998"/>
      <c r="AS292" s="1001" t="s">
        <v>4126</v>
      </c>
      <c r="AT292" s="34">
        <f>'R. GASB 96 Subscription Entries'!O32</f>
        <v>48781</v>
      </c>
      <c r="AU292" s="467"/>
      <c r="AV292" s="466"/>
      <c r="AW292" s="462"/>
      <c r="AX292" s="465"/>
      <c r="AY292" s="468"/>
      <c r="AZ292" s="447"/>
      <c r="BA292" s="448"/>
      <c r="BB292" s="466">
        <f t="shared" ref="BB292" si="196">ROUND(AJ292+AL292+AN292+AQ292+AV292+AZ292,0)</f>
        <v>21535</v>
      </c>
      <c r="BC292" s="466">
        <f t="shared" ref="BC292" si="197">ROUND(AK292+AM292+AO292+AT292+AY292+BA292,0)</f>
        <v>48781</v>
      </c>
      <c r="BD292" s="486"/>
      <c r="BE292" s="468"/>
      <c r="BF292" s="429"/>
      <c r="BG292" s="446"/>
      <c r="BI292" s="946"/>
    </row>
    <row r="293" spans="1:61" ht="6" customHeight="1" x14ac:dyDescent="0.2">
      <c r="A293" s="19"/>
      <c r="C293" s="4"/>
      <c r="D293" s="453"/>
      <c r="E293" s="454"/>
      <c r="F293" s="440"/>
      <c r="G293" s="440"/>
      <c r="H293" s="440"/>
      <c r="I293" s="440"/>
      <c r="J293" s="440"/>
      <c r="K293" s="441"/>
      <c r="L293" s="440"/>
      <c r="M293" s="440"/>
      <c r="N293" s="440"/>
      <c r="O293" s="440"/>
      <c r="P293" s="451"/>
      <c r="Q293" s="451"/>
      <c r="R293" s="451"/>
      <c r="S293" s="451"/>
      <c r="T293" s="451"/>
      <c r="U293" s="451"/>
      <c r="V293" s="451"/>
      <c r="W293" s="451"/>
      <c r="X293" s="451"/>
      <c r="Y293" s="451"/>
      <c r="Z293" s="451"/>
      <c r="AA293" s="451"/>
      <c r="AB293" s="451"/>
      <c r="AC293" s="451"/>
      <c r="AD293" s="440"/>
      <c r="AE293" s="440"/>
      <c r="AF293" s="440"/>
      <c r="AG293" s="440"/>
      <c r="AH293" s="430"/>
      <c r="AJ293" s="431"/>
      <c r="AK293" s="443"/>
      <c r="AN293" s="431"/>
      <c r="AO293" s="443"/>
      <c r="AQ293" s="489"/>
      <c r="AT293" s="367"/>
      <c r="AU293" s="445"/>
      <c r="AV293" s="367"/>
      <c r="AY293" s="455"/>
      <c r="AZ293" s="451"/>
      <c r="BA293" s="476"/>
      <c r="BB293" s="367"/>
      <c r="BC293" s="367"/>
      <c r="BD293" s="483"/>
      <c r="BE293" s="455"/>
      <c r="BF293" s="367"/>
      <c r="BG293" s="455"/>
      <c r="BI293" s="947"/>
    </row>
    <row r="294" spans="1:61" x14ac:dyDescent="0.2">
      <c r="A294" s="19"/>
      <c r="B294" s="224" t="s">
        <v>988</v>
      </c>
      <c r="C294" s="204"/>
      <c r="D294" s="456">
        <v>7179720</v>
      </c>
      <c r="E294" s="457"/>
      <c r="F294" s="458"/>
      <c r="G294" s="458"/>
      <c r="H294" s="458"/>
      <c r="I294" s="458"/>
      <c r="J294" s="458"/>
      <c r="K294" s="459"/>
      <c r="L294" s="458"/>
      <c r="M294" s="458"/>
      <c r="N294" s="458">
        <v>55686</v>
      </c>
      <c r="O294" s="458"/>
      <c r="P294" s="460">
        <v>20800</v>
      </c>
      <c r="Q294" s="460"/>
      <c r="R294" s="460"/>
      <c r="S294" s="460"/>
      <c r="T294" s="460"/>
      <c r="U294" s="460"/>
      <c r="V294" s="460"/>
      <c r="W294" s="460"/>
      <c r="X294" s="460">
        <v>20177</v>
      </c>
      <c r="Y294" s="460"/>
      <c r="Z294" s="460"/>
      <c r="AA294" s="460"/>
      <c r="AB294" s="460"/>
      <c r="AC294" s="460"/>
      <c r="AD294" s="458"/>
      <c r="AE294" s="458"/>
      <c r="AF294" s="458"/>
      <c r="AG294" s="458"/>
      <c r="AH294" s="461">
        <f t="shared" ref="AH294:AH297" si="198">L294+N294+P294+R294+T294+V294+X294+Z294+AB294+AD294+AF294</f>
        <v>96663</v>
      </c>
      <c r="AI294" s="462">
        <f t="shared" ref="AI294:AI297" si="199">M294+O294+Q294+S294+U294+W294+Y294+AA294+AC294+AE294+AG294</f>
        <v>0</v>
      </c>
      <c r="AJ294" s="463">
        <f t="shared" ref="AJ294:AK297" si="200">D294+F294+H294+J294+AH294</f>
        <v>7276383</v>
      </c>
      <c r="AK294" s="464">
        <f t="shared" si="200"/>
        <v>0</v>
      </c>
      <c r="AL294" s="462">
        <f>15933-646</f>
        <v>15287</v>
      </c>
      <c r="AM294" s="462"/>
      <c r="AN294" s="463"/>
      <c r="AO294" s="464"/>
      <c r="AP294" s="465" t="str">
        <f>'D. Depreciation'!A55</f>
        <v>D.1</v>
      </c>
      <c r="AQ294" s="367">
        <f>'D. Depreciation'!J56</f>
        <v>370353</v>
      </c>
      <c r="AR294" s="462"/>
      <c r="AS294" s="465" t="str">
        <f>'E. Capital Outlay'!D54</f>
        <v>E.1</v>
      </c>
      <c r="AT294" s="367">
        <f>'E. Capital Outlay'!N66</f>
        <v>20177</v>
      </c>
      <c r="AU294" s="467" t="str">
        <f>'L. Eliminations-Consolidations'!A243</f>
        <v>L.7</v>
      </c>
      <c r="AV294" s="466">
        <f>'L. Eliminations-Consolidations'!J244</f>
        <v>0</v>
      </c>
      <c r="AW294" s="462"/>
      <c r="AX294" s="470" t="s">
        <v>634</v>
      </c>
      <c r="AY294" s="466">
        <f>'K.1  Int. Service Fd Allocation'!G210+'K.2  Int. Service Fd Alloca'!G205+'K.3 Int. Service Fd Alloca'!G205</f>
        <v>0</v>
      </c>
      <c r="AZ294" s="471"/>
      <c r="BA294" s="448"/>
      <c r="BB294" s="466">
        <f t="shared" ref="BB294:BB304" si="201">ROUND(AJ294+AL294+AN294+AQ294+AV294+AZ294,0)</f>
        <v>7662023</v>
      </c>
      <c r="BC294" s="466">
        <f t="shared" ref="BC294:BC300" si="202">ROUND(AK294+AM294+AO294+AT294+AY294+BA294,0)</f>
        <v>20177</v>
      </c>
      <c r="BD294" s="486">
        <f>IF((SUM(BB294:BB304))-(SUM(BC294:BC304))&lt;=0," ",(SUM(BB294:BB304))-(SUM(BC294:BC304)))+10</f>
        <v>7491633</v>
      </c>
      <c r="BE294" s="468" t="str">
        <f>IF((SUM(BB294:BB304))-(SUM(BC294:BC304))&gt;0," ",-(SUM(BB294:BB304))+(SUM(BC294:BC304)))</f>
        <v xml:space="preserve"> </v>
      </c>
      <c r="BG294" s="446"/>
      <c r="BH294" s="941"/>
      <c r="BI294" s="946"/>
    </row>
    <row r="295" spans="1:61" x14ac:dyDescent="0.2">
      <c r="A295" s="19"/>
      <c r="B295" s="224"/>
      <c r="C295" s="204"/>
      <c r="D295" s="456"/>
      <c r="E295" s="457"/>
      <c r="F295" s="458"/>
      <c r="G295" s="458"/>
      <c r="H295" s="458"/>
      <c r="I295" s="458"/>
      <c r="J295" s="458"/>
      <c r="K295" s="459"/>
      <c r="L295" s="458"/>
      <c r="M295" s="458"/>
      <c r="N295" s="458"/>
      <c r="O295" s="458"/>
      <c r="P295" s="460"/>
      <c r="Q295" s="460"/>
      <c r="R295" s="460"/>
      <c r="S295" s="460"/>
      <c r="T295" s="460"/>
      <c r="U295" s="460"/>
      <c r="V295" s="460"/>
      <c r="W295" s="460"/>
      <c r="X295" s="460"/>
      <c r="Y295" s="460"/>
      <c r="Z295" s="460"/>
      <c r="AA295" s="460"/>
      <c r="AB295" s="460"/>
      <c r="AC295" s="460"/>
      <c r="AD295" s="458"/>
      <c r="AE295" s="458"/>
      <c r="AF295" s="458"/>
      <c r="AG295" s="458"/>
      <c r="AH295" s="461">
        <f t="shared" si="198"/>
        <v>0</v>
      </c>
      <c r="AI295" s="462">
        <f t="shared" si="199"/>
        <v>0</v>
      </c>
      <c r="AJ295" s="463">
        <f t="shared" si="200"/>
        <v>0</v>
      </c>
      <c r="AK295" s="464">
        <f t="shared" si="200"/>
        <v>0</v>
      </c>
      <c r="AL295" s="462"/>
      <c r="AM295" s="462"/>
      <c r="AN295" s="463"/>
      <c r="AO295" s="464"/>
      <c r="AP295" s="465" t="str">
        <f>'J. Other Liability &amp; Expenses'!D203</f>
        <v>J.1</v>
      </c>
      <c r="AQ295" s="367">
        <f>'J. Other Liability &amp; Expenses'!L204</f>
        <v>67659</v>
      </c>
      <c r="AR295" s="462"/>
      <c r="AS295" s="477" t="str">
        <f>'I.  Other Asset Entries'!B108</f>
        <v>I.1</v>
      </c>
      <c r="AT295" s="367">
        <f>'I.  Other Asset Entries'!N114</f>
        <v>40000</v>
      </c>
      <c r="AU295" s="467"/>
      <c r="AV295" s="466"/>
      <c r="AW295" s="462"/>
      <c r="AX295" s="465"/>
      <c r="AY295" s="468"/>
      <c r="AZ295" s="447"/>
      <c r="BA295" s="448"/>
      <c r="BB295" s="466">
        <f t="shared" si="201"/>
        <v>67659</v>
      </c>
      <c r="BC295" s="466">
        <f t="shared" si="202"/>
        <v>40000</v>
      </c>
      <c r="BD295" s="486"/>
      <c r="BE295" s="468"/>
      <c r="BF295" s="429"/>
      <c r="BG295" s="446"/>
    </row>
    <row r="296" spans="1:61" x14ac:dyDescent="0.2">
      <c r="A296" s="19"/>
      <c r="B296" s="224"/>
      <c r="C296" s="204"/>
      <c r="D296" s="456"/>
      <c r="E296" s="457"/>
      <c r="F296" s="458"/>
      <c r="G296" s="458"/>
      <c r="H296" s="458"/>
      <c r="I296" s="458"/>
      <c r="J296" s="458"/>
      <c r="K296" s="459"/>
      <c r="L296" s="458"/>
      <c r="M296" s="458"/>
      <c r="N296" s="458"/>
      <c r="O296" s="458"/>
      <c r="P296" s="460"/>
      <c r="Q296" s="460"/>
      <c r="R296" s="460"/>
      <c r="S296" s="460"/>
      <c r="T296" s="460"/>
      <c r="U296" s="460"/>
      <c r="V296" s="460"/>
      <c r="W296" s="460"/>
      <c r="X296" s="460"/>
      <c r="Y296" s="460"/>
      <c r="Z296" s="460"/>
      <c r="AA296" s="460"/>
      <c r="AB296" s="460"/>
      <c r="AC296" s="460"/>
      <c r="AD296" s="458"/>
      <c r="AE296" s="458"/>
      <c r="AF296" s="458"/>
      <c r="AG296" s="458"/>
      <c r="AH296" s="461">
        <f t="shared" si="198"/>
        <v>0</v>
      </c>
      <c r="AI296" s="462">
        <f t="shared" si="199"/>
        <v>0</v>
      </c>
      <c r="AJ296" s="463">
        <f t="shared" si="200"/>
        <v>0</v>
      </c>
      <c r="AK296" s="464">
        <f t="shared" si="200"/>
        <v>0</v>
      </c>
      <c r="AL296" s="462"/>
      <c r="AM296" s="462"/>
      <c r="AN296" s="463"/>
      <c r="AO296" s="464"/>
      <c r="AP296" s="465" t="str">
        <f>'F.  Other Cap Asset Entries'!D256</f>
        <v>F.3</v>
      </c>
      <c r="AQ296" s="466">
        <f>'F.  Other Cap Asset Entries'!M256</f>
        <v>0</v>
      </c>
      <c r="AR296" s="462"/>
      <c r="AS296" s="477" t="str">
        <f>'J. Other Liability &amp; Expenses'!D203</f>
        <v>J.1</v>
      </c>
      <c r="AT296" s="466">
        <f>'J. Other Liability &amp; Expenses'!N204</f>
        <v>0</v>
      </c>
      <c r="AU296" s="467" t="str">
        <f>'L. Eliminations-Consolidations'!B273</f>
        <v>L.8</v>
      </c>
      <c r="AV296" s="466">
        <f>'L. Eliminations-Consolidations'!J275</f>
        <v>0</v>
      </c>
      <c r="AW296" s="462"/>
      <c r="AX296" s="465" t="str">
        <f>'L. Eliminations-Consolidations'!B273</f>
        <v>L.8</v>
      </c>
      <c r="AY296" s="468">
        <f>'L. Eliminations-Consolidations'!L275</f>
        <v>0</v>
      </c>
      <c r="AZ296" s="447"/>
      <c r="BA296" s="448"/>
      <c r="BB296" s="466">
        <f t="shared" si="201"/>
        <v>0</v>
      </c>
      <c r="BC296" s="466">
        <f t="shared" si="202"/>
        <v>0</v>
      </c>
      <c r="BD296" s="486"/>
      <c r="BE296" s="468"/>
      <c r="BF296" s="429"/>
      <c r="BG296" s="446"/>
    </row>
    <row r="297" spans="1:61" x14ac:dyDescent="0.2">
      <c r="A297" s="19"/>
      <c r="B297" s="224"/>
      <c r="C297" s="204"/>
      <c r="D297" s="456"/>
      <c r="E297" s="457"/>
      <c r="F297" s="458"/>
      <c r="G297" s="458"/>
      <c r="H297" s="458"/>
      <c r="I297" s="458"/>
      <c r="J297" s="458"/>
      <c r="K297" s="459"/>
      <c r="L297" s="458"/>
      <c r="M297" s="458"/>
      <c r="N297" s="458"/>
      <c r="O297" s="458"/>
      <c r="P297" s="460"/>
      <c r="Q297" s="460"/>
      <c r="R297" s="460"/>
      <c r="S297" s="460"/>
      <c r="T297" s="460"/>
      <c r="U297" s="460"/>
      <c r="V297" s="460"/>
      <c r="W297" s="460"/>
      <c r="X297" s="460"/>
      <c r="Y297" s="460"/>
      <c r="Z297" s="460"/>
      <c r="AA297" s="460"/>
      <c r="AB297" s="460"/>
      <c r="AC297" s="460"/>
      <c r="AD297" s="458"/>
      <c r="AE297" s="458"/>
      <c r="AF297" s="458"/>
      <c r="AG297" s="458"/>
      <c r="AH297" s="461">
        <f t="shared" si="198"/>
        <v>0</v>
      </c>
      <c r="AI297" s="462">
        <f t="shared" si="199"/>
        <v>0</v>
      </c>
      <c r="AJ297" s="463">
        <f t="shared" si="200"/>
        <v>0</v>
      </c>
      <c r="AK297" s="464">
        <f t="shared" si="200"/>
        <v>0</v>
      </c>
      <c r="AL297" s="462"/>
      <c r="AM297" s="462"/>
      <c r="AN297" s="463"/>
      <c r="AO297" s="464"/>
      <c r="AP297" s="465" t="s">
        <v>621</v>
      </c>
      <c r="AQ297" s="466">
        <f>'F.  Other Cap Asset Entries'!M278</f>
        <v>0</v>
      </c>
      <c r="AR297" s="462"/>
      <c r="AS297" s="477" t="s">
        <v>2047</v>
      </c>
      <c r="AT297" s="466">
        <f>'N.1 GASB 68 LGERS'!D98</f>
        <v>0</v>
      </c>
      <c r="AU297" s="467"/>
      <c r="AV297" s="466"/>
      <c r="AW297" s="462"/>
      <c r="AX297" s="465"/>
      <c r="AY297" s="468"/>
      <c r="AZ297" s="447"/>
      <c r="BA297" s="448"/>
      <c r="BB297" s="466">
        <f t="shared" si="201"/>
        <v>0</v>
      </c>
      <c r="BC297" s="466">
        <f t="shared" si="202"/>
        <v>0</v>
      </c>
      <c r="BD297" s="486"/>
      <c r="BE297" s="468"/>
      <c r="BF297" s="429"/>
      <c r="BG297" s="446"/>
    </row>
    <row r="298" spans="1:61" x14ac:dyDescent="0.2">
      <c r="A298" s="19"/>
      <c r="B298" s="224"/>
      <c r="C298" s="204"/>
      <c r="D298" s="456"/>
      <c r="E298" s="457"/>
      <c r="F298" s="458"/>
      <c r="G298" s="458"/>
      <c r="H298" s="458"/>
      <c r="I298" s="458"/>
      <c r="J298" s="458"/>
      <c r="K298" s="459"/>
      <c r="L298" s="458"/>
      <c r="M298" s="458"/>
      <c r="N298" s="458"/>
      <c r="O298" s="458"/>
      <c r="P298" s="460"/>
      <c r="Q298" s="460"/>
      <c r="R298" s="460"/>
      <c r="S298" s="460"/>
      <c r="T298" s="460"/>
      <c r="U298" s="460"/>
      <c r="V298" s="460"/>
      <c r="W298" s="460"/>
      <c r="X298" s="460"/>
      <c r="Y298" s="460"/>
      <c r="Z298" s="460"/>
      <c r="AA298" s="460"/>
      <c r="AB298" s="460"/>
      <c r="AC298" s="460"/>
      <c r="AD298" s="458"/>
      <c r="AE298" s="458"/>
      <c r="AF298" s="458"/>
      <c r="AG298" s="458"/>
      <c r="AH298" s="461"/>
      <c r="AI298" s="462"/>
      <c r="AJ298" s="463"/>
      <c r="AK298" s="464"/>
      <c r="AL298" s="462"/>
      <c r="AM298" s="462"/>
      <c r="AN298" s="463"/>
      <c r="AO298" s="464"/>
      <c r="AP298" s="465" t="s">
        <v>2047</v>
      </c>
      <c r="AQ298" s="466">
        <f>'N.1 GASB 68 LGERS'!C98</f>
        <v>0</v>
      </c>
      <c r="AR298" s="462"/>
      <c r="AS298" s="477" t="s">
        <v>2049</v>
      </c>
      <c r="AT298" s="466">
        <f>'N.3 GASB 68 FRSWPF'!D27</f>
        <v>0</v>
      </c>
      <c r="AU298" s="467"/>
      <c r="AV298" s="466"/>
      <c r="AW298" s="462"/>
      <c r="AX298" s="465"/>
      <c r="AY298" s="468"/>
      <c r="AZ298" s="447"/>
      <c r="BA298" s="448"/>
      <c r="BB298" s="466">
        <f t="shared" si="201"/>
        <v>0</v>
      </c>
      <c r="BC298" s="466">
        <f t="shared" si="202"/>
        <v>0</v>
      </c>
      <c r="BD298" s="486"/>
      <c r="BE298" s="468"/>
      <c r="BF298" s="429"/>
      <c r="BG298" s="446"/>
    </row>
    <row r="299" spans="1:61" x14ac:dyDescent="0.2">
      <c r="A299" s="19"/>
      <c r="B299" s="224"/>
      <c r="C299" s="204"/>
      <c r="D299" s="456"/>
      <c r="E299" s="457"/>
      <c r="F299" s="458"/>
      <c r="G299" s="458"/>
      <c r="H299" s="458"/>
      <c r="I299" s="458"/>
      <c r="J299" s="458"/>
      <c r="K299" s="459"/>
      <c r="L299" s="458"/>
      <c r="M299" s="458"/>
      <c r="N299" s="458"/>
      <c r="O299" s="458"/>
      <c r="P299" s="460"/>
      <c r="Q299" s="460"/>
      <c r="R299" s="460"/>
      <c r="S299" s="460"/>
      <c r="T299" s="460"/>
      <c r="U299" s="460"/>
      <c r="V299" s="460"/>
      <c r="W299" s="460"/>
      <c r="X299" s="460"/>
      <c r="Y299" s="460"/>
      <c r="Z299" s="460"/>
      <c r="AA299" s="460"/>
      <c r="AB299" s="460"/>
      <c r="AC299" s="460"/>
      <c r="AD299" s="458"/>
      <c r="AE299" s="458"/>
      <c r="AF299" s="458"/>
      <c r="AG299" s="458"/>
      <c r="AH299" s="461"/>
      <c r="AI299" s="462"/>
      <c r="AJ299" s="463"/>
      <c r="AK299" s="464"/>
      <c r="AL299" s="462"/>
      <c r="AM299" s="462"/>
      <c r="AN299" s="463"/>
      <c r="AO299" s="464"/>
      <c r="AP299" s="465" t="s">
        <v>2049</v>
      </c>
      <c r="AQ299" s="997">
        <f>'N.3 GASB 68 FRSWPF'!C27</f>
        <v>0</v>
      </c>
      <c r="AR299" s="998"/>
      <c r="AS299" s="999" t="s">
        <v>3614</v>
      </c>
      <c r="AT299" s="367">
        <f>'O. GASB 73 LEO Entries'!D79+'O. GASB 73 LEO Entries'!D80</f>
        <v>17279</v>
      </c>
      <c r="AU299" s="467"/>
      <c r="AV299" s="466"/>
      <c r="AW299" s="462"/>
      <c r="AX299" s="465"/>
      <c r="AY299" s="468"/>
      <c r="AZ299" s="447"/>
      <c r="BA299" s="448"/>
      <c r="BB299" s="466">
        <f t="shared" si="201"/>
        <v>0</v>
      </c>
      <c r="BC299" s="466">
        <f t="shared" si="202"/>
        <v>17279</v>
      </c>
      <c r="BD299" s="486"/>
      <c r="BE299" s="468"/>
      <c r="BF299" s="429"/>
      <c r="BG299" s="446"/>
    </row>
    <row r="300" spans="1:61" x14ac:dyDescent="0.2">
      <c r="A300" s="19"/>
      <c r="B300" s="224"/>
      <c r="C300" s="204"/>
      <c r="D300" s="456"/>
      <c r="E300" s="457"/>
      <c r="F300" s="458"/>
      <c r="G300" s="458"/>
      <c r="H300" s="458"/>
      <c r="I300" s="458"/>
      <c r="J300" s="458"/>
      <c r="K300" s="459"/>
      <c r="L300" s="458"/>
      <c r="M300" s="458"/>
      <c r="N300" s="458"/>
      <c r="O300" s="458"/>
      <c r="P300" s="460"/>
      <c r="Q300" s="460"/>
      <c r="R300" s="460"/>
      <c r="S300" s="460"/>
      <c r="T300" s="460"/>
      <c r="U300" s="460"/>
      <c r="V300" s="460"/>
      <c r="W300" s="460"/>
      <c r="X300" s="460"/>
      <c r="Y300" s="460"/>
      <c r="Z300" s="460"/>
      <c r="AA300" s="460"/>
      <c r="AB300" s="460"/>
      <c r="AC300" s="460"/>
      <c r="AD300" s="458"/>
      <c r="AE300" s="458"/>
      <c r="AF300" s="458"/>
      <c r="AG300" s="458"/>
      <c r="AH300" s="461"/>
      <c r="AI300" s="462"/>
      <c r="AJ300" s="463"/>
      <c r="AK300" s="464"/>
      <c r="AL300" s="462"/>
      <c r="AM300" s="462"/>
      <c r="AN300" s="463"/>
      <c r="AO300" s="464"/>
      <c r="AP300" s="465" t="s">
        <v>3614</v>
      </c>
      <c r="AQ300" s="367">
        <f>'O. GASB 73 LEO Entries'!C72</f>
        <v>16153</v>
      </c>
      <c r="AR300" s="998"/>
      <c r="AS300" s="999"/>
      <c r="AT300" s="997"/>
      <c r="AU300" s="467"/>
      <c r="AV300" s="466"/>
      <c r="AW300" s="462"/>
      <c r="AX300" s="465"/>
      <c r="AY300" s="468"/>
      <c r="AZ300" s="447"/>
      <c r="BA300" s="448"/>
      <c r="BB300" s="466">
        <f t="shared" si="201"/>
        <v>16153</v>
      </c>
      <c r="BC300" s="466">
        <f t="shared" si="202"/>
        <v>0</v>
      </c>
      <c r="BD300" s="486"/>
      <c r="BE300" s="468"/>
      <c r="BF300" s="429"/>
      <c r="BG300" s="446"/>
    </row>
    <row r="301" spans="1:61" x14ac:dyDescent="0.2">
      <c r="A301" s="19"/>
      <c r="B301" s="224"/>
      <c r="C301" s="204"/>
      <c r="D301" s="456"/>
      <c r="E301" s="457"/>
      <c r="F301" s="458"/>
      <c r="G301" s="458"/>
      <c r="H301" s="458"/>
      <c r="I301" s="458"/>
      <c r="J301" s="458"/>
      <c r="K301" s="459"/>
      <c r="L301" s="458"/>
      <c r="M301" s="458"/>
      <c r="N301" s="458"/>
      <c r="O301" s="458"/>
      <c r="P301" s="460"/>
      <c r="Q301" s="460"/>
      <c r="R301" s="460"/>
      <c r="S301" s="460"/>
      <c r="T301" s="460"/>
      <c r="U301" s="460"/>
      <c r="V301" s="460"/>
      <c r="W301" s="460"/>
      <c r="X301" s="460"/>
      <c r="Y301" s="460"/>
      <c r="Z301" s="460"/>
      <c r="AA301" s="460"/>
      <c r="AB301" s="460"/>
      <c r="AC301" s="460"/>
      <c r="AD301" s="458"/>
      <c r="AE301" s="458"/>
      <c r="AF301" s="458"/>
      <c r="AG301" s="458"/>
      <c r="AH301" s="461"/>
      <c r="AI301" s="462"/>
      <c r="AJ301" s="463"/>
      <c r="AK301" s="464"/>
      <c r="AL301" s="466"/>
      <c r="AM301" s="466"/>
      <c r="AN301" s="463"/>
      <c r="AO301" s="464"/>
      <c r="AP301" s="465" t="s">
        <v>4019</v>
      </c>
      <c r="AQ301" s="997">
        <f>'P.1 GASB 75 OPEB  - plan 1'!C106+'P.1 GASB 75 OPEB  - plan 1'!C115+'P.1 GASB 75 OPEB  - plan 1'!C124</f>
        <v>0</v>
      </c>
      <c r="AR301" s="998"/>
      <c r="AS301" s="1000" t="s">
        <v>4019</v>
      </c>
      <c r="AT301" s="997">
        <f>'P.1 GASB 75 OPEB  - plan 1'!D106+'P.1 GASB 75 OPEB  - plan 1'!D115+'P.1 GASB 75 OPEB  - plan 1'!D124</f>
        <v>0</v>
      </c>
      <c r="AU301" s="467"/>
      <c r="AV301" s="466"/>
      <c r="AW301" s="462"/>
      <c r="AX301" s="465"/>
      <c r="AY301" s="468"/>
      <c r="AZ301" s="447"/>
      <c r="BA301" s="448"/>
      <c r="BB301" s="466">
        <f t="shared" si="201"/>
        <v>0</v>
      </c>
      <c r="BC301" s="466">
        <f>ROUND(AK301+AM301+AO301+AT301+AY301+BA301,0)</f>
        <v>0</v>
      </c>
      <c r="BD301" s="486"/>
      <c r="BE301" s="468"/>
      <c r="BF301" s="429"/>
      <c r="BG301" s="446"/>
    </row>
    <row r="302" spans="1:61" x14ac:dyDescent="0.2">
      <c r="A302" s="19"/>
      <c r="B302" s="224"/>
      <c r="C302" s="204"/>
      <c r="D302" s="456"/>
      <c r="E302" s="457"/>
      <c r="F302" s="458"/>
      <c r="G302" s="458"/>
      <c r="H302" s="458"/>
      <c r="I302" s="458"/>
      <c r="J302" s="458"/>
      <c r="K302" s="459"/>
      <c r="L302" s="458"/>
      <c r="M302" s="458"/>
      <c r="N302" s="458"/>
      <c r="O302" s="458"/>
      <c r="P302" s="460"/>
      <c r="Q302" s="460"/>
      <c r="R302" s="460"/>
      <c r="S302" s="460"/>
      <c r="T302" s="460"/>
      <c r="U302" s="460"/>
      <c r="V302" s="460"/>
      <c r="W302" s="460"/>
      <c r="X302" s="460"/>
      <c r="Y302" s="460"/>
      <c r="Z302" s="460"/>
      <c r="AA302" s="460"/>
      <c r="AB302" s="460"/>
      <c r="AC302" s="460"/>
      <c r="AD302" s="458"/>
      <c r="AE302" s="458"/>
      <c r="AF302" s="458"/>
      <c r="AG302" s="458"/>
      <c r="AH302" s="461"/>
      <c r="AI302" s="462"/>
      <c r="AJ302" s="463"/>
      <c r="AK302" s="464"/>
      <c r="AL302" s="466"/>
      <c r="AM302" s="466"/>
      <c r="AN302" s="463"/>
      <c r="AO302" s="464"/>
      <c r="AP302" s="465" t="s">
        <v>4020</v>
      </c>
      <c r="AQ302" s="997">
        <f>'P.2 GASB 75 OPEB - plan 2'!C106+'P.2 GASB 75 OPEB - plan 2'!C115+'P.2 GASB 75 OPEB - plan 2'!C124</f>
        <v>0</v>
      </c>
      <c r="AR302" s="998"/>
      <c r="AS302" s="1000" t="s">
        <v>4020</v>
      </c>
      <c r="AT302" s="997">
        <f>'P.2 GASB 75 OPEB - plan 2'!D106+'P.2 GASB 75 OPEB - plan 2'!D115+'P.2 GASB 75 OPEB - plan 2'!D124</f>
        <v>0</v>
      </c>
      <c r="AU302" s="467"/>
      <c r="AV302" s="466"/>
      <c r="AW302" s="462"/>
      <c r="AX302" s="465"/>
      <c r="AY302" s="468"/>
      <c r="AZ302" s="447"/>
      <c r="BA302" s="448"/>
      <c r="BB302" s="466">
        <f>ROUND(AJ302+AL302+AN302+AQ302+AV302+AZ302,0)</f>
        <v>0</v>
      </c>
      <c r="BC302" s="466">
        <f t="shared" ref="BC302" si="203">ROUND(AK302+AM302+AO302+AT302+AY302+BA302,0)</f>
        <v>0</v>
      </c>
      <c r="BD302" s="486"/>
      <c r="BE302" s="468"/>
      <c r="BF302" s="429"/>
      <c r="BG302" s="446"/>
    </row>
    <row r="303" spans="1:61" x14ac:dyDescent="0.2">
      <c r="A303" s="19"/>
      <c r="B303" s="224"/>
      <c r="C303" s="204"/>
      <c r="D303" s="456"/>
      <c r="E303" s="457"/>
      <c r="F303" s="458"/>
      <c r="G303" s="458"/>
      <c r="H303" s="458"/>
      <c r="I303" s="458"/>
      <c r="J303" s="458"/>
      <c r="K303" s="459"/>
      <c r="L303" s="458"/>
      <c r="M303" s="458"/>
      <c r="N303" s="458"/>
      <c r="O303" s="458"/>
      <c r="P303" s="460"/>
      <c r="Q303" s="460"/>
      <c r="R303" s="460"/>
      <c r="S303" s="460"/>
      <c r="T303" s="460"/>
      <c r="U303" s="460"/>
      <c r="V303" s="460"/>
      <c r="W303" s="460"/>
      <c r="X303" s="460"/>
      <c r="Y303" s="460"/>
      <c r="Z303" s="460"/>
      <c r="AA303" s="460"/>
      <c r="AB303" s="460"/>
      <c r="AC303" s="460"/>
      <c r="AD303" s="458"/>
      <c r="AE303" s="458"/>
      <c r="AF303" s="458"/>
      <c r="AG303" s="458"/>
      <c r="AH303" s="461"/>
      <c r="AI303" s="462"/>
      <c r="AJ303" s="463"/>
      <c r="AK303" s="464"/>
      <c r="AL303" s="466"/>
      <c r="AM303" s="466"/>
      <c r="AN303" s="463"/>
      <c r="AO303" s="464"/>
      <c r="AP303" s="465" t="s">
        <v>4021</v>
      </c>
      <c r="AQ303" s="997">
        <f>'P.3 GASB 75 OPEB - plan 3'!C106+'P.3 GASB 75 OPEB - plan 3'!C115+'P.3 GASB 75 OPEB - plan 3'!C124</f>
        <v>0</v>
      </c>
      <c r="AR303" s="998"/>
      <c r="AS303" s="1000" t="s">
        <v>4021</v>
      </c>
      <c r="AT303" s="997">
        <f>'P.3 GASB 75 OPEB - plan 3'!D106+'P.3 GASB 75 OPEB - plan 3'!D115+'P.3 GASB 75 OPEB - plan 3'!D124</f>
        <v>0</v>
      </c>
      <c r="AU303" s="467"/>
      <c r="AV303" s="466"/>
      <c r="AW303" s="462"/>
      <c r="AX303" s="465"/>
      <c r="AY303" s="468"/>
      <c r="AZ303" s="447"/>
      <c r="BA303" s="448"/>
      <c r="BB303" s="466">
        <f t="shared" si="201"/>
        <v>0</v>
      </c>
      <c r="BC303" s="466">
        <f>ROUND(AK303+AM303+AO303+AT303+AY303+BA303,0)</f>
        <v>0</v>
      </c>
      <c r="BD303" s="486"/>
      <c r="BE303" s="468"/>
      <c r="BF303" s="429"/>
      <c r="BG303" s="446"/>
    </row>
    <row r="304" spans="1:61" x14ac:dyDescent="0.2">
      <c r="A304" s="19"/>
      <c r="B304" s="224"/>
      <c r="C304" s="204"/>
      <c r="D304" s="456"/>
      <c r="E304" s="457"/>
      <c r="F304" s="458"/>
      <c r="G304" s="458"/>
      <c r="H304" s="458"/>
      <c r="I304" s="458"/>
      <c r="J304" s="458"/>
      <c r="K304" s="459"/>
      <c r="L304" s="458"/>
      <c r="M304" s="458"/>
      <c r="N304" s="458"/>
      <c r="O304" s="458"/>
      <c r="P304" s="460"/>
      <c r="Q304" s="460"/>
      <c r="R304" s="460"/>
      <c r="S304" s="460"/>
      <c r="T304" s="460"/>
      <c r="U304" s="460"/>
      <c r="V304" s="460"/>
      <c r="W304" s="460"/>
      <c r="X304" s="460"/>
      <c r="Y304" s="460"/>
      <c r="Z304" s="460"/>
      <c r="AA304" s="460"/>
      <c r="AB304" s="460"/>
      <c r="AC304" s="460"/>
      <c r="AD304" s="458"/>
      <c r="AE304" s="458"/>
      <c r="AF304" s="458"/>
      <c r="AG304" s="458"/>
      <c r="AH304" s="461"/>
      <c r="AI304" s="462"/>
      <c r="AJ304" s="463"/>
      <c r="AK304" s="464"/>
      <c r="AL304" s="466"/>
      <c r="AM304" s="466"/>
      <c r="AN304" s="463"/>
      <c r="AO304" s="464"/>
      <c r="AP304" s="465" t="s">
        <v>4114</v>
      </c>
      <c r="AQ304" s="367">
        <f>'Q. GASB 87 Lease Entries'!M69</f>
        <v>2999</v>
      </c>
      <c r="AR304" s="998"/>
      <c r="AS304" s="1000" t="s">
        <v>4110</v>
      </c>
      <c r="AT304" s="367">
        <f>'Q. GASB 87 Lease Entries'!O33</f>
        <v>179755</v>
      </c>
      <c r="AU304" s="467"/>
      <c r="AV304" s="466"/>
      <c r="AW304" s="462"/>
      <c r="AX304" s="465"/>
      <c r="AY304" s="468"/>
      <c r="AZ304" s="447"/>
      <c r="BA304" s="448"/>
      <c r="BB304" s="466">
        <f t="shared" si="201"/>
        <v>2999</v>
      </c>
      <c r="BC304" s="466">
        <f t="shared" ref="BC304" si="204">ROUND(AK304+AM304+AO304+AT304+AY304+BA304,0)</f>
        <v>179755</v>
      </c>
      <c r="BD304" s="486"/>
      <c r="BE304" s="468"/>
      <c r="BF304" s="429"/>
      <c r="BG304" s="446"/>
    </row>
    <row r="305" spans="1:61" ht="6" customHeight="1" x14ac:dyDescent="0.2">
      <c r="A305" s="19"/>
      <c r="D305" s="453"/>
      <c r="E305" s="454"/>
      <c r="F305" s="440"/>
      <c r="G305" s="440"/>
      <c r="H305" s="440"/>
      <c r="I305" s="440"/>
      <c r="J305" s="440"/>
      <c r="K305" s="441"/>
      <c r="L305" s="440"/>
      <c r="M305" s="440"/>
      <c r="N305" s="440"/>
      <c r="O305" s="440"/>
      <c r="P305" s="451"/>
      <c r="Q305" s="451"/>
      <c r="R305" s="451"/>
      <c r="S305" s="451"/>
      <c r="T305" s="451"/>
      <c r="U305" s="451"/>
      <c r="V305" s="451"/>
      <c r="W305" s="451"/>
      <c r="X305" s="451"/>
      <c r="Y305" s="451"/>
      <c r="Z305" s="451"/>
      <c r="AA305" s="451"/>
      <c r="AB305" s="451"/>
      <c r="AC305" s="451"/>
      <c r="AD305" s="440"/>
      <c r="AE305" s="440"/>
      <c r="AF305" s="440"/>
      <c r="AG305" s="440"/>
      <c r="AH305" s="430"/>
      <c r="AJ305" s="431"/>
      <c r="AK305" s="443"/>
      <c r="AN305" s="431"/>
      <c r="AO305" s="443"/>
      <c r="AQ305" s="489"/>
      <c r="AT305" s="367"/>
      <c r="AU305" s="445"/>
      <c r="AV305" s="367"/>
      <c r="AY305" s="455"/>
      <c r="AZ305" s="451"/>
      <c r="BA305" s="476"/>
      <c r="BB305" s="367"/>
      <c r="BC305" s="367"/>
      <c r="BD305" s="483"/>
      <c r="BE305" s="455"/>
      <c r="BF305" s="367"/>
      <c r="BG305" s="455"/>
      <c r="BI305" s="939"/>
    </row>
    <row r="306" spans="1:61" x14ac:dyDescent="0.2">
      <c r="A306" s="19"/>
      <c r="B306" s="224" t="s">
        <v>989</v>
      </c>
      <c r="C306" s="204"/>
      <c r="D306" s="456">
        <v>1138578</v>
      </c>
      <c r="E306" s="457"/>
      <c r="F306" s="458"/>
      <c r="G306" s="458"/>
      <c r="H306" s="458"/>
      <c r="I306" s="458"/>
      <c r="J306" s="458"/>
      <c r="K306" s="459"/>
      <c r="L306" s="458"/>
      <c r="M306" s="458"/>
      <c r="N306" s="458"/>
      <c r="O306" s="458"/>
      <c r="P306" s="460"/>
      <c r="Q306" s="460"/>
      <c r="R306" s="460"/>
      <c r="S306" s="460"/>
      <c r="T306" s="460"/>
      <c r="U306" s="460"/>
      <c r="V306" s="460"/>
      <c r="W306" s="460"/>
      <c r="X306" s="460"/>
      <c r="Y306" s="460"/>
      <c r="Z306" s="460"/>
      <c r="AA306" s="460"/>
      <c r="AB306" s="460"/>
      <c r="AC306" s="460"/>
      <c r="AD306" s="458"/>
      <c r="AE306" s="458"/>
      <c r="AF306" s="458"/>
      <c r="AG306" s="458"/>
      <c r="AH306" s="461">
        <f t="shared" ref="AH306:AH309" si="205">L306+N306+P306+R306+T306+V306+X306+Z306+AB306+AD306+AF306</f>
        <v>0</v>
      </c>
      <c r="AI306" s="462">
        <f t="shared" ref="AI306:AI309" si="206">M306+O306+Q306+S306+U306+W306+Y306+AA306+AC306+AE306+AG306</f>
        <v>0</v>
      </c>
      <c r="AJ306" s="463">
        <f t="shared" ref="AJ306:AK309" si="207">D306+F306+H306+J306+AH306</f>
        <v>1138578</v>
      </c>
      <c r="AK306" s="464">
        <f t="shared" si="207"/>
        <v>0</v>
      </c>
      <c r="AL306" s="462"/>
      <c r="AM306" s="462"/>
      <c r="AN306" s="463"/>
      <c r="AO306" s="464"/>
      <c r="AP306" s="465" t="str">
        <f>'D. Depreciation'!A55</f>
        <v>D.1</v>
      </c>
      <c r="AQ306" s="466">
        <f>'D. Depreciation'!J57</f>
        <v>0</v>
      </c>
      <c r="AR306" s="462"/>
      <c r="AS306" s="465" t="str">
        <f>'E. Capital Outlay'!D54</f>
        <v>E.1</v>
      </c>
      <c r="AT306" s="466">
        <f>'E. Capital Outlay'!N67</f>
        <v>0</v>
      </c>
      <c r="AU306" s="467" t="str">
        <f>'L. Eliminations-Consolidations'!A243</f>
        <v>L.7</v>
      </c>
      <c r="AV306" s="466">
        <f>'L. Eliminations-Consolidations'!J245</f>
        <v>0</v>
      </c>
      <c r="AW306" s="462"/>
      <c r="AX306" s="470" t="s">
        <v>634</v>
      </c>
      <c r="AY306" s="466">
        <f>'K.1  Int. Service Fd Allocation'!G211+'K.2  Int. Service Fd Alloca'!G206+'K.3 Int. Service Fd Alloca'!G206</f>
        <v>0</v>
      </c>
      <c r="AZ306" s="471"/>
      <c r="BA306" s="448"/>
      <c r="BB306" s="466">
        <f t="shared" ref="BB306:BB311" si="208">ROUND(AJ306+AL306+AN306+AQ306+AV306+AZ306,0)</f>
        <v>1138578</v>
      </c>
      <c r="BC306" s="466">
        <f t="shared" ref="BC306:BC311" si="209">ROUND(AK306+AM306+AO306+AT306+AY306+BA306,0)</f>
        <v>0</v>
      </c>
      <c r="BD306" s="486">
        <f>IF((SUM(BB306:BB314))-(SUM(BC306:BC314))&lt;=0," ",(SUM(BB306:BB314))-(SUM(BC306:BC314)))</f>
        <v>1134832</v>
      </c>
      <c r="BE306" s="468" t="str">
        <f>IF((SUM(BB306:BB314))-(SUM(BC306:BC314))&gt;0," ",-(SUM(BB306:BB314))+(SUM(BC306:BC314)))</f>
        <v xml:space="preserve"> </v>
      </c>
      <c r="BF306" s="429"/>
      <c r="BG306" s="446"/>
      <c r="BH306" s="937"/>
    </row>
    <row r="307" spans="1:61" x14ac:dyDescent="0.2">
      <c r="A307" s="19"/>
      <c r="B307" s="224"/>
      <c r="C307" s="204"/>
      <c r="D307" s="456"/>
      <c r="E307" s="457"/>
      <c r="F307" s="458"/>
      <c r="G307" s="458"/>
      <c r="H307" s="458"/>
      <c r="I307" s="458"/>
      <c r="J307" s="458"/>
      <c r="K307" s="459"/>
      <c r="L307" s="458"/>
      <c r="M307" s="458"/>
      <c r="N307" s="458"/>
      <c r="O307" s="458"/>
      <c r="P307" s="460"/>
      <c r="Q307" s="460"/>
      <c r="R307" s="460"/>
      <c r="S307" s="460"/>
      <c r="T307" s="460"/>
      <c r="U307" s="460"/>
      <c r="V307" s="460"/>
      <c r="W307" s="460"/>
      <c r="X307" s="460"/>
      <c r="Y307" s="460"/>
      <c r="Z307" s="460"/>
      <c r="AA307" s="460"/>
      <c r="AB307" s="460"/>
      <c r="AC307" s="460"/>
      <c r="AD307" s="458"/>
      <c r="AE307" s="458"/>
      <c r="AF307" s="458"/>
      <c r="AG307" s="458"/>
      <c r="AH307" s="461">
        <f t="shared" si="205"/>
        <v>0</v>
      </c>
      <c r="AI307" s="462">
        <f t="shared" si="206"/>
        <v>0</v>
      </c>
      <c r="AJ307" s="463">
        <f t="shared" si="207"/>
        <v>0</v>
      </c>
      <c r="AK307" s="464">
        <f t="shared" si="207"/>
        <v>0</v>
      </c>
      <c r="AL307" s="462"/>
      <c r="AM307" s="462"/>
      <c r="AN307" s="463"/>
      <c r="AO307" s="464"/>
      <c r="AP307" s="465" t="str">
        <f>'J. Other Liability &amp; Expenses'!D203</f>
        <v>J.1</v>
      </c>
      <c r="AQ307" s="367">
        <f>'J. Other Liability &amp; Expenses'!L205</f>
        <v>1254</v>
      </c>
      <c r="AR307" s="462"/>
      <c r="AS307" s="477" t="str">
        <f>'I.  Other Asset Entries'!B108</f>
        <v>I.1</v>
      </c>
      <c r="AT307" s="367">
        <f>'I.  Other Asset Entries'!N115</f>
        <v>5000</v>
      </c>
      <c r="AU307" s="467"/>
      <c r="AV307" s="466"/>
      <c r="AW307" s="462"/>
      <c r="AX307" s="465" t="str">
        <f>'L. Eliminations-Consolidations'!A219</f>
        <v>L.5</v>
      </c>
      <c r="AY307" s="468">
        <f>'L. Eliminations-Consolidations'!L222</f>
        <v>0</v>
      </c>
      <c r="AZ307" s="447"/>
      <c r="BA307" s="448"/>
      <c r="BB307" s="466">
        <f t="shared" si="208"/>
        <v>1254</v>
      </c>
      <c r="BC307" s="466">
        <f t="shared" si="209"/>
        <v>5000</v>
      </c>
      <c r="BD307" s="486"/>
      <c r="BE307" s="468"/>
      <c r="BF307" s="429"/>
      <c r="BG307" s="446"/>
    </row>
    <row r="308" spans="1:61" x14ac:dyDescent="0.2">
      <c r="A308" s="19"/>
      <c r="B308" s="224"/>
      <c r="C308" s="204"/>
      <c r="D308" s="456"/>
      <c r="E308" s="457"/>
      <c r="F308" s="458"/>
      <c r="G308" s="458"/>
      <c r="H308" s="458"/>
      <c r="I308" s="458"/>
      <c r="J308" s="458"/>
      <c r="K308" s="459"/>
      <c r="L308" s="458"/>
      <c r="M308" s="458"/>
      <c r="N308" s="458"/>
      <c r="O308" s="458"/>
      <c r="P308" s="460"/>
      <c r="Q308" s="460"/>
      <c r="R308" s="460"/>
      <c r="S308" s="460"/>
      <c r="T308" s="460"/>
      <c r="U308" s="460"/>
      <c r="V308" s="460"/>
      <c r="W308" s="460"/>
      <c r="X308" s="460"/>
      <c r="Y308" s="460"/>
      <c r="Z308" s="460"/>
      <c r="AA308" s="460"/>
      <c r="AB308" s="460"/>
      <c r="AC308" s="460"/>
      <c r="AD308" s="458"/>
      <c r="AE308" s="458"/>
      <c r="AF308" s="458"/>
      <c r="AG308" s="458"/>
      <c r="AH308" s="461">
        <f t="shared" si="205"/>
        <v>0</v>
      </c>
      <c r="AI308" s="462">
        <f t="shared" si="206"/>
        <v>0</v>
      </c>
      <c r="AJ308" s="463">
        <f t="shared" si="207"/>
        <v>0</v>
      </c>
      <c r="AK308" s="464">
        <f t="shared" si="207"/>
        <v>0</v>
      </c>
      <c r="AL308" s="462"/>
      <c r="AM308" s="462"/>
      <c r="AN308" s="463"/>
      <c r="AO308" s="464"/>
      <c r="AP308" s="465" t="str">
        <f>'F.  Other Cap Asset Entries'!D256</f>
        <v>F.3</v>
      </c>
      <c r="AQ308" s="466">
        <f>'F.  Other Cap Asset Entries'!M257</f>
        <v>0</v>
      </c>
      <c r="AR308" s="462"/>
      <c r="AS308" s="477" t="str">
        <f>'J. Other Liability &amp; Expenses'!D203</f>
        <v>J.1</v>
      </c>
      <c r="AT308" s="466">
        <f>'J. Other Liability &amp; Expenses'!N205</f>
        <v>0</v>
      </c>
      <c r="AU308" s="467" t="str">
        <f>'L. Eliminations-Consolidations'!B273</f>
        <v>L.8</v>
      </c>
      <c r="AV308" s="466">
        <f>'L. Eliminations-Consolidations'!J276</f>
        <v>0</v>
      </c>
      <c r="AW308" s="462"/>
      <c r="AX308" s="465" t="str">
        <f>'L. Eliminations-Consolidations'!B273</f>
        <v>L.8</v>
      </c>
      <c r="AY308" s="468">
        <f>'L. Eliminations-Consolidations'!L276</f>
        <v>0</v>
      </c>
      <c r="AZ308" s="447"/>
      <c r="BA308" s="448"/>
      <c r="BB308" s="466">
        <f t="shared" si="208"/>
        <v>0</v>
      </c>
      <c r="BC308" s="466">
        <f t="shared" si="209"/>
        <v>0</v>
      </c>
      <c r="BD308" s="486"/>
      <c r="BE308" s="468"/>
      <c r="BF308" s="429"/>
      <c r="BG308" s="446"/>
    </row>
    <row r="309" spans="1:61" x14ac:dyDescent="0.2">
      <c r="A309" s="19"/>
      <c r="B309" s="224"/>
      <c r="C309" s="204"/>
      <c r="D309" s="456"/>
      <c r="E309" s="457"/>
      <c r="F309" s="458"/>
      <c r="G309" s="458"/>
      <c r="H309" s="458"/>
      <c r="I309" s="458"/>
      <c r="J309" s="458"/>
      <c r="K309" s="459"/>
      <c r="L309" s="458"/>
      <c r="M309" s="458"/>
      <c r="N309" s="458"/>
      <c r="O309" s="458"/>
      <c r="P309" s="460"/>
      <c r="Q309" s="460"/>
      <c r="R309" s="460"/>
      <c r="S309" s="460"/>
      <c r="T309" s="460"/>
      <c r="U309" s="460"/>
      <c r="V309" s="460"/>
      <c r="W309" s="460"/>
      <c r="X309" s="460"/>
      <c r="Y309" s="460"/>
      <c r="Z309" s="460"/>
      <c r="AA309" s="460"/>
      <c r="AB309" s="460"/>
      <c r="AC309" s="460"/>
      <c r="AD309" s="458"/>
      <c r="AE309" s="458"/>
      <c r="AF309" s="458"/>
      <c r="AG309" s="458"/>
      <c r="AH309" s="461">
        <f t="shared" si="205"/>
        <v>0</v>
      </c>
      <c r="AI309" s="462">
        <f t="shared" si="206"/>
        <v>0</v>
      </c>
      <c r="AJ309" s="463">
        <f t="shared" si="207"/>
        <v>0</v>
      </c>
      <c r="AK309" s="464">
        <f t="shared" si="207"/>
        <v>0</v>
      </c>
      <c r="AL309" s="462"/>
      <c r="AM309" s="462"/>
      <c r="AN309" s="463"/>
      <c r="AO309" s="464"/>
      <c r="AP309" s="465" t="s">
        <v>621</v>
      </c>
      <c r="AQ309" s="466">
        <f>'F.  Other Cap Asset Entries'!M279</f>
        <v>0</v>
      </c>
      <c r="AR309" s="462"/>
      <c r="AS309" s="477" t="s">
        <v>2047</v>
      </c>
      <c r="AT309" s="466">
        <f>'N.1 GASB 68 LGERS'!D99</f>
        <v>0</v>
      </c>
      <c r="AU309" s="467"/>
      <c r="AV309" s="466"/>
      <c r="AW309" s="462"/>
      <c r="AX309" s="465"/>
      <c r="AY309" s="468"/>
      <c r="AZ309" s="447"/>
      <c r="BA309" s="448"/>
      <c r="BB309" s="466">
        <f t="shared" si="208"/>
        <v>0</v>
      </c>
      <c r="BC309" s="466">
        <f t="shared" si="209"/>
        <v>0</v>
      </c>
      <c r="BD309" s="486"/>
      <c r="BE309" s="468"/>
      <c r="BF309" s="429"/>
      <c r="BG309" s="446"/>
    </row>
    <row r="310" spans="1:61" x14ac:dyDescent="0.2">
      <c r="A310" s="19"/>
      <c r="B310" s="224"/>
      <c r="C310" s="204"/>
      <c r="D310" s="456"/>
      <c r="E310" s="457"/>
      <c r="F310" s="458"/>
      <c r="G310" s="458"/>
      <c r="H310" s="458"/>
      <c r="I310" s="458"/>
      <c r="J310" s="458"/>
      <c r="K310" s="459"/>
      <c r="L310" s="458"/>
      <c r="M310" s="458"/>
      <c r="N310" s="458"/>
      <c r="O310" s="458"/>
      <c r="P310" s="460"/>
      <c r="Q310" s="460"/>
      <c r="R310" s="460"/>
      <c r="S310" s="460"/>
      <c r="T310" s="460"/>
      <c r="U310" s="460"/>
      <c r="V310" s="460"/>
      <c r="W310" s="460"/>
      <c r="X310" s="460"/>
      <c r="Y310" s="460"/>
      <c r="Z310" s="460"/>
      <c r="AA310" s="460"/>
      <c r="AB310" s="460"/>
      <c r="AC310" s="460"/>
      <c r="AD310" s="458"/>
      <c r="AE310" s="458"/>
      <c r="AF310" s="458"/>
      <c r="AG310" s="458"/>
      <c r="AH310" s="461"/>
      <c r="AI310" s="462"/>
      <c r="AJ310" s="463"/>
      <c r="AK310" s="464"/>
      <c r="AL310" s="462"/>
      <c r="AM310" s="462"/>
      <c r="AN310" s="463"/>
      <c r="AO310" s="464"/>
      <c r="AP310" s="465" t="s">
        <v>2047</v>
      </c>
      <c r="AQ310" s="466">
        <f>'N.1 GASB 68 LGERS'!C99</f>
        <v>0</v>
      </c>
      <c r="AR310" s="462"/>
      <c r="AS310" s="477"/>
      <c r="AT310" s="466"/>
      <c r="AU310" s="467"/>
      <c r="AV310" s="466"/>
      <c r="AW310" s="462"/>
      <c r="AX310" s="465"/>
      <c r="AY310" s="468"/>
      <c r="AZ310" s="447"/>
      <c r="BA310" s="448"/>
      <c r="BB310" s="466">
        <f t="shared" si="208"/>
        <v>0</v>
      </c>
      <c r="BC310" s="466">
        <f t="shared" si="209"/>
        <v>0</v>
      </c>
      <c r="BD310" s="486"/>
      <c r="BE310" s="468"/>
      <c r="BF310" s="429"/>
      <c r="BG310" s="446"/>
    </row>
    <row r="311" spans="1:61" x14ac:dyDescent="0.2">
      <c r="A311" s="19"/>
      <c r="B311" s="224"/>
      <c r="C311" s="204"/>
      <c r="D311" s="456"/>
      <c r="E311" s="457"/>
      <c r="F311" s="458"/>
      <c r="G311" s="458"/>
      <c r="H311" s="458"/>
      <c r="I311" s="458"/>
      <c r="J311" s="458"/>
      <c r="K311" s="459"/>
      <c r="L311" s="458"/>
      <c r="M311" s="458"/>
      <c r="N311" s="458"/>
      <c r="O311" s="458"/>
      <c r="P311" s="460"/>
      <c r="Q311" s="460"/>
      <c r="R311" s="460"/>
      <c r="S311" s="460"/>
      <c r="T311" s="460"/>
      <c r="U311" s="460"/>
      <c r="V311" s="460"/>
      <c r="W311" s="460"/>
      <c r="X311" s="460"/>
      <c r="Y311" s="460"/>
      <c r="Z311" s="460"/>
      <c r="AA311" s="460"/>
      <c r="AB311" s="460"/>
      <c r="AC311" s="460"/>
      <c r="AD311" s="458"/>
      <c r="AE311" s="458"/>
      <c r="AF311" s="458"/>
      <c r="AG311" s="458"/>
      <c r="AH311" s="461"/>
      <c r="AI311" s="462"/>
      <c r="AJ311" s="463"/>
      <c r="AK311" s="464"/>
      <c r="AL311" s="462"/>
      <c r="AM311" s="462"/>
      <c r="AN311" s="463"/>
      <c r="AO311" s="464"/>
      <c r="AP311" s="465" t="s">
        <v>4019</v>
      </c>
      <c r="AQ311" s="462">
        <f>'P.1 GASB 75 OPEB  - plan 1'!C107+'P.1 GASB 75 OPEB  - plan 1'!C116+'P.1 GASB 75 OPEB  - plan 1'!C125</f>
        <v>0</v>
      </c>
      <c r="AR311" s="462"/>
      <c r="AS311" s="465" t="s">
        <v>4019</v>
      </c>
      <c r="AT311" s="462">
        <f>'P.1 GASB 75 OPEB  - plan 1'!D107+'P.1 GASB 75 OPEB  - plan 1'!D116+'P.1 GASB 75 OPEB  - plan 1'!D125</f>
        <v>0</v>
      </c>
      <c r="AU311" s="467"/>
      <c r="AV311" s="466"/>
      <c r="AW311" s="462"/>
      <c r="AX311" s="465"/>
      <c r="AY311" s="468"/>
      <c r="AZ311" s="447"/>
      <c r="BA311" s="448"/>
      <c r="BB311" s="466">
        <f t="shared" si="208"/>
        <v>0</v>
      </c>
      <c r="BC311" s="466">
        <f t="shared" si="209"/>
        <v>0</v>
      </c>
      <c r="BD311" s="486"/>
      <c r="BE311" s="468"/>
      <c r="BF311" s="429"/>
      <c r="BG311" s="446"/>
    </row>
    <row r="312" spans="1:61" x14ac:dyDescent="0.2">
      <c r="A312" s="19"/>
      <c r="B312" s="224"/>
      <c r="C312" s="204"/>
      <c r="D312" s="456"/>
      <c r="E312" s="457"/>
      <c r="F312" s="458"/>
      <c r="G312" s="458"/>
      <c r="H312" s="458"/>
      <c r="I312" s="458"/>
      <c r="J312" s="458"/>
      <c r="K312" s="459"/>
      <c r="L312" s="458"/>
      <c r="M312" s="458"/>
      <c r="N312" s="458"/>
      <c r="O312" s="458"/>
      <c r="P312" s="460"/>
      <c r="Q312" s="460"/>
      <c r="R312" s="460"/>
      <c r="S312" s="460"/>
      <c r="T312" s="460"/>
      <c r="U312" s="460"/>
      <c r="V312" s="460"/>
      <c r="W312" s="460"/>
      <c r="X312" s="460"/>
      <c r="Y312" s="460"/>
      <c r="Z312" s="460"/>
      <c r="AA312" s="460"/>
      <c r="AB312" s="460"/>
      <c r="AC312" s="460"/>
      <c r="AD312" s="458"/>
      <c r="AE312" s="458"/>
      <c r="AF312" s="458"/>
      <c r="AG312" s="458"/>
      <c r="AH312" s="461"/>
      <c r="AI312" s="462"/>
      <c r="AJ312" s="463"/>
      <c r="AK312" s="464"/>
      <c r="AL312" s="462"/>
      <c r="AM312" s="462"/>
      <c r="AN312" s="463"/>
      <c r="AO312" s="464"/>
      <c r="AP312" s="465" t="s">
        <v>4020</v>
      </c>
      <c r="AQ312" s="462">
        <f>'P.2 GASB 75 OPEB - plan 2'!C107+'P.2 GASB 75 OPEB - plan 2'!C116+'P.2 GASB 75 OPEB - plan 2'!C125</f>
        <v>0</v>
      </c>
      <c r="AR312" s="462"/>
      <c r="AS312" s="465" t="s">
        <v>4020</v>
      </c>
      <c r="AT312" s="462">
        <f>'P.2 GASB 75 OPEB - plan 2'!D107+'P.2 GASB 75 OPEB - plan 2'!D116+'P.2 GASB 75 OPEB - plan 2'!D125</f>
        <v>0</v>
      </c>
      <c r="AU312" s="467"/>
      <c r="AV312" s="466"/>
      <c r="AW312" s="462"/>
      <c r="AX312" s="465"/>
      <c r="AY312" s="468"/>
      <c r="AZ312" s="447"/>
      <c r="BA312" s="448"/>
      <c r="BB312" s="466">
        <f t="shared" ref="BB312:BB314" si="210">ROUND(AJ312+AL312+AN312+AQ312+AV312+AZ312,0)</f>
        <v>0</v>
      </c>
      <c r="BC312" s="466">
        <f t="shared" ref="BC312:BC314" si="211">ROUND(AK312+AM312+AO312+AT312+AY312+BA312,0)</f>
        <v>0</v>
      </c>
      <c r="BD312" s="486"/>
      <c r="BE312" s="468"/>
      <c r="BF312" s="429"/>
      <c r="BG312" s="446"/>
    </row>
    <row r="313" spans="1:61" x14ac:dyDescent="0.2">
      <c r="A313" s="19"/>
      <c r="B313" s="224"/>
      <c r="C313" s="204"/>
      <c r="D313" s="456"/>
      <c r="E313" s="457"/>
      <c r="F313" s="458"/>
      <c r="G313" s="458"/>
      <c r="H313" s="458"/>
      <c r="I313" s="458"/>
      <c r="J313" s="458"/>
      <c r="K313" s="459"/>
      <c r="L313" s="458"/>
      <c r="M313" s="458"/>
      <c r="N313" s="458"/>
      <c r="O313" s="458"/>
      <c r="P313" s="460"/>
      <c r="Q313" s="460"/>
      <c r="R313" s="460"/>
      <c r="S313" s="460"/>
      <c r="T313" s="460"/>
      <c r="U313" s="460"/>
      <c r="V313" s="460"/>
      <c r="W313" s="460"/>
      <c r="X313" s="460"/>
      <c r="Y313" s="460"/>
      <c r="Z313" s="460"/>
      <c r="AA313" s="460"/>
      <c r="AB313" s="460"/>
      <c r="AC313" s="460"/>
      <c r="AD313" s="458"/>
      <c r="AE313" s="458"/>
      <c r="AF313" s="458"/>
      <c r="AG313" s="458"/>
      <c r="AH313" s="461"/>
      <c r="AI313" s="462"/>
      <c r="AJ313" s="463"/>
      <c r="AK313" s="464"/>
      <c r="AL313" s="462"/>
      <c r="AM313" s="462"/>
      <c r="AN313" s="463"/>
      <c r="AO313" s="464"/>
      <c r="AP313" s="465" t="s">
        <v>4021</v>
      </c>
      <c r="AQ313" s="462">
        <f>'P.3 GASB 75 OPEB - plan 3'!C107+'P.3 GASB 75 OPEB - plan 3'!C116+'P.3 GASB 75 OPEB - plan 3'!C125</f>
        <v>0</v>
      </c>
      <c r="AR313" s="462"/>
      <c r="AS313" s="465" t="s">
        <v>4021</v>
      </c>
      <c r="AT313" s="462">
        <f>'P.3 GASB 75 OPEB - plan 3'!D107+'P.3 GASB 75 OPEB - plan 3'!D116+'P.3 GASB 75 OPEB - plan 3'!D125</f>
        <v>0</v>
      </c>
      <c r="AU313" s="467"/>
      <c r="AV313" s="466"/>
      <c r="AW313" s="462"/>
      <c r="AX313" s="465"/>
      <c r="AY313" s="468"/>
      <c r="AZ313" s="447"/>
      <c r="BA313" s="448"/>
      <c r="BB313" s="466">
        <f t="shared" si="210"/>
        <v>0</v>
      </c>
      <c r="BC313" s="466">
        <f t="shared" si="211"/>
        <v>0</v>
      </c>
      <c r="BD313" s="486"/>
      <c r="BE313" s="468"/>
      <c r="BF313" s="429"/>
      <c r="BG313" s="446"/>
    </row>
    <row r="314" spans="1:61" x14ac:dyDescent="0.2">
      <c r="A314" s="19"/>
      <c r="B314" s="224"/>
      <c r="C314" s="204"/>
      <c r="D314" s="456"/>
      <c r="E314" s="457"/>
      <c r="F314" s="458"/>
      <c r="G314" s="458"/>
      <c r="H314" s="458"/>
      <c r="I314" s="458"/>
      <c r="J314" s="458"/>
      <c r="K314" s="459"/>
      <c r="L314" s="458"/>
      <c r="M314" s="458"/>
      <c r="N314" s="458"/>
      <c r="O314" s="458"/>
      <c r="P314" s="460"/>
      <c r="Q314" s="460"/>
      <c r="R314" s="460"/>
      <c r="S314" s="460"/>
      <c r="T314" s="460"/>
      <c r="U314" s="460"/>
      <c r="V314" s="460"/>
      <c r="W314" s="460"/>
      <c r="X314" s="460"/>
      <c r="Y314" s="460"/>
      <c r="Z314" s="460"/>
      <c r="AA314" s="460"/>
      <c r="AB314" s="460"/>
      <c r="AC314" s="460"/>
      <c r="AD314" s="458"/>
      <c r="AE314" s="458"/>
      <c r="AF314" s="458"/>
      <c r="AG314" s="458"/>
      <c r="AH314" s="461"/>
      <c r="AI314" s="462"/>
      <c r="AJ314" s="463"/>
      <c r="AK314" s="464"/>
      <c r="AL314" s="462"/>
      <c r="AM314" s="462"/>
      <c r="AN314" s="463"/>
      <c r="AO314" s="464"/>
      <c r="AP314" s="465" t="s">
        <v>4114</v>
      </c>
      <c r="AQ314" s="466">
        <f>'Q. GASB 87 Lease Entries'!M70</f>
        <v>0</v>
      </c>
      <c r="AR314" s="462"/>
      <c r="AS314" s="465" t="s">
        <v>4110</v>
      </c>
      <c r="AT314" s="462">
        <f>'Q. GASB 87 Lease Entries'!O34</f>
        <v>0</v>
      </c>
      <c r="AU314" s="467"/>
      <c r="AV314" s="466"/>
      <c r="AW314" s="462"/>
      <c r="AX314" s="465"/>
      <c r="AY314" s="468"/>
      <c r="AZ314" s="447"/>
      <c r="BA314" s="448"/>
      <c r="BB314" s="466">
        <f t="shared" si="210"/>
        <v>0</v>
      </c>
      <c r="BC314" s="466">
        <f t="shared" si="211"/>
        <v>0</v>
      </c>
      <c r="BD314" s="486"/>
      <c r="BE314" s="468"/>
      <c r="BF314" s="429"/>
      <c r="BG314" s="446"/>
    </row>
    <row r="315" spans="1:61" ht="6" customHeight="1" x14ac:dyDescent="0.2">
      <c r="A315" s="19"/>
      <c r="D315" s="453"/>
      <c r="E315" s="454"/>
      <c r="F315" s="440"/>
      <c r="G315" s="440"/>
      <c r="H315" s="440"/>
      <c r="I315" s="440"/>
      <c r="J315" s="440"/>
      <c r="K315" s="441"/>
      <c r="L315" s="440"/>
      <c r="M315" s="440"/>
      <c r="N315" s="440"/>
      <c r="O315" s="440"/>
      <c r="P315" s="451"/>
      <c r="Q315" s="451"/>
      <c r="R315" s="451"/>
      <c r="S315" s="451"/>
      <c r="T315" s="451"/>
      <c r="U315" s="451"/>
      <c r="V315" s="451"/>
      <c r="W315" s="451"/>
      <c r="X315" s="451"/>
      <c r="Y315" s="451"/>
      <c r="Z315" s="451"/>
      <c r="AA315" s="451"/>
      <c r="AB315" s="451"/>
      <c r="AC315" s="451"/>
      <c r="AD315" s="440"/>
      <c r="AE315" s="440"/>
      <c r="AF315" s="440"/>
      <c r="AG315" s="440"/>
      <c r="AH315" s="430"/>
      <c r="AJ315" s="431"/>
      <c r="AK315" s="443"/>
      <c r="AN315" s="431"/>
      <c r="AO315" s="443"/>
      <c r="AQ315" s="489"/>
      <c r="AT315" s="367"/>
      <c r="AU315" s="445"/>
      <c r="AV315" s="367"/>
      <c r="AY315" s="455"/>
      <c r="AZ315" s="451"/>
      <c r="BA315" s="476"/>
      <c r="BB315" s="367"/>
      <c r="BC315" s="367"/>
      <c r="BD315" s="483"/>
      <c r="BE315" s="455"/>
      <c r="BF315" s="367"/>
      <c r="BG315" s="455"/>
      <c r="BI315" s="939"/>
    </row>
    <row r="316" spans="1:61" x14ac:dyDescent="0.2">
      <c r="A316" s="19"/>
      <c r="B316" s="224" t="s">
        <v>815</v>
      </c>
      <c r="C316" s="204"/>
      <c r="D316" s="456">
        <v>1316929</v>
      </c>
      <c r="E316" s="457"/>
      <c r="F316" s="458"/>
      <c r="G316" s="458"/>
      <c r="H316" s="458"/>
      <c r="I316" s="458"/>
      <c r="J316" s="458"/>
      <c r="K316" s="459"/>
      <c r="L316" s="458"/>
      <c r="M316" s="458"/>
      <c r="N316" s="458"/>
      <c r="O316" s="458"/>
      <c r="P316" s="460"/>
      <c r="Q316" s="460"/>
      <c r="R316" s="460"/>
      <c r="S316" s="460"/>
      <c r="T316" s="460"/>
      <c r="U316" s="460"/>
      <c r="V316" s="460"/>
      <c r="W316" s="460"/>
      <c r="X316" s="460"/>
      <c r="Y316" s="460"/>
      <c r="Z316" s="460"/>
      <c r="AA316" s="460"/>
      <c r="AB316" s="460"/>
      <c r="AC316" s="460"/>
      <c r="AD316" s="458"/>
      <c r="AE316" s="458"/>
      <c r="AF316" s="458"/>
      <c r="AG316" s="458"/>
      <c r="AH316" s="461">
        <f t="shared" ref="AH316:AH319" si="212">L316+N316+P316+R316+T316+V316+X316+Z316+AB316+AD316+AF316</f>
        <v>0</v>
      </c>
      <c r="AI316" s="462">
        <f t="shared" ref="AI316:AI319" si="213">M316+O316+Q316+S316+U316+W316+Y316+AA316+AC316+AE316+AG316</f>
        <v>0</v>
      </c>
      <c r="AJ316" s="463">
        <f t="shared" ref="AJ316:AK319" si="214">D316+F316+H316+J316+AH316</f>
        <v>1316929</v>
      </c>
      <c r="AK316" s="464">
        <f t="shared" si="214"/>
        <v>0</v>
      </c>
      <c r="AL316" s="462"/>
      <c r="AM316" s="462"/>
      <c r="AN316" s="463"/>
      <c r="AO316" s="464"/>
      <c r="AP316" s="465" t="str">
        <f>'D. Depreciation'!A55</f>
        <v>D.1</v>
      </c>
      <c r="AQ316" s="367">
        <f>'D. Depreciation'!J58</f>
        <v>8006</v>
      </c>
      <c r="AR316" s="462"/>
      <c r="AS316" s="465" t="str">
        <f>'E. Capital Outlay'!D54</f>
        <v>E.1</v>
      </c>
      <c r="AT316" s="367">
        <f>'E. Capital Outlay'!N68</f>
        <v>0</v>
      </c>
      <c r="AU316" s="467" t="str">
        <f>'L. Eliminations-Consolidations'!A243</f>
        <v>L.7</v>
      </c>
      <c r="AV316" s="466">
        <f>'L. Eliminations-Consolidations'!J246</f>
        <v>0</v>
      </c>
      <c r="AW316" s="462"/>
      <c r="AX316" s="470" t="s">
        <v>634</v>
      </c>
      <c r="AY316" s="466">
        <f>'K.1  Int. Service Fd Allocation'!G212+'K.2  Int. Service Fd Alloca'!G207+'K.3 Int. Service Fd Alloca'!G207</f>
        <v>0</v>
      </c>
      <c r="AZ316" s="471"/>
      <c r="BA316" s="448"/>
      <c r="BB316" s="466">
        <f t="shared" ref="BB316:BB321" si="215">ROUND(AJ316+AL316+AN316+AQ316+AV316+AZ316,0)</f>
        <v>1324935</v>
      </c>
      <c r="BC316" s="466">
        <f t="shared" ref="BC316:BC321" si="216">ROUND(AK316+AM316+AO316+AT316+AY316+BA316,0)</f>
        <v>0</v>
      </c>
      <c r="BD316" s="486">
        <f>IF((SUM(BB316:BB324))-(SUM(BC316:BC324))&lt;=0," ",(SUM(BB316:BB324))-(SUM(BC316:BC324)))</f>
        <v>1313784</v>
      </c>
      <c r="BE316" s="468" t="str">
        <f>IF((SUM(BB316:BB324))-(SUM(BC316:BC324))&gt;0," ",-(SUM(BB316:BB324))+(SUM(BC316:BC324)))</f>
        <v xml:space="preserve"> </v>
      </c>
      <c r="BF316" s="429"/>
      <c r="BG316" s="446"/>
      <c r="BH316" s="937"/>
    </row>
    <row r="317" spans="1:61" x14ac:dyDescent="0.2">
      <c r="A317" s="19"/>
      <c r="B317" s="224"/>
      <c r="C317" s="204"/>
      <c r="D317" s="456"/>
      <c r="E317" s="457"/>
      <c r="F317" s="458"/>
      <c r="G317" s="458"/>
      <c r="H317" s="458"/>
      <c r="I317" s="458"/>
      <c r="J317" s="458"/>
      <c r="K317" s="459"/>
      <c r="L317" s="458"/>
      <c r="M317" s="458"/>
      <c r="N317" s="458"/>
      <c r="O317" s="458"/>
      <c r="P317" s="460"/>
      <c r="Q317" s="460"/>
      <c r="R317" s="460"/>
      <c r="S317" s="460"/>
      <c r="T317" s="460"/>
      <c r="U317" s="460"/>
      <c r="V317" s="460"/>
      <c r="W317" s="460"/>
      <c r="X317" s="460"/>
      <c r="Y317" s="460"/>
      <c r="Z317" s="460"/>
      <c r="AA317" s="460"/>
      <c r="AB317" s="460"/>
      <c r="AC317" s="460"/>
      <c r="AD317" s="458"/>
      <c r="AE317" s="458"/>
      <c r="AF317" s="458"/>
      <c r="AG317" s="458"/>
      <c r="AH317" s="461">
        <f t="shared" si="212"/>
        <v>0</v>
      </c>
      <c r="AI317" s="462">
        <f t="shared" si="213"/>
        <v>0</v>
      </c>
      <c r="AJ317" s="463">
        <f t="shared" si="214"/>
        <v>0</v>
      </c>
      <c r="AK317" s="464">
        <f t="shared" si="214"/>
        <v>0</v>
      </c>
      <c r="AL317" s="462"/>
      <c r="AM317" s="462"/>
      <c r="AN317" s="463"/>
      <c r="AO317" s="464"/>
      <c r="AP317" s="465" t="str">
        <f>'J. Other Liability &amp; Expenses'!D203</f>
        <v>J.1</v>
      </c>
      <c r="AQ317" s="367">
        <f>'J. Other Liability &amp; Expenses'!L206</f>
        <v>6265</v>
      </c>
      <c r="AR317" s="462"/>
      <c r="AS317" s="477" t="str">
        <f>'I.  Other Asset Entries'!B108</f>
        <v>I.1</v>
      </c>
      <c r="AT317" s="367">
        <f>'I.  Other Asset Entries'!N116</f>
        <v>17416</v>
      </c>
      <c r="AU317" s="467"/>
      <c r="AV317" s="466"/>
      <c r="AW317" s="462"/>
      <c r="AX317" s="465"/>
      <c r="AY317" s="468"/>
      <c r="AZ317" s="447"/>
      <c r="BA317" s="448"/>
      <c r="BB317" s="466">
        <f>ROUND(AJ317+AL317+AN317+AQ317+AV317+AZ317,0)</f>
        <v>6265</v>
      </c>
      <c r="BC317" s="466">
        <f t="shared" si="216"/>
        <v>17416</v>
      </c>
      <c r="BD317" s="486"/>
      <c r="BE317" s="468"/>
      <c r="BF317" s="429"/>
      <c r="BG317" s="446"/>
    </row>
    <row r="318" spans="1:61" x14ac:dyDescent="0.2">
      <c r="A318" s="19"/>
      <c r="B318" s="224"/>
      <c r="C318" s="204"/>
      <c r="D318" s="456"/>
      <c r="E318" s="457"/>
      <c r="F318" s="458"/>
      <c r="G318" s="458"/>
      <c r="H318" s="458"/>
      <c r="I318" s="458"/>
      <c r="J318" s="458"/>
      <c r="K318" s="459"/>
      <c r="L318" s="458"/>
      <c r="M318" s="458"/>
      <c r="N318" s="458"/>
      <c r="O318" s="458"/>
      <c r="P318" s="460"/>
      <c r="Q318" s="460"/>
      <c r="R318" s="460"/>
      <c r="S318" s="460"/>
      <c r="T318" s="460"/>
      <c r="U318" s="460"/>
      <c r="V318" s="460"/>
      <c r="W318" s="460"/>
      <c r="X318" s="460"/>
      <c r="Y318" s="460"/>
      <c r="Z318" s="460"/>
      <c r="AA318" s="460"/>
      <c r="AB318" s="460"/>
      <c r="AC318" s="460"/>
      <c r="AD318" s="458"/>
      <c r="AE318" s="458"/>
      <c r="AF318" s="458"/>
      <c r="AG318" s="458"/>
      <c r="AH318" s="461">
        <f t="shared" si="212"/>
        <v>0</v>
      </c>
      <c r="AI318" s="462">
        <f t="shared" si="213"/>
        <v>0</v>
      </c>
      <c r="AJ318" s="463">
        <f t="shared" si="214"/>
        <v>0</v>
      </c>
      <c r="AK318" s="464">
        <f t="shared" si="214"/>
        <v>0</v>
      </c>
      <c r="AL318" s="462"/>
      <c r="AM318" s="462"/>
      <c r="AN318" s="463"/>
      <c r="AO318" s="464"/>
      <c r="AP318" s="465" t="str">
        <f>'F.  Other Cap Asset Entries'!D256</f>
        <v>F.3</v>
      </c>
      <c r="AQ318" s="466">
        <f>'F.  Other Cap Asset Entries'!M258</f>
        <v>0</v>
      </c>
      <c r="AR318" s="462"/>
      <c r="AS318" s="477" t="str">
        <f>'J. Other Liability &amp; Expenses'!D203</f>
        <v>J.1</v>
      </c>
      <c r="AT318" s="466">
        <f>'J. Other Liability &amp; Expenses'!N206</f>
        <v>0</v>
      </c>
      <c r="AU318" s="467" t="str">
        <f>'L. Eliminations-Consolidations'!B273</f>
        <v>L.8</v>
      </c>
      <c r="AV318" s="466">
        <f>'L. Eliminations-Consolidations'!J277</f>
        <v>0</v>
      </c>
      <c r="AW318" s="462"/>
      <c r="AX318" s="465" t="str">
        <f>'L. Eliminations-Consolidations'!B273</f>
        <v>L.8</v>
      </c>
      <c r="AY318" s="468">
        <f>'L. Eliminations-Consolidations'!L277</f>
        <v>0</v>
      </c>
      <c r="AZ318" s="447"/>
      <c r="BA318" s="448"/>
      <c r="BB318" s="466">
        <f>ROUND(AJ318+AL318+AN318+AQ318+AV318+AZ318,0)</f>
        <v>0</v>
      </c>
      <c r="BC318" s="466">
        <f t="shared" si="216"/>
        <v>0</v>
      </c>
      <c r="BD318" s="486"/>
      <c r="BE318" s="468"/>
      <c r="BF318" s="429"/>
      <c r="BG318" s="446"/>
    </row>
    <row r="319" spans="1:61" x14ac:dyDescent="0.2">
      <c r="A319" s="19"/>
      <c r="B319" s="224"/>
      <c r="C319" s="204"/>
      <c r="D319" s="456"/>
      <c r="E319" s="457"/>
      <c r="F319" s="458"/>
      <c r="G319" s="458"/>
      <c r="H319" s="458"/>
      <c r="I319" s="458"/>
      <c r="J319" s="458"/>
      <c r="K319" s="459"/>
      <c r="L319" s="458"/>
      <c r="M319" s="458"/>
      <c r="N319" s="458"/>
      <c r="O319" s="458"/>
      <c r="P319" s="460"/>
      <c r="Q319" s="460"/>
      <c r="R319" s="460"/>
      <c r="S319" s="460"/>
      <c r="T319" s="460"/>
      <c r="U319" s="460"/>
      <c r="V319" s="460"/>
      <c r="W319" s="460"/>
      <c r="X319" s="460"/>
      <c r="Y319" s="460"/>
      <c r="Z319" s="460"/>
      <c r="AA319" s="460"/>
      <c r="AB319" s="460"/>
      <c r="AC319" s="460"/>
      <c r="AD319" s="458"/>
      <c r="AE319" s="458"/>
      <c r="AF319" s="458"/>
      <c r="AG319" s="458"/>
      <c r="AH319" s="461">
        <f t="shared" si="212"/>
        <v>0</v>
      </c>
      <c r="AI319" s="462">
        <f t="shared" si="213"/>
        <v>0</v>
      </c>
      <c r="AJ319" s="463">
        <f t="shared" si="214"/>
        <v>0</v>
      </c>
      <c r="AK319" s="464">
        <f t="shared" si="214"/>
        <v>0</v>
      </c>
      <c r="AL319" s="462"/>
      <c r="AM319" s="462"/>
      <c r="AN319" s="463"/>
      <c r="AO319" s="464"/>
      <c r="AP319" s="465" t="s">
        <v>621</v>
      </c>
      <c r="AQ319" s="466">
        <f>'F.  Other Cap Asset Entries'!M280</f>
        <v>0</v>
      </c>
      <c r="AR319" s="462"/>
      <c r="AS319" s="477" t="s">
        <v>2047</v>
      </c>
      <c r="AT319" s="466">
        <f>'N.1 GASB 68 LGERS'!D100</f>
        <v>0</v>
      </c>
      <c r="AU319" s="467"/>
      <c r="AV319" s="466"/>
      <c r="AW319" s="462"/>
      <c r="AX319" s="465"/>
      <c r="AY319" s="468"/>
      <c r="AZ319" s="447"/>
      <c r="BA319" s="448"/>
      <c r="BB319" s="466">
        <f t="shared" si="215"/>
        <v>0</v>
      </c>
      <c r="BC319" s="466">
        <f t="shared" si="216"/>
        <v>0</v>
      </c>
      <c r="BD319" s="486"/>
      <c r="BE319" s="468"/>
      <c r="BF319" s="429"/>
      <c r="BG319" s="446"/>
    </row>
    <row r="320" spans="1:61" x14ac:dyDescent="0.2">
      <c r="A320" s="19"/>
      <c r="B320" s="224"/>
      <c r="C320" s="204"/>
      <c r="D320" s="456"/>
      <c r="E320" s="457"/>
      <c r="F320" s="458"/>
      <c r="G320" s="458"/>
      <c r="H320" s="458"/>
      <c r="I320" s="458"/>
      <c r="J320" s="458"/>
      <c r="K320" s="459"/>
      <c r="L320" s="458"/>
      <c r="M320" s="458"/>
      <c r="N320" s="458"/>
      <c r="O320" s="458"/>
      <c r="P320" s="460"/>
      <c r="Q320" s="460"/>
      <c r="R320" s="460"/>
      <c r="S320" s="460"/>
      <c r="T320" s="460"/>
      <c r="U320" s="460"/>
      <c r="V320" s="460"/>
      <c r="W320" s="460"/>
      <c r="X320" s="460"/>
      <c r="Y320" s="460"/>
      <c r="Z320" s="460"/>
      <c r="AA320" s="460"/>
      <c r="AB320" s="460"/>
      <c r="AC320" s="460"/>
      <c r="AD320" s="458"/>
      <c r="AE320" s="458"/>
      <c r="AF320" s="458"/>
      <c r="AG320" s="458"/>
      <c r="AH320" s="461"/>
      <c r="AI320" s="462"/>
      <c r="AJ320" s="463"/>
      <c r="AK320" s="464"/>
      <c r="AL320" s="462"/>
      <c r="AM320" s="462"/>
      <c r="AN320" s="463"/>
      <c r="AO320" s="464"/>
      <c r="AP320" s="465" t="s">
        <v>2047</v>
      </c>
      <c r="AQ320" s="466">
        <f>'N.1 GASB 68 LGERS'!C100</f>
        <v>0</v>
      </c>
      <c r="AR320" s="462"/>
      <c r="AS320" s="477"/>
      <c r="AT320" s="466"/>
      <c r="AU320" s="467"/>
      <c r="AV320" s="466"/>
      <c r="AW320" s="462"/>
      <c r="AX320" s="465"/>
      <c r="AY320" s="468"/>
      <c r="AZ320" s="447"/>
      <c r="BA320" s="448"/>
      <c r="BB320" s="466">
        <f t="shared" si="215"/>
        <v>0</v>
      </c>
      <c r="BC320" s="466">
        <f t="shared" si="216"/>
        <v>0</v>
      </c>
      <c r="BD320" s="486"/>
      <c r="BE320" s="468"/>
      <c r="BF320" s="429"/>
      <c r="BG320" s="446"/>
    </row>
    <row r="321" spans="1:61" x14ac:dyDescent="0.2">
      <c r="A321" s="19"/>
      <c r="B321" s="224"/>
      <c r="C321" s="204"/>
      <c r="D321" s="456"/>
      <c r="E321" s="457"/>
      <c r="F321" s="458"/>
      <c r="G321" s="458"/>
      <c r="H321" s="458"/>
      <c r="I321" s="458"/>
      <c r="J321" s="458"/>
      <c r="K321" s="459"/>
      <c r="L321" s="458"/>
      <c r="M321" s="458"/>
      <c r="N321" s="458"/>
      <c r="O321" s="458"/>
      <c r="P321" s="460"/>
      <c r="Q321" s="460"/>
      <c r="R321" s="460"/>
      <c r="S321" s="460"/>
      <c r="T321" s="460"/>
      <c r="U321" s="460"/>
      <c r="V321" s="460"/>
      <c r="W321" s="460"/>
      <c r="X321" s="460"/>
      <c r="Y321" s="460"/>
      <c r="Z321" s="460"/>
      <c r="AA321" s="460"/>
      <c r="AB321" s="460"/>
      <c r="AC321" s="460"/>
      <c r="AD321" s="458"/>
      <c r="AE321" s="458"/>
      <c r="AF321" s="458"/>
      <c r="AG321" s="458"/>
      <c r="AH321" s="461"/>
      <c r="AI321" s="462"/>
      <c r="AJ321" s="463"/>
      <c r="AK321" s="464"/>
      <c r="AL321" s="466"/>
      <c r="AM321" s="466"/>
      <c r="AN321" s="463"/>
      <c r="AO321" s="464"/>
      <c r="AP321" s="465" t="s">
        <v>4019</v>
      </c>
      <c r="AQ321" s="466">
        <f>'P.1 GASB 75 OPEB  - plan 1'!C108+'P.1 GASB 75 OPEB  - plan 1'!C117+'P.1 GASB 75 OPEB  - plan 1'!C126</f>
        <v>0</v>
      </c>
      <c r="AR321" s="462"/>
      <c r="AS321" s="465" t="s">
        <v>4019</v>
      </c>
      <c r="AT321" s="466">
        <f>'P.1 GASB 75 OPEB  - plan 1'!D108+'P.1 GASB 75 OPEB  - plan 1'!D117+'P.1 GASB 75 OPEB  - plan 1'!D126</f>
        <v>0</v>
      </c>
      <c r="AU321" s="467"/>
      <c r="AV321" s="466"/>
      <c r="AW321" s="462"/>
      <c r="AX321" s="465"/>
      <c r="AY321" s="468"/>
      <c r="AZ321" s="447"/>
      <c r="BA321" s="448"/>
      <c r="BB321" s="466">
        <f t="shared" si="215"/>
        <v>0</v>
      </c>
      <c r="BC321" s="466">
        <f t="shared" si="216"/>
        <v>0</v>
      </c>
      <c r="BD321" s="486"/>
      <c r="BE321" s="468"/>
      <c r="BF321" s="429"/>
      <c r="BG321" s="446"/>
    </row>
    <row r="322" spans="1:61" x14ac:dyDescent="0.2">
      <c r="A322" s="19"/>
      <c r="B322" s="224"/>
      <c r="C322" s="204"/>
      <c r="D322" s="456"/>
      <c r="E322" s="457"/>
      <c r="F322" s="458"/>
      <c r="G322" s="458"/>
      <c r="H322" s="458"/>
      <c r="I322" s="458"/>
      <c r="J322" s="458"/>
      <c r="K322" s="459"/>
      <c r="L322" s="458"/>
      <c r="M322" s="458"/>
      <c r="N322" s="458"/>
      <c r="O322" s="458"/>
      <c r="P322" s="460"/>
      <c r="Q322" s="460"/>
      <c r="R322" s="460"/>
      <c r="S322" s="460"/>
      <c r="T322" s="460"/>
      <c r="U322" s="460"/>
      <c r="V322" s="460"/>
      <c r="W322" s="460"/>
      <c r="X322" s="460"/>
      <c r="Y322" s="460"/>
      <c r="Z322" s="460"/>
      <c r="AA322" s="460"/>
      <c r="AB322" s="460"/>
      <c r="AC322" s="460"/>
      <c r="AD322" s="458"/>
      <c r="AE322" s="458"/>
      <c r="AF322" s="458"/>
      <c r="AG322" s="458"/>
      <c r="AH322" s="461"/>
      <c r="AI322" s="462"/>
      <c r="AJ322" s="463"/>
      <c r="AK322" s="464"/>
      <c r="AL322" s="466"/>
      <c r="AM322" s="466"/>
      <c r="AN322" s="463"/>
      <c r="AO322" s="464"/>
      <c r="AP322" s="465" t="s">
        <v>4020</v>
      </c>
      <c r="AQ322" s="466">
        <f>'P.2 GASB 75 OPEB - plan 2'!C108+'P.2 GASB 75 OPEB - plan 2'!C117+'P.2 GASB 75 OPEB - plan 2'!C126</f>
        <v>0</v>
      </c>
      <c r="AR322" s="462"/>
      <c r="AS322" s="465" t="s">
        <v>4020</v>
      </c>
      <c r="AT322" s="466">
        <f>'P.2 GASB 75 OPEB - plan 2'!D108+'P.2 GASB 75 OPEB - plan 2'!D117+'P.2 GASB 75 OPEB - plan 2'!D126</f>
        <v>0</v>
      </c>
      <c r="AU322" s="467"/>
      <c r="AV322" s="466"/>
      <c r="AW322" s="462"/>
      <c r="AX322" s="465"/>
      <c r="AY322" s="468"/>
      <c r="AZ322" s="447"/>
      <c r="BA322" s="448"/>
      <c r="BB322" s="466">
        <f t="shared" ref="BB322:BB324" si="217">ROUND(AJ322+AL322+AN322+AQ322+AV322+AZ322,0)</f>
        <v>0</v>
      </c>
      <c r="BC322" s="466">
        <f t="shared" ref="BC322:BC324" si="218">ROUND(AK322+AM322+AO322+AT322+AY322+BA322,0)</f>
        <v>0</v>
      </c>
      <c r="BD322" s="486"/>
      <c r="BE322" s="468"/>
      <c r="BF322" s="429"/>
      <c r="BG322" s="446"/>
    </row>
    <row r="323" spans="1:61" x14ac:dyDescent="0.2">
      <c r="A323" s="19"/>
      <c r="B323" s="224"/>
      <c r="C323" s="204"/>
      <c r="D323" s="456"/>
      <c r="E323" s="457"/>
      <c r="F323" s="458"/>
      <c r="G323" s="458"/>
      <c r="H323" s="458"/>
      <c r="I323" s="458"/>
      <c r="J323" s="458"/>
      <c r="K323" s="459"/>
      <c r="L323" s="458"/>
      <c r="M323" s="458"/>
      <c r="N323" s="458"/>
      <c r="O323" s="458"/>
      <c r="P323" s="460"/>
      <c r="Q323" s="460"/>
      <c r="R323" s="460"/>
      <c r="S323" s="460"/>
      <c r="T323" s="460"/>
      <c r="U323" s="460"/>
      <c r="V323" s="460"/>
      <c r="W323" s="460"/>
      <c r="X323" s="460"/>
      <c r="Y323" s="460"/>
      <c r="Z323" s="460"/>
      <c r="AA323" s="460"/>
      <c r="AB323" s="460"/>
      <c r="AC323" s="460"/>
      <c r="AD323" s="458"/>
      <c r="AE323" s="458"/>
      <c r="AF323" s="458"/>
      <c r="AG323" s="458"/>
      <c r="AH323" s="461"/>
      <c r="AI323" s="462"/>
      <c r="AJ323" s="463"/>
      <c r="AK323" s="464"/>
      <c r="AL323" s="466"/>
      <c r="AM323" s="466"/>
      <c r="AN323" s="463"/>
      <c r="AO323" s="464"/>
      <c r="AP323" s="465" t="s">
        <v>4021</v>
      </c>
      <c r="AQ323" s="466">
        <f>'P.3 GASB 75 OPEB - plan 3'!C108+'P.3 GASB 75 OPEB - plan 3'!C117+'P.3 GASB 75 OPEB - plan 3'!C126</f>
        <v>0</v>
      </c>
      <c r="AR323" s="462"/>
      <c r="AS323" s="465" t="s">
        <v>4021</v>
      </c>
      <c r="AT323" s="466">
        <f>'P.3 GASB 75 OPEB - plan 3'!D108+'P.3 GASB 75 OPEB - plan 3'!D117+'P.3 GASB 75 OPEB - plan 3'!D126</f>
        <v>0</v>
      </c>
      <c r="AU323" s="467"/>
      <c r="AV323" s="466"/>
      <c r="AW323" s="462"/>
      <c r="AX323" s="465"/>
      <c r="AY323" s="468"/>
      <c r="AZ323" s="447"/>
      <c r="BA323" s="448"/>
      <c r="BB323" s="466">
        <f t="shared" si="217"/>
        <v>0</v>
      </c>
      <c r="BC323" s="466">
        <f t="shared" si="218"/>
        <v>0</v>
      </c>
      <c r="BD323" s="486"/>
      <c r="BE323" s="468"/>
      <c r="BF323" s="429"/>
      <c r="BG323" s="446"/>
    </row>
    <row r="324" spans="1:61" x14ac:dyDescent="0.2">
      <c r="A324" s="19"/>
      <c r="B324" s="224"/>
      <c r="C324" s="204"/>
      <c r="D324" s="456"/>
      <c r="E324" s="457"/>
      <c r="F324" s="458"/>
      <c r="G324" s="458"/>
      <c r="H324" s="458"/>
      <c r="I324" s="458"/>
      <c r="J324" s="458"/>
      <c r="K324" s="459"/>
      <c r="L324" s="458"/>
      <c r="M324" s="458"/>
      <c r="N324" s="458"/>
      <c r="O324" s="458"/>
      <c r="P324" s="460"/>
      <c r="Q324" s="460"/>
      <c r="R324" s="460"/>
      <c r="S324" s="460"/>
      <c r="T324" s="460"/>
      <c r="U324" s="460"/>
      <c r="V324" s="460"/>
      <c r="W324" s="460"/>
      <c r="X324" s="460"/>
      <c r="Y324" s="460"/>
      <c r="Z324" s="460"/>
      <c r="AA324" s="460"/>
      <c r="AB324" s="460"/>
      <c r="AC324" s="460"/>
      <c r="AD324" s="458"/>
      <c r="AE324" s="458"/>
      <c r="AF324" s="458"/>
      <c r="AG324" s="458"/>
      <c r="AH324" s="461"/>
      <c r="AI324" s="462"/>
      <c r="AJ324" s="463"/>
      <c r="AK324" s="464"/>
      <c r="AL324" s="466"/>
      <c r="AM324" s="466"/>
      <c r="AN324" s="463"/>
      <c r="AO324" s="464"/>
      <c r="AP324" s="465" t="s">
        <v>4114</v>
      </c>
      <c r="AQ324" s="466">
        <f>'Q. GASB 87 Lease Entries'!M71</f>
        <v>0</v>
      </c>
      <c r="AR324" s="462"/>
      <c r="AS324" s="465" t="s">
        <v>4110</v>
      </c>
      <c r="AT324" s="466">
        <f>'Q. GASB 87 Lease Entries'!O35</f>
        <v>0</v>
      </c>
      <c r="AU324" s="467"/>
      <c r="AV324" s="466"/>
      <c r="AW324" s="462"/>
      <c r="AX324" s="465"/>
      <c r="AY324" s="468"/>
      <c r="AZ324" s="447"/>
      <c r="BA324" s="448"/>
      <c r="BB324" s="466">
        <f t="shared" si="217"/>
        <v>0</v>
      </c>
      <c r="BC324" s="466">
        <f t="shared" si="218"/>
        <v>0</v>
      </c>
      <c r="BD324" s="486"/>
      <c r="BE324" s="468"/>
      <c r="BF324" s="429"/>
      <c r="BG324" s="446"/>
    </row>
    <row r="325" spans="1:61" ht="6" customHeight="1" x14ac:dyDescent="0.2">
      <c r="A325" s="19"/>
      <c r="D325" s="453"/>
      <c r="E325" s="454"/>
      <c r="F325" s="440"/>
      <c r="G325" s="440"/>
      <c r="H325" s="440"/>
      <c r="I325" s="440"/>
      <c r="J325" s="440"/>
      <c r="K325" s="441"/>
      <c r="L325" s="440"/>
      <c r="M325" s="440"/>
      <c r="N325" s="440"/>
      <c r="O325" s="440"/>
      <c r="P325" s="451"/>
      <c r="Q325" s="451"/>
      <c r="R325" s="451"/>
      <c r="S325" s="451"/>
      <c r="T325" s="451"/>
      <c r="U325" s="451"/>
      <c r="V325" s="451"/>
      <c r="W325" s="451"/>
      <c r="X325" s="451"/>
      <c r="Y325" s="451"/>
      <c r="Z325" s="451"/>
      <c r="AA325" s="451"/>
      <c r="AB325" s="451"/>
      <c r="AC325" s="451"/>
      <c r="AD325" s="440"/>
      <c r="AE325" s="440"/>
      <c r="AF325" s="440"/>
      <c r="AG325" s="440"/>
      <c r="AH325" s="430"/>
      <c r="AJ325" s="431"/>
      <c r="AK325" s="443"/>
      <c r="AN325" s="431"/>
      <c r="AO325" s="443"/>
      <c r="AQ325" s="489"/>
      <c r="AT325" s="367"/>
      <c r="AU325" s="445"/>
      <c r="AV325" s="367"/>
      <c r="AY325" s="455"/>
      <c r="AZ325" s="451"/>
      <c r="BA325" s="476"/>
      <c r="BB325" s="367"/>
      <c r="BC325" s="367"/>
      <c r="BD325" s="483"/>
      <c r="BE325" s="455"/>
      <c r="BF325" s="367"/>
      <c r="BG325" s="455"/>
      <c r="BI325" s="939"/>
    </row>
    <row r="326" spans="1:61" x14ac:dyDescent="0.2">
      <c r="A326" s="19"/>
      <c r="B326" s="224" t="s">
        <v>183</v>
      </c>
      <c r="C326" s="204"/>
      <c r="D326" s="456"/>
      <c r="E326" s="457"/>
      <c r="F326" s="458"/>
      <c r="G326" s="458"/>
      <c r="H326" s="458"/>
      <c r="I326" s="458"/>
      <c r="J326" s="458"/>
      <c r="K326" s="459"/>
      <c r="L326" s="458"/>
      <c r="M326" s="458"/>
      <c r="N326" s="458"/>
      <c r="O326" s="458"/>
      <c r="P326" s="460"/>
      <c r="Q326" s="460"/>
      <c r="R326" s="460"/>
      <c r="S326" s="460"/>
      <c r="T326" s="460"/>
      <c r="U326" s="460"/>
      <c r="V326" s="460"/>
      <c r="W326" s="460"/>
      <c r="X326" s="460"/>
      <c r="Y326" s="460"/>
      <c r="Z326" s="460"/>
      <c r="AA326" s="460"/>
      <c r="AB326" s="460"/>
      <c r="AC326" s="460"/>
      <c r="AD326" s="458"/>
      <c r="AE326" s="458"/>
      <c r="AF326" s="458"/>
      <c r="AG326" s="458"/>
      <c r="AH326" s="461">
        <f t="shared" ref="AH326:AH329" si="219">L326+N326+P326+R326+T326+V326+X326+Z326+AB326+AD326+AF326</f>
        <v>0</v>
      </c>
      <c r="AI326" s="462">
        <f t="shared" ref="AI326:AI329" si="220">M326+O326+Q326+S326+U326+W326+Y326+AA326+AC326+AE326+AG326</f>
        <v>0</v>
      </c>
      <c r="AJ326" s="463">
        <f t="shared" ref="AJ326:AK329" si="221">D326+F326+H326+J326+AH326</f>
        <v>0</v>
      </c>
      <c r="AK326" s="464">
        <f t="shared" si="221"/>
        <v>0</v>
      </c>
      <c r="AL326" s="462"/>
      <c r="AM326" s="462"/>
      <c r="AN326" s="463"/>
      <c r="AO326" s="464"/>
      <c r="AP326" s="465" t="str">
        <f>'D. Depreciation'!A55</f>
        <v>D.1</v>
      </c>
      <c r="AQ326" s="466">
        <f>'D. Depreciation'!J60</f>
        <v>0</v>
      </c>
      <c r="AR326" s="462"/>
      <c r="AS326" s="465" t="str">
        <f>'E. Capital Outlay'!D54</f>
        <v>E.1</v>
      </c>
      <c r="AT326" s="466">
        <f>'E. Capital Outlay'!N69</f>
        <v>0</v>
      </c>
      <c r="AU326" s="467" t="str">
        <f>'L. Eliminations-Consolidations'!A243</f>
        <v>L.7</v>
      </c>
      <c r="AV326" s="466">
        <f>'L. Eliminations-Consolidations'!J247</f>
        <v>0</v>
      </c>
      <c r="AW326" s="462"/>
      <c r="AX326" s="470" t="s">
        <v>634</v>
      </c>
      <c r="AY326" s="466">
        <f>'K.1  Int. Service Fd Allocation'!G213+'K.2  Int. Service Fd Alloca'!G208+'K.3 Int. Service Fd Alloca'!G208</f>
        <v>0</v>
      </c>
      <c r="AZ326" s="471"/>
      <c r="BA326" s="448"/>
      <c r="BB326" s="466">
        <f t="shared" ref="BB326:BB331" si="222">ROUND(AJ326+AL326+AN326+AQ326+AV326+AZ326,0)</f>
        <v>0</v>
      </c>
      <c r="BC326" s="466">
        <f t="shared" ref="BC326:BC331" si="223">ROUND(AK326+AM326+AO326+AT326+AY326+BA326,0)</f>
        <v>0</v>
      </c>
      <c r="BD326" s="486" t="str">
        <f>IF((SUM(BB326:BB334))-(SUM(BC326:BC334))&lt;=0," ",(SUM(BB326:BB334))-(SUM(BC326:BC334)))</f>
        <v xml:space="preserve"> </v>
      </c>
      <c r="BE326" s="468">
        <f>IF((SUM(BB326:BB334))-(SUM(BC326:BC334))&gt;0," ",-(SUM(BB326:BB334))+(SUM(BC326:BC334)))</f>
        <v>0</v>
      </c>
      <c r="BF326" s="429"/>
      <c r="BG326" s="446"/>
    </row>
    <row r="327" spans="1:61" x14ac:dyDescent="0.2">
      <c r="A327" s="19"/>
      <c r="B327" s="224"/>
      <c r="C327" s="204"/>
      <c r="D327" s="456"/>
      <c r="E327" s="457"/>
      <c r="F327" s="458"/>
      <c r="G327" s="458"/>
      <c r="H327" s="458"/>
      <c r="I327" s="458"/>
      <c r="J327" s="458"/>
      <c r="K327" s="459"/>
      <c r="L327" s="458"/>
      <c r="M327" s="458"/>
      <c r="N327" s="458"/>
      <c r="O327" s="458"/>
      <c r="P327" s="460"/>
      <c r="Q327" s="460"/>
      <c r="R327" s="460"/>
      <c r="S327" s="460"/>
      <c r="T327" s="460"/>
      <c r="U327" s="460"/>
      <c r="V327" s="460"/>
      <c r="W327" s="460"/>
      <c r="X327" s="460"/>
      <c r="Y327" s="460"/>
      <c r="Z327" s="460"/>
      <c r="AA327" s="460"/>
      <c r="AB327" s="460"/>
      <c r="AC327" s="460"/>
      <c r="AD327" s="458"/>
      <c r="AE327" s="458"/>
      <c r="AF327" s="458"/>
      <c r="AG327" s="458"/>
      <c r="AH327" s="461">
        <f t="shared" si="219"/>
        <v>0</v>
      </c>
      <c r="AI327" s="462">
        <f t="shared" si="220"/>
        <v>0</v>
      </c>
      <c r="AJ327" s="463">
        <f t="shared" si="221"/>
        <v>0</v>
      </c>
      <c r="AK327" s="464">
        <f t="shared" si="221"/>
        <v>0</v>
      </c>
      <c r="AL327" s="462"/>
      <c r="AM327" s="462"/>
      <c r="AN327" s="463"/>
      <c r="AO327" s="464"/>
      <c r="AP327" s="465" t="str">
        <f>'J. Other Liability &amp; Expenses'!D203</f>
        <v>J.1</v>
      </c>
      <c r="AQ327" s="466">
        <f>'J. Other Liability &amp; Expenses'!L207</f>
        <v>0</v>
      </c>
      <c r="AR327" s="462"/>
      <c r="AS327" s="477" t="str">
        <f>'I.  Other Asset Entries'!B108</f>
        <v>I.1</v>
      </c>
      <c r="AT327" s="466">
        <f>'I.  Other Asset Entries'!N117</f>
        <v>0</v>
      </c>
      <c r="AU327" s="467"/>
      <c r="AV327" s="466"/>
      <c r="AW327" s="462"/>
      <c r="AX327" s="465"/>
      <c r="AY327" s="468"/>
      <c r="AZ327" s="447"/>
      <c r="BA327" s="448"/>
      <c r="BB327" s="466">
        <f t="shared" si="222"/>
        <v>0</v>
      </c>
      <c r="BC327" s="466">
        <f t="shared" si="223"/>
        <v>0</v>
      </c>
      <c r="BD327" s="486"/>
      <c r="BE327" s="468"/>
      <c r="BF327" s="429"/>
      <c r="BG327" s="446"/>
    </row>
    <row r="328" spans="1:61" x14ac:dyDescent="0.2">
      <c r="A328" s="19"/>
      <c r="B328" s="224"/>
      <c r="C328" s="204"/>
      <c r="D328" s="456"/>
      <c r="E328" s="457"/>
      <c r="F328" s="458"/>
      <c r="G328" s="458"/>
      <c r="H328" s="458"/>
      <c r="I328" s="458"/>
      <c r="J328" s="458"/>
      <c r="K328" s="459"/>
      <c r="L328" s="458"/>
      <c r="M328" s="458"/>
      <c r="N328" s="458"/>
      <c r="O328" s="458"/>
      <c r="P328" s="460"/>
      <c r="Q328" s="460"/>
      <c r="R328" s="460"/>
      <c r="S328" s="460"/>
      <c r="T328" s="460"/>
      <c r="U328" s="460"/>
      <c r="V328" s="460"/>
      <c r="W328" s="460"/>
      <c r="X328" s="460"/>
      <c r="Y328" s="460"/>
      <c r="Z328" s="460"/>
      <c r="AA328" s="460"/>
      <c r="AB328" s="460"/>
      <c r="AC328" s="460"/>
      <c r="AD328" s="458"/>
      <c r="AE328" s="458"/>
      <c r="AF328" s="458"/>
      <c r="AG328" s="458"/>
      <c r="AH328" s="461">
        <f t="shared" si="219"/>
        <v>0</v>
      </c>
      <c r="AI328" s="462">
        <f t="shared" si="220"/>
        <v>0</v>
      </c>
      <c r="AJ328" s="463">
        <f t="shared" si="221"/>
        <v>0</v>
      </c>
      <c r="AK328" s="464">
        <f t="shared" si="221"/>
        <v>0</v>
      </c>
      <c r="AL328" s="462"/>
      <c r="AM328" s="462"/>
      <c r="AN328" s="463"/>
      <c r="AO328" s="464"/>
      <c r="AP328" s="465" t="str">
        <f>'F.  Other Cap Asset Entries'!D256</f>
        <v>F.3</v>
      </c>
      <c r="AQ328" s="466">
        <f>'F.  Other Cap Asset Entries'!M259</f>
        <v>0</v>
      </c>
      <c r="AR328" s="462"/>
      <c r="AS328" s="477" t="str">
        <f>'J. Other Liability &amp; Expenses'!D203</f>
        <v>J.1</v>
      </c>
      <c r="AT328" s="466">
        <f>'J. Other Liability &amp; Expenses'!N207</f>
        <v>0</v>
      </c>
      <c r="AU328" s="467" t="str">
        <f>'L. Eliminations-Consolidations'!B273</f>
        <v>L.8</v>
      </c>
      <c r="AV328" s="466">
        <f>'L. Eliminations-Consolidations'!J278</f>
        <v>0</v>
      </c>
      <c r="AW328" s="462"/>
      <c r="AX328" s="465" t="str">
        <f>'L. Eliminations-Consolidations'!B273</f>
        <v>L.8</v>
      </c>
      <c r="AY328" s="468">
        <f>'L. Eliminations-Consolidations'!L278</f>
        <v>0</v>
      </c>
      <c r="AZ328" s="447"/>
      <c r="BA328" s="448"/>
      <c r="BB328" s="466">
        <f t="shared" si="222"/>
        <v>0</v>
      </c>
      <c r="BC328" s="466">
        <f t="shared" si="223"/>
        <v>0</v>
      </c>
      <c r="BD328" s="486"/>
      <c r="BE328" s="468"/>
      <c r="BF328" s="429"/>
      <c r="BG328" s="446"/>
    </row>
    <row r="329" spans="1:61" x14ac:dyDescent="0.2">
      <c r="A329" s="19"/>
      <c r="B329" s="224"/>
      <c r="C329" s="204"/>
      <c r="D329" s="456"/>
      <c r="E329" s="457"/>
      <c r="F329" s="458"/>
      <c r="G329" s="458"/>
      <c r="H329" s="458"/>
      <c r="I329" s="458"/>
      <c r="J329" s="458"/>
      <c r="K329" s="459"/>
      <c r="L329" s="458"/>
      <c r="M329" s="458"/>
      <c r="N329" s="458"/>
      <c r="O329" s="458"/>
      <c r="P329" s="460"/>
      <c r="Q329" s="460"/>
      <c r="R329" s="460"/>
      <c r="S329" s="460"/>
      <c r="T329" s="460"/>
      <c r="U329" s="460"/>
      <c r="V329" s="460"/>
      <c r="W329" s="460"/>
      <c r="X329" s="460"/>
      <c r="Y329" s="460"/>
      <c r="Z329" s="460"/>
      <c r="AA329" s="460"/>
      <c r="AB329" s="460"/>
      <c r="AC329" s="460"/>
      <c r="AD329" s="458"/>
      <c r="AE329" s="458"/>
      <c r="AF329" s="458"/>
      <c r="AG329" s="458"/>
      <c r="AH329" s="461">
        <f t="shared" si="219"/>
        <v>0</v>
      </c>
      <c r="AI329" s="462">
        <f t="shared" si="220"/>
        <v>0</v>
      </c>
      <c r="AJ329" s="463">
        <f t="shared" si="221"/>
        <v>0</v>
      </c>
      <c r="AK329" s="464">
        <f t="shared" si="221"/>
        <v>0</v>
      </c>
      <c r="AL329" s="462"/>
      <c r="AM329" s="462"/>
      <c r="AN329" s="463"/>
      <c r="AO329" s="464"/>
      <c r="AP329" s="465" t="s">
        <v>621</v>
      </c>
      <c r="AQ329" s="466">
        <f>'F.  Other Cap Asset Entries'!M281</f>
        <v>0</v>
      </c>
      <c r="AR329" s="462"/>
      <c r="AS329" s="477" t="s">
        <v>2047</v>
      </c>
      <c r="AT329" s="466">
        <f>'N.1 GASB 68 LGERS'!D101</f>
        <v>0</v>
      </c>
      <c r="AU329" s="467"/>
      <c r="AV329" s="466"/>
      <c r="AW329" s="462"/>
      <c r="AX329" s="465"/>
      <c r="AY329" s="468"/>
      <c r="AZ329" s="447"/>
      <c r="BA329" s="448"/>
      <c r="BB329" s="466">
        <f t="shared" si="222"/>
        <v>0</v>
      </c>
      <c r="BC329" s="466">
        <f t="shared" si="223"/>
        <v>0</v>
      </c>
      <c r="BD329" s="486"/>
      <c r="BE329" s="468"/>
      <c r="BF329" s="429"/>
      <c r="BG329" s="446"/>
    </row>
    <row r="330" spans="1:61" x14ac:dyDescent="0.2">
      <c r="A330" s="19"/>
      <c r="B330" s="224"/>
      <c r="C330" s="204"/>
      <c r="D330" s="456"/>
      <c r="E330" s="457"/>
      <c r="F330" s="458"/>
      <c r="G330" s="458"/>
      <c r="H330" s="458"/>
      <c r="I330" s="458"/>
      <c r="J330" s="458"/>
      <c r="K330" s="459"/>
      <c r="L330" s="458"/>
      <c r="M330" s="458"/>
      <c r="N330" s="458"/>
      <c r="O330" s="458"/>
      <c r="P330" s="460"/>
      <c r="Q330" s="460"/>
      <c r="R330" s="460"/>
      <c r="S330" s="460"/>
      <c r="T330" s="460"/>
      <c r="U330" s="460"/>
      <c r="V330" s="460"/>
      <c r="W330" s="460"/>
      <c r="X330" s="460"/>
      <c r="Y330" s="460"/>
      <c r="Z330" s="460"/>
      <c r="AA330" s="460"/>
      <c r="AB330" s="460"/>
      <c r="AC330" s="460"/>
      <c r="AD330" s="458"/>
      <c r="AE330" s="458"/>
      <c r="AF330" s="458"/>
      <c r="AG330" s="458"/>
      <c r="AH330" s="461"/>
      <c r="AI330" s="462"/>
      <c r="AJ330" s="463"/>
      <c r="AK330" s="464"/>
      <c r="AL330" s="462"/>
      <c r="AM330" s="462"/>
      <c r="AN330" s="463"/>
      <c r="AO330" s="464"/>
      <c r="AP330" s="465" t="s">
        <v>2047</v>
      </c>
      <c r="AQ330" s="466">
        <f>'N.1 GASB 68 LGERS'!C101</f>
        <v>0</v>
      </c>
      <c r="AR330" s="462"/>
      <c r="AS330" s="477"/>
      <c r="AT330" s="466"/>
      <c r="AU330" s="467"/>
      <c r="AV330" s="466"/>
      <c r="AW330" s="462"/>
      <c r="AX330" s="465"/>
      <c r="AY330" s="468"/>
      <c r="AZ330" s="447"/>
      <c r="BA330" s="448"/>
      <c r="BB330" s="466">
        <f t="shared" si="222"/>
        <v>0</v>
      </c>
      <c r="BC330" s="466">
        <f t="shared" si="223"/>
        <v>0</v>
      </c>
      <c r="BD330" s="486"/>
      <c r="BE330" s="468"/>
      <c r="BF330" s="429"/>
      <c r="BG330" s="446"/>
    </row>
    <row r="331" spans="1:61" x14ac:dyDescent="0.2">
      <c r="A331" s="19"/>
      <c r="B331" s="224"/>
      <c r="C331" s="204"/>
      <c r="D331" s="456"/>
      <c r="E331" s="457"/>
      <c r="F331" s="458"/>
      <c r="G331" s="458"/>
      <c r="H331" s="458"/>
      <c r="I331" s="458"/>
      <c r="J331" s="458"/>
      <c r="K331" s="459"/>
      <c r="L331" s="458"/>
      <c r="M331" s="458"/>
      <c r="N331" s="458"/>
      <c r="O331" s="458"/>
      <c r="P331" s="460"/>
      <c r="Q331" s="460"/>
      <c r="R331" s="460"/>
      <c r="S331" s="460"/>
      <c r="T331" s="460"/>
      <c r="U331" s="460"/>
      <c r="V331" s="460"/>
      <c r="W331" s="460"/>
      <c r="X331" s="460"/>
      <c r="Y331" s="460"/>
      <c r="Z331" s="460"/>
      <c r="AA331" s="460"/>
      <c r="AB331" s="460"/>
      <c r="AC331" s="460"/>
      <c r="AD331" s="458"/>
      <c r="AE331" s="458"/>
      <c r="AF331" s="458"/>
      <c r="AG331" s="458"/>
      <c r="AH331" s="461"/>
      <c r="AI331" s="462"/>
      <c r="AJ331" s="463"/>
      <c r="AK331" s="464"/>
      <c r="AL331" s="466"/>
      <c r="AM331" s="466"/>
      <c r="AN331" s="463"/>
      <c r="AO331" s="464"/>
      <c r="AP331" s="465" t="s">
        <v>4019</v>
      </c>
      <c r="AQ331" s="466">
        <f>'P.1 GASB 75 OPEB  - plan 1'!C109+'P.1 GASB 75 OPEB  - plan 1'!C118+'P.1 GASB 75 OPEB  - plan 1'!C127</f>
        <v>0</v>
      </c>
      <c r="AR331" s="462"/>
      <c r="AS331" s="465" t="s">
        <v>4019</v>
      </c>
      <c r="AT331" s="466">
        <f>'P.1 GASB 75 OPEB  - plan 1'!D109+'P.1 GASB 75 OPEB  - plan 1'!D118+'P.1 GASB 75 OPEB  - plan 1'!D127</f>
        <v>0</v>
      </c>
      <c r="AU331" s="467"/>
      <c r="AV331" s="466"/>
      <c r="AW331" s="462"/>
      <c r="AX331" s="465"/>
      <c r="AY331" s="468"/>
      <c r="AZ331" s="447"/>
      <c r="BA331" s="448"/>
      <c r="BB331" s="466">
        <f t="shared" si="222"/>
        <v>0</v>
      </c>
      <c r="BC331" s="466">
        <f t="shared" si="223"/>
        <v>0</v>
      </c>
      <c r="BD331" s="486"/>
      <c r="BE331" s="468"/>
      <c r="BF331" s="429"/>
      <c r="BG331" s="446"/>
    </row>
    <row r="332" spans="1:61" x14ac:dyDescent="0.2">
      <c r="A332" s="19"/>
      <c r="B332" s="224"/>
      <c r="C332" s="204"/>
      <c r="D332" s="456"/>
      <c r="E332" s="457"/>
      <c r="F332" s="458"/>
      <c r="G332" s="458"/>
      <c r="H332" s="458"/>
      <c r="I332" s="458"/>
      <c r="J332" s="458"/>
      <c r="K332" s="459"/>
      <c r="L332" s="458"/>
      <c r="M332" s="458"/>
      <c r="N332" s="458"/>
      <c r="O332" s="458"/>
      <c r="P332" s="460"/>
      <c r="Q332" s="460"/>
      <c r="R332" s="460"/>
      <c r="S332" s="460"/>
      <c r="T332" s="460"/>
      <c r="U332" s="460"/>
      <c r="V332" s="460"/>
      <c r="W332" s="460"/>
      <c r="X332" s="460"/>
      <c r="Y332" s="460"/>
      <c r="Z332" s="460"/>
      <c r="AA332" s="460"/>
      <c r="AB332" s="460"/>
      <c r="AC332" s="460"/>
      <c r="AD332" s="458"/>
      <c r="AE332" s="458"/>
      <c r="AF332" s="458"/>
      <c r="AG332" s="458"/>
      <c r="AH332" s="461"/>
      <c r="AI332" s="462"/>
      <c r="AJ332" s="463"/>
      <c r="AK332" s="464"/>
      <c r="AL332" s="466"/>
      <c r="AM332" s="466"/>
      <c r="AN332" s="463"/>
      <c r="AO332" s="464"/>
      <c r="AP332" s="465" t="s">
        <v>4020</v>
      </c>
      <c r="AQ332" s="466">
        <f>'P.2 GASB 75 OPEB - plan 2'!C109+'P.2 GASB 75 OPEB - plan 2'!C118+'P.2 GASB 75 OPEB - plan 2'!C127</f>
        <v>0</v>
      </c>
      <c r="AR332" s="462"/>
      <c r="AS332" s="465" t="s">
        <v>4020</v>
      </c>
      <c r="AT332" s="466">
        <f>'P.2 GASB 75 OPEB - plan 2'!D109+'P.2 GASB 75 OPEB - plan 2'!D118+'P.2 GASB 75 OPEB - plan 2'!D127</f>
        <v>0</v>
      </c>
      <c r="AU332" s="467"/>
      <c r="AV332" s="466"/>
      <c r="AW332" s="462"/>
      <c r="AX332" s="465"/>
      <c r="AY332" s="468"/>
      <c r="AZ332" s="447"/>
      <c r="BA332" s="448"/>
      <c r="BB332" s="466">
        <f t="shared" ref="BB332:BB334" si="224">ROUND(AJ332+AL332+AN332+AQ332+AV332+AZ332,0)</f>
        <v>0</v>
      </c>
      <c r="BC332" s="466">
        <f t="shared" ref="BC332:BC334" si="225">ROUND(AK332+AM332+AO332+AT332+AY332+BA332,0)</f>
        <v>0</v>
      </c>
      <c r="BD332" s="486"/>
      <c r="BE332" s="468"/>
      <c r="BF332" s="429"/>
      <c r="BG332" s="446"/>
    </row>
    <row r="333" spans="1:61" x14ac:dyDescent="0.2">
      <c r="A333" s="19"/>
      <c r="B333" s="224"/>
      <c r="C333" s="204"/>
      <c r="D333" s="456"/>
      <c r="E333" s="457"/>
      <c r="F333" s="458"/>
      <c r="G333" s="458"/>
      <c r="H333" s="458"/>
      <c r="I333" s="458"/>
      <c r="J333" s="458"/>
      <c r="K333" s="459"/>
      <c r="L333" s="458"/>
      <c r="M333" s="458"/>
      <c r="N333" s="458"/>
      <c r="O333" s="458"/>
      <c r="P333" s="460"/>
      <c r="Q333" s="460"/>
      <c r="R333" s="460"/>
      <c r="S333" s="460"/>
      <c r="T333" s="460"/>
      <c r="U333" s="460"/>
      <c r="V333" s="460"/>
      <c r="W333" s="460"/>
      <c r="X333" s="460"/>
      <c r="Y333" s="460"/>
      <c r="Z333" s="460"/>
      <c r="AA333" s="460"/>
      <c r="AB333" s="460"/>
      <c r="AC333" s="460"/>
      <c r="AD333" s="458"/>
      <c r="AE333" s="458"/>
      <c r="AF333" s="458"/>
      <c r="AG333" s="458"/>
      <c r="AH333" s="461"/>
      <c r="AI333" s="462"/>
      <c r="AJ333" s="463"/>
      <c r="AK333" s="464"/>
      <c r="AL333" s="466"/>
      <c r="AM333" s="466"/>
      <c r="AN333" s="463"/>
      <c r="AO333" s="464"/>
      <c r="AP333" s="465" t="s">
        <v>4021</v>
      </c>
      <c r="AQ333" s="466">
        <f>'P.3 GASB 75 OPEB - plan 3'!C109+'P.3 GASB 75 OPEB - plan 3'!C118+'P.3 GASB 75 OPEB - plan 3'!C127</f>
        <v>0</v>
      </c>
      <c r="AR333" s="462"/>
      <c r="AS333" s="465" t="s">
        <v>4021</v>
      </c>
      <c r="AT333" s="466">
        <f>'P.3 GASB 75 OPEB - plan 3'!D109+'P.3 GASB 75 OPEB - plan 3'!D118+'P.3 GASB 75 OPEB - plan 3'!D127</f>
        <v>0</v>
      </c>
      <c r="AU333" s="467"/>
      <c r="AV333" s="466"/>
      <c r="AW333" s="462"/>
      <c r="AX333" s="465"/>
      <c r="AY333" s="468"/>
      <c r="AZ333" s="447"/>
      <c r="BA333" s="448"/>
      <c r="BB333" s="466">
        <f t="shared" si="224"/>
        <v>0</v>
      </c>
      <c r="BC333" s="466">
        <f t="shared" si="225"/>
        <v>0</v>
      </c>
      <c r="BD333" s="486"/>
      <c r="BE333" s="468"/>
      <c r="BF333" s="429"/>
      <c r="BG333" s="446"/>
    </row>
    <row r="334" spans="1:61" x14ac:dyDescent="0.2">
      <c r="A334" s="19"/>
      <c r="B334" s="224"/>
      <c r="C334" s="204"/>
      <c r="D334" s="456"/>
      <c r="E334" s="457"/>
      <c r="F334" s="458"/>
      <c r="G334" s="458"/>
      <c r="H334" s="458"/>
      <c r="I334" s="458"/>
      <c r="J334" s="458"/>
      <c r="K334" s="459"/>
      <c r="L334" s="458"/>
      <c r="M334" s="458"/>
      <c r="N334" s="458"/>
      <c r="O334" s="458"/>
      <c r="P334" s="460"/>
      <c r="Q334" s="460"/>
      <c r="R334" s="460"/>
      <c r="S334" s="460"/>
      <c r="T334" s="460"/>
      <c r="U334" s="460"/>
      <c r="V334" s="460"/>
      <c r="W334" s="460"/>
      <c r="X334" s="460"/>
      <c r="Y334" s="460"/>
      <c r="Z334" s="460"/>
      <c r="AA334" s="460"/>
      <c r="AB334" s="460"/>
      <c r="AC334" s="460"/>
      <c r="AD334" s="458"/>
      <c r="AE334" s="458"/>
      <c r="AF334" s="458"/>
      <c r="AG334" s="458"/>
      <c r="AH334" s="461"/>
      <c r="AI334" s="462"/>
      <c r="AJ334" s="463"/>
      <c r="AK334" s="464"/>
      <c r="AL334" s="466"/>
      <c r="AM334" s="466"/>
      <c r="AN334" s="463"/>
      <c r="AO334" s="464"/>
      <c r="AP334" s="465" t="s">
        <v>4114</v>
      </c>
      <c r="AQ334" s="466">
        <f>'Q. GASB 87 Lease Entries'!M72</f>
        <v>0</v>
      </c>
      <c r="AR334" s="462"/>
      <c r="AS334" s="465" t="s">
        <v>4110</v>
      </c>
      <c r="AT334" s="466">
        <f>'Q. GASB 87 Lease Entries'!O36</f>
        <v>0</v>
      </c>
      <c r="AU334" s="467"/>
      <c r="AV334" s="466"/>
      <c r="AW334" s="462"/>
      <c r="AX334" s="465"/>
      <c r="AY334" s="468"/>
      <c r="AZ334" s="447"/>
      <c r="BA334" s="448"/>
      <c r="BB334" s="466">
        <f t="shared" si="224"/>
        <v>0</v>
      </c>
      <c r="BC334" s="466">
        <f t="shared" si="225"/>
        <v>0</v>
      </c>
      <c r="BD334" s="486"/>
      <c r="BE334" s="468"/>
      <c r="BF334" s="429"/>
      <c r="BG334" s="446"/>
    </row>
    <row r="335" spans="1:61" ht="6" customHeight="1" x14ac:dyDescent="0.2">
      <c r="A335" s="19"/>
      <c r="D335" s="453"/>
      <c r="E335" s="454"/>
      <c r="F335" s="440"/>
      <c r="G335" s="440"/>
      <c r="H335" s="440"/>
      <c r="I335" s="440"/>
      <c r="J335" s="440"/>
      <c r="K335" s="441"/>
      <c r="L335" s="440"/>
      <c r="M335" s="440"/>
      <c r="N335" s="440"/>
      <c r="O335" s="440"/>
      <c r="P335" s="451"/>
      <c r="Q335" s="451"/>
      <c r="R335" s="451"/>
      <c r="S335" s="451"/>
      <c r="T335" s="451"/>
      <c r="U335" s="451"/>
      <c r="V335" s="451"/>
      <c r="W335" s="451"/>
      <c r="X335" s="451"/>
      <c r="Y335" s="451"/>
      <c r="Z335" s="451"/>
      <c r="AA335" s="451"/>
      <c r="AB335" s="451"/>
      <c r="AC335" s="451"/>
      <c r="AD335" s="440"/>
      <c r="AE335" s="440"/>
      <c r="AF335" s="440"/>
      <c r="AG335" s="440"/>
      <c r="AH335" s="430"/>
      <c r="AJ335" s="431"/>
      <c r="AK335" s="443"/>
      <c r="AN335" s="431"/>
      <c r="AO335" s="443"/>
      <c r="AQ335" s="489"/>
      <c r="AT335" s="367"/>
      <c r="AU335" s="445"/>
      <c r="AV335" s="367"/>
      <c r="AY335" s="455"/>
      <c r="AZ335" s="451"/>
      <c r="BA335" s="476"/>
      <c r="BB335" s="367"/>
      <c r="BC335" s="367"/>
      <c r="BD335" s="483"/>
      <c r="BE335" s="455"/>
      <c r="BF335" s="367"/>
      <c r="BG335" s="455"/>
      <c r="BI335" s="939"/>
    </row>
    <row r="336" spans="1:61" x14ac:dyDescent="0.2">
      <c r="A336" s="19"/>
      <c r="B336" s="224" t="s">
        <v>4199</v>
      </c>
      <c r="C336" s="204"/>
      <c r="D336" s="456">
        <v>22419822</v>
      </c>
      <c r="E336" s="457"/>
      <c r="F336" s="458"/>
      <c r="G336" s="458"/>
      <c r="H336" s="458">
        <v>500000</v>
      </c>
      <c r="I336" s="458"/>
      <c r="J336" s="458"/>
      <c r="K336" s="459"/>
      <c r="L336" s="458"/>
      <c r="M336" s="458"/>
      <c r="N336" s="458"/>
      <c r="O336" s="458"/>
      <c r="P336" s="460"/>
      <c r="Q336" s="460"/>
      <c r="R336" s="460">
        <v>532637</v>
      </c>
      <c r="S336" s="460"/>
      <c r="T336" s="460"/>
      <c r="U336" s="460"/>
      <c r="V336" s="460"/>
      <c r="W336" s="460"/>
      <c r="X336" s="460"/>
      <c r="Y336" s="460"/>
      <c r="Z336" s="460"/>
      <c r="AA336" s="460"/>
      <c r="AB336" s="460"/>
      <c r="AC336" s="460"/>
      <c r="AD336" s="458"/>
      <c r="AE336" s="458"/>
      <c r="AF336" s="458"/>
      <c r="AG336" s="458"/>
      <c r="AH336" s="461">
        <f t="shared" ref="AH336:AH339" si="226">L336+N336+P336+R336+T336+V336+X336+Z336+AB336+AD336+AF336</f>
        <v>532637</v>
      </c>
      <c r="AI336" s="462">
        <f t="shared" ref="AI336:AI339" si="227">M336+O336+Q336+S336+U336+W336+Y336+AA336+AC336+AE336+AG336</f>
        <v>0</v>
      </c>
      <c r="AJ336" s="463">
        <f t="shared" ref="AJ336:AK339" si="228">D336+F336+H336+J336+AH336</f>
        <v>23452459</v>
      </c>
      <c r="AK336" s="464">
        <f t="shared" si="228"/>
        <v>0</v>
      </c>
      <c r="AL336" s="462"/>
      <c r="AM336" s="462"/>
      <c r="AN336" s="463"/>
      <c r="AO336" s="464"/>
      <c r="AP336" s="465" t="str">
        <f>'D. Depreciation'!A55</f>
        <v>D.1</v>
      </c>
      <c r="AQ336" s="489">
        <f>'D. Depreciation'!J59</f>
        <v>405649</v>
      </c>
      <c r="AR336" s="462"/>
      <c r="AS336" s="465" t="str">
        <f>'E. Capital Outlay'!D54</f>
        <v>E.1</v>
      </c>
      <c r="AT336" s="367">
        <f>'E. Capital Outlay'!N70</f>
        <v>0</v>
      </c>
      <c r="AU336" s="467" t="str">
        <f>'L. Eliminations-Consolidations'!A243</f>
        <v>L.7</v>
      </c>
      <c r="AV336" s="466">
        <f>'L. Eliminations-Consolidations'!J248</f>
        <v>0</v>
      </c>
      <c r="AW336" s="462"/>
      <c r="AX336" s="470" t="s">
        <v>634</v>
      </c>
      <c r="AY336" s="466">
        <f>'K.1  Int. Service Fd Allocation'!G214+'K.2  Int. Service Fd Alloca'!G209+'K.3 Int. Service Fd Alloca'!G209</f>
        <v>0</v>
      </c>
      <c r="AZ336" s="471"/>
      <c r="BA336" s="448"/>
      <c r="BB336" s="466">
        <f t="shared" ref="BB336:BB341" si="229">ROUND(AJ336+AL336+AN336+AQ336+AV336+AZ336,0)</f>
        <v>23858108</v>
      </c>
      <c r="BC336" s="466">
        <f t="shared" ref="BC336:BC341" si="230">ROUND(AK336+AM336+AO336+AT336+AY336+BA336,0)</f>
        <v>0</v>
      </c>
      <c r="BD336" s="486">
        <f>IF((SUM(BB336:BB344))-(SUM(BC336:BC344))&lt;=0," ",(SUM(BB336:BB344))-(SUM(BC336:BC344)))</f>
        <v>23970376</v>
      </c>
      <c r="BE336" s="468" t="str">
        <f>IF((SUM(BB336:BB344))-(SUM(BC336:BC344))&gt;0," ",-(SUM(BB336:BB344))+(SUM(BC336:BC344)))</f>
        <v xml:space="preserve"> </v>
      </c>
      <c r="BF336" s="429"/>
      <c r="BG336" s="446"/>
      <c r="BH336" s="937"/>
    </row>
    <row r="337" spans="1:61" x14ac:dyDescent="0.2">
      <c r="A337" s="19"/>
      <c r="B337" s="224"/>
      <c r="C337" s="204"/>
      <c r="D337" s="456"/>
      <c r="E337" s="457"/>
      <c r="F337" s="458"/>
      <c r="G337" s="458"/>
      <c r="H337" s="458"/>
      <c r="I337" s="458"/>
      <c r="J337" s="458"/>
      <c r="K337" s="459"/>
      <c r="L337" s="458"/>
      <c r="M337" s="458"/>
      <c r="N337" s="458"/>
      <c r="O337" s="458"/>
      <c r="P337" s="460"/>
      <c r="Q337" s="460"/>
      <c r="R337" s="460"/>
      <c r="S337" s="460"/>
      <c r="T337" s="460"/>
      <c r="U337" s="460"/>
      <c r="V337" s="460"/>
      <c r="W337" s="460"/>
      <c r="X337" s="460"/>
      <c r="Y337" s="460"/>
      <c r="Z337" s="460"/>
      <c r="AA337" s="460"/>
      <c r="AB337" s="460"/>
      <c r="AC337" s="460"/>
      <c r="AD337" s="458"/>
      <c r="AE337" s="458"/>
      <c r="AF337" s="458"/>
      <c r="AG337" s="458"/>
      <c r="AH337" s="461">
        <f t="shared" si="226"/>
        <v>0</v>
      </c>
      <c r="AI337" s="462">
        <f t="shared" si="227"/>
        <v>0</v>
      </c>
      <c r="AJ337" s="463">
        <f t="shared" si="228"/>
        <v>0</v>
      </c>
      <c r="AK337" s="464">
        <f t="shared" si="228"/>
        <v>0</v>
      </c>
      <c r="AL337" s="462"/>
      <c r="AM337" s="462"/>
      <c r="AN337" s="463"/>
      <c r="AO337" s="464"/>
      <c r="AP337" s="465" t="str">
        <f>'J. Other Liability &amp; Expenses'!D203</f>
        <v>J.1</v>
      </c>
      <c r="AQ337" s="489">
        <f>'J. Other Liability &amp; Expenses'!L208</f>
        <v>115268</v>
      </c>
      <c r="AR337" s="462"/>
      <c r="AS337" s="477" t="str">
        <f>'I.  Other Asset Entries'!B108</f>
        <v>I.1</v>
      </c>
      <c r="AT337" s="367">
        <f>'I.  Other Asset Entries'!N118</f>
        <v>3000</v>
      </c>
      <c r="AU337" s="467"/>
      <c r="AV337" s="466"/>
      <c r="AW337" s="462"/>
      <c r="AX337" s="465"/>
      <c r="AY337" s="468"/>
      <c r="AZ337" s="471"/>
      <c r="BA337" s="448"/>
      <c r="BB337" s="466">
        <f t="shared" si="229"/>
        <v>115268</v>
      </c>
      <c r="BC337" s="466">
        <f t="shared" si="230"/>
        <v>3000</v>
      </c>
      <c r="BD337" s="486"/>
      <c r="BE337" s="468"/>
      <c r="BF337" s="429"/>
      <c r="BG337" s="446"/>
    </row>
    <row r="338" spans="1:61" x14ac:dyDescent="0.2">
      <c r="A338" s="19"/>
      <c r="B338" s="224"/>
      <c r="C338" s="204"/>
      <c r="D338" s="456"/>
      <c r="E338" s="457"/>
      <c r="F338" s="458"/>
      <c r="G338" s="458"/>
      <c r="H338" s="458"/>
      <c r="I338" s="458"/>
      <c r="J338" s="458"/>
      <c r="K338" s="459"/>
      <c r="L338" s="458"/>
      <c r="M338" s="458"/>
      <c r="N338" s="458"/>
      <c r="O338" s="458"/>
      <c r="P338" s="460"/>
      <c r="Q338" s="460"/>
      <c r="R338" s="460"/>
      <c r="S338" s="460"/>
      <c r="T338" s="460"/>
      <c r="U338" s="460"/>
      <c r="V338" s="460"/>
      <c r="W338" s="460"/>
      <c r="X338" s="460"/>
      <c r="Y338" s="460"/>
      <c r="Z338" s="460"/>
      <c r="AA338" s="460"/>
      <c r="AB338" s="460"/>
      <c r="AC338" s="460"/>
      <c r="AD338" s="458"/>
      <c r="AE338" s="458"/>
      <c r="AF338" s="458"/>
      <c r="AG338" s="458"/>
      <c r="AH338" s="461">
        <f t="shared" si="226"/>
        <v>0</v>
      </c>
      <c r="AI338" s="462">
        <f t="shared" si="227"/>
        <v>0</v>
      </c>
      <c r="AJ338" s="463">
        <f t="shared" si="228"/>
        <v>0</v>
      </c>
      <c r="AK338" s="464">
        <f t="shared" si="228"/>
        <v>0</v>
      </c>
      <c r="AL338" s="462"/>
      <c r="AM338" s="462"/>
      <c r="AN338" s="463"/>
      <c r="AO338" s="464"/>
      <c r="AP338" s="465" t="str">
        <f>'F.  Other Cap Asset Entries'!D256</f>
        <v>F.3</v>
      </c>
      <c r="AQ338" s="474">
        <f>'F.  Other Cap Asset Entries'!M260</f>
        <v>0</v>
      </c>
      <c r="AR338" s="462"/>
      <c r="AS338" s="477" t="str">
        <f>'J. Other Liability &amp; Expenses'!D203</f>
        <v>J.1</v>
      </c>
      <c r="AT338" s="466">
        <f>'J. Other Liability &amp; Expenses'!N208</f>
        <v>0</v>
      </c>
      <c r="AU338" s="467" t="str">
        <f>'L. Eliminations-Consolidations'!B273</f>
        <v>L.8</v>
      </c>
      <c r="AV338" s="466">
        <f>'L. Eliminations-Consolidations'!J279</f>
        <v>0</v>
      </c>
      <c r="AW338" s="462"/>
      <c r="AX338" s="465" t="str">
        <f>'L. Eliminations-Consolidations'!B273</f>
        <v>L.8</v>
      </c>
      <c r="AY338" s="468">
        <f>'L. Eliminations-Consolidations'!L279</f>
        <v>0</v>
      </c>
      <c r="AZ338" s="447"/>
      <c r="BA338" s="448"/>
      <c r="BB338" s="466">
        <f t="shared" si="229"/>
        <v>0</v>
      </c>
      <c r="BC338" s="466">
        <f t="shared" si="230"/>
        <v>0</v>
      </c>
      <c r="BD338" s="486"/>
      <c r="BE338" s="468"/>
      <c r="BF338" s="429"/>
      <c r="BG338" s="446"/>
    </row>
    <row r="339" spans="1:61" x14ac:dyDescent="0.2">
      <c r="A339" s="19"/>
      <c r="B339" s="224"/>
      <c r="C339" s="204"/>
      <c r="D339" s="456"/>
      <c r="E339" s="457"/>
      <c r="F339" s="458"/>
      <c r="G339" s="458"/>
      <c r="H339" s="458"/>
      <c r="I339" s="458"/>
      <c r="J339" s="458"/>
      <c r="K339" s="459"/>
      <c r="L339" s="458"/>
      <c r="M339" s="458"/>
      <c r="N339" s="458"/>
      <c r="O339" s="458"/>
      <c r="P339" s="460"/>
      <c r="Q339" s="460"/>
      <c r="R339" s="460"/>
      <c r="S339" s="460"/>
      <c r="T339" s="460"/>
      <c r="U339" s="460"/>
      <c r="V339" s="460"/>
      <c r="W339" s="460"/>
      <c r="X339" s="460"/>
      <c r="Y339" s="460"/>
      <c r="Z339" s="460"/>
      <c r="AA339" s="460"/>
      <c r="AB339" s="460"/>
      <c r="AC339" s="460"/>
      <c r="AD339" s="458"/>
      <c r="AE339" s="458"/>
      <c r="AF339" s="458"/>
      <c r="AG339" s="458"/>
      <c r="AH339" s="461">
        <f t="shared" si="226"/>
        <v>0</v>
      </c>
      <c r="AI339" s="462">
        <f t="shared" si="227"/>
        <v>0</v>
      </c>
      <c r="AJ339" s="463">
        <f t="shared" si="228"/>
        <v>0</v>
      </c>
      <c r="AK339" s="464">
        <f t="shared" si="228"/>
        <v>0</v>
      </c>
      <c r="AL339" s="462"/>
      <c r="AM339" s="462"/>
      <c r="AN339" s="463"/>
      <c r="AO339" s="464"/>
      <c r="AP339" s="465" t="s">
        <v>621</v>
      </c>
      <c r="AQ339" s="474">
        <f>'F.  Other Cap Asset Entries'!M282</f>
        <v>0</v>
      </c>
      <c r="AR339" s="462"/>
      <c r="AS339" s="477" t="s">
        <v>2047</v>
      </c>
      <c r="AT339" s="466">
        <f>'N.1 GASB 68 LGERS'!D102</f>
        <v>0</v>
      </c>
      <c r="AU339" s="467"/>
      <c r="AV339" s="466"/>
      <c r="AW339" s="462"/>
      <c r="AX339" s="465"/>
      <c r="AY339" s="468"/>
      <c r="AZ339" s="447"/>
      <c r="BA339" s="448"/>
      <c r="BB339" s="466">
        <f t="shared" si="229"/>
        <v>0</v>
      </c>
      <c r="BC339" s="466">
        <f t="shared" si="230"/>
        <v>0</v>
      </c>
      <c r="BD339" s="486"/>
      <c r="BE339" s="468"/>
      <c r="BF339" s="429"/>
      <c r="BG339" s="446"/>
    </row>
    <row r="340" spans="1:61" x14ac:dyDescent="0.2">
      <c r="A340" s="19"/>
      <c r="B340" s="224"/>
      <c r="C340" s="204"/>
      <c r="D340" s="456"/>
      <c r="E340" s="457"/>
      <c r="F340" s="458"/>
      <c r="G340" s="458"/>
      <c r="H340" s="458"/>
      <c r="I340" s="458"/>
      <c r="J340" s="458"/>
      <c r="K340" s="459"/>
      <c r="L340" s="458"/>
      <c r="M340" s="458"/>
      <c r="N340" s="458"/>
      <c r="O340" s="458"/>
      <c r="P340" s="460"/>
      <c r="Q340" s="460"/>
      <c r="R340" s="460"/>
      <c r="S340" s="460"/>
      <c r="T340" s="460"/>
      <c r="U340" s="460"/>
      <c r="V340" s="460"/>
      <c r="W340" s="460"/>
      <c r="X340" s="460"/>
      <c r="Y340" s="460"/>
      <c r="Z340" s="460"/>
      <c r="AA340" s="460"/>
      <c r="AB340" s="460"/>
      <c r="AC340" s="460"/>
      <c r="AD340" s="458"/>
      <c r="AE340" s="458"/>
      <c r="AF340" s="458"/>
      <c r="AG340" s="458"/>
      <c r="AH340" s="461"/>
      <c r="AI340" s="462"/>
      <c r="AJ340" s="463"/>
      <c r="AK340" s="464"/>
      <c r="AL340" s="462"/>
      <c r="AM340" s="462"/>
      <c r="AN340" s="463"/>
      <c r="AO340" s="464"/>
      <c r="AP340" s="465" t="s">
        <v>2047</v>
      </c>
      <c r="AQ340" s="474">
        <f>'N.1 GASB 68 LGERS'!C102</f>
        <v>0</v>
      </c>
      <c r="AR340" s="462"/>
      <c r="AS340" s="477"/>
      <c r="AT340" s="466"/>
      <c r="AU340" s="467"/>
      <c r="AV340" s="466"/>
      <c r="AW340" s="462"/>
      <c r="AX340" s="465"/>
      <c r="AY340" s="468"/>
      <c r="AZ340" s="447"/>
      <c r="BA340" s="448"/>
      <c r="BB340" s="466">
        <f t="shared" si="229"/>
        <v>0</v>
      </c>
      <c r="BC340" s="466">
        <f t="shared" si="230"/>
        <v>0</v>
      </c>
      <c r="BD340" s="486"/>
      <c r="BE340" s="468"/>
      <c r="BF340" s="429"/>
      <c r="BG340" s="446"/>
    </row>
    <row r="341" spans="1:61" x14ac:dyDescent="0.2">
      <c r="A341" s="19"/>
      <c r="B341" s="224"/>
      <c r="C341" s="204"/>
      <c r="D341" s="456"/>
      <c r="E341" s="457"/>
      <c r="F341" s="458"/>
      <c r="G341" s="458"/>
      <c r="H341" s="458"/>
      <c r="I341" s="458"/>
      <c r="J341" s="458"/>
      <c r="K341" s="459"/>
      <c r="L341" s="458"/>
      <c r="M341" s="458"/>
      <c r="N341" s="458"/>
      <c r="O341" s="458"/>
      <c r="P341" s="460"/>
      <c r="Q341" s="460"/>
      <c r="R341" s="460"/>
      <c r="S341" s="460"/>
      <c r="T341" s="460"/>
      <c r="U341" s="460"/>
      <c r="V341" s="460"/>
      <c r="W341" s="460"/>
      <c r="X341" s="460"/>
      <c r="Y341" s="460"/>
      <c r="Z341" s="460"/>
      <c r="AA341" s="460"/>
      <c r="AB341" s="460"/>
      <c r="AC341" s="460"/>
      <c r="AD341" s="458"/>
      <c r="AE341" s="458"/>
      <c r="AF341" s="458"/>
      <c r="AG341" s="458"/>
      <c r="AH341" s="461"/>
      <c r="AI341" s="462"/>
      <c r="AJ341" s="463"/>
      <c r="AK341" s="464"/>
      <c r="AL341" s="466"/>
      <c r="AM341" s="466"/>
      <c r="AN341" s="463"/>
      <c r="AO341" s="464"/>
      <c r="AP341" s="465" t="s">
        <v>4019</v>
      </c>
      <c r="AQ341" s="466">
        <f>'P.1 GASB 75 OPEB  - plan 1'!C110+'P.1 GASB 75 OPEB  - plan 1'!C119+'P.1 GASB 75 OPEB  - plan 1'!C128</f>
        <v>0</v>
      </c>
      <c r="AR341" s="462"/>
      <c r="AS341" s="465" t="s">
        <v>4019</v>
      </c>
      <c r="AT341" s="466">
        <f>'P.1 GASB 75 OPEB  - plan 1'!D110+'P.1 GASB 75 OPEB  - plan 1'!D119+'P.1 GASB 75 OPEB  - plan 1'!D128</f>
        <v>0</v>
      </c>
      <c r="AU341" s="467"/>
      <c r="AV341" s="466"/>
      <c r="AW341" s="462"/>
      <c r="AX341" s="465"/>
      <c r="AY341" s="468"/>
      <c r="AZ341" s="447"/>
      <c r="BA341" s="448"/>
      <c r="BB341" s="466">
        <f t="shared" si="229"/>
        <v>0</v>
      </c>
      <c r="BC341" s="466">
        <f t="shared" si="230"/>
        <v>0</v>
      </c>
      <c r="BD341" s="486"/>
      <c r="BE341" s="468"/>
      <c r="BF341" s="429"/>
      <c r="BG341" s="446"/>
    </row>
    <row r="342" spans="1:61" x14ac:dyDescent="0.2">
      <c r="A342" s="19"/>
      <c r="B342" s="224"/>
      <c r="C342" s="204"/>
      <c r="D342" s="456"/>
      <c r="E342" s="457"/>
      <c r="F342" s="458"/>
      <c r="G342" s="458"/>
      <c r="H342" s="458"/>
      <c r="I342" s="458"/>
      <c r="J342" s="458"/>
      <c r="K342" s="459"/>
      <c r="L342" s="458"/>
      <c r="M342" s="458"/>
      <c r="N342" s="458"/>
      <c r="O342" s="458"/>
      <c r="P342" s="460"/>
      <c r="Q342" s="460"/>
      <c r="R342" s="460"/>
      <c r="S342" s="460"/>
      <c r="T342" s="460"/>
      <c r="U342" s="460"/>
      <c r="V342" s="460"/>
      <c r="W342" s="460"/>
      <c r="X342" s="460"/>
      <c r="Y342" s="460"/>
      <c r="Z342" s="460"/>
      <c r="AA342" s="460"/>
      <c r="AB342" s="460"/>
      <c r="AC342" s="460"/>
      <c r="AD342" s="458"/>
      <c r="AE342" s="458"/>
      <c r="AF342" s="458"/>
      <c r="AG342" s="458"/>
      <c r="AH342" s="461"/>
      <c r="AI342" s="462"/>
      <c r="AJ342" s="463"/>
      <c r="AK342" s="464"/>
      <c r="AL342" s="466"/>
      <c r="AM342" s="466"/>
      <c r="AN342" s="463"/>
      <c r="AO342" s="464"/>
      <c r="AP342" s="465" t="s">
        <v>4020</v>
      </c>
      <c r="AQ342" s="466">
        <f>'P.2 GASB 75 OPEB - plan 2'!C110+'P.2 GASB 75 OPEB - plan 2'!C119+'P.2 GASB 75 OPEB - plan 2'!C128</f>
        <v>0</v>
      </c>
      <c r="AR342" s="462"/>
      <c r="AS342" s="465" t="s">
        <v>4020</v>
      </c>
      <c r="AT342" s="466">
        <f>'P.2 GASB 75 OPEB - plan 2'!D110+'P.2 GASB 75 OPEB - plan 2'!D119+'P.2 GASB 75 OPEB - plan 2'!D128</f>
        <v>0</v>
      </c>
      <c r="AU342" s="467"/>
      <c r="AV342" s="466"/>
      <c r="AW342" s="462"/>
      <c r="AX342" s="465"/>
      <c r="AY342" s="468"/>
      <c r="AZ342" s="447"/>
      <c r="BA342" s="448"/>
      <c r="BB342" s="466">
        <f t="shared" ref="BB342:BB344" si="231">ROUND(AJ342+AL342+AN342+AQ342+AV342+AZ342,0)</f>
        <v>0</v>
      </c>
      <c r="BC342" s="466">
        <f t="shared" ref="BC342:BC344" si="232">ROUND(AK342+AM342+AO342+AT342+AY342+BA342,0)</f>
        <v>0</v>
      </c>
      <c r="BD342" s="486"/>
      <c r="BE342" s="468"/>
      <c r="BF342" s="429"/>
      <c r="BG342" s="446"/>
    </row>
    <row r="343" spans="1:61" x14ac:dyDescent="0.2">
      <c r="A343" s="19"/>
      <c r="B343" s="224"/>
      <c r="C343" s="204"/>
      <c r="D343" s="456"/>
      <c r="E343" s="457"/>
      <c r="F343" s="458"/>
      <c r="G343" s="458"/>
      <c r="H343" s="458"/>
      <c r="I343" s="458"/>
      <c r="J343" s="458"/>
      <c r="K343" s="459"/>
      <c r="L343" s="458"/>
      <c r="M343" s="458"/>
      <c r="N343" s="458"/>
      <c r="O343" s="458"/>
      <c r="P343" s="460"/>
      <c r="Q343" s="460"/>
      <c r="R343" s="460"/>
      <c r="S343" s="460"/>
      <c r="T343" s="460"/>
      <c r="U343" s="460"/>
      <c r="V343" s="460"/>
      <c r="W343" s="460"/>
      <c r="X343" s="460"/>
      <c r="Y343" s="460"/>
      <c r="Z343" s="460"/>
      <c r="AA343" s="460"/>
      <c r="AB343" s="460"/>
      <c r="AC343" s="460"/>
      <c r="AD343" s="458"/>
      <c r="AE343" s="458"/>
      <c r="AF343" s="458"/>
      <c r="AG343" s="458"/>
      <c r="AH343" s="461"/>
      <c r="AI343" s="462"/>
      <c r="AJ343" s="463"/>
      <c r="AK343" s="464"/>
      <c r="AL343" s="466"/>
      <c r="AM343" s="466"/>
      <c r="AN343" s="463"/>
      <c r="AO343" s="464"/>
      <c r="AP343" s="465" t="s">
        <v>4021</v>
      </c>
      <c r="AQ343" s="466">
        <f>'P.3 GASB 75 OPEB - plan 3'!C110+'P.3 GASB 75 OPEB - plan 3'!C119+'P.3 GASB 75 OPEB - plan 3'!C128</f>
        <v>0</v>
      </c>
      <c r="AR343" s="462"/>
      <c r="AS343" s="465" t="s">
        <v>4021</v>
      </c>
      <c r="AT343" s="466">
        <f>'P.3 GASB 75 OPEB - plan 3'!D110+'P.3 GASB 75 OPEB - plan 3'!D119+'P.3 GASB 75 OPEB - plan 3'!D128</f>
        <v>0</v>
      </c>
      <c r="AU343" s="467"/>
      <c r="AV343" s="466"/>
      <c r="AW343" s="462"/>
      <c r="AX343" s="465"/>
      <c r="AY343" s="468"/>
      <c r="AZ343" s="447"/>
      <c r="BA343" s="448"/>
      <c r="BB343" s="466">
        <f t="shared" si="231"/>
        <v>0</v>
      </c>
      <c r="BC343" s="466">
        <f t="shared" si="232"/>
        <v>0</v>
      </c>
      <c r="BD343" s="486"/>
      <c r="BE343" s="468"/>
      <c r="BF343" s="429"/>
      <c r="BG343" s="446"/>
    </row>
    <row r="344" spans="1:61" x14ac:dyDescent="0.2">
      <c r="A344" s="19"/>
      <c r="B344" s="224"/>
      <c r="C344" s="204"/>
      <c r="D344" s="456"/>
      <c r="E344" s="457"/>
      <c r="F344" s="458"/>
      <c r="G344" s="458"/>
      <c r="H344" s="458"/>
      <c r="I344" s="458"/>
      <c r="J344" s="458"/>
      <c r="K344" s="459"/>
      <c r="L344" s="458"/>
      <c r="M344" s="458"/>
      <c r="N344" s="458"/>
      <c r="O344" s="458"/>
      <c r="P344" s="460"/>
      <c r="Q344" s="460"/>
      <c r="R344" s="460"/>
      <c r="S344" s="460"/>
      <c r="T344" s="460"/>
      <c r="U344" s="460"/>
      <c r="V344" s="460"/>
      <c r="W344" s="460"/>
      <c r="X344" s="460"/>
      <c r="Y344" s="460"/>
      <c r="Z344" s="460"/>
      <c r="AA344" s="460"/>
      <c r="AB344" s="460"/>
      <c r="AC344" s="460"/>
      <c r="AD344" s="458"/>
      <c r="AE344" s="458"/>
      <c r="AF344" s="458"/>
      <c r="AG344" s="458"/>
      <c r="AH344" s="461"/>
      <c r="AI344" s="462"/>
      <c r="AJ344" s="463"/>
      <c r="AK344" s="464"/>
      <c r="AL344" s="466"/>
      <c r="AM344" s="466"/>
      <c r="AN344" s="463"/>
      <c r="AO344" s="464"/>
      <c r="AP344" s="465" t="s">
        <v>4114</v>
      </c>
      <c r="AQ344" s="466">
        <f>'Q. GASB 87 Lease Entries'!M75</f>
        <v>0</v>
      </c>
      <c r="AR344" s="462"/>
      <c r="AS344" s="465" t="s">
        <v>4110</v>
      </c>
      <c r="AT344" s="466">
        <f>'Q. GASB 87 Lease Entries'!O39</f>
        <v>0</v>
      </c>
      <c r="AU344" s="467"/>
      <c r="AV344" s="466"/>
      <c r="AW344" s="462"/>
      <c r="AX344" s="465"/>
      <c r="AY344" s="468"/>
      <c r="AZ344" s="447"/>
      <c r="BA344" s="448"/>
      <c r="BB344" s="466">
        <f t="shared" si="231"/>
        <v>0</v>
      </c>
      <c r="BC344" s="466">
        <f t="shared" si="232"/>
        <v>0</v>
      </c>
      <c r="BD344" s="486"/>
      <c r="BE344" s="468"/>
      <c r="BF344" s="429"/>
      <c r="BG344" s="446"/>
    </row>
    <row r="345" spans="1:61" ht="6" customHeight="1" x14ac:dyDescent="0.2">
      <c r="A345" s="19"/>
      <c r="D345" s="453"/>
      <c r="E345" s="454"/>
      <c r="F345" s="440"/>
      <c r="G345" s="440"/>
      <c r="H345" s="440"/>
      <c r="I345" s="440"/>
      <c r="J345" s="440"/>
      <c r="K345" s="441"/>
      <c r="L345" s="440"/>
      <c r="M345" s="440"/>
      <c r="N345" s="440"/>
      <c r="O345" s="440"/>
      <c r="P345" s="451"/>
      <c r="Q345" s="451"/>
      <c r="R345" s="451"/>
      <c r="S345" s="451"/>
      <c r="T345" s="451"/>
      <c r="U345" s="451"/>
      <c r="V345" s="451"/>
      <c r="W345" s="451"/>
      <c r="X345" s="451"/>
      <c r="Y345" s="451"/>
      <c r="Z345" s="451"/>
      <c r="AA345" s="451"/>
      <c r="AB345" s="451"/>
      <c r="AC345" s="451"/>
      <c r="AD345" s="440"/>
      <c r="AE345" s="440"/>
      <c r="AF345" s="440"/>
      <c r="AG345" s="440"/>
      <c r="AH345" s="430"/>
      <c r="AJ345" s="431"/>
      <c r="AK345" s="443"/>
      <c r="AN345" s="431"/>
      <c r="AO345" s="443"/>
      <c r="AQ345" s="489"/>
      <c r="AT345" s="367"/>
      <c r="AU345" s="445"/>
      <c r="AV345" s="367"/>
      <c r="AY345" s="455"/>
      <c r="AZ345" s="451"/>
      <c r="BA345" s="476"/>
      <c r="BB345" s="367"/>
      <c r="BC345" s="367"/>
      <c r="BD345" s="483"/>
      <c r="BE345" s="455"/>
      <c r="BF345" s="367"/>
      <c r="BG345" s="455"/>
      <c r="BI345" s="939"/>
    </row>
    <row r="346" spans="1:61" x14ac:dyDescent="0.2">
      <c r="A346" s="19"/>
      <c r="B346" s="224" t="s">
        <v>130</v>
      </c>
      <c r="C346" s="204"/>
      <c r="D346" s="456">
        <v>2308240</v>
      </c>
      <c r="E346" s="457"/>
      <c r="F346" s="458"/>
      <c r="G346" s="458"/>
      <c r="H346" s="458"/>
      <c r="I346" s="458"/>
      <c r="J346" s="458"/>
      <c r="K346" s="459"/>
      <c r="L346" s="458"/>
      <c r="M346" s="458"/>
      <c r="N346" s="458"/>
      <c r="O346" s="458"/>
      <c r="P346" s="460"/>
      <c r="Q346" s="460"/>
      <c r="R346" s="460"/>
      <c r="S346" s="460"/>
      <c r="T346" s="460"/>
      <c r="U346" s="460"/>
      <c r="V346" s="460"/>
      <c r="W346" s="460"/>
      <c r="X346" s="460"/>
      <c r="Y346" s="460"/>
      <c r="Z346" s="460"/>
      <c r="AA346" s="460"/>
      <c r="AB346" s="460"/>
      <c r="AC346" s="460"/>
      <c r="AD346" s="458"/>
      <c r="AE346" s="458"/>
      <c r="AF346" s="458"/>
      <c r="AG346" s="458"/>
      <c r="AH346" s="461">
        <f t="shared" ref="AH346:AH349" si="233">L346+N346+P346+R346+T346+V346+X346+Z346+AB346+AD346+AF346</f>
        <v>0</v>
      </c>
      <c r="AI346" s="462">
        <f t="shared" ref="AI346:AI349" si="234">M346+O346+Q346+S346+U346+W346+Y346+AA346+AC346+AE346+AG346</f>
        <v>0</v>
      </c>
      <c r="AJ346" s="463">
        <f t="shared" ref="AJ346:AK349" si="235">D346+F346+H346+J346+AH346</f>
        <v>2308240</v>
      </c>
      <c r="AK346" s="464">
        <f t="shared" si="235"/>
        <v>0</v>
      </c>
      <c r="AL346" s="462"/>
      <c r="AM346" s="462"/>
      <c r="AN346" s="463"/>
      <c r="AO346" s="464"/>
      <c r="AP346" s="465" t="str">
        <f>'D. Depreciation'!A55</f>
        <v>D.1</v>
      </c>
      <c r="AQ346" s="367">
        <f>'D. Depreciation'!J61</f>
        <v>71571</v>
      </c>
      <c r="AR346" s="462"/>
      <c r="AS346" s="465" t="str">
        <f>'E. Capital Outlay'!D54</f>
        <v>E.1</v>
      </c>
      <c r="AT346" s="367">
        <f>'E. Capital Outlay'!N71</f>
        <v>437806</v>
      </c>
      <c r="AU346" s="467" t="str">
        <f>'L. Eliminations-Consolidations'!A243</f>
        <v>L.7</v>
      </c>
      <c r="AV346" s="466">
        <f>'L. Eliminations-Consolidations'!J249</f>
        <v>0</v>
      </c>
      <c r="AW346" s="462"/>
      <c r="AX346" s="470" t="s">
        <v>634</v>
      </c>
      <c r="AY346" s="466">
        <f>'K.1  Int. Service Fd Allocation'!G215+'K.2  Int. Service Fd Alloca'!G210+'K.3 Int. Service Fd Alloca'!G210</f>
        <v>0</v>
      </c>
      <c r="AZ346" s="471"/>
      <c r="BA346" s="448"/>
      <c r="BB346" s="466">
        <f t="shared" ref="BB346:BB351" si="236">ROUND(AJ346+AL346+AN346+AQ346+AV346+AZ346,0)</f>
        <v>2379811</v>
      </c>
      <c r="BC346" s="466">
        <f t="shared" ref="BC346:BC351" si="237">ROUND(AK346+AM346+AO346+AT346+AY346+BA346,0)</f>
        <v>437806</v>
      </c>
      <c r="BD346" s="486">
        <f>IF((SUM(BB346:BB354))-(SUM(BC346:BC354))&lt;=0," ",(SUM(BB346:BB354))-(SUM(BC346:BC354)))</f>
        <v>1936952</v>
      </c>
      <c r="BE346" s="468" t="str">
        <f>IF((SUM(BB346:BB354))-(SUM(BC346:BC354))&gt;0," ",-(SUM(BB346:BB354))+(SUM(BC346:BC354)))</f>
        <v xml:space="preserve"> </v>
      </c>
      <c r="BF346" s="429"/>
      <c r="BG346" s="446"/>
      <c r="BH346" s="937"/>
    </row>
    <row r="347" spans="1:61" x14ac:dyDescent="0.2">
      <c r="A347" s="19"/>
      <c r="B347" s="224"/>
      <c r="C347" s="204"/>
      <c r="D347" s="456"/>
      <c r="E347" s="457"/>
      <c r="F347" s="458"/>
      <c r="G347" s="458"/>
      <c r="H347" s="458"/>
      <c r="I347" s="458"/>
      <c r="J347" s="458"/>
      <c r="K347" s="459"/>
      <c r="L347" s="458"/>
      <c r="M347" s="458"/>
      <c r="N347" s="458"/>
      <c r="O347" s="458"/>
      <c r="P347" s="460"/>
      <c r="Q347" s="460"/>
      <c r="R347" s="460"/>
      <c r="S347" s="460"/>
      <c r="T347" s="460"/>
      <c r="U347" s="460"/>
      <c r="V347" s="460"/>
      <c r="W347" s="460"/>
      <c r="X347" s="460"/>
      <c r="Y347" s="460"/>
      <c r="Z347" s="460"/>
      <c r="AA347" s="460"/>
      <c r="AB347" s="460"/>
      <c r="AC347" s="460"/>
      <c r="AD347" s="458"/>
      <c r="AE347" s="458"/>
      <c r="AF347" s="458"/>
      <c r="AG347" s="458"/>
      <c r="AH347" s="461">
        <f t="shared" si="233"/>
        <v>0</v>
      </c>
      <c r="AI347" s="462">
        <f t="shared" si="234"/>
        <v>0</v>
      </c>
      <c r="AJ347" s="463">
        <f t="shared" si="235"/>
        <v>0</v>
      </c>
      <c r="AK347" s="464">
        <f t="shared" si="235"/>
        <v>0</v>
      </c>
      <c r="AL347" s="462"/>
      <c r="AM347" s="462"/>
      <c r="AN347" s="463"/>
      <c r="AO347" s="464"/>
      <c r="AP347" s="465" t="str">
        <f>'J. Other Liability &amp; Expenses'!D203</f>
        <v>J.1</v>
      </c>
      <c r="AQ347" s="367">
        <f>'J. Other Liability &amp; Expenses'!L209</f>
        <v>2505</v>
      </c>
      <c r="AR347" s="462"/>
      <c r="AS347" s="477" t="str">
        <f>'I.  Other Asset Entries'!B108</f>
        <v>I.1</v>
      </c>
      <c r="AT347" s="367">
        <f>'I.  Other Asset Entries'!N119</f>
        <v>7558</v>
      </c>
      <c r="AU347" s="467"/>
      <c r="AV347" s="466"/>
      <c r="AW347" s="462"/>
      <c r="AX347" s="465"/>
      <c r="AY347" s="468"/>
      <c r="AZ347" s="447"/>
      <c r="BA347" s="448"/>
      <c r="BB347" s="466">
        <f t="shared" si="236"/>
        <v>2505</v>
      </c>
      <c r="BC347" s="466">
        <f t="shared" si="237"/>
        <v>7558</v>
      </c>
      <c r="BD347" s="486"/>
      <c r="BE347" s="468"/>
      <c r="BF347" s="429"/>
      <c r="BG347" s="446"/>
    </row>
    <row r="348" spans="1:61" x14ac:dyDescent="0.2">
      <c r="A348" s="19"/>
      <c r="B348" s="224"/>
      <c r="C348" s="204"/>
      <c r="D348" s="456"/>
      <c r="E348" s="457"/>
      <c r="F348" s="458"/>
      <c r="G348" s="458"/>
      <c r="H348" s="458"/>
      <c r="I348" s="458"/>
      <c r="J348" s="458"/>
      <c r="K348" s="459"/>
      <c r="L348" s="458"/>
      <c r="M348" s="458"/>
      <c r="N348" s="458"/>
      <c r="O348" s="458"/>
      <c r="P348" s="460"/>
      <c r="Q348" s="460"/>
      <c r="R348" s="460"/>
      <c r="S348" s="460"/>
      <c r="T348" s="460"/>
      <c r="U348" s="460"/>
      <c r="V348" s="460"/>
      <c r="W348" s="460"/>
      <c r="X348" s="460"/>
      <c r="Y348" s="460"/>
      <c r="Z348" s="460"/>
      <c r="AA348" s="460"/>
      <c r="AB348" s="460"/>
      <c r="AC348" s="460"/>
      <c r="AD348" s="458"/>
      <c r="AE348" s="458"/>
      <c r="AF348" s="458"/>
      <c r="AG348" s="458"/>
      <c r="AH348" s="461">
        <f t="shared" si="233"/>
        <v>0</v>
      </c>
      <c r="AI348" s="462">
        <f t="shared" si="234"/>
        <v>0</v>
      </c>
      <c r="AJ348" s="463">
        <f t="shared" si="235"/>
        <v>0</v>
      </c>
      <c r="AK348" s="464">
        <f t="shared" si="235"/>
        <v>0</v>
      </c>
      <c r="AL348" s="462"/>
      <c r="AM348" s="462"/>
      <c r="AN348" s="463"/>
      <c r="AO348" s="464"/>
      <c r="AP348" s="465" t="str">
        <f>'F.  Other Cap Asset Entries'!D256</f>
        <v>F.3</v>
      </c>
      <c r="AQ348" s="466">
        <f>'F.  Other Cap Asset Entries'!M261</f>
        <v>0</v>
      </c>
      <c r="AR348" s="462"/>
      <c r="AS348" s="477" t="str">
        <f>'J. Other Liability &amp; Expenses'!D203</f>
        <v>J.1</v>
      </c>
      <c r="AT348" s="466">
        <f>'J. Other Liability &amp; Expenses'!N209</f>
        <v>0</v>
      </c>
      <c r="AU348" s="467" t="str">
        <f>'L. Eliminations-Consolidations'!B273</f>
        <v>L.8</v>
      </c>
      <c r="AV348" s="466">
        <f>'L. Eliminations-Consolidations'!J280</f>
        <v>0</v>
      </c>
      <c r="AW348" s="462"/>
      <c r="AX348" s="465" t="str">
        <f>'L. Eliminations-Consolidations'!B273</f>
        <v>L.8</v>
      </c>
      <c r="AY348" s="468">
        <f>'L. Eliminations-Consolidations'!L280</f>
        <v>0</v>
      </c>
      <c r="AZ348" s="447"/>
      <c r="BA348" s="448"/>
      <c r="BB348" s="466">
        <f t="shared" si="236"/>
        <v>0</v>
      </c>
      <c r="BC348" s="466">
        <f t="shared" si="237"/>
        <v>0</v>
      </c>
      <c r="BD348" s="486"/>
      <c r="BE348" s="468"/>
      <c r="BF348" s="429"/>
      <c r="BG348" s="446"/>
    </row>
    <row r="349" spans="1:61" x14ac:dyDescent="0.2">
      <c r="A349" s="19"/>
      <c r="B349" s="224"/>
      <c r="C349" s="204"/>
      <c r="D349" s="456"/>
      <c r="E349" s="457"/>
      <c r="F349" s="458"/>
      <c r="G349" s="458"/>
      <c r="H349" s="458"/>
      <c r="I349" s="458"/>
      <c r="J349" s="458"/>
      <c r="K349" s="459"/>
      <c r="L349" s="458"/>
      <c r="M349" s="458"/>
      <c r="N349" s="458"/>
      <c r="O349" s="458"/>
      <c r="P349" s="460"/>
      <c r="Q349" s="460"/>
      <c r="R349" s="460"/>
      <c r="S349" s="460"/>
      <c r="T349" s="460"/>
      <c r="U349" s="460"/>
      <c r="V349" s="460"/>
      <c r="W349" s="460"/>
      <c r="X349" s="460"/>
      <c r="Y349" s="460"/>
      <c r="Z349" s="460"/>
      <c r="AA349" s="460"/>
      <c r="AB349" s="460"/>
      <c r="AC349" s="460"/>
      <c r="AD349" s="458"/>
      <c r="AE349" s="458"/>
      <c r="AF349" s="458"/>
      <c r="AG349" s="458"/>
      <c r="AH349" s="461">
        <f t="shared" si="233"/>
        <v>0</v>
      </c>
      <c r="AI349" s="462">
        <f t="shared" si="234"/>
        <v>0</v>
      </c>
      <c r="AJ349" s="463">
        <f t="shared" si="235"/>
        <v>0</v>
      </c>
      <c r="AK349" s="464">
        <f t="shared" si="235"/>
        <v>0</v>
      </c>
      <c r="AL349" s="462"/>
      <c r="AM349" s="462"/>
      <c r="AN349" s="463"/>
      <c r="AO349" s="464"/>
      <c r="AP349" s="465" t="s">
        <v>621</v>
      </c>
      <c r="AQ349" s="466">
        <f>'F.  Other Cap Asset Entries'!M283</f>
        <v>0</v>
      </c>
      <c r="AR349" s="462"/>
      <c r="AS349" s="477" t="s">
        <v>2047</v>
      </c>
      <c r="AT349" s="466">
        <f>'N.1 GASB 68 LGERS'!D103</f>
        <v>0</v>
      </c>
      <c r="AU349" s="467"/>
      <c r="AV349" s="466"/>
      <c r="AW349" s="462"/>
      <c r="AX349" s="465"/>
      <c r="AY349" s="468"/>
      <c r="AZ349" s="447"/>
      <c r="BA349" s="448"/>
      <c r="BB349" s="466">
        <f t="shared" si="236"/>
        <v>0</v>
      </c>
      <c r="BC349" s="466">
        <f t="shared" si="237"/>
        <v>0</v>
      </c>
      <c r="BD349" s="486"/>
      <c r="BE349" s="468"/>
      <c r="BF349" s="429"/>
      <c r="BG349" s="446"/>
    </row>
    <row r="350" spans="1:61" x14ac:dyDescent="0.2">
      <c r="A350" s="19"/>
      <c r="B350" s="224"/>
      <c r="C350" s="204"/>
      <c r="D350" s="456"/>
      <c r="E350" s="457"/>
      <c r="F350" s="458"/>
      <c r="G350" s="458"/>
      <c r="H350" s="458"/>
      <c r="I350" s="458"/>
      <c r="J350" s="458"/>
      <c r="K350" s="459"/>
      <c r="L350" s="458"/>
      <c r="M350" s="458"/>
      <c r="N350" s="458"/>
      <c r="O350" s="458"/>
      <c r="P350" s="460"/>
      <c r="Q350" s="460"/>
      <c r="R350" s="460"/>
      <c r="S350" s="460"/>
      <c r="T350" s="460"/>
      <c r="U350" s="460"/>
      <c r="V350" s="460"/>
      <c r="W350" s="460"/>
      <c r="X350" s="460"/>
      <c r="Y350" s="460"/>
      <c r="Z350" s="460"/>
      <c r="AA350" s="460"/>
      <c r="AB350" s="460"/>
      <c r="AC350" s="460"/>
      <c r="AD350" s="458"/>
      <c r="AE350" s="458"/>
      <c r="AF350" s="458"/>
      <c r="AG350" s="458"/>
      <c r="AH350" s="461"/>
      <c r="AI350" s="462"/>
      <c r="AJ350" s="463"/>
      <c r="AK350" s="464"/>
      <c r="AL350" s="462"/>
      <c r="AM350" s="462"/>
      <c r="AN350" s="463"/>
      <c r="AO350" s="464"/>
      <c r="AP350" s="465" t="s">
        <v>2047</v>
      </c>
      <c r="AQ350" s="466">
        <f>'N.1 GASB 68 LGERS'!C103</f>
        <v>0</v>
      </c>
      <c r="AR350" s="462"/>
      <c r="AS350" s="477"/>
      <c r="AT350" s="466"/>
      <c r="AU350" s="467"/>
      <c r="AV350" s="466"/>
      <c r="AW350" s="462"/>
      <c r="AX350" s="465"/>
      <c r="AY350" s="468"/>
      <c r="AZ350" s="447"/>
      <c r="BA350" s="448"/>
      <c r="BB350" s="466">
        <f t="shared" si="236"/>
        <v>0</v>
      </c>
      <c r="BC350" s="466">
        <f t="shared" si="237"/>
        <v>0</v>
      </c>
      <c r="BD350" s="486"/>
      <c r="BE350" s="468"/>
      <c r="BF350" s="429"/>
      <c r="BG350" s="446"/>
    </row>
    <row r="351" spans="1:61" x14ac:dyDescent="0.2">
      <c r="A351" s="19"/>
      <c r="B351" s="224"/>
      <c r="C351" s="204"/>
      <c r="D351" s="456"/>
      <c r="E351" s="457"/>
      <c r="F351" s="458"/>
      <c r="G351" s="458"/>
      <c r="H351" s="458"/>
      <c r="I351" s="458"/>
      <c r="J351" s="458"/>
      <c r="K351" s="459"/>
      <c r="L351" s="458"/>
      <c r="M351" s="458"/>
      <c r="N351" s="458"/>
      <c r="O351" s="458"/>
      <c r="P351" s="460"/>
      <c r="Q351" s="460"/>
      <c r="R351" s="460"/>
      <c r="S351" s="460"/>
      <c r="T351" s="460"/>
      <c r="U351" s="460"/>
      <c r="V351" s="460"/>
      <c r="W351" s="460"/>
      <c r="X351" s="460"/>
      <c r="Y351" s="460"/>
      <c r="Z351" s="460"/>
      <c r="AA351" s="460"/>
      <c r="AB351" s="460"/>
      <c r="AC351" s="460"/>
      <c r="AD351" s="458"/>
      <c r="AE351" s="458"/>
      <c r="AF351" s="458"/>
      <c r="AG351" s="458"/>
      <c r="AH351" s="461"/>
      <c r="AI351" s="462"/>
      <c r="AJ351" s="463"/>
      <c r="AK351" s="464"/>
      <c r="AL351" s="466"/>
      <c r="AM351" s="466"/>
      <c r="AN351" s="463"/>
      <c r="AO351" s="464"/>
      <c r="AP351" s="465" t="s">
        <v>4019</v>
      </c>
      <c r="AQ351" s="466">
        <f>'P.1 GASB 75 OPEB  - plan 1'!C111+'P.1 GASB 75 OPEB  - plan 1'!C120+'P.1 GASB 75 OPEB  - plan 1'!C129</f>
        <v>0</v>
      </c>
      <c r="AR351" s="462"/>
      <c r="AS351" s="465" t="s">
        <v>4019</v>
      </c>
      <c r="AT351" s="466">
        <f>'P.1 GASB 75 OPEB  - plan 1'!D111+'P.1 GASB 75 OPEB  - plan 1'!D120+'P.1 GASB 75 OPEB  - plan 1'!D129</f>
        <v>0</v>
      </c>
      <c r="AU351" s="467"/>
      <c r="AV351" s="466"/>
      <c r="AW351" s="462"/>
      <c r="AX351" s="465"/>
      <c r="AY351" s="468"/>
      <c r="AZ351" s="447"/>
      <c r="BA351" s="448"/>
      <c r="BB351" s="466">
        <f t="shared" si="236"/>
        <v>0</v>
      </c>
      <c r="BC351" s="466">
        <f t="shared" si="237"/>
        <v>0</v>
      </c>
      <c r="BD351" s="486"/>
      <c r="BE351" s="468"/>
      <c r="BF351" s="429"/>
      <c r="BG351" s="446"/>
    </row>
    <row r="352" spans="1:61" x14ac:dyDescent="0.2">
      <c r="A352" s="19"/>
      <c r="B352" s="224"/>
      <c r="C352" s="204"/>
      <c r="D352" s="456"/>
      <c r="E352" s="457"/>
      <c r="F352" s="458"/>
      <c r="G352" s="458"/>
      <c r="H352" s="458"/>
      <c r="I352" s="458"/>
      <c r="J352" s="458"/>
      <c r="K352" s="459"/>
      <c r="L352" s="458"/>
      <c r="M352" s="458"/>
      <c r="N352" s="458"/>
      <c r="O352" s="458"/>
      <c r="P352" s="460"/>
      <c r="Q352" s="460"/>
      <c r="R352" s="460"/>
      <c r="S352" s="460"/>
      <c r="T352" s="460"/>
      <c r="U352" s="460"/>
      <c r="V352" s="460"/>
      <c r="W352" s="460"/>
      <c r="X352" s="460"/>
      <c r="Y352" s="460"/>
      <c r="Z352" s="460"/>
      <c r="AA352" s="460"/>
      <c r="AB352" s="460"/>
      <c r="AC352" s="460"/>
      <c r="AD352" s="458"/>
      <c r="AE352" s="458"/>
      <c r="AF352" s="458"/>
      <c r="AG352" s="458"/>
      <c r="AH352" s="461"/>
      <c r="AI352" s="462"/>
      <c r="AJ352" s="463"/>
      <c r="AK352" s="464"/>
      <c r="AL352" s="466"/>
      <c r="AM352" s="466"/>
      <c r="AN352" s="463"/>
      <c r="AO352" s="464"/>
      <c r="AP352" s="465" t="s">
        <v>4020</v>
      </c>
      <c r="AQ352" s="466">
        <f>'P.2 GASB 75 OPEB - plan 2'!C111+'P.2 GASB 75 OPEB - plan 2'!C120+'P.2 GASB 75 OPEB - plan 2'!C129</f>
        <v>0</v>
      </c>
      <c r="AR352" s="462"/>
      <c r="AS352" s="465" t="s">
        <v>4020</v>
      </c>
      <c r="AT352" s="466">
        <f>'P.2 GASB 75 OPEB - plan 2'!D111+'P.2 GASB 75 OPEB - plan 2'!D120+'P.2 GASB 75 OPEB - plan 2'!D129</f>
        <v>0</v>
      </c>
      <c r="AU352" s="467"/>
      <c r="AV352" s="466"/>
      <c r="AW352" s="462"/>
      <c r="AX352" s="465"/>
      <c r="AY352" s="468"/>
      <c r="AZ352" s="447"/>
      <c r="BA352" s="448"/>
      <c r="BB352" s="466">
        <f t="shared" ref="BB352:BB354" si="238">ROUND(AJ352+AL352+AN352+AQ352+AV352+AZ352,0)</f>
        <v>0</v>
      </c>
      <c r="BC352" s="466">
        <f t="shared" ref="BC352" si="239">ROUND(AK352+AM352+AO352+AT352+AY352+BA352,0)</f>
        <v>0</v>
      </c>
      <c r="BD352" s="486"/>
      <c r="BE352" s="468"/>
      <c r="BF352" s="429"/>
      <c r="BG352" s="446"/>
    </row>
    <row r="353" spans="1:61" x14ac:dyDescent="0.2">
      <c r="A353" s="19"/>
      <c r="B353" s="224"/>
      <c r="C353" s="204"/>
      <c r="D353" s="456"/>
      <c r="E353" s="457"/>
      <c r="F353" s="458"/>
      <c r="G353" s="458"/>
      <c r="H353" s="458"/>
      <c r="I353" s="458"/>
      <c r="J353" s="458"/>
      <c r="K353" s="459"/>
      <c r="L353" s="458"/>
      <c r="M353" s="458"/>
      <c r="N353" s="458"/>
      <c r="O353" s="458"/>
      <c r="P353" s="460"/>
      <c r="Q353" s="460"/>
      <c r="R353" s="460"/>
      <c r="S353" s="460"/>
      <c r="T353" s="460"/>
      <c r="U353" s="460"/>
      <c r="V353" s="460"/>
      <c r="W353" s="460"/>
      <c r="X353" s="460"/>
      <c r="Y353" s="460"/>
      <c r="Z353" s="460"/>
      <c r="AA353" s="460"/>
      <c r="AB353" s="460"/>
      <c r="AC353" s="460"/>
      <c r="AD353" s="458"/>
      <c r="AE353" s="458"/>
      <c r="AF353" s="458"/>
      <c r="AG353" s="458"/>
      <c r="AH353" s="461"/>
      <c r="AI353" s="462"/>
      <c r="AJ353" s="463"/>
      <c r="AK353" s="464"/>
      <c r="AL353" s="466"/>
      <c r="AM353" s="466"/>
      <c r="AN353" s="463"/>
      <c r="AO353" s="464"/>
      <c r="AP353" s="465" t="s">
        <v>4021</v>
      </c>
      <c r="AQ353" s="466">
        <f>'P.3 GASB 75 OPEB - plan 3'!C111+'P.3 GASB 75 OPEB - plan 3'!C120+'P.3 GASB 75 OPEB - plan 3'!C129</f>
        <v>0</v>
      </c>
      <c r="AR353" s="462"/>
      <c r="AS353" s="465" t="s">
        <v>4021</v>
      </c>
      <c r="AT353" s="466">
        <f>'P.3 GASB 75 OPEB - plan 3'!D111+'P.3 GASB 75 OPEB - plan 3'!D120+'P.3 GASB 75 OPEB - plan 3'!D129</f>
        <v>0</v>
      </c>
      <c r="AU353" s="467"/>
      <c r="AV353" s="466"/>
      <c r="AW353" s="462"/>
      <c r="AX353" s="465"/>
      <c r="AY353" s="468"/>
      <c r="AZ353" s="447"/>
      <c r="BA353" s="448"/>
      <c r="BB353" s="466">
        <f t="shared" si="238"/>
        <v>0</v>
      </c>
      <c r="BC353" s="466">
        <f>ROUND(AK353+AM353+AO353+AT353+AY353+BA353,0)</f>
        <v>0</v>
      </c>
      <c r="BD353" s="486"/>
      <c r="BE353" s="468"/>
      <c r="BF353" s="429"/>
      <c r="BG353" s="446"/>
    </row>
    <row r="354" spans="1:61" x14ac:dyDescent="0.2">
      <c r="A354" s="19"/>
      <c r="B354" s="224"/>
      <c r="C354" s="204"/>
      <c r="D354" s="456"/>
      <c r="E354" s="457"/>
      <c r="F354" s="458"/>
      <c r="G354" s="458"/>
      <c r="H354" s="458"/>
      <c r="I354" s="458"/>
      <c r="J354" s="458"/>
      <c r="K354" s="459"/>
      <c r="L354" s="458"/>
      <c r="M354" s="458"/>
      <c r="N354" s="458"/>
      <c r="O354" s="458"/>
      <c r="P354" s="460"/>
      <c r="Q354" s="460"/>
      <c r="R354" s="460"/>
      <c r="S354" s="460"/>
      <c r="T354" s="460"/>
      <c r="U354" s="460"/>
      <c r="V354" s="460"/>
      <c r="W354" s="460"/>
      <c r="X354" s="460"/>
      <c r="Y354" s="460"/>
      <c r="Z354" s="460"/>
      <c r="AA354" s="460"/>
      <c r="AB354" s="460"/>
      <c r="AC354" s="460"/>
      <c r="AD354" s="458"/>
      <c r="AE354" s="458"/>
      <c r="AF354" s="458"/>
      <c r="AG354" s="458"/>
      <c r="AH354" s="461"/>
      <c r="AI354" s="462"/>
      <c r="AJ354" s="463"/>
      <c r="AK354" s="464"/>
      <c r="AL354" s="466"/>
      <c r="AM354" s="466"/>
      <c r="AN354" s="463"/>
      <c r="AO354" s="464"/>
      <c r="AP354" s="465" t="s">
        <v>4114</v>
      </c>
      <c r="AQ354" s="466">
        <f>'Q. GASB 87 Lease Entries'!M73</f>
        <v>0</v>
      </c>
      <c r="AR354" s="462"/>
      <c r="AS354" s="465" t="s">
        <v>4110</v>
      </c>
      <c r="AT354" s="466">
        <f>'Q. GASB 87 Lease Entries'!O37</f>
        <v>0</v>
      </c>
      <c r="AU354" s="467"/>
      <c r="AV354" s="466"/>
      <c r="AW354" s="462"/>
      <c r="AX354" s="465"/>
      <c r="AY354" s="468"/>
      <c r="AZ354" s="447"/>
      <c r="BA354" s="448"/>
      <c r="BB354" s="466">
        <f t="shared" si="238"/>
        <v>0</v>
      </c>
      <c r="BC354" s="466">
        <f t="shared" ref="BC354" si="240">ROUND(AK354+AM354+AO354+AT354+AY354+BA354,0)</f>
        <v>0</v>
      </c>
      <c r="BD354" s="486"/>
      <c r="BE354" s="468"/>
      <c r="BF354" s="429"/>
      <c r="BG354" s="446"/>
    </row>
    <row r="355" spans="1:61" ht="6" customHeight="1" x14ac:dyDescent="0.2">
      <c r="A355" s="19"/>
      <c r="D355" s="453"/>
      <c r="E355" s="454"/>
      <c r="F355" s="440"/>
      <c r="G355" s="440"/>
      <c r="H355" s="440"/>
      <c r="I355" s="440"/>
      <c r="J355" s="440"/>
      <c r="K355" s="441"/>
      <c r="L355" s="440"/>
      <c r="M355" s="440"/>
      <c r="N355" s="440"/>
      <c r="O355" s="440"/>
      <c r="P355" s="451"/>
      <c r="Q355" s="451"/>
      <c r="R355" s="451"/>
      <c r="S355" s="451"/>
      <c r="T355" s="451"/>
      <c r="U355" s="451"/>
      <c r="V355" s="451"/>
      <c r="W355" s="451"/>
      <c r="X355" s="451"/>
      <c r="Y355" s="451"/>
      <c r="Z355" s="451"/>
      <c r="AA355" s="451"/>
      <c r="AB355" s="451"/>
      <c r="AC355" s="451"/>
      <c r="AD355" s="440"/>
      <c r="AE355" s="440"/>
      <c r="AF355" s="440"/>
      <c r="AG355" s="440"/>
      <c r="AH355" s="430"/>
      <c r="AJ355" s="431"/>
      <c r="AK355" s="443"/>
      <c r="AN355" s="431"/>
      <c r="AO355" s="443"/>
      <c r="AQ355" s="489"/>
      <c r="AT355" s="367"/>
      <c r="AU355" s="445"/>
      <c r="AV355" s="367"/>
      <c r="AY355" s="455"/>
      <c r="AZ355" s="451"/>
      <c r="BA355" s="476"/>
      <c r="BB355" s="367"/>
      <c r="BC355" s="367"/>
      <c r="BD355" s="483"/>
      <c r="BE355" s="455"/>
      <c r="BF355" s="367"/>
      <c r="BG355" s="455"/>
      <c r="BI355" s="939"/>
    </row>
    <row r="356" spans="1:61" x14ac:dyDescent="0.2">
      <c r="A356" s="19"/>
      <c r="B356" s="224" t="s">
        <v>172</v>
      </c>
      <c r="C356" s="204"/>
      <c r="D356" s="456">
        <v>41418016</v>
      </c>
      <c r="E356" s="457"/>
      <c r="F356" s="458"/>
      <c r="G356" s="458"/>
      <c r="H356" s="458"/>
      <c r="I356" s="458"/>
      <c r="J356" s="458"/>
      <c r="K356" s="459"/>
      <c r="L356" s="458"/>
      <c r="M356" s="458"/>
      <c r="N356" s="458"/>
      <c r="O356" s="458"/>
      <c r="P356" s="460"/>
      <c r="Q356" s="460"/>
      <c r="R356" s="460"/>
      <c r="S356" s="460"/>
      <c r="T356" s="460"/>
      <c r="U356" s="460"/>
      <c r="V356" s="460"/>
      <c r="W356" s="460"/>
      <c r="X356" s="460"/>
      <c r="Y356" s="460"/>
      <c r="Z356" s="460"/>
      <c r="AA356" s="460"/>
      <c r="AB356" s="460"/>
      <c r="AC356" s="460"/>
      <c r="AD356" s="458"/>
      <c r="AE356" s="458"/>
      <c r="AF356" s="458"/>
      <c r="AG356" s="458"/>
      <c r="AH356" s="461">
        <f t="shared" ref="AH356:AH359" si="241">L356+N356+P356+R356+T356+V356+X356+Z356+AB356+AD356+AF356</f>
        <v>0</v>
      </c>
      <c r="AI356" s="462">
        <f t="shared" ref="AI356:AI359" si="242">M356+O356+Q356+S356+U356+W356+Y356+AA356+AC356+AE356+AG356</f>
        <v>0</v>
      </c>
      <c r="AJ356" s="463">
        <f t="shared" ref="AJ356:AK359" si="243">D356+F356+H356+J356+AH356</f>
        <v>41418016</v>
      </c>
      <c r="AK356" s="464">
        <f t="shared" si="243"/>
        <v>0</v>
      </c>
      <c r="AL356" s="462"/>
      <c r="AM356" s="462"/>
      <c r="AN356" s="463"/>
      <c r="AO356" s="464"/>
      <c r="AP356" s="465" t="str">
        <f>'D. Depreciation'!A55</f>
        <v>D.1</v>
      </c>
      <c r="AQ356" s="466">
        <f>'D. Depreciation'!J62</f>
        <v>0</v>
      </c>
      <c r="AR356" s="462"/>
      <c r="AS356" s="465" t="str">
        <f>'E. Capital Outlay'!D54</f>
        <v>E.1</v>
      </c>
      <c r="AT356" s="466">
        <f>'E. Capital Outlay'!N73</f>
        <v>0</v>
      </c>
      <c r="AU356" s="467" t="str">
        <f>'L. Eliminations-Consolidations'!A243</f>
        <v>L.7</v>
      </c>
      <c r="AV356" s="466">
        <f>'L. Eliminations-Consolidations'!J250</f>
        <v>0</v>
      </c>
      <c r="AW356" s="462"/>
      <c r="AX356" s="470" t="s">
        <v>634</v>
      </c>
      <c r="AY356" s="466">
        <f>'K.1  Int. Service Fd Allocation'!G216+'K.2  Int. Service Fd Alloca'!G211+'K.3 Int. Service Fd Alloca'!G211</f>
        <v>0</v>
      </c>
      <c r="AZ356" s="471"/>
      <c r="BA356" s="448"/>
      <c r="BB356" s="466">
        <f t="shared" ref="BB356:BB361" si="244">ROUND(AJ356+AL356+AN356+AQ356+AV356+AZ356,0)</f>
        <v>41418016</v>
      </c>
      <c r="BC356" s="466">
        <f t="shared" ref="BC356:BC361" si="245">ROUND(AK356+AM356+AO356+AT356+AY356+BA356,0)</f>
        <v>0</v>
      </c>
      <c r="BD356" s="486">
        <f>IF((SUM(BB356:BB364))-(SUM(BC356:BC364))&lt;=0," ",(SUM(BB356:BB364))-(SUM(BC356:BC364)))</f>
        <v>43118616</v>
      </c>
      <c r="BE356" s="468" t="str">
        <f>IF((SUM(BB356:BB364))-(SUM(BC356:BC364))&gt;0," ",-(SUM(BB356:BB364))+(SUM(BC356:BC364)))</f>
        <v xml:space="preserve"> </v>
      </c>
      <c r="BF356" s="429"/>
      <c r="BG356" s="446"/>
      <c r="BH356" s="937"/>
    </row>
    <row r="357" spans="1:61" x14ac:dyDescent="0.2">
      <c r="A357" s="19"/>
      <c r="B357" s="224"/>
      <c r="C357" s="204"/>
      <c r="D357" s="456"/>
      <c r="E357" s="457"/>
      <c r="F357" s="458"/>
      <c r="G357" s="458"/>
      <c r="H357" s="458"/>
      <c r="I357" s="458"/>
      <c r="J357" s="458"/>
      <c r="K357" s="459"/>
      <c r="L357" s="458"/>
      <c r="M357" s="458"/>
      <c r="N357" s="458"/>
      <c r="O357" s="458"/>
      <c r="P357" s="460"/>
      <c r="Q357" s="460"/>
      <c r="R357" s="460"/>
      <c r="S357" s="460"/>
      <c r="T357" s="460"/>
      <c r="U357" s="460"/>
      <c r="V357" s="460"/>
      <c r="W357" s="460"/>
      <c r="X357" s="460"/>
      <c r="Y357" s="460"/>
      <c r="Z357" s="460"/>
      <c r="AA357" s="460"/>
      <c r="AB357" s="460"/>
      <c r="AC357" s="460"/>
      <c r="AD357" s="458"/>
      <c r="AE357" s="458"/>
      <c r="AF357" s="458"/>
      <c r="AG357" s="458"/>
      <c r="AH357" s="461">
        <f t="shared" si="241"/>
        <v>0</v>
      </c>
      <c r="AI357" s="462">
        <f t="shared" si="242"/>
        <v>0</v>
      </c>
      <c r="AJ357" s="463">
        <f t="shared" si="243"/>
        <v>0</v>
      </c>
      <c r="AK357" s="464">
        <f t="shared" si="243"/>
        <v>0</v>
      </c>
      <c r="AL357" s="462"/>
      <c r="AM357" s="462"/>
      <c r="AN357" s="463"/>
      <c r="AO357" s="464"/>
      <c r="AP357" s="465" t="str">
        <f>'J. Other Liability &amp; Expenses'!D203</f>
        <v>J.1</v>
      </c>
      <c r="AQ357" s="466">
        <f>'J. Other Liability &amp; Expenses'!L210</f>
        <v>0</v>
      </c>
      <c r="AR357" s="462"/>
      <c r="AS357" s="477" t="str">
        <f>'I.  Other Asset Entries'!B108</f>
        <v>I.1</v>
      </c>
      <c r="AT357" s="466">
        <f>'I.  Other Asset Entries'!N120</f>
        <v>0</v>
      </c>
      <c r="AU357" s="467"/>
      <c r="AV357" s="466"/>
      <c r="AW357" s="462"/>
      <c r="AX357" s="465"/>
      <c r="AY357" s="468"/>
      <c r="AZ357" s="447"/>
      <c r="BA357" s="448"/>
      <c r="BB357" s="466">
        <f t="shared" si="244"/>
        <v>0</v>
      </c>
      <c r="BC357" s="466">
        <f t="shared" si="245"/>
        <v>0</v>
      </c>
      <c r="BD357" s="486"/>
      <c r="BE357" s="468"/>
      <c r="BF357" s="429"/>
      <c r="BG357" s="446"/>
    </row>
    <row r="358" spans="1:61" x14ac:dyDescent="0.2">
      <c r="A358" s="19"/>
      <c r="B358" s="224"/>
      <c r="C358" s="204"/>
      <c r="D358" s="456"/>
      <c r="E358" s="457"/>
      <c r="F358" s="458"/>
      <c r="G358" s="458"/>
      <c r="H358" s="458"/>
      <c r="I358" s="458"/>
      <c r="J358" s="458"/>
      <c r="K358" s="459"/>
      <c r="L358" s="458"/>
      <c r="M358" s="458"/>
      <c r="N358" s="458"/>
      <c r="O358" s="458"/>
      <c r="P358" s="460"/>
      <c r="Q358" s="460"/>
      <c r="R358" s="460"/>
      <c r="S358" s="460"/>
      <c r="T358" s="460"/>
      <c r="U358" s="460"/>
      <c r="V358" s="460"/>
      <c r="W358" s="460"/>
      <c r="X358" s="460"/>
      <c r="Y358" s="460"/>
      <c r="Z358" s="460"/>
      <c r="AA358" s="460"/>
      <c r="AB358" s="460"/>
      <c r="AC358" s="460"/>
      <c r="AD358" s="458"/>
      <c r="AE358" s="458"/>
      <c r="AF358" s="458"/>
      <c r="AG358" s="458"/>
      <c r="AH358" s="461">
        <f t="shared" si="241"/>
        <v>0</v>
      </c>
      <c r="AI358" s="462">
        <f t="shared" si="242"/>
        <v>0</v>
      </c>
      <c r="AJ358" s="463">
        <f t="shared" si="243"/>
        <v>0</v>
      </c>
      <c r="AK358" s="464">
        <f t="shared" si="243"/>
        <v>0</v>
      </c>
      <c r="AL358" s="462"/>
      <c r="AM358" s="462"/>
      <c r="AN358" s="463"/>
      <c r="AO358" s="464"/>
      <c r="AP358" s="465" t="str">
        <f>'F.  Other Cap Asset Entries'!D256</f>
        <v>F.3</v>
      </c>
      <c r="AQ358" s="367">
        <f>'F.  Other Cap Asset Entries'!M262</f>
        <v>1700600</v>
      </c>
      <c r="AR358" s="462"/>
      <c r="AS358" s="477" t="str">
        <f>'J. Other Liability &amp; Expenses'!D203</f>
        <v>J.1</v>
      </c>
      <c r="AT358" s="466">
        <f>'J. Other Liability &amp; Expenses'!N210</f>
        <v>0</v>
      </c>
      <c r="AU358" s="467" t="str">
        <f>'L. Eliminations-Consolidations'!B273</f>
        <v>L.8</v>
      </c>
      <c r="AV358" s="466">
        <f>'L. Eliminations-Consolidations'!J281</f>
        <v>0</v>
      </c>
      <c r="AW358" s="462"/>
      <c r="AX358" s="465" t="str">
        <f>'L. Eliminations-Consolidations'!B273</f>
        <v>L.8</v>
      </c>
      <c r="AY358" s="468">
        <f>'L. Eliminations-Consolidations'!L281</f>
        <v>0</v>
      </c>
      <c r="AZ358" s="447"/>
      <c r="BA358" s="448"/>
      <c r="BB358" s="466">
        <f t="shared" si="244"/>
        <v>1700600</v>
      </c>
      <c r="BC358" s="466">
        <f t="shared" si="245"/>
        <v>0</v>
      </c>
      <c r="BD358" s="486"/>
      <c r="BE358" s="468"/>
      <c r="BF358" s="429"/>
      <c r="BG358" s="446"/>
    </row>
    <row r="359" spans="1:61" x14ac:dyDescent="0.2">
      <c r="A359" s="19"/>
      <c r="B359" s="224"/>
      <c r="C359" s="204"/>
      <c r="D359" s="456"/>
      <c r="E359" s="457"/>
      <c r="F359" s="458"/>
      <c r="G359" s="458"/>
      <c r="H359" s="458"/>
      <c r="I359" s="458"/>
      <c r="J359" s="458"/>
      <c r="K359" s="459"/>
      <c r="L359" s="458"/>
      <c r="M359" s="458"/>
      <c r="N359" s="458"/>
      <c r="O359" s="458"/>
      <c r="P359" s="460"/>
      <c r="Q359" s="460"/>
      <c r="R359" s="460"/>
      <c r="S359" s="460"/>
      <c r="T359" s="460"/>
      <c r="U359" s="460"/>
      <c r="V359" s="460"/>
      <c r="W359" s="460"/>
      <c r="X359" s="460"/>
      <c r="Y359" s="460"/>
      <c r="Z359" s="460"/>
      <c r="AA359" s="460"/>
      <c r="AB359" s="460"/>
      <c r="AC359" s="460"/>
      <c r="AD359" s="458"/>
      <c r="AE359" s="458"/>
      <c r="AF359" s="458"/>
      <c r="AG359" s="458"/>
      <c r="AH359" s="461">
        <f t="shared" si="241"/>
        <v>0</v>
      </c>
      <c r="AI359" s="462">
        <f t="shared" si="242"/>
        <v>0</v>
      </c>
      <c r="AJ359" s="463">
        <f t="shared" si="243"/>
        <v>0</v>
      </c>
      <c r="AK359" s="464">
        <f t="shared" si="243"/>
        <v>0</v>
      </c>
      <c r="AL359" s="462"/>
      <c r="AM359" s="462"/>
      <c r="AN359" s="463"/>
      <c r="AO359" s="464"/>
      <c r="AP359" s="465" t="s">
        <v>621</v>
      </c>
      <c r="AQ359" s="466">
        <f>'F.  Other Cap Asset Entries'!M284</f>
        <v>0</v>
      </c>
      <c r="AR359" s="462"/>
      <c r="AS359" s="477" t="s">
        <v>2047</v>
      </c>
      <c r="AT359" s="466">
        <f>'N.1 GASB 68 LGERS'!D104</f>
        <v>0</v>
      </c>
      <c r="AU359" s="467"/>
      <c r="AV359" s="466"/>
      <c r="AW359" s="462"/>
      <c r="AX359" s="465"/>
      <c r="AY359" s="468"/>
      <c r="AZ359" s="447"/>
      <c r="BA359" s="448"/>
      <c r="BB359" s="466">
        <f t="shared" si="244"/>
        <v>0</v>
      </c>
      <c r="BC359" s="466">
        <f t="shared" si="245"/>
        <v>0</v>
      </c>
      <c r="BD359" s="486"/>
      <c r="BE359" s="468"/>
      <c r="BF359" s="429"/>
      <c r="BG359" s="446"/>
    </row>
    <row r="360" spans="1:61" x14ac:dyDescent="0.2">
      <c r="A360" s="19"/>
      <c r="B360" s="224"/>
      <c r="C360" s="204"/>
      <c r="D360" s="456"/>
      <c r="E360" s="457"/>
      <c r="F360" s="458"/>
      <c r="G360" s="458"/>
      <c r="H360" s="458"/>
      <c r="I360" s="458"/>
      <c r="J360" s="458"/>
      <c r="K360" s="459"/>
      <c r="L360" s="458"/>
      <c r="M360" s="458"/>
      <c r="N360" s="458"/>
      <c r="O360" s="458"/>
      <c r="P360" s="460"/>
      <c r="Q360" s="460"/>
      <c r="R360" s="460"/>
      <c r="S360" s="460"/>
      <c r="T360" s="460"/>
      <c r="U360" s="460"/>
      <c r="V360" s="460"/>
      <c r="W360" s="460"/>
      <c r="X360" s="460"/>
      <c r="Y360" s="460"/>
      <c r="Z360" s="460"/>
      <c r="AA360" s="460"/>
      <c r="AB360" s="460"/>
      <c r="AC360" s="460"/>
      <c r="AD360" s="458"/>
      <c r="AE360" s="458"/>
      <c r="AF360" s="458"/>
      <c r="AG360" s="458"/>
      <c r="AH360" s="461"/>
      <c r="AI360" s="462"/>
      <c r="AJ360" s="463"/>
      <c r="AK360" s="464"/>
      <c r="AL360" s="462"/>
      <c r="AM360" s="462"/>
      <c r="AN360" s="463"/>
      <c r="AO360" s="464"/>
      <c r="AP360" s="465" t="s">
        <v>2047</v>
      </c>
      <c r="AQ360" s="466">
        <f>'N.1 GASB 68 LGERS'!C104</f>
        <v>0</v>
      </c>
      <c r="AR360" s="462"/>
      <c r="AS360" s="477"/>
      <c r="AT360" s="466"/>
      <c r="AU360" s="467"/>
      <c r="AV360" s="466"/>
      <c r="AW360" s="462"/>
      <c r="AX360" s="465"/>
      <c r="AY360" s="468"/>
      <c r="AZ360" s="447"/>
      <c r="BA360" s="448"/>
      <c r="BB360" s="466">
        <f t="shared" si="244"/>
        <v>0</v>
      </c>
      <c r="BC360" s="466">
        <f t="shared" si="245"/>
        <v>0</v>
      </c>
      <c r="BD360" s="486"/>
      <c r="BE360" s="468"/>
      <c r="BF360" s="429"/>
      <c r="BG360" s="446"/>
    </row>
    <row r="361" spans="1:61" x14ac:dyDescent="0.2">
      <c r="A361" s="19"/>
      <c r="B361" s="224"/>
      <c r="C361" s="204"/>
      <c r="D361" s="456"/>
      <c r="E361" s="457"/>
      <c r="F361" s="458"/>
      <c r="G361" s="458"/>
      <c r="H361" s="458"/>
      <c r="I361" s="458"/>
      <c r="J361" s="458"/>
      <c r="K361" s="459"/>
      <c r="L361" s="458"/>
      <c r="M361" s="458"/>
      <c r="N361" s="458"/>
      <c r="O361" s="458"/>
      <c r="P361" s="460"/>
      <c r="Q361" s="460"/>
      <c r="R361" s="460"/>
      <c r="S361" s="460"/>
      <c r="T361" s="460"/>
      <c r="U361" s="460"/>
      <c r="V361" s="460"/>
      <c r="W361" s="460"/>
      <c r="X361" s="460"/>
      <c r="Y361" s="460"/>
      <c r="Z361" s="460"/>
      <c r="AA361" s="460"/>
      <c r="AB361" s="460"/>
      <c r="AC361" s="460"/>
      <c r="AD361" s="458"/>
      <c r="AE361" s="458"/>
      <c r="AF361" s="458"/>
      <c r="AG361" s="458"/>
      <c r="AH361" s="461"/>
      <c r="AI361" s="462"/>
      <c r="AJ361" s="463"/>
      <c r="AK361" s="464"/>
      <c r="AL361" s="466"/>
      <c r="AM361" s="466"/>
      <c r="AN361" s="463"/>
      <c r="AO361" s="464"/>
      <c r="AP361" s="465" t="s">
        <v>4019</v>
      </c>
      <c r="AQ361" s="466">
        <f>'P.1 GASB 75 OPEB  - plan 1'!C112+'P.1 GASB 75 OPEB  - plan 1'!C121+'P.1 GASB 75 OPEB  - plan 1'!C130</f>
        <v>0</v>
      </c>
      <c r="AR361" s="462"/>
      <c r="AS361" s="465" t="s">
        <v>4019</v>
      </c>
      <c r="AT361" s="466">
        <f>'P.1 GASB 75 OPEB  - plan 1'!D112+'P.1 GASB 75 OPEB  - plan 1'!D121+'P.1 GASB 75 OPEB  - plan 1'!D130</f>
        <v>0</v>
      </c>
      <c r="AU361" s="467"/>
      <c r="AV361" s="466"/>
      <c r="AW361" s="462"/>
      <c r="AX361" s="465"/>
      <c r="AY361" s="468"/>
      <c r="AZ361" s="447"/>
      <c r="BA361" s="448"/>
      <c r="BB361" s="466">
        <f t="shared" si="244"/>
        <v>0</v>
      </c>
      <c r="BC361" s="466">
        <f t="shared" si="245"/>
        <v>0</v>
      </c>
      <c r="BD361" s="486"/>
      <c r="BE361" s="468"/>
      <c r="BF361" s="429"/>
      <c r="BG361" s="446"/>
    </row>
    <row r="362" spans="1:61" x14ac:dyDescent="0.2">
      <c r="A362" s="19"/>
      <c r="B362" s="224"/>
      <c r="C362" s="204"/>
      <c r="D362" s="456"/>
      <c r="E362" s="457"/>
      <c r="F362" s="458"/>
      <c r="G362" s="458"/>
      <c r="H362" s="458"/>
      <c r="I362" s="458"/>
      <c r="J362" s="458"/>
      <c r="K362" s="459"/>
      <c r="L362" s="458"/>
      <c r="M362" s="458"/>
      <c r="N362" s="458"/>
      <c r="O362" s="458"/>
      <c r="P362" s="460"/>
      <c r="Q362" s="460"/>
      <c r="R362" s="460"/>
      <c r="S362" s="460"/>
      <c r="T362" s="460"/>
      <c r="U362" s="460"/>
      <c r="V362" s="460"/>
      <c r="W362" s="460"/>
      <c r="X362" s="460"/>
      <c r="Y362" s="460"/>
      <c r="Z362" s="460"/>
      <c r="AA362" s="460"/>
      <c r="AB362" s="460"/>
      <c r="AC362" s="460"/>
      <c r="AD362" s="458"/>
      <c r="AE362" s="458"/>
      <c r="AF362" s="458"/>
      <c r="AG362" s="458"/>
      <c r="AH362" s="461"/>
      <c r="AI362" s="462"/>
      <c r="AJ362" s="463"/>
      <c r="AK362" s="464"/>
      <c r="AL362" s="466"/>
      <c r="AM362" s="466"/>
      <c r="AN362" s="463"/>
      <c r="AO362" s="464"/>
      <c r="AP362" s="465" t="s">
        <v>4020</v>
      </c>
      <c r="AQ362" s="466">
        <f>'P.2 GASB 75 OPEB - plan 2'!C112+'P.2 GASB 75 OPEB - plan 2'!C121+'P.2 GASB 75 OPEB - plan 2'!C130</f>
        <v>0</v>
      </c>
      <c r="AR362" s="462"/>
      <c r="AS362" s="465" t="s">
        <v>4020</v>
      </c>
      <c r="AT362" s="466">
        <f>'P.2 GASB 75 OPEB - plan 2'!D112+'P.2 GASB 75 OPEB - plan 2'!D121+'P.2 GASB 75 OPEB - plan 2'!D130</f>
        <v>0</v>
      </c>
      <c r="AU362" s="467"/>
      <c r="AV362" s="466"/>
      <c r="AW362" s="462"/>
      <c r="AX362" s="465"/>
      <c r="AY362" s="468"/>
      <c r="AZ362" s="447"/>
      <c r="BA362" s="448"/>
      <c r="BB362" s="466">
        <f t="shared" ref="BB362:BB364" si="246">ROUND(AJ362+AL362+AN362+AQ362+AV362+AZ362,0)</f>
        <v>0</v>
      </c>
      <c r="BC362" s="466">
        <f t="shared" ref="BC362:BC364" si="247">ROUND(AK362+AM362+AO362+AT362+AY362+BA362,0)</f>
        <v>0</v>
      </c>
      <c r="BD362" s="486"/>
      <c r="BE362" s="468"/>
      <c r="BF362" s="429"/>
      <c r="BG362" s="446"/>
    </row>
    <row r="363" spans="1:61" x14ac:dyDescent="0.2">
      <c r="A363" s="19"/>
      <c r="B363" s="224"/>
      <c r="C363" s="204"/>
      <c r="D363" s="456"/>
      <c r="E363" s="457"/>
      <c r="F363" s="458"/>
      <c r="G363" s="458"/>
      <c r="H363" s="458"/>
      <c r="I363" s="458"/>
      <c r="J363" s="458"/>
      <c r="K363" s="459"/>
      <c r="L363" s="458"/>
      <c r="M363" s="458"/>
      <c r="N363" s="458"/>
      <c r="O363" s="458"/>
      <c r="P363" s="460"/>
      <c r="Q363" s="460"/>
      <c r="R363" s="460"/>
      <c r="S363" s="460"/>
      <c r="T363" s="460"/>
      <c r="U363" s="460"/>
      <c r="V363" s="460"/>
      <c r="W363" s="460"/>
      <c r="X363" s="460"/>
      <c r="Y363" s="460"/>
      <c r="Z363" s="460"/>
      <c r="AA363" s="460"/>
      <c r="AB363" s="460"/>
      <c r="AC363" s="460"/>
      <c r="AD363" s="458"/>
      <c r="AE363" s="458"/>
      <c r="AF363" s="458"/>
      <c r="AG363" s="458"/>
      <c r="AH363" s="461"/>
      <c r="AI363" s="462"/>
      <c r="AJ363" s="463"/>
      <c r="AK363" s="464"/>
      <c r="AL363" s="466"/>
      <c r="AM363" s="466"/>
      <c r="AN363" s="463"/>
      <c r="AO363" s="464"/>
      <c r="AP363" s="465" t="s">
        <v>4021</v>
      </c>
      <c r="AQ363" s="466">
        <f>'P.3 GASB 75 OPEB - plan 3'!C112+'P.3 GASB 75 OPEB - plan 3'!C121+'P.3 GASB 75 OPEB - plan 3'!C130</f>
        <v>0</v>
      </c>
      <c r="AR363" s="462"/>
      <c r="AS363" s="465" t="s">
        <v>4021</v>
      </c>
      <c r="AT363" s="466">
        <f>'P.3 GASB 75 OPEB - plan 3'!D112+'P.3 GASB 75 OPEB - plan 3'!D121+'P.3 GASB 75 OPEB - plan 3'!D130</f>
        <v>0</v>
      </c>
      <c r="AU363" s="467"/>
      <c r="AV363" s="466"/>
      <c r="AW363" s="462"/>
      <c r="AX363" s="465"/>
      <c r="AY363" s="468"/>
      <c r="AZ363" s="447"/>
      <c r="BA363" s="448"/>
      <c r="BB363" s="466">
        <f t="shared" si="246"/>
        <v>0</v>
      </c>
      <c r="BC363" s="466">
        <f t="shared" si="247"/>
        <v>0</v>
      </c>
      <c r="BD363" s="486"/>
      <c r="BE363" s="468"/>
      <c r="BF363" s="429"/>
      <c r="BG363" s="446"/>
    </row>
    <row r="364" spans="1:61" x14ac:dyDescent="0.2">
      <c r="A364" s="19"/>
      <c r="B364" s="224"/>
      <c r="C364" s="204"/>
      <c r="D364" s="456"/>
      <c r="E364" s="457"/>
      <c r="F364" s="458"/>
      <c r="G364" s="458"/>
      <c r="H364" s="458"/>
      <c r="I364" s="458"/>
      <c r="J364" s="458"/>
      <c r="K364" s="459"/>
      <c r="L364" s="458"/>
      <c r="M364" s="458"/>
      <c r="N364" s="458"/>
      <c r="O364" s="458"/>
      <c r="P364" s="460"/>
      <c r="Q364" s="460"/>
      <c r="R364" s="460"/>
      <c r="S364" s="460"/>
      <c r="T364" s="460"/>
      <c r="U364" s="460"/>
      <c r="V364" s="460"/>
      <c r="W364" s="460"/>
      <c r="X364" s="460"/>
      <c r="Y364" s="460"/>
      <c r="Z364" s="460"/>
      <c r="AA364" s="460"/>
      <c r="AB364" s="460"/>
      <c r="AC364" s="460"/>
      <c r="AD364" s="458"/>
      <c r="AE364" s="458"/>
      <c r="AF364" s="458"/>
      <c r="AG364" s="458"/>
      <c r="AH364" s="461"/>
      <c r="AI364" s="462"/>
      <c r="AJ364" s="463"/>
      <c r="AK364" s="464"/>
      <c r="AL364" s="466"/>
      <c r="AM364" s="466"/>
      <c r="AN364" s="463"/>
      <c r="AO364" s="464"/>
      <c r="AP364" s="465" t="s">
        <v>4114</v>
      </c>
      <c r="AQ364" s="466">
        <f>'Q. GASB 87 Lease Entries'!M76</f>
        <v>0</v>
      </c>
      <c r="AR364" s="462"/>
      <c r="AS364" s="465" t="s">
        <v>4110</v>
      </c>
      <c r="AT364" s="466">
        <f>'Q. GASB 87 Lease Entries'!O40</f>
        <v>0</v>
      </c>
      <c r="AU364" s="467"/>
      <c r="AV364" s="466"/>
      <c r="AW364" s="462"/>
      <c r="AX364" s="465"/>
      <c r="AY364" s="468"/>
      <c r="AZ364" s="447"/>
      <c r="BA364" s="448"/>
      <c r="BB364" s="466">
        <f t="shared" si="246"/>
        <v>0</v>
      </c>
      <c r="BC364" s="466">
        <f t="shared" si="247"/>
        <v>0</v>
      </c>
      <c r="BD364" s="486"/>
      <c r="BE364" s="468"/>
      <c r="BF364" s="429"/>
      <c r="BG364" s="446"/>
    </row>
    <row r="365" spans="1:61" ht="6" customHeight="1" x14ac:dyDescent="0.2">
      <c r="A365" s="19"/>
      <c r="D365" s="453"/>
      <c r="E365" s="454"/>
      <c r="F365" s="440"/>
      <c r="G365" s="440"/>
      <c r="H365" s="440"/>
      <c r="I365" s="440"/>
      <c r="J365" s="440"/>
      <c r="K365" s="441"/>
      <c r="L365" s="440"/>
      <c r="M365" s="440"/>
      <c r="N365" s="440"/>
      <c r="O365" s="440"/>
      <c r="P365" s="451"/>
      <c r="Q365" s="451"/>
      <c r="R365" s="451"/>
      <c r="S365" s="451"/>
      <c r="T365" s="451"/>
      <c r="U365" s="451"/>
      <c r="V365" s="451"/>
      <c r="W365" s="451"/>
      <c r="X365" s="451"/>
      <c r="Y365" s="451"/>
      <c r="Z365" s="451"/>
      <c r="AA365" s="451"/>
      <c r="AB365" s="451"/>
      <c r="AC365" s="451"/>
      <c r="AD365" s="440"/>
      <c r="AE365" s="440"/>
      <c r="AF365" s="440"/>
      <c r="AG365" s="440"/>
      <c r="AH365" s="430"/>
      <c r="AJ365" s="431"/>
      <c r="AK365" s="443"/>
      <c r="AN365" s="431"/>
      <c r="AO365" s="443"/>
      <c r="AQ365" s="489"/>
      <c r="AT365" s="367"/>
      <c r="AU365" s="445"/>
      <c r="AV365" s="367"/>
      <c r="AY365" s="455"/>
      <c r="AZ365" s="451"/>
      <c r="BA365" s="476"/>
      <c r="BB365" s="367"/>
      <c r="BC365" s="367"/>
      <c r="BD365" s="483"/>
      <c r="BE365" s="455"/>
      <c r="BF365" s="367"/>
      <c r="BG365" s="455"/>
      <c r="BI365" s="939"/>
    </row>
    <row r="366" spans="1:61" x14ac:dyDescent="0.2">
      <c r="A366" s="19"/>
      <c r="B366" s="316" t="s">
        <v>726</v>
      </c>
      <c r="C366" s="204"/>
      <c r="D366" s="456"/>
      <c r="E366" s="457"/>
      <c r="F366" s="458"/>
      <c r="G366" s="458"/>
      <c r="H366" s="458"/>
      <c r="I366" s="458"/>
      <c r="J366" s="458"/>
      <c r="K366" s="459"/>
      <c r="L366" s="458"/>
      <c r="M366" s="458"/>
      <c r="N366" s="458"/>
      <c r="O366" s="458"/>
      <c r="P366" s="460"/>
      <c r="Q366" s="460"/>
      <c r="R366" s="460"/>
      <c r="S366" s="460"/>
      <c r="T366" s="460"/>
      <c r="U366" s="460"/>
      <c r="V366" s="460"/>
      <c r="W366" s="460"/>
      <c r="X366" s="460"/>
      <c r="Y366" s="460"/>
      <c r="Z366" s="460"/>
      <c r="AA366" s="460"/>
      <c r="AB366" s="460"/>
      <c r="AC366" s="460"/>
      <c r="AD366" s="458"/>
      <c r="AE366" s="458"/>
      <c r="AF366" s="458"/>
      <c r="AG366" s="458"/>
      <c r="AH366" s="461">
        <f t="shared" ref="AH366:AH369" si="248">L366+N366+P366+R366+T366+V366+X366+Z366+AB366+AD366+AF366</f>
        <v>0</v>
      </c>
      <c r="AI366" s="462">
        <f t="shared" ref="AI366:AI369" si="249">M366+O366+Q366+S366+U366+W366+Y366+AA366+AC366+AE366+AG366</f>
        <v>0</v>
      </c>
      <c r="AJ366" s="463">
        <f t="shared" ref="AJ366:AK369" si="250">D366+F366+H366+J366+AH366</f>
        <v>0</v>
      </c>
      <c r="AK366" s="464">
        <f t="shared" si="250"/>
        <v>0</v>
      </c>
      <c r="AL366" s="462"/>
      <c r="AM366" s="462"/>
      <c r="AN366" s="463"/>
      <c r="AO366" s="464"/>
      <c r="AP366" s="465" t="str">
        <f>'D. Depreciation'!A55</f>
        <v>D.1</v>
      </c>
      <c r="AQ366" s="466">
        <f>'D. Depreciation'!J63</f>
        <v>0</v>
      </c>
      <c r="AR366" s="462"/>
      <c r="AS366" s="465" t="str">
        <f>'E. Capital Outlay'!D54</f>
        <v>E.1</v>
      </c>
      <c r="AT366" s="466">
        <f>'E. Capital Outlay'!N74</f>
        <v>0</v>
      </c>
      <c r="AU366" s="467" t="str">
        <f>'L. Eliminations-Consolidations'!A243</f>
        <v>L.7</v>
      </c>
      <c r="AV366" s="466">
        <f>'L. Eliminations-Consolidations'!J251</f>
        <v>0</v>
      </c>
      <c r="AW366" s="462"/>
      <c r="AX366" s="470" t="s">
        <v>634</v>
      </c>
      <c r="AY366" s="466">
        <f>'K.1  Int. Service Fd Allocation'!G217+'K.2  Int. Service Fd Alloca'!G212+'K.3 Int. Service Fd Alloca'!G212</f>
        <v>0</v>
      </c>
      <c r="AZ366" s="471"/>
      <c r="BA366" s="448"/>
      <c r="BB366" s="466">
        <f t="shared" ref="BB366:BB371" si="251">ROUND(AJ366+AL366+AN366+AQ366+AV366+AZ366,0)</f>
        <v>0</v>
      </c>
      <c r="BC366" s="466">
        <f t="shared" ref="BC366:BC371" si="252">ROUND(AK366+AM366+AO366+AT366+AY366+BA366,0)</f>
        <v>0</v>
      </c>
      <c r="BD366" s="486" t="str">
        <f>IF((SUM(BB366:BB374))-(SUM(BC366:BC374))&lt;=0," ",(SUM(BB366:BB374))-(SUM(BC366:BC374)))</f>
        <v xml:space="preserve"> </v>
      </c>
      <c r="BE366" s="468">
        <f>IF((SUM(BB366:BB374))-(SUM(BC366:BC374))&gt;0," ",-(SUM(BB366:BB374))+(SUM(BC366:BC374)))</f>
        <v>0</v>
      </c>
      <c r="BF366" s="429"/>
      <c r="BG366" s="446"/>
    </row>
    <row r="367" spans="1:61" x14ac:dyDescent="0.2">
      <c r="A367" s="19"/>
      <c r="B367" s="224"/>
      <c r="C367" s="204"/>
      <c r="D367" s="456"/>
      <c r="E367" s="457"/>
      <c r="F367" s="458"/>
      <c r="G367" s="458"/>
      <c r="H367" s="458"/>
      <c r="I367" s="458"/>
      <c r="J367" s="458"/>
      <c r="K367" s="459"/>
      <c r="L367" s="458"/>
      <c r="M367" s="458"/>
      <c r="N367" s="458"/>
      <c r="O367" s="458"/>
      <c r="P367" s="460"/>
      <c r="Q367" s="460"/>
      <c r="R367" s="460"/>
      <c r="S367" s="460"/>
      <c r="T367" s="460"/>
      <c r="U367" s="460"/>
      <c r="V367" s="460"/>
      <c r="W367" s="460"/>
      <c r="X367" s="460"/>
      <c r="Y367" s="460"/>
      <c r="Z367" s="460"/>
      <c r="AA367" s="460"/>
      <c r="AB367" s="460"/>
      <c r="AC367" s="460"/>
      <c r="AD367" s="458"/>
      <c r="AE367" s="458"/>
      <c r="AF367" s="458"/>
      <c r="AG367" s="458"/>
      <c r="AH367" s="461">
        <f t="shared" si="248"/>
        <v>0</v>
      </c>
      <c r="AI367" s="462">
        <f t="shared" si="249"/>
        <v>0</v>
      </c>
      <c r="AJ367" s="463">
        <f t="shared" si="250"/>
        <v>0</v>
      </c>
      <c r="AK367" s="464">
        <f t="shared" si="250"/>
        <v>0</v>
      </c>
      <c r="AL367" s="462"/>
      <c r="AM367" s="462"/>
      <c r="AN367" s="463"/>
      <c r="AO367" s="464"/>
      <c r="AP367" s="465" t="str">
        <f>'J. Other Liability &amp; Expenses'!D203</f>
        <v>J.1</v>
      </c>
      <c r="AQ367" s="466">
        <f>'J. Other Liability &amp; Expenses'!L211</f>
        <v>0</v>
      </c>
      <c r="AR367" s="462"/>
      <c r="AS367" s="477" t="str">
        <f>'I.  Other Asset Entries'!B108</f>
        <v>I.1</v>
      </c>
      <c r="AT367" s="466">
        <f>'I.  Other Asset Entries'!N121</f>
        <v>0</v>
      </c>
      <c r="AU367" s="467"/>
      <c r="AV367" s="466"/>
      <c r="AW367" s="462"/>
      <c r="AX367" s="465"/>
      <c r="AY367" s="468"/>
      <c r="AZ367" s="447"/>
      <c r="BA367" s="448"/>
      <c r="BB367" s="466">
        <f t="shared" si="251"/>
        <v>0</v>
      </c>
      <c r="BC367" s="466">
        <f t="shared" si="252"/>
        <v>0</v>
      </c>
      <c r="BD367" s="486"/>
      <c r="BE367" s="468"/>
      <c r="BF367" s="429"/>
      <c r="BG367" s="446"/>
    </row>
    <row r="368" spans="1:61" x14ac:dyDescent="0.2">
      <c r="A368" s="19"/>
      <c r="B368" s="224"/>
      <c r="C368" s="204"/>
      <c r="D368" s="456"/>
      <c r="E368" s="457"/>
      <c r="F368" s="458"/>
      <c r="G368" s="458"/>
      <c r="H368" s="458"/>
      <c r="I368" s="458"/>
      <c r="J368" s="458"/>
      <c r="K368" s="459"/>
      <c r="L368" s="458"/>
      <c r="M368" s="458"/>
      <c r="N368" s="458"/>
      <c r="O368" s="458"/>
      <c r="P368" s="460"/>
      <c r="Q368" s="460"/>
      <c r="R368" s="460"/>
      <c r="S368" s="460"/>
      <c r="T368" s="460"/>
      <c r="U368" s="460"/>
      <c r="V368" s="460"/>
      <c r="W368" s="460"/>
      <c r="X368" s="460"/>
      <c r="Y368" s="460"/>
      <c r="Z368" s="460"/>
      <c r="AA368" s="460"/>
      <c r="AB368" s="460"/>
      <c r="AC368" s="460"/>
      <c r="AD368" s="458"/>
      <c r="AE368" s="458"/>
      <c r="AF368" s="458"/>
      <c r="AG368" s="458"/>
      <c r="AH368" s="461">
        <f t="shared" si="248"/>
        <v>0</v>
      </c>
      <c r="AI368" s="462">
        <f t="shared" si="249"/>
        <v>0</v>
      </c>
      <c r="AJ368" s="463">
        <f t="shared" si="250"/>
        <v>0</v>
      </c>
      <c r="AK368" s="464">
        <f t="shared" si="250"/>
        <v>0</v>
      </c>
      <c r="AL368" s="462"/>
      <c r="AM368" s="462"/>
      <c r="AN368" s="463"/>
      <c r="AO368" s="464"/>
      <c r="AP368" s="465" t="str">
        <f>'F.  Other Cap Asset Entries'!D256</f>
        <v>F.3</v>
      </c>
      <c r="AQ368" s="466">
        <f>'F.  Other Cap Asset Entries'!M263</f>
        <v>0</v>
      </c>
      <c r="AR368" s="462"/>
      <c r="AS368" s="477" t="str">
        <f>'J. Other Liability &amp; Expenses'!D203</f>
        <v>J.1</v>
      </c>
      <c r="AT368" s="466">
        <f>'J. Other Liability &amp; Expenses'!N211</f>
        <v>0</v>
      </c>
      <c r="AU368" s="467" t="str">
        <f>'L. Eliminations-Consolidations'!B273</f>
        <v>L.8</v>
      </c>
      <c r="AV368" s="466">
        <f>'L. Eliminations-Consolidations'!J282</f>
        <v>0</v>
      </c>
      <c r="AW368" s="462"/>
      <c r="AX368" s="465" t="str">
        <f>'L. Eliminations-Consolidations'!B273</f>
        <v>L.8</v>
      </c>
      <c r="AY368" s="468">
        <f>'L. Eliminations-Consolidations'!L282</f>
        <v>0</v>
      </c>
      <c r="AZ368" s="447"/>
      <c r="BA368" s="448"/>
      <c r="BB368" s="466">
        <f t="shared" si="251"/>
        <v>0</v>
      </c>
      <c r="BC368" s="466">
        <f t="shared" si="252"/>
        <v>0</v>
      </c>
      <c r="BD368" s="486"/>
      <c r="BE368" s="468"/>
      <c r="BF368" s="429"/>
      <c r="BG368" s="446"/>
    </row>
    <row r="369" spans="1:61" x14ac:dyDescent="0.2">
      <c r="A369" s="19"/>
      <c r="B369" s="224"/>
      <c r="C369" s="204"/>
      <c r="D369" s="456"/>
      <c r="E369" s="457"/>
      <c r="F369" s="458"/>
      <c r="G369" s="458"/>
      <c r="H369" s="458"/>
      <c r="I369" s="458"/>
      <c r="J369" s="458"/>
      <c r="K369" s="459"/>
      <c r="L369" s="458"/>
      <c r="M369" s="458"/>
      <c r="N369" s="458"/>
      <c r="O369" s="458"/>
      <c r="P369" s="460"/>
      <c r="Q369" s="460"/>
      <c r="R369" s="460"/>
      <c r="S369" s="460"/>
      <c r="T369" s="460"/>
      <c r="U369" s="460"/>
      <c r="V369" s="460"/>
      <c r="W369" s="460"/>
      <c r="X369" s="460"/>
      <c r="Y369" s="460"/>
      <c r="Z369" s="460"/>
      <c r="AA369" s="460"/>
      <c r="AB369" s="460"/>
      <c r="AC369" s="460"/>
      <c r="AD369" s="458"/>
      <c r="AE369" s="458"/>
      <c r="AF369" s="458"/>
      <c r="AG369" s="458"/>
      <c r="AH369" s="461">
        <f t="shared" si="248"/>
        <v>0</v>
      </c>
      <c r="AI369" s="462">
        <f t="shared" si="249"/>
        <v>0</v>
      </c>
      <c r="AJ369" s="463">
        <f t="shared" si="250"/>
        <v>0</v>
      </c>
      <c r="AK369" s="464">
        <f t="shared" si="250"/>
        <v>0</v>
      </c>
      <c r="AL369" s="462"/>
      <c r="AM369" s="462"/>
      <c r="AN369" s="463"/>
      <c r="AO369" s="464"/>
      <c r="AP369" s="465" t="s">
        <v>621</v>
      </c>
      <c r="AQ369" s="466">
        <f>'F.  Other Cap Asset Entries'!M285</f>
        <v>0</v>
      </c>
      <c r="AR369" s="462"/>
      <c r="AS369" s="477" t="s">
        <v>2047</v>
      </c>
      <c r="AT369" s="466">
        <f>'N.1 GASB 68 LGERS'!D105</f>
        <v>0</v>
      </c>
      <c r="AU369" s="467"/>
      <c r="AV369" s="466"/>
      <c r="AW369" s="462"/>
      <c r="AX369" s="465"/>
      <c r="AY369" s="468"/>
      <c r="AZ369" s="447"/>
      <c r="BA369" s="448"/>
      <c r="BB369" s="466">
        <f t="shared" si="251"/>
        <v>0</v>
      </c>
      <c r="BC369" s="466">
        <f t="shared" si="252"/>
        <v>0</v>
      </c>
      <c r="BD369" s="486"/>
      <c r="BE369" s="468"/>
      <c r="BF369" s="429"/>
      <c r="BG369" s="446"/>
    </row>
    <row r="370" spans="1:61" x14ac:dyDescent="0.2">
      <c r="A370" s="19"/>
      <c r="B370" s="224"/>
      <c r="C370" s="204"/>
      <c r="D370" s="456"/>
      <c r="E370" s="457"/>
      <c r="F370" s="458"/>
      <c r="G370" s="458"/>
      <c r="H370" s="458"/>
      <c r="I370" s="458"/>
      <c r="J370" s="458"/>
      <c r="K370" s="459"/>
      <c r="L370" s="458"/>
      <c r="M370" s="458"/>
      <c r="N370" s="458"/>
      <c r="O370" s="458"/>
      <c r="P370" s="460"/>
      <c r="Q370" s="460"/>
      <c r="R370" s="460"/>
      <c r="S370" s="460"/>
      <c r="T370" s="460"/>
      <c r="U370" s="460"/>
      <c r="V370" s="460"/>
      <c r="W370" s="460"/>
      <c r="X370" s="460"/>
      <c r="Y370" s="460"/>
      <c r="Z370" s="460"/>
      <c r="AA370" s="460"/>
      <c r="AB370" s="460"/>
      <c r="AC370" s="460"/>
      <c r="AD370" s="458"/>
      <c r="AE370" s="458"/>
      <c r="AF370" s="458"/>
      <c r="AG370" s="458"/>
      <c r="AH370" s="461"/>
      <c r="AI370" s="462"/>
      <c r="AJ370" s="463"/>
      <c r="AK370" s="464"/>
      <c r="AL370" s="462"/>
      <c r="AM370" s="462"/>
      <c r="AN370" s="463"/>
      <c r="AO370" s="464"/>
      <c r="AP370" s="465" t="s">
        <v>2047</v>
      </c>
      <c r="AQ370" s="466">
        <f>'N.1 GASB 68 LGERS'!C105</f>
        <v>0</v>
      </c>
      <c r="AR370" s="462"/>
      <c r="AS370" s="477"/>
      <c r="AT370" s="466"/>
      <c r="AU370" s="467"/>
      <c r="AV370" s="466"/>
      <c r="AW370" s="462"/>
      <c r="AX370" s="465"/>
      <c r="AY370" s="468"/>
      <c r="AZ370" s="447"/>
      <c r="BA370" s="448"/>
      <c r="BB370" s="466">
        <f t="shared" si="251"/>
        <v>0</v>
      </c>
      <c r="BC370" s="466">
        <f t="shared" si="252"/>
        <v>0</v>
      </c>
      <c r="BD370" s="486"/>
      <c r="BE370" s="468"/>
      <c r="BF370" s="429"/>
      <c r="BG370" s="446"/>
    </row>
    <row r="371" spans="1:61" x14ac:dyDescent="0.2">
      <c r="A371" s="19"/>
      <c r="B371" s="224"/>
      <c r="C371" s="204"/>
      <c r="D371" s="456"/>
      <c r="E371" s="457"/>
      <c r="F371" s="458"/>
      <c r="G371" s="458"/>
      <c r="H371" s="458"/>
      <c r="I371" s="458"/>
      <c r="J371" s="458"/>
      <c r="K371" s="459"/>
      <c r="L371" s="458"/>
      <c r="M371" s="458"/>
      <c r="N371" s="458"/>
      <c r="O371" s="458"/>
      <c r="P371" s="460"/>
      <c r="Q371" s="460"/>
      <c r="R371" s="460"/>
      <c r="S371" s="460"/>
      <c r="T371" s="460"/>
      <c r="U371" s="460"/>
      <c r="V371" s="460"/>
      <c r="W371" s="460"/>
      <c r="X371" s="460"/>
      <c r="Y371" s="460"/>
      <c r="Z371" s="460"/>
      <c r="AA371" s="460"/>
      <c r="AB371" s="460"/>
      <c r="AC371" s="460"/>
      <c r="AD371" s="458"/>
      <c r="AE371" s="458"/>
      <c r="AF371" s="458"/>
      <c r="AG371" s="458"/>
      <c r="AH371" s="461"/>
      <c r="AI371" s="462"/>
      <c r="AJ371" s="486"/>
      <c r="AK371" s="468"/>
      <c r="AL371" s="486"/>
      <c r="AM371" s="468"/>
      <c r="AN371" s="463"/>
      <c r="AO371" s="464"/>
      <c r="AP371" s="465" t="s">
        <v>4019</v>
      </c>
      <c r="AQ371" s="466">
        <f>'P.1 GASB 75 OPEB  - plan 1'!C113+'P.1 GASB 75 OPEB  - plan 1'!C122+'P.1 GASB 75 OPEB  - plan 1'!C131</f>
        <v>0</v>
      </c>
      <c r="AR371" s="462"/>
      <c r="AS371" s="465" t="s">
        <v>4019</v>
      </c>
      <c r="AT371" s="468">
        <f>'P.1 GASB 75 OPEB  - plan 1'!D113+'P.1 GASB 75 OPEB  - plan 1'!D122+'P.1 GASB 75 OPEB  - plan 1'!D131</f>
        <v>0</v>
      </c>
      <c r="AU371" s="467"/>
      <c r="AV371" s="466"/>
      <c r="AW371" s="462"/>
      <c r="AX371" s="465"/>
      <c r="AY371" s="468"/>
      <c r="AZ371" s="447"/>
      <c r="BA371" s="448"/>
      <c r="BB371" s="466">
        <f t="shared" si="251"/>
        <v>0</v>
      </c>
      <c r="BC371" s="466">
        <f t="shared" si="252"/>
        <v>0</v>
      </c>
      <c r="BD371" s="486"/>
      <c r="BE371" s="468"/>
      <c r="BF371" s="429"/>
      <c r="BG371" s="446"/>
    </row>
    <row r="372" spans="1:61" x14ac:dyDescent="0.2">
      <c r="A372" s="19"/>
      <c r="B372" s="224"/>
      <c r="C372" s="204"/>
      <c r="D372" s="456"/>
      <c r="E372" s="457"/>
      <c r="F372" s="458"/>
      <c r="G372" s="458"/>
      <c r="H372" s="458"/>
      <c r="I372" s="458"/>
      <c r="J372" s="458"/>
      <c r="K372" s="459"/>
      <c r="L372" s="458"/>
      <c r="M372" s="458"/>
      <c r="N372" s="458"/>
      <c r="O372" s="458"/>
      <c r="P372" s="460"/>
      <c r="Q372" s="460"/>
      <c r="R372" s="460"/>
      <c r="S372" s="460"/>
      <c r="T372" s="460"/>
      <c r="U372" s="460"/>
      <c r="V372" s="460"/>
      <c r="W372" s="460"/>
      <c r="X372" s="460"/>
      <c r="Y372" s="460"/>
      <c r="Z372" s="460"/>
      <c r="AA372" s="460"/>
      <c r="AB372" s="460"/>
      <c r="AC372" s="460"/>
      <c r="AD372" s="458"/>
      <c r="AE372" s="458"/>
      <c r="AF372" s="458"/>
      <c r="AG372" s="458"/>
      <c r="AH372" s="461"/>
      <c r="AI372" s="462"/>
      <c r="AJ372" s="486"/>
      <c r="AK372" s="468"/>
      <c r="AL372" s="486"/>
      <c r="AM372" s="468"/>
      <c r="AN372" s="463"/>
      <c r="AO372" s="464"/>
      <c r="AP372" s="465" t="s">
        <v>4020</v>
      </c>
      <c r="AQ372" s="466">
        <f>'P.2 GASB 75 OPEB - plan 2'!C113+'P.2 GASB 75 OPEB - plan 2'!C122+'P.2 GASB 75 OPEB - plan 2'!C131</f>
        <v>0</v>
      </c>
      <c r="AR372" s="462"/>
      <c r="AS372" s="465" t="s">
        <v>4020</v>
      </c>
      <c r="AT372" s="468">
        <f>'P.2 GASB 75 OPEB - plan 2'!D113+'P.2 GASB 75 OPEB - plan 2'!D122+'P.2 GASB 75 OPEB - plan 2'!D131</f>
        <v>0</v>
      </c>
      <c r="AU372" s="467"/>
      <c r="AV372" s="466"/>
      <c r="AW372" s="462"/>
      <c r="AX372" s="465"/>
      <c r="AY372" s="468"/>
      <c r="AZ372" s="447"/>
      <c r="BA372" s="448"/>
      <c r="BB372" s="466">
        <f t="shared" ref="BB372:BB374" si="253">ROUND(AJ372+AL372+AN372+AQ372+AV372+AZ372,0)</f>
        <v>0</v>
      </c>
      <c r="BC372" s="466">
        <f t="shared" ref="BC372:BC374" si="254">ROUND(AK372+AM372+AO372+AT372+AY372+BA372,0)</f>
        <v>0</v>
      </c>
      <c r="BD372" s="486"/>
      <c r="BE372" s="468"/>
      <c r="BF372" s="429"/>
      <c r="BG372" s="446"/>
    </row>
    <row r="373" spans="1:61" x14ac:dyDescent="0.2">
      <c r="A373" s="19"/>
      <c r="B373" s="224"/>
      <c r="C373" s="204"/>
      <c r="D373" s="456"/>
      <c r="E373" s="457"/>
      <c r="F373" s="458"/>
      <c r="G373" s="458"/>
      <c r="H373" s="458"/>
      <c r="I373" s="458"/>
      <c r="J373" s="458"/>
      <c r="K373" s="459"/>
      <c r="L373" s="458"/>
      <c r="M373" s="458"/>
      <c r="N373" s="458"/>
      <c r="O373" s="458"/>
      <c r="P373" s="460"/>
      <c r="Q373" s="460"/>
      <c r="R373" s="460"/>
      <c r="S373" s="460"/>
      <c r="T373" s="460"/>
      <c r="U373" s="460"/>
      <c r="V373" s="460"/>
      <c r="W373" s="460"/>
      <c r="X373" s="460"/>
      <c r="Y373" s="460"/>
      <c r="Z373" s="460"/>
      <c r="AA373" s="460"/>
      <c r="AB373" s="460"/>
      <c r="AC373" s="460"/>
      <c r="AD373" s="458"/>
      <c r="AE373" s="458"/>
      <c r="AF373" s="458"/>
      <c r="AG373" s="458"/>
      <c r="AH373" s="461"/>
      <c r="AI373" s="462"/>
      <c r="AJ373" s="486"/>
      <c r="AK373" s="468"/>
      <c r="AL373" s="486"/>
      <c r="AM373" s="468"/>
      <c r="AN373" s="463"/>
      <c r="AO373" s="464"/>
      <c r="AP373" s="465" t="s">
        <v>4021</v>
      </c>
      <c r="AQ373" s="466">
        <f>'P.3 GASB 75 OPEB - plan 3'!C113+'P.3 GASB 75 OPEB - plan 3'!C122+'P.3 GASB 75 OPEB - plan 3'!C131</f>
        <v>0</v>
      </c>
      <c r="AR373" s="462"/>
      <c r="AS373" s="465" t="s">
        <v>4021</v>
      </c>
      <c r="AT373" s="468">
        <f>'P.3 GASB 75 OPEB - plan 3'!D113+'P.3 GASB 75 OPEB - plan 3'!D122+'P.3 GASB 75 OPEB - plan 3'!D131</f>
        <v>0</v>
      </c>
      <c r="AU373" s="467"/>
      <c r="AV373" s="466"/>
      <c r="AW373" s="462"/>
      <c r="AX373" s="465"/>
      <c r="AY373" s="468"/>
      <c r="AZ373" s="447"/>
      <c r="BA373" s="448"/>
      <c r="BB373" s="466">
        <f t="shared" si="253"/>
        <v>0</v>
      </c>
      <c r="BC373" s="466">
        <f t="shared" si="254"/>
        <v>0</v>
      </c>
      <c r="BD373" s="486"/>
      <c r="BE373" s="468"/>
      <c r="BF373" s="429"/>
      <c r="BG373" s="446"/>
    </row>
    <row r="374" spans="1:61" x14ac:dyDescent="0.2">
      <c r="A374" s="19"/>
      <c r="B374" s="224"/>
      <c r="C374" s="204"/>
      <c r="D374" s="456"/>
      <c r="E374" s="457"/>
      <c r="F374" s="458"/>
      <c r="G374" s="458"/>
      <c r="H374" s="458"/>
      <c r="I374" s="458"/>
      <c r="J374" s="458"/>
      <c r="K374" s="459"/>
      <c r="L374" s="458"/>
      <c r="M374" s="458"/>
      <c r="N374" s="458"/>
      <c r="O374" s="458"/>
      <c r="P374" s="460"/>
      <c r="Q374" s="460"/>
      <c r="R374" s="460"/>
      <c r="S374" s="460"/>
      <c r="T374" s="460"/>
      <c r="U374" s="460"/>
      <c r="V374" s="460"/>
      <c r="W374" s="460"/>
      <c r="X374" s="460"/>
      <c r="Y374" s="460"/>
      <c r="Z374" s="460"/>
      <c r="AA374" s="460"/>
      <c r="AB374" s="460"/>
      <c r="AC374" s="460"/>
      <c r="AD374" s="458"/>
      <c r="AE374" s="458"/>
      <c r="AF374" s="458"/>
      <c r="AG374" s="458"/>
      <c r="AH374" s="461"/>
      <c r="AI374" s="462"/>
      <c r="AJ374" s="486"/>
      <c r="AK374" s="468"/>
      <c r="AL374" s="466"/>
      <c r="AM374" s="466"/>
      <c r="AN374" s="463"/>
      <c r="AO374" s="464"/>
      <c r="AP374" s="465" t="s">
        <v>4114</v>
      </c>
      <c r="AQ374" s="466"/>
      <c r="AR374" s="462"/>
      <c r="AS374" s="465" t="s">
        <v>4110</v>
      </c>
      <c r="AT374" s="466"/>
      <c r="AU374" s="467"/>
      <c r="AV374" s="466"/>
      <c r="AW374" s="462"/>
      <c r="AX374" s="465"/>
      <c r="AY374" s="468"/>
      <c r="AZ374" s="447"/>
      <c r="BA374" s="448"/>
      <c r="BB374" s="466">
        <f t="shared" si="253"/>
        <v>0</v>
      </c>
      <c r="BC374" s="466">
        <f t="shared" si="254"/>
        <v>0</v>
      </c>
      <c r="BD374" s="486"/>
      <c r="BE374" s="468"/>
      <c r="BF374" s="429"/>
      <c r="BG374" s="446"/>
    </row>
    <row r="375" spans="1:61" ht="5.25" customHeight="1" x14ac:dyDescent="0.2">
      <c r="A375" s="19"/>
      <c r="D375" s="453"/>
      <c r="E375" s="454"/>
      <c r="F375" s="440"/>
      <c r="G375" s="440"/>
      <c r="H375" s="440"/>
      <c r="I375" s="440"/>
      <c r="J375" s="440"/>
      <c r="K375" s="441"/>
      <c r="L375" s="440"/>
      <c r="M375" s="440"/>
      <c r="N375" s="440"/>
      <c r="O375" s="440"/>
      <c r="P375" s="451"/>
      <c r="Q375" s="451"/>
      <c r="R375" s="451"/>
      <c r="S375" s="451"/>
      <c r="T375" s="451"/>
      <c r="U375" s="451"/>
      <c r="V375" s="451"/>
      <c r="W375" s="451"/>
      <c r="X375" s="451"/>
      <c r="Y375" s="451"/>
      <c r="Z375" s="451"/>
      <c r="AA375" s="451"/>
      <c r="AB375" s="451"/>
      <c r="AC375" s="451"/>
      <c r="AD375" s="440"/>
      <c r="AE375" s="440"/>
      <c r="AF375" s="440"/>
      <c r="AG375" s="440"/>
      <c r="AH375" s="430"/>
      <c r="AJ375" s="431"/>
      <c r="AK375" s="443"/>
      <c r="AN375" s="431"/>
      <c r="AO375" s="443"/>
      <c r="AQ375" s="489"/>
      <c r="AT375" s="367"/>
      <c r="AU375" s="445"/>
      <c r="AV375" s="367"/>
      <c r="AY375" s="455"/>
      <c r="AZ375" s="451"/>
      <c r="BA375" s="476"/>
      <c r="BB375" s="367"/>
      <c r="BC375" s="367"/>
      <c r="BD375" s="483"/>
      <c r="BE375" s="455"/>
      <c r="BF375" s="367"/>
      <c r="BG375" s="455"/>
      <c r="BI375" s="939"/>
    </row>
    <row r="376" spans="1:61" x14ac:dyDescent="0.2">
      <c r="A376" s="19"/>
      <c r="B376" s="224" t="s">
        <v>131</v>
      </c>
      <c r="C376" s="204"/>
      <c r="D376" s="456"/>
      <c r="E376" s="457"/>
      <c r="F376" s="458"/>
      <c r="G376" s="458"/>
      <c r="H376" s="458"/>
      <c r="I376" s="458"/>
      <c r="J376" s="458"/>
      <c r="K376" s="459"/>
      <c r="L376" s="458"/>
      <c r="M376" s="458"/>
      <c r="N376" s="458"/>
      <c r="O376" s="458"/>
      <c r="P376" s="460"/>
      <c r="Q376" s="460"/>
      <c r="R376" s="460"/>
      <c r="S376" s="460"/>
      <c r="T376" s="460"/>
      <c r="U376" s="460"/>
      <c r="V376" s="460"/>
      <c r="W376" s="460"/>
      <c r="X376" s="460">
        <v>125919</v>
      </c>
      <c r="Y376" s="460"/>
      <c r="Z376" s="460">
        <v>1700600</v>
      </c>
      <c r="AA376" s="460"/>
      <c r="AB376" s="460"/>
      <c r="AC376" s="460"/>
      <c r="AD376" s="458"/>
      <c r="AE376" s="458"/>
      <c r="AF376" s="458"/>
      <c r="AG376" s="458"/>
      <c r="AH376" s="461">
        <f t="shared" ref="AH376" si="255">L376+N376+P376+R376+T376+V376+X376+Z376+AB376+AD376+AF376</f>
        <v>1826519</v>
      </c>
      <c r="AI376" s="462">
        <f t="shared" ref="AI376" si="256">M376+O376+Q376+S376+U376+W376+Y376+AA376+AC376+AE376+AG376</f>
        <v>0</v>
      </c>
      <c r="AJ376" s="463">
        <f>D376+F376+H376+J376+AH376</f>
        <v>1826519</v>
      </c>
      <c r="AK376" s="464">
        <f>E376+G376+I376+K376+AI376</f>
        <v>0</v>
      </c>
      <c r="AL376" s="462"/>
      <c r="AM376" s="462"/>
      <c r="AN376" s="463"/>
      <c r="AO376" s="464"/>
      <c r="AP376" s="465"/>
      <c r="AQ376" s="466"/>
      <c r="AR376" s="462"/>
      <c r="AS376" s="465" t="str">
        <f>'E. Capital Outlay'!D54</f>
        <v>E.1</v>
      </c>
      <c r="AT376" s="367">
        <f>'E. Capital Outlay'!N72</f>
        <v>0</v>
      </c>
      <c r="AU376" s="467"/>
      <c r="AV376" s="466"/>
      <c r="AW376" s="462"/>
      <c r="AX376" s="465"/>
      <c r="AY376" s="468"/>
      <c r="AZ376" s="447"/>
      <c r="BA376" s="448"/>
      <c r="BB376" s="466">
        <f>ROUND(AJ376+AL376+AN376+AQ376+AV376+AZ376,0)</f>
        <v>1826519</v>
      </c>
      <c r="BC376" s="466">
        <f>ROUND(AK376+AM376+AO376+AT376+AY376+BA376,0)</f>
        <v>0</v>
      </c>
      <c r="BD376" s="486">
        <f>IF((SUM(BB376:BB377))-(SUM(BC376:BC377))&lt;=0," ",(SUM(BB376:BB377))-(SUM(BC376:BC377)))</f>
        <v>125919</v>
      </c>
      <c r="BE376" s="468" t="str">
        <f>IF((SUM(BB376:BB377))-(SUM(BC376:BC377))&gt;0," ",-(SUM(BB376:BB377))+(SUM(BC376:BC377)))</f>
        <v xml:space="preserve"> </v>
      </c>
      <c r="BF376" s="429"/>
      <c r="BG376" s="446"/>
    </row>
    <row r="377" spans="1:61" x14ac:dyDescent="0.2">
      <c r="A377" s="19"/>
      <c r="B377" s="224"/>
      <c r="C377" s="204"/>
      <c r="D377" s="456"/>
      <c r="E377" s="457"/>
      <c r="F377" s="458"/>
      <c r="G377" s="458"/>
      <c r="H377" s="458"/>
      <c r="I377" s="458"/>
      <c r="J377" s="458"/>
      <c r="K377" s="459"/>
      <c r="L377" s="458"/>
      <c r="M377" s="458"/>
      <c r="N377" s="458"/>
      <c r="O377" s="458"/>
      <c r="P377" s="460"/>
      <c r="Q377" s="460"/>
      <c r="R377" s="460"/>
      <c r="S377" s="460"/>
      <c r="T377" s="460"/>
      <c r="U377" s="460"/>
      <c r="V377" s="460"/>
      <c r="W377" s="460"/>
      <c r="X377" s="460"/>
      <c r="Y377" s="460"/>
      <c r="Z377" s="460"/>
      <c r="AA377" s="460"/>
      <c r="AB377" s="460"/>
      <c r="AC377" s="460"/>
      <c r="AD377" s="458"/>
      <c r="AE377" s="458"/>
      <c r="AF377" s="458"/>
      <c r="AG377" s="458"/>
      <c r="AH377" s="461"/>
      <c r="AI377" s="462"/>
      <c r="AJ377" s="463"/>
      <c r="AK377" s="464"/>
      <c r="AL377" s="462"/>
      <c r="AM377" s="462"/>
      <c r="AN377" s="463"/>
      <c r="AO377" s="464"/>
      <c r="AP377" s="465"/>
      <c r="AQ377" s="466"/>
      <c r="AR377" s="462"/>
      <c r="AS377" s="465" t="str">
        <f>'F.  Other Cap Asset Entries'!D256</f>
        <v>F.3</v>
      </c>
      <c r="AT377" s="367">
        <f>'F.  Other Cap Asset Entries'!O264</f>
        <v>1700600</v>
      </c>
      <c r="AU377" s="467"/>
      <c r="AV377" s="466"/>
      <c r="AW377" s="462"/>
      <c r="AX377" s="465"/>
      <c r="AY377" s="468"/>
      <c r="AZ377" s="447"/>
      <c r="BA377" s="448"/>
      <c r="BB377" s="466">
        <f>ROUND(AJ377+AL377+AN377+AQ377+AV377+AZ377,0)</f>
        <v>0</v>
      </c>
      <c r="BC377" s="466">
        <f>ROUND(AK377+AM377+AO377+AT377+AY377+BA377,0)</f>
        <v>1700600</v>
      </c>
      <c r="BD377" s="486"/>
      <c r="BE377" s="468"/>
      <c r="BF377" s="429"/>
      <c r="BG377" s="446"/>
    </row>
    <row r="378" spans="1:61" ht="6.75" customHeight="1" x14ac:dyDescent="0.2">
      <c r="A378" s="19"/>
      <c r="B378" s="4"/>
      <c r="D378" s="449"/>
      <c r="E378" s="450"/>
      <c r="F378" s="440"/>
      <c r="G378" s="440"/>
      <c r="H378" s="440"/>
      <c r="I378" s="440"/>
      <c r="J378" s="440"/>
      <c r="K378" s="441"/>
      <c r="L378" s="440"/>
      <c r="M378" s="440"/>
      <c r="N378" s="440"/>
      <c r="O378" s="440"/>
      <c r="P378" s="451"/>
      <c r="Q378" s="451"/>
      <c r="R378" s="451"/>
      <c r="S378" s="451"/>
      <c r="T378" s="451"/>
      <c r="U378" s="451"/>
      <c r="V378" s="451"/>
      <c r="W378" s="451"/>
      <c r="X378" s="451"/>
      <c r="Y378" s="451"/>
      <c r="Z378" s="451"/>
      <c r="AA378" s="451"/>
      <c r="AB378" s="451"/>
      <c r="AC378" s="451"/>
      <c r="AD378" s="440"/>
      <c r="AE378" s="440"/>
      <c r="AF378" s="440"/>
      <c r="AG378" s="440"/>
      <c r="AH378" s="430"/>
      <c r="AJ378" s="431"/>
      <c r="AK378" s="443"/>
      <c r="AN378" s="431"/>
      <c r="AO378" s="443"/>
      <c r="AQ378" s="367"/>
      <c r="AT378" s="367"/>
      <c r="AU378" s="445"/>
      <c r="AV378" s="367"/>
      <c r="AY378" s="455"/>
      <c r="AZ378" s="451"/>
      <c r="BA378" s="476"/>
      <c r="BB378" s="367"/>
      <c r="BC378" s="367"/>
      <c r="BD378" s="483"/>
      <c r="BE378" s="455"/>
      <c r="BF378" s="367"/>
      <c r="BG378" s="455"/>
      <c r="BI378" s="939"/>
    </row>
    <row r="379" spans="1:61" x14ac:dyDescent="0.2">
      <c r="A379" s="19"/>
      <c r="B379" s="4" t="s">
        <v>184</v>
      </c>
      <c r="D379" s="449"/>
      <c r="E379" s="450"/>
      <c r="F379" s="440"/>
      <c r="G379" s="440"/>
      <c r="H379" s="440"/>
      <c r="I379" s="440"/>
      <c r="J379" s="440"/>
      <c r="K379" s="441"/>
      <c r="L379" s="440"/>
      <c r="M379" s="440"/>
      <c r="N379" s="440"/>
      <c r="O379" s="440"/>
      <c r="P379" s="451"/>
      <c r="Q379" s="451"/>
      <c r="R379" s="451"/>
      <c r="S379" s="451"/>
      <c r="T379" s="451"/>
      <c r="U379" s="451"/>
      <c r="V379" s="451"/>
      <c r="W379" s="451"/>
      <c r="X379" s="451"/>
      <c r="Y379" s="451"/>
      <c r="Z379" s="451"/>
      <c r="AA379" s="451"/>
      <c r="AB379" s="451"/>
      <c r="AC379" s="451"/>
      <c r="AD379" s="440"/>
      <c r="AE379" s="440"/>
      <c r="AF379" s="440"/>
      <c r="AG379" s="440"/>
      <c r="AH379" s="430"/>
      <c r="AJ379" s="431"/>
      <c r="AK379" s="443"/>
      <c r="AN379" s="431"/>
      <c r="AO379" s="443"/>
      <c r="AQ379" s="367"/>
      <c r="AT379" s="367"/>
      <c r="AU379" s="445"/>
      <c r="AV379" s="367"/>
      <c r="AY379" s="455"/>
      <c r="AZ379" s="451"/>
      <c r="BA379" s="476"/>
      <c r="BB379" s="367"/>
      <c r="BC379" s="367"/>
      <c r="BD379" s="483"/>
      <c r="BE379" s="455"/>
      <c r="BF379" s="367"/>
      <c r="BG379" s="455"/>
      <c r="BI379" s="939"/>
    </row>
    <row r="380" spans="1:61" x14ac:dyDescent="0.2">
      <c r="A380" s="19"/>
      <c r="C380" t="s">
        <v>185</v>
      </c>
      <c r="D380" s="449">
        <f>629219+21705</f>
        <v>650924</v>
      </c>
      <c r="E380" s="450"/>
      <c r="F380" s="440"/>
      <c r="G380" s="440"/>
      <c r="H380" s="440"/>
      <c r="I380" s="440"/>
      <c r="J380" s="440"/>
      <c r="K380" s="441"/>
      <c r="L380" s="440"/>
      <c r="M380" s="440"/>
      <c r="N380" s="440"/>
      <c r="O380" s="440"/>
      <c r="P380" s="442"/>
      <c r="Q380" s="442"/>
      <c r="R380" s="442"/>
      <c r="S380" s="442"/>
      <c r="T380" s="442"/>
      <c r="U380" s="442"/>
      <c r="V380" s="442"/>
      <c r="W380" s="442"/>
      <c r="X380" s="442"/>
      <c r="Y380" s="442"/>
      <c r="Z380" s="442"/>
      <c r="AA380" s="442"/>
      <c r="AB380" s="442"/>
      <c r="AC380" s="442"/>
      <c r="AD380" s="440"/>
      <c r="AE380" s="440"/>
      <c r="AF380" s="440"/>
      <c r="AG380" s="440"/>
      <c r="AH380" s="430">
        <f t="shared" ref="AH380:AH384" si="257">L380+N380+P380+R380+T380+V380+X380+Z380+AB380+AD380+AF380</f>
        <v>0</v>
      </c>
      <c r="AI380" s="369">
        <f t="shared" ref="AI380:AI384" si="258">M380+O380+Q380+S380+U380+W380+Y380+AA380+AC380+AE380+AG380</f>
        <v>0</v>
      </c>
      <c r="AJ380" s="431">
        <f t="shared" ref="AJ380:AK384" si="259">D380+F380+H380+J380+AH380</f>
        <v>650924</v>
      </c>
      <c r="AK380" s="443">
        <f t="shared" si="259"/>
        <v>0</v>
      </c>
      <c r="AN380" s="431"/>
      <c r="AO380" s="443"/>
      <c r="AQ380" s="367"/>
      <c r="AS380" s="444" t="str">
        <f>'G. Debt Service'!D47</f>
        <v>G.1</v>
      </c>
      <c r="AT380" s="367">
        <f>'G. Debt Service'!N52</f>
        <v>650924</v>
      </c>
      <c r="AU380" s="445"/>
      <c r="AV380" s="429"/>
      <c r="AY380" s="446"/>
      <c r="AZ380" s="447"/>
      <c r="BA380" s="448"/>
      <c r="BB380" s="395">
        <f>ROUND(AJ380+AL380+AN380+AQ380+AV380+AZ380,0)</f>
        <v>650924</v>
      </c>
      <c r="BC380" s="395">
        <f>ROUND(AK380+AM380+AO380+AT380+AY380+BA380,0)</f>
        <v>650924</v>
      </c>
      <c r="BD380" s="485" t="str">
        <f>IF(BB380-BC380&lt;=0," ",BB380-BC380)</f>
        <v xml:space="preserve"> </v>
      </c>
      <c r="BE380" s="446">
        <f t="shared" ref="BE380:BE386" si="260">IF(BB380-BC380&gt;0," ",BC380-BB380)</f>
        <v>0</v>
      </c>
      <c r="BF380" s="429"/>
      <c r="BG380" s="446"/>
    </row>
    <row r="381" spans="1:61" x14ac:dyDescent="0.2">
      <c r="A381" s="19"/>
      <c r="C381" t="s">
        <v>186</v>
      </c>
      <c r="D381" s="449">
        <f>709264+294</f>
        <v>709558</v>
      </c>
      <c r="E381" s="450"/>
      <c r="F381" s="440"/>
      <c r="G381" s="440"/>
      <c r="H381" s="440"/>
      <c r="I381" s="440"/>
      <c r="J381" s="440"/>
      <c r="K381" s="441"/>
      <c r="L381" s="440"/>
      <c r="M381" s="440"/>
      <c r="N381" s="440"/>
      <c r="O381" s="440"/>
      <c r="P381" s="442"/>
      <c r="Q381" s="442"/>
      <c r="R381" s="442"/>
      <c r="S381" s="442"/>
      <c r="T381" s="442"/>
      <c r="U381" s="442"/>
      <c r="V381" s="442"/>
      <c r="W381" s="442"/>
      <c r="X381" s="442"/>
      <c r="Y381" s="442"/>
      <c r="Z381" s="442"/>
      <c r="AA381" s="442"/>
      <c r="AB381" s="442"/>
      <c r="AC381" s="442"/>
      <c r="AD381" s="440"/>
      <c r="AE381" s="440"/>
      <c r="AF381" s="440"/>
      <c r="AG381" s="440"/>
      <c r="AH381" s="430">
        <f t="shared" si="257"/>
        <v>0</v>
      </c>
      <c r="AI381" s="369">
        <f t="shared" si="258"/>
        <v>0</v>
      </c>
      <c r="AJ381" s="431">
        <f t="shared" si="259"/>
        <v>709558</v>
      </c>
      <c r="AK381" s="443">
        <f t="shared" si="259"/>
        <v>0</v>
      </c>
      <c r="AN381" s="431"/>
      <c r="AO381" s="443"/>
      <c r="AP381" s="444" t="str">
        <f>'H. Debt Issues'!D78</f>
        <v>H.1</v>
      </c>
      <c r="AQ381" s="983">
        <f>'H. Debt Issues'!L90</f>
        <v>22500</v>
      </c>
      <c r="AS381" s="444" t="str">
        <f>'G. Debt Service'!D57</f>
        <v>G.3</v>
      </c>
      <c r="AT381" s="367">
        <f>'G. Debt Service'!N58</f>
        <v>19163</v>
      </c>
      <c r="AU381" s="473" t="s">
        <v>634</v>
      </c>
      <c r="AV381" s="367">
        <f>'K.1  Int. Service Fd Allocation'!E205+'K.2  Int. Service Fd Alloca'!E200+'K.3 Int. Service Fd Alloca'!E200</f>
        <v>0</v>
      </c>
      <c r="AX381" s="444" t="str">
        <f>'L. Eliminations-Consolidations'!A243</f>
        <v>L.7</v>
      </c>
      <c r="AY381" s="446">
        <f>'L. Eliminations-Consolidations'!L252</f>
        <v>0</v>
      </c>
      <c r="AZ381" s="447"/>
      <c r="BA381" s="448"/>
      <c r="BB381" s="395">
        <f>ROUND(AJ381+AL381+AN381+AQ381+AV381+AZ381,0)</f>
        <v>732058</v>
      </c>
      <c r="BC381" s="395">
        <f>ROUND(AK381+AM381+AO381+AT381+AY381+BA381,0)</f>
        <v>19163</v>
      </c>
      <c r="BD381" s="485">
        <f>IF(BB381-BC381&lt;=0," ",BB381-BC381)</f>
        <v>712895</v>
      </c>
      <c r="BE381" s="446" t="str">
        <f t="shared" si="260"/>
        <v xml:space="preserve"> </v>
      </c>
      <c r="BF381" s="429"/>
      <c r="BG381" s="446"/>
      <c r="BH381" s="937"/>
    </row>
    <row r="382" spans="1:61" x14ac:dyDescent="0.2">
      <c r="A382" s="19"/>
      <c r="C382" t="s">
        <v>934</v>
      </c>
      <c r="D382" s="449">
        <v>65000</v>
      </c>
      <c r="E382" s="450"/>
      <c r="F382" s="440"/>
      <c r="G382" s="440"/>
      <c r="H382" s="440"/>
      <c r="I382" s="440"/>
      <c r="J382" s="440"/>
      <c r="K382" s="441"/>
      <c r="L382" s="440"/>
      <c r="M382" s="440"/>
      <c r="N382" s="440"/>
      <c r="O382" s="440"/>
      <c r="P382" s="442"/>
      <c r="Q382" s="442"/>
      <c r="R382" s="442"/>
      <c r="S382" s="442"/>
      <c r="T382" s="442"/>
      <c r="U382" s="442"/>
      <c r="V382" s="442"/>
      <c r="W382" s="442"/>
      <c r="X382" s="442"/>
      <c r="Y382" s="442"/>
      <c r="Z382" s="442"/>
      <c r="AA382" s="442"/>
      <c r="AB382" s="442"/>
      <c r="AC382" s="442"/>
      <c r="AD382" s="440"/>
      <c r="AE382" s="440"/>
      <c r="AF382" s="440"/>
      <c r="AG382" s="440"/>
      <c r="AH382" s="430">
        <f t="shared" si="257"/>
        <v>0</v>
      </c>
      <c r="AI382" s="369">
        <f t="shared" si="258"/>
        <v>0</v>
      </c>
      <c r="AJ382" s="431">
        <f t="shared" si="259"/>
        <v>65000</v>
      </c>
      <c r="AK382" s="443">
        <f t="shared" si="259"/>
        <v>0</v>
      </c>
      <c r="AN382" s="431"/>
      <c r="AO382" s="443"/>
      <c r="AQ382" s="367"/>
      <c r="AS382" s="444" t="str">
        <f>'H. Debt Issues'!D78</f>
        <v>H.1</v>
      </c>
      <c r="AT382" s="367">
        <f>'H. Debt Issues'!N87</f>
        <v>65000</v>
      </c>
      <c r="AU382" s="445"/>
      <c r="AV382" s="429"/>
      <c r="AY382" s="446"/>
      <c r="AZ382" s="447"/>
      <c r="BA382" s="448"/>
      <c r="BB382" s="395">
        <f>ROUND(AJ382+AL382+AN382+AQ382+AV382+AZ382,0)</f>
        <v>65000</v>
      </c>
      <c r="BC382" s="395">
        <f>ROUND(AK382+AM382+AO382+AT382+AY382+BA382,0)</f>
        <v>65000</v>
      </c>
      <c r="BD382" s="485" t="str">
        <f>IF(BB382-BC382&lt;=0," ",BB382-BC382)</f>
        <v xml:space="preserve"> </v>
      </c>
      <c r="BE382" s="446">
        <f t="shared" si="260"/>
        <v>0</v>
      </c>
      <c r="BF382" s="429"/>
      <c r="BG382" s="446"/>
    </row>
    <row r="383" spans="1:61" x14ac:dyDescent="0.2">
      <c r="A383" s="19"/>
      <c r="C383" t="s">
        <v>1117</v>
      </c>
      <c r="D383" s="449"/>
      <c r="E383" s="450"/>
      <c r="F383" s="440"/>
      <c r="G383" s="440"/>
      <c r="H383" s="440"/>
      <c r="I383" s="440"/>
      <c r="J383" s="440"/>
      <c r="K383" s="441"/>
      <c r="L383" s="440"/>
      <c r="M383" s="440"/>
      <c r="N383" s="440"/>
      <c r="O383" s="440"/>
      <c r="P383" s="442"/>
      <c r="Q383" s="442"/>
      <c r="R383" s="442"/>
      <c r="S383" s="442"/>
      <c r="T383" s="442"/>
      <c r="U383" s="442"/>
      <c r="V383" s="442"/>
      <c r="W383" s="442"/>
      <c r="X383" s="442"/>
      <c r="Y383" s="442"/>
      <c r="Z383" s="442"/>
      <c r="AA383" s="442"/>
      <c r="AB383" s="442"/>
      <c r="AC383" s="442"/>
      <c r="AD383" s="440"/>
      <c r="AE383" s="440"/>
      <c r="AF383" s="440"/>
      <c r="AG383" s="440"/>
      <c r="AH383" s="430">
        <f t="shared" si="257"/>
        <v>0</v>
      </c>
      <c r="AI383" s="369">
        <f t="shared" si="258"/>
        <v>0</v>
      </c>
      <c r="AJ383" s="431">
        <f t="shared" si="259"/>
        <v>0</v>
      </c>
      <c r="AK383" s="443">
        <f t="shared" si="259"/>
        <v>0</v>
      </c>
      <c r="AN383" s="431"/>
      <c r="AO383" s="443"/>
      <c r="AQ383" s="367"/>
      <c r="AS383" s="444" t="s">
        <v>469</v>
      </c>
      <c r="AT383" s="367">
        <f>'H. Debt Issues'!N88</f>
        <v>0</v>
      </c>
      <c r="AU383" s="445"/>
      <c r="AV383" s="429"/>
      <c r="AY383" s="446"/>
      <c r="AZ383" s="447"/>
      <c r="BA383" s="448"/>
      <c r="BB383" s="395">
        <f>ROUND(AJ383+AL383+AN383+AQ383+AV383+AZ383,0)</f>
        <v>0</v>
      </c>
      <c r="BC383" s="395">
        <f>ROUND(AK383+AM383+AO383+AT383+AY383+BA383,0)</f>
        <v>0</v>
      </c>
      <c r="BD383" s="485" t="str">
        <f>IF(BB383-BC383&lt;=0," ",BB383-BC383)</f>
        <v xml:space="preserve"> </v>
      </c>
      <c r="BE383" s="446">
        <f>IF(BB383-BC383&gt;0," ",BC383-BB383)</f>
        <v>0</v>
      </c>
      <c r="BF383" s="429"/>
      <c r="BG383" s="446"/>
    </row>
    <row r="384" spans="1:61" x14ac:dyDescent="0.2">
      <c r="A384" s="19"/>
      <c r="C384" t="s">
        <v>935</v>
      </c>
      <c r="D384" s="449">
        <v>15000</v>
      </c>
      <c r="E384" s="450"/>
      <c r="F384" s="440"/>
      <c r="G384" s="440"/>
      <c r="H384" s="440"/>
      <c r="I384" s="440"/>
      <c r="J384" s="440"/>
      <c r="K384" s="441"/>
      <c r="L384" s="440"/>
      <c r="M384" s="440"/>
      <c r="N384" s="440"/>
      <c r="O384" s="440"/>
      <c r="P384" s="442"/>
      <c r="Q384" s="442"/>
      <c r="R384" s="442"/>
      <c r="S384" s="442"/>
      <c r="T384" s="442"/>
      <c r="U384" s="442"/>
      <c r="V384" s="442"/>
      <c r="W384" s="442"/>
      <c r="X384" s="442"/>
      <c r="Y384" s="442"/>
      <c r="Z384" s="442"/>
      <c r="AA384" s="442"/>
      <c r="AB384" s="442"/>
      <c r="AC384" s="442"/>
      <c r="AD384" s="440"/>
      <c r="AE384" s="440"/>
      <c r="AF384" s="440"/>
      <c r="AG384" s="440"/>
      <c r="AH384" s="430">
        <f t="shared" si="257"/>
        <v>0</v>
      </c>
      <c r="AI384" s="369">
        <f t="shared" si="258"/>
        <v>0</v>
      </c>
      <c r="AJ384" s="431">
        <f t="shared" si="259"/>
        <v>15000</v>
      </c>
      <c r="AK384" s="443">
        <f t="shared" si="259"/>
        <v>0</v>
      </c>
      <c r="AN384" s="431"/>
      <c r="AO384" s="443"/>
      <c r="AQ384" s="367"/>
      <c r="AS384" s="444" t="str">
        <f>'H. Debt Issues'!D78</f>
        <v>H.1</v>
      </c>
      <c r="AT384" s="367">
        <f>'H. Debt Issues'!N89</f>
        <v>15000</v>
      </c>
      <c r="AU384" s="445"/>
      <c r="AV384" s="429"/>
      <c r="AY384" s="446"/>
      <c r="AZ384" s="447"/>
      <c r="BA384" s="448"/>
      <c r="BB384" s="395">
        <f>ROUND(AJ384+AL384+AN384+AQ384+AV384+AZ384,0)</f>
        <v>15000</v>
      </c>
      <c r="BC384" s="395">
        <f>ROUND(AK384+AM384+AO384+AT384+AY384+BA384,0)</f>
        <v>15000</v>
      </c>
      <c r="BD384" s="485" t="str">
        <f>IF(BB384-BC384&lt;=0," ",BB384-BC384)</f>
        <v xml:space="preserve"> </v>
      </c>
      <c r="BE384" s="446">
        <f t="shared" si="260"/>
        <v>0</v>
      </c>
      <c r="BF384" s="429"/>
      <c r="BG384" s="446"/>
      <c r="BH384" s="937"/>
    </row>
    <row r="385" spans="1:61" ht="6.75" customHeight="1" x14ac:dyDescent="0.2">
      <c r="A385" s="19"/>
      <c r="D385" s="449"/>
      <c r="E385" s="450"/>
      <c r="F385" s="440"/>
      <c r="G385" s="440"/>
      <c r="H385" s="440"/>
      <c r="I385" s="440"/>
      <c r="J385" s="440"/>
      <c r="K385" s="441"/>
      <c r="L385" s="440"/>
      <c r="M385" s="440"/>
      <c r="N385" s="440"/>
      <c r="O385" s="440"/>
      <c r="P385" s="442"/>
      <c r="Q385" s="442"/>
      <c r="R385" s="442"/>
      <c r="S385" s="442"/>
      <c r="T385" s="442"/>
      <c r="U385" s="442"/>
      <c r="V385" s="442"/>
      <c r="W385" s="442"/>
      <c r="X385" s="442"/>
      <c r="Y385" s="442"/>
      <c r="Z385" s="442"/>
      <c r="AA385" s="442"/>
      <c r="AB385" s="442"/>
      <c r="AC385" s="442"/>
      <c r="AD385" s="440"/>
      <c r="AE385" s="440"/>
      <c r="AF385" s="440"/>
      <c r="AG385" s="440"/>
      <c r="AH385" s="430"/>
      <c r="AJ385" s="431"/>
      <c r="AK385" s="443"/>
      <c r="AN385" s="431"/>
      <c r="AO385" s="443"/>
      <c r="AQ385" s="367"/>
      <c r="AT385" s="367"/>
      <c r="AU385" s="445"/>
      <c r="AV385" s="367"/>
      <c r="AY385" s="455"/>
      <c r="AZ385" s="451"/>
      <c r="BA385" s="476"/>
      <c r="BB385" s="367"/>
      <c r="BC385" s="367"/>
      <c r="BD385" s="483"/>
      <c r="BE385" s="455"/>
      <c r="BF385" s="367"/>
      <c r="BG385" s="455"/>
      <c r="BI385" s="939"/>
    </row>
    <row r="386" spans="1:61" x14ac:dyDescent="0.2">
      <c r="A386" s="19"/>
      <c r="B386" s="4" t="s">
        <v>1008</v>
      </c>
      <c r="D386" s="449"/>
      <c r="E386" s="450"/>
      <c r="F386" s="440"/>
      <c r="G386" s="440"/>
      <c r="H386" s="440"/>
      <c r="I386" s="440"/>
      <c r="J386" s="440"/>
      <c r="K386" s="441"/>
      <c r="L386" s="440"/>
      <c r="M386" s="440"/>
      <c r="N386" s="440"/>
      <c r="O386" s="440"/>
      <c r="P386" s="442"/>
      <c r="Q386" s="442"/>
      <c r="R386" s="442"/>
      <c r="S386" s="442"/>
      <c r="T386" s="442"/>
      <c r="U386" s="442"/>
      <c r="V386" s="442"/>
      <c r="W386" s="442"/>
      <c r="X386" s="442"/>
      <c r="Y386" s="442"/>
      <c r="Z386" s="442"/>
      <c r="AA386" s="442"/>
      <c r="AB386" s="442"/>
      <c r="AC386" s="442"/>
      <c r="AD386" s="440"/>
      <c r="AE386" s="440"/>
      <c r="AF386" s="440"/>
      <c r="AG386" s="440"/>
      <c r="AH386" s="430">
        <f t="shared" ref="AH386" si="261">L386+N386+P386+R386+T386+V386+X386+Z386+AB386+AD386+AF386</f>
        <v>0</v>
      </c>
      <c r="AI386" s="369">
        <f t="shared" ref="AI386" si="262">M386+O386+Q386+S386+U386+W386+Y386+AA386+AC386+AE386+AG386</f>
        <v>0</v>
      </c>
      <c r="AJ386" s="431">
        <f>D386+F386+H386+J386+AH386</f>
        <v>0</v>
      </c>
      <c r="AK386" s="443">
        <f>E386+G386+I386+K386+AI386</f>
        <v>0</v>
      </c>
      <c r="AN386" s="431"/>
      <c r="AO386" s="443"/>
      <c r="AP386" s="444" t="str">
        <f>'D. Depreciation'!A55</f>
        <v>D.1</v>
      </c>
      <c r="AQ386" s="429">
        <f>'D. Depreciation'!J64</f>
        <v>0</v>
      </c>
      <c r="AT386" s="429"/>
      <c r="AU386" s="445"/>
      <c r="AV386" s="429"/>
      <c r="AY386" s="446"/>
      <c r="AZ386" s="447"/>
      <c r="BA386" s="448"/>
      <c r="BB386" s="395">
        <f>ROUND(AJ386+AL386+AN386+AQ386+AV386+AZ386,0)</f>
        <v>0</v>
      </c>
      <c r="BC386" s="395">
        <f>ROUND(AK386+AM386+AO386+AT386+AY386+BA386,0)</f>
        <v>0</v>
      </c>
      <c r="BD386" s="485" t="str">
        <f>IF(BB386-BC386&lt;=0," ",BB386-BC386)</f>
        <v xml:space="preserve"> </v>
      </c>
      <c r="BE386" s="446">
        <f t="shared" si="260"/>
        <v>0</v>
      </c>
      <c r="BF386" s="429"/>
      <c r="BG386" s="446"/>
    </row>
    <row r="387" spans="1:61" ht="6" customHeight="1" x14ac:dyDescent="0.2">
      <c r="A387" s="19"/>
      <c r="B387" s="4"/>
      <c r="D387" s="449"/>
      <c r="E387" s="450"/>
      <c r="F387" s="440"/>
      <c r="G387" s="440"/>
      <c r="H387" s="440"/>
      <c r="I387" s="440"/>
      <c r="J387" s="440"/>
      <c r="K387" s="441"/>
      <c r="L387" s="440"/>
      <c r="M387" s="440"/>
      <c r="N387" s="440"/>
      <c r="O387" s="440"/>
      <c r="P387" s="442"/>
      <c r="Q387" s="442"/>
      <c r="R387" s="442"/>
      <c r="S387" s="442"/>
      <c r="T387" s="442"/>
      <c r="U387" s="442"/>
      <c r="V387" s="442"/>
      <c r="W387" s="442"/>
      <c r="X387" s="442"/>
      <c r="Y387" s="442"/>
      <c r="Z387" s="442"/>
      <c r="AA387" s="442"/>
      <c r="AB387" s="442"/>
      <c r="AC387" s="442"/>
      <c r="AD387" s="440"/>
      <c r="AE387" s="440"/>
      <c r="AF387" s="440"/>
      <c r="AG387" s="440"/>
      <c r="AH387" s="430"/>
      <c r="AJ387" s="431"/>
      <c r="AK387" s="443"/>
      <c r="AN387" s="431"/>
      <c r="AO387" s="443"/>
      <c r="AQ387" s="489"/>
      <c r="AT387" s="367"/>
      <c r="AU387" s="445"/>
      <c r="AV387" s="367"/>
      <c r="AY387" s="455"/>
      <c r="AZ387" s="451"/>
      <c r="BA387" s="476"/>
      <c r="BB387" s="367"/>
      <c r="BC387" s="367"/>
      <c r="BD387" s="483"/>
      <c r="BE387" s="455"/>
      <c r="BF387" s="367"/>
      <c r="BG387" s="446"/>
    </row>
    <row r="388" spans="1:61" ht="18" customHeight="1" x14ac:dyDescent="0.2">
      <c r="A388" s="1037" t="s">
        <v>723</v>
      </c>
      <c r="B388" s="1037"/>
      <c r="C388" s="1038"/>
      <c r="D388" s="449"/>
      <c r="E388" s="450"/>
      <c r="F388" s="440"/>
      <c r="G388" s="440"/>
      <c r="H388" s="440"/>
      <c r="I388" s="440"/>
      <c r="J388" s="440"/>
      <c r="K388" s="441"/>
      <c r="L388" s="440"/>
      <c r="M388" s="440"/>
      <c r="N388" s="440"/>
      <c r="O388" s="440"/>
      <c r="P388" s="442"/>
      <c r="Q388" s="442"/>
      <c r="R388" s="442"/>
      <c r="S388" s="442"/>
      <c r="T388" s="442"/>
      <c r="U388" s="442"/>
      <c r="V388" s="442"/>
      <c r="W388" s="442"/>
      <c r="X388" s="442"/>
      <c r="Y388" s="442"/>
      <c r="Z388" s="442"/>
      <c r="AA388" s="442"/>
      <c r="AB388" s="442"/>
      <c r="AC388" s="442"/>
      <c r="AD388" s="440"/>
      <c r="AE388" s="440"/>
      <c r="AF388" s="440"/>
      <c r="AG388" s="440"/>
      <c r="AH388" s="430"/>
      <c r="AJ388" s="431"/>
      <c r="AK388" s="443"/>
      <c r="AN388" s="431"/>
      <c r="AO388" s="443"/>
      <c r="AQ388" s="367"/>
      <c r="AT388" s="367"/>
      <c r="AU388" s="445"/>
      <c r="AV388" s="367"/>
      <c r="AY388" s="455"/>
      <c r="AZ388" s="451"/>
      <c r="BA388" s="476"/>
      <c r="BB388" s="367"/>
      <c r="BC388" s="367"/>
      <c r="BD388" s="483"/>
      <c r="BE388" s="455"/>
      <c r="BF388" s="367"/>
      <c r="BG388" s="446"/>
    </row>
    <row r="389" spans="1:61" ht="6" customHeight="1" x14ac:dyDescent="0.2">
      <c r="A389" s="19"/>
      <c r="B389" s="4"/>
      <c r="D389" s="449"/>
      <c r="E389" s="450"/>
      <c r="F389" s="440"/>
      <c r="G389" s="440"/>
      <c r="H389" s="440"/>
      <c r="I389" s="440"/>
      <c r="J389" s="440"/>
      <c r="K389" s="441"/>
      <c r="L389" s="440"/>
      <c r="M389" s="440"/>
      <c r="N389" s="440"/>
      <c r="O389" s="440"/>
      <c r="P389" s="442"/>
      <c r="Q389" s="442"/>
      <c r="R389" s="442"/>
      <c r="S389" s="442"/>
      <c r="T389" s="442"/>
      <c r="U389" s="442"/>
      <c r="V389" s="442"/>
      <c r="W389" s="442"/>
      <c r="X389" s="442"/>
      <c r="Y389" s="442"/>
      <c r="Z389" s="442"/>
      <c r="AA389" s="442"/>
      <c r="AB389" s="442"/>
      <c r="AC389" s="442"/>
      <c r="AD389" s="440"/>
      <c r="AE389" s="440"/>
      <c r="AF389" s="440"/>
      <c r="AG389" s="440"/>
      <c r="AH389" s="430"/>
      <c r="AJ389" s="431"/>
      <c r="AK389" s="443"/>
      <c r="AN389" s="431"/>
      <c r="AO389" s="443"/>
      <c r="AQ389" s="367"/>
      <c r="AT389" s="367"/>
      <c r="AU389" s="445"/>
      <c r="AV389" s="367"/>
      <c r="AY389" s="455"/>
      <c r="AZ389" s="451"/>
      <c r="BA389" s="476"/>
      <c r="BB389" s="367"/>
      <c r="BC389" s="367"/>
      <c r="BD389" s="483"/>
      <c r="BE389" s="455"/>
      <c r="BF389" s="367"/>
      <c r="BG389" s="446"/>
    </row>
    <row r="390" spans="1:61" x14ac:dyDescent="0.2">
      <c r="A390" s="884"/>
      <c r="B390" s="885"/>
      <c r="C390" s="885" t="s">
        <v>585</v>
      </c>
      <c r="D390" s="886"/>
      <c r="E390" s="887">
        <f>619059+1500000</f>
        <v>2119059</v>
      </c>
      <c r="F390" s="888"/>
      <c r="G390" s="888"/>
      <c r="H390" s="888"/>
      <c r="I390" s="888"/>
      <c r="J390" s="888"/>
      <c r="K390" s="889"/>
      <c r="L390" s="888"/>
      <c r="M390" s="888"/>
      <c r="N390" s="888"/>
      <c r="O390" s="888"/>
      <c r="P390" s="890"/>
      <c r="Q390" s="890"/>
      <c r="R390" s="890"/>
      <c r="S390" s="890"/>
      <c r="T390" s="890"/>
      <c r="U390" s="890"/>
      <c r="V390" s="890"/>
      <c r="W390" s="890"/>
      <c r="X390" s="890"/>
      <c r="Y390" s="890">
        <v>10000</v>
      </c>
      <c r="Z390" s="890"/>
      <c r="AA390" s="890">
        <f>200000+70000</f>
        <v>270000</v>
      </c>
      <c r="AB390" s="890"/>
      <c r="AC390" s="890"/>
      <c r="AD390" s="888"/>
      <c r="AE390" s="888"/>
      <c r="AF390" s="888"/>
      <c r="AG390" s="888"/>
      <c r="AH390" s="461">
        <f t="shared" ref="AH390:AH391" si="263">L390+N390+P390+R390+T390+V390+X390+Z390+AB390+AD390+AF390</f>
        <v>0</v>
      </c>
      <c r="AI390" s="462">
        <f t="shared" ref="AI390:AI391" si="264">M390+O390+Q390+S390+U390+W390+Y390+AA390+AC390+AE390+AG390</f>
        <v>280000</v>
      </c>
      <c r="AJ390" s="892">
        <f t="shared" ref="AJ390:AJ402" si="265">D390+F390+H390+J390+AH390</f>
        <v>0</v>
      </c>
      <c r="AK390" s="893">
        <f t="shared" ref="AK390:AK402" si="266">E390+G390+I390+K390+AI390</f>
        <v>2399059</v>
      </c>
      <c r="AL390" s="891"/>
      <c r="AM390" s="891"/>
      <c r="AN390" s="892"/>
      <c r="AO390" s="893"/>
      <c r="AP390" s="728"/>
      <c r="AQ390" s="882"/>
      <c r="AR390" s="891"/>
      <c r="AS390" s="728" t="str">
        <f>'F.  Other Cap Asset Entries'!D244</f>
        <v>F.2</v>
      </c>
      <c r="AT390" s="882">
        <f>'F.  Other Cap Asset Entries'!O254</f>
        <v>0</v>
      </c>
      <c r="AU390" s="894" t="str">
        <f>'L. Eliminations-Consolidations'!A200</f>
        <v>L.1</v>
      </c>
      <c r="AV390" s="882">
        <f>'L. Eliminations-Consolidations'!J200</f>
        <v>2399059</v>
      </c>
      <c r="AW390" s="891"/>
      <c r="AX390" s="895" t="s">
        <v>634</v>
      </c>
      <c r="AY390" s="882">
        <f>'K.1  Int. Service Fd Allocation'!G206+'K.2  Int. Service Fd Alloca'!G201+'K.3 Int. Service Fd Alloca'!G201</f>
        <v>0</v>
      </c>
      <c r="AZ390" s="896"/>
      <c r="BA390" s="897"/>
      <c r="BB390" s="882">
        <f t="shared" ref="BB390:BB402" si="267">ROUND(AJ390+AL390+AN390+AQ390+AV390+AZ390,0)</f>
        <v>2399059</v>
      </c>
      <c r="BC390" s="882">
        <f t="shared" ref="BC390:BC402" si="268">ROUND(AK390+AM390+AO390+AT390+AY390+BA390,0)</f>
        <v>2399059</v>
      </c>
      <c r="BD390" s="898">
        <f>IF((SUM(BB390:BB391))-(SUM(BC390:BC391))&lt;=0," ",(SUM(BB390:BB391))-(SUM(BC390:BC391)))</f>
        <v>100000</v>
      </c>
      <c r="BE390" s="883" t="str">
        <f>IF((SUM(BB390:BB391))-(SUM(BC390:BC391))&gt;0," ",-(SUM(BB390:BB391))+(SUM(BC390:BC391)))</f>
        <v xml:space="preserve"> </v>
      </c>
      <c r="BF390" s="429"/>
      <c r="BG390" s="446"/>
      <c r="BH390" s="937"/>
    </row>
    <row r="391" spans="1:61" x14ac:dyDescent="0.2">
      <c r="A391" s="884"/>
      <c r="B391" s="885"/>
      <c r="C391" s="885" t="s">
        <v>406</v>
      </c>
      <c r="D391" s="899">
        <v>370000</v>
      </c>
      <c r="E391" s="887"/>
      <c r="F391" s="888">
        <v>1500000</v>
      </c>
      <c r="G391" s="888"/>
      <c r="H391" s="888"/>
      <c r="I391" s="888"/>
      <c r="J391" s="888"/>
      <c r="K391" s="889"/>
      <c r="L391" s="888"/>
      <c r="M391" s="888"/>
      <c r="N391" s="888">
        <v>10000</v>
      </c>
      <c r="O391" s="888"/>
      <c r="P391" s="890"/>
      <c r="Q391" s="890"/>
      <c r="R391" s="890"/>
      <c r="S391" s="890"/>
      <c r="T391" s="890"/>
      <c r="U391" s="890"/>
      <c r="V391" s="890"/>
      <c r="W391" s="890"/>
      <c r="X391" s="890"/>
      <c r="Y391" s="890"/>
      <c r="Z391" s="890">
        <v>619059</v>
      </c>
      <c r="AA391" s="890"/>
      <c r="AB391" s="890"/>
      <c r="AC391" s="890"/>
      <c r="AD391" s="888"/>
      <c r="AE391" s="888"/>
      <c r="AF391" s="888"/>
      <c r="AG391" s="888"/>
      <c r="AH391" s="461">
        <f t="shared" si="263"/>
        <v>629059</v>
      </c>
      <c r="AI391" s="462">
        <f t="shared" si="264"/>
        <v>0</v>
      </c>
      <c r="AJ391" s="892">
        <f t="shared" si="265"/>
        <v>2499059</v>
      </c>
      <c r="AK391" s="893">
        <f t="shared" si="266"/>
        <v>0</v>
      </c>
      <c r="AL391" s="891"/>
      <c r="AM391" s="891"/>
      <c r="AN391" s="892"/>
      <c r="AO391" s="893"/>
      <c r="AP391" s="728" t="str">
        <f>'F.  Other Cap Asset Entries'!D220</f>
        <v>F.1</v>
      </c>
      <c r="AQ391" s="882">
        <f>'F.  Other Cap Asset Entries'!M231</f>
        <v>0</v>
      </c>
      <c r="AR391" s="891"/>
      <c r="AS391" s="728"/>
      <c r="AT391" s="882"/>
      <c r="AU391" s="900" t="s">
        <v>634</v>
      </c>
      <c r="AV391" s="882">
        <f>'K.1  Int. Service Fd Allocation'!E207+'K.2  Int. Service Fd Alloca'!E202+'K.3 Int. Service Fd Alloca'!E202</f>
        <v>0</v>
      </c>
      <c r="AW391" s="891"/>
      <c r="AX391" s="728" t="str">
        <f>'L. Eliminations-Consolidations'!A200</f>
        <v>L.1</v>
      </c>
      <c r="AY391" s="883">
        <f>'L. Eliminations-Consolidations'!L201</f>
        <v>2399059</v>
      </c>
      <c r="AZ391" s="890"/>
      <c r="BA391" s="897"/>
      <c r="BB391" s="882">
        <f t="shared" si="267"/>
        <v>2499059</v>
      </c>
      <c r="BC391" s="882">
        <f t="shared" si="268"/>
        <v>2399059</v>
      </c>
      <c r="BD391" s="898"/>
      <c r="BE391" s="883"/>
      <c r="BF391" s="429"/>
      <c r="BG391" s="446"/>
    </row>
    <row r="392" spans="1:61" x14ac:dyDescent="0.2">
      <c r="A392" s="19"/>
      <c r="B392" s="2"/>
      <c r="C392" t="s">
        <v>4116</v>
      </c>
      <c r="D392" s="449"/>
      <c r="E392" s="450">
        <v>279755</v>
      </c>
      <c r="F392" s="440"/>
      <c r="G392" s="440"/>
      <c r="H392" s="440"/>
      <c r="I392" s="440"/>
      <c r="J392" s="440"/>
      <c r="K392" s="441"/>
      <c r="L392" s="440"/>
      <c r="M392" s="440"/>
      <c r="N392" s="440"/>
      <c r="O392" s="440"/>
      <c r="P392" s="442"/>
      <c r="Q392" s="442"/>
      <c r="R392" s="442"/>
      <c r="S392" s="442"/>
      <c r="T392" s="442"/>
      <c r="U392" s="442"/>
      <c r="V392" s="442"/>
      <c r="W392" s="442"/>
      <c r="X392" s="442"/>
      <c r="Y392" s="442"/>
      <c r="Z392" s="442"/>
      <c r="AA392" s="442"/>
      <c r="AB392" s="442"/>
      <c r="AC392" s="442"/>
      <c r="AD392" s="440"/>
      <c r="AE392" s="440"/>
      <c r="AF392" s="440"/>
      <c r="AG392" s="440"/>
      <c r="AH392" s="430">
        <f t="shared" ref="AH392:AH402" si="269">L392+N392+P392+R392+T392+V392+X392+Z392+AB392+AD392+AF392</f>
        <v>0</v>
      </c>
      <c r="AI392" s="369">
        <f t="shared" ref="AI392:AI402" si="270">M392+O392+Q392+S392+U392+W392+Y392+AA392+AC392+AE392+AG392</f>
        <v>0</v>
      </c>
      <c r="AJ392" s="431">
        <f t="shared" si="265"/>
        <v>0</v>
      </c>
      <c r="AK392" s="443">
        <f t="shared" si="266"/>
        <v>279755</v>
      </c>
      <c r="AN392" s="431"/>
      <c r="AO392" s="443"/>
      <c r="AP392" s="444" t="str">
        <f>'H. Debt Issues'!D78</f>
        <v>H.1</v>
      </c>
      <c r="AQ392" s="983">
        <f>'H. Debt Issues'!L78</f>
        <v>279755</v>
      </c>
      <c r="AT392" s="367"/>
      <c r="AU392" s="445"/>
      <c r="AV392" s="429"/>
      <c r="AY392" s="446"/>
      <c r="AZ392" s="447"/>
      <c r="BA392" s="448"/>
      <c r="BB392" s="395">
        <f t="shared" si="267"/>
        <v>279755</v>
      </c>
      <c r="BC392" s="395">
        <f t="shared" si="268"/>
        <v>279755</v>
      </c>
      <c r="BD392" s="485" t="str">
        <f t="shared" ref="BD392:BD402" si="271">IF(BB392-BC392&lt;=0," ",BB392-BC392)</f>
        <v xml:space="preserve"> </v>
      </c>
      <c r="BE392" s="446">
        <f t="shared" ref="BE392:BE406" si="272">IF(BB392-BC392&gt;0," ",BC392-BB392)</f>
        <v>0</v>
      </c>
      <c r="BF392" s="429"/>
      <c r="BG392" s="446"/>
    </row>
    <row r="393" spans="1:61" x14ac:dyDescent="0.2">
      <c r="A393" s="19"/>
      <c r="B393" s="2"/>
      <c r="C393" t="s">
        <v>4128</v>
      </c>
      <c r="D393" s="449"/>
      <c r="E393" s="450">
        <v>48781</v>
      </c>
      <c r="F393" s="440"/>
      <c r="G393" s="440"/>
      <c r="H393" s="440"/>
      <c r="I393" s="440"/>
      <c r="J393" s="440"/>
      <c r="K393" s="441"/>
      <c r="L393" s="440"/>
      <c r="M393" s="440"/>
      <c r="N393" s="440"/>
      <c r="O393" s="440"/>
      <c r="P393" s="442"/>
      <c r="Q393" s="442"/>
      <c r="R393" s="442"/>
      <c r="S393" s="442"/>
      <c r="T393" s="442"/>
      <c r="U393" s="442"/>
      <c r="V393" s="442"/>
      <c r="W393" s="442"/>
      <c r="X393" s="442"/>
      <c r="Y393" s="442"/>
      <c r="Z393" s="442"/>
      <c r="AA393" s="442"/>
      <c r="AB393" s="442"/>
      <c r="AC393" s="442"/>
      <c r="AD393" s="440"/>
      <c r="AE393" s="440"/>
      <c r="AF393" s="440"/>
      <c r="AG393" s="440"/>
      <c r="AH393" s="430">
        <f t="shared" ref="AH393" si="273">L393+N393+P393+R393+T393+V393+X393+Z393+AB393+AD393+AF393</f>
        <v>0</v>
      </c>
      <c r="AI393" s="369">
        <f t="shared" ref="AI393" si="274">M393+O393+Q393+S393+U393+W393+Y393+AA393+AC393+AE393+AG393</f>
        <v>0</v>
      </c>
      <c r="AJ393" s="431">
        <f t="shared" ref="AJ393" si="275">D393+F393+H393+J393+AH393</f>
        <v>0</v>
      </c>
      <c r="AK393" s="443">
        <f t="shared" ref="AK393" si="276">E393+G393+I393+K393+AI393</f>
        <v>48781</v>
      </c>
      <c r="AN393" s="431"/>
      <c r="AO393" s="443"/>
      <c r="AP393" s="444" t="str">
        <f>'H. Debt Issues'!D78</f>
        <v>H.1</v>
      </c>
      <c r="AQ393" s="983">
        <f>'H. Debt Issues'!L79</f>
        <v>48781</v>
      </c>
      <c r="AT393" s="367"/>
      <c r="AU393" s="445"/>
      <c r="AV393" s="429"/>
      <c r="AY393" s="446"/>
      <c r="AZ393" s="447"/>
      <c r="BA393" s="448"/>
      <c r="BB393" s="395">
        <f t="shared" ref="BB393" si="277">ROUND(AJ393+AL393+AN393+AQ393+AV393+AZ393,0)</f>
        <v>48781</v>
      </c>
      <c r="BC393" s="395">
        <f t="shared" ref="BC393" si="278">ROUND(AK393+AM393+AO393+AT393+AY393+BA393,0)</f>
        <v>48781</v>
      </c>
      <c r="BD393" s="485"/>
      <c r="BE393" s="446">
        <f t="shared" si="272"/>
        <v>0</v>
      </c>
      <c r="BF393" s="429"/>
      <c r="BG393" s="446"/>
    </row>
    <row r="394" spans="1:61" x14ac:dyDescent="0.2">
      <c r="A394" s="19"/>
      <c r="C394" s="158" t="s">
        <v>586</v>
      </c>
      <c r="D394" s="449"/>
      <c r="E394" s="450"/>
      <c r="F394" s="440"/>
      <c r="G394" s="440"/>
      <c r="H394" s="440"/>
      <c r="I394" s="440"/>
      <c r="J394" s="440"/>
      <c r="K394" s="441"/>
      <c r="L394" s="440"/>
      <c r="M394" s="440"/>
      <c r="N394" s="440"/>
      <c r="O394" s="440"/>
      <c r="P394" s="442"/>
      <c r="Q394" s="442"/>
      <c r="R394" s="442"/>
      <c r="S394" s="442"/>
      <c r="T394" s="442"/>
      <c r="U394" s="442"/>
      <c r="V394" s="442"/>
      <c r="W394" s="442"/>
      <c r="X394" s="442"/>
      <c r="Y394" s="442"/>
      <c r="Z394" s="442"/>
      <c r="AA394" s="442">
        <v>1200000</v>
      </c>
      <c r="AB394" s="442"/>
      <c r="AC394" s="442"/>
      <c r="AD394" s="440"/>
      <c r="AE394" s="440"/>
      <c r="AF394" s="440"/>
      <c r="AG394" s="440"/>
      <c r="AH394" s="430">
        <f t="shared" si="269"/>
        <v>0</v>
      </c>
      <c r="AI394" s="369">
        <f t="shared" si="270"/>
        <v>1200000</v>
      </c>
      <c r="AJ394" s="431">
        <f t="shared" si="265"/>
        <v>0</v>
      </c>
      <c r="AK394" s="443">
        <f t="shared" si="266"/>
        <v>1200000</v>
      </c>
      <c r="AN394" s="431"/>
      <c r="AO394" s="443"/>
      <c r="AP394" s="444" t="str">
        <f>'H. Debt Issues'!D78</f>
        <v>H.1</v>
      </c>
      <c r="AQ394" s="983">
        <f>'H. Debt Issues'!L80</f>
        <v>1200000</v>
      </c>
      <c r="AT394" s="367"/>
      <c r="AU394" s="445"/>
      <c r="AV394" s="429"/>
      <c r="AY394" s="446"/>
      <c r="AZ394" s="447"/>
      <c r="BA394" s="448"/>
      <c r="BB394" s="395">
        <f t="shared" si="267"/>
        <v>1200000</v>
      </c>
      <c r="BC394" s="395">
        <f t="shared" si="268"/>
        <v>1200000</v>
      </c>
      <c r="BD394" s="485" t="str">
        <f t="shared" si="271"/>
        <v xml:space="preserve"> </v>
      </c>
      <c r="BE394" s="446">
        <f>IF(BB394-BC394&gt;0," ",BC394-BB394)</f>
        <v>0</v>
      </c>
      <c r="BF394" s="429"/>
      <c r="BG394" s="446"/>
    </row>
    <row r="395" spans="1:61" x14ac:dyDescent="0.2">
      <c r="A395" s="19"/>
      <c r="C395" t="s">
        <v>1018</v>
      </c>
      <c r="D395" s="449"/>
      <c r="E395" s="450">
        <v>3365000</v>
      </c>
      <c r="F395" s="440"/>
      <c r="G395" s="440"/>
      <c r="H395" s="440"/>
      <c r="I395" s="440"/>
      <c r="J395" s="440"/>
      <c r="K395" s="441"/>
      <c r="L395" s="440"/>
      <c r="M395" s="440"/>
      <c r="N395" s="440"/>
      <c r="O395" s="440"/>
      <c r="P395" s="442"/>
      <c r="Q395" s="442"/>
      <c r="R395" s="442"/>
      <c r="S395" s="442"/>
      <c r="T395" s="442"/>
      <c r="U395" s="442"/>
      <c r="V395" s="442"/>
      <c r="W395" s="442"/>
      <c r="X395" s="442"/>
      <c r="Y395" s="442"/>
      <c r="Z395" s="442"/>
      <c r="AA395" s="442"/>
      <c r="AB395" s="442"/>
      <c r="AC395" s="442"/>
      <c r="AD395" s="440"/>
      <c r="AE395" s="440"/>
      <c r="AF395" s="440"/>
      <c r="AG395" s="440"/>
      <c r="AH395" s="430">
        <f t="shared" si="269"/>
        <v>0</v>
      </c>
      <c r="AI395" s="369">
        <f t="shared" si="270"/>
        <v>0</v>
      </c>
      <c r="AJ395" s="431">
        <f t="shared" si="265"/>
        <v>0</v>
      </c>
      <c r="AK395" s="443">
        <f t="shared" si="266"/>
        <v>3365000</v>
      </c>
      <c r="AN395" s="431"/>
      <c r="AO395" s="443"/>
      <c r="AP395" s="444" t="str">
        <f>'H. Debt Issues'!D78</f>
        <v>H.1</v>
      </c>
      <c r="AQ395" s="367">
        <f>'H. Debt Issues'!L81</f>
        <v>3365000</v>
      </c>
      <c r="AT395" s="367"/>
      <c r="AU395" s="445"/>
      <c r="AV395" s="429"/>
      <c r="AY395" s="446"/>
      <c r="AZ395" s="447"/>
      <c r="BA395" s="448"/>
      <c r="BB395" s="395">
        <f t="shared" si="267"/>
        <v>3365000</v>
      </c>
      <c r="BC395" s="395">
        <f t="shared" si="268"/>
        <v>3365000</v>
      </c>
      <c r="BD395" s="485" t="str">
        <f t="shared" si="271"/>
        <v xml:space="preserve"> </v>
      </c>
      <c r="BE395" s="446">
        <f t="shared" si="272"/>
        <v>0</v>
      </c>
      <c r="BF395" s="429"/>
      <c r="BG395" s="446"/>
    </row>
    <row r="396" spans="1:61" x14ac:dyDescent="0.2">
      <c r="A396" s="19"/>
      <c r="C396" t="s">
        <v>1019</v>
      </c>
      <c r="D396" s="449"/>
      <c r="E396" s="450"/>
      <c r="F396" s="440"/>
      <c r="G396" s="440"/>
      <c r="H396" s="440"/>
      <c r="I396" s="440"/>
      <c r="J396" s="440"/>
      <c r="K396" s="441"/>
      <c r="L396" s="440"/>
      <c r="M396" s="440"/>
      <c r="N396" s="440"/>
      <c r="O396" s="440"/>
      <c r="P396" s="442"/>
      <c r="Q396" s="442"/>
      <c r="R396" s="442"/>
      <c r="S396" s="442"/>
      <c r="T396" s="442"/>
      <c r="U396" s="442"/>
      <c r="V396" s="442"/>
      <c r="W396" s="442"/>
      <c r="X396" s="442"/>
      <c r="Y396" s="442"/>
      <c r="Z396" s="442"/>
      <c r="AA396" s="442"/>
      <c r="AB396" s="442"/>
      <c r="AC396" s="442"/>
      <c r="AD396" s="440"/>
      <c r="AE396" s="440"/>
      <c r="AF396" s="440"/>
      <c r="AG396" s="440"/>
      <c r="AH396" s="430">
        <f t="shared" si="269"/>
        <v>0</v>
      </c>
      <c r="AI396" s="369">
        <f t="shared" si="270"/>
        <v>0</v>
      </c>
      <c r="AJ396" s="431">
        <f t="shared" si="265"/>
        <v>0</v>
      </c>
      <c r="AK396" s="443">
        <f t="shared" si="266"/>
        <v>0</v>
      </c>
      <c r="AN396" s="431"/>
      <c r="AO396" s="443"/>
      <c r="AP396" s="444" t="str">
        <f>'H. Debt Issues'!D78</f>
        <v>H.1</v>
      </c>
      <c r="AQ396" s="367">
        <f>'H. Debt Issues'!L82</f>
        <v>0</v>
      </c>
      <c r="AT396" s="367"/>
      <c r="AU396" s="445"/>
      <c r="AV396" s="429"/>
      <c r="AY396" s="446"/>
      <c r="AZ396" s="447"/>
      <c r="BA396" s="448"/>
      <c r="BB396" s="395">
        <f t="shared" si="267"/>
        <v>0</v>
      </c>
      <c r="BC396" s="395">
        <f t="shared" si="268"/>
        <v>0</v>
      </c>
      <c r="BD396" s="485" t="str">
        <f t="shared" si="271"/>
        <v xml:space="preserve"> </v>
      </c>
      <c r="BE396" s="446">
        <f t="shared" si="272"/>
        <v>0</v>
      </c>
      <c r="BF396" s="429"/>
      <c r="BG396" s="446"/>
    </row>
    <row r="397" spans="1:61" x14ac:dyDescent="0.2">
      <c r="A397" s="19"/>
      <c r="C397" t="s">
        <v>1020</v>
      </c>
      <c r="D397" s="449"/>
      <c r="E397" s="450"/>
      <c r="F397" s="440"/>
      <c r="G397" s="440"/>
      <c r="H397" s="440"/>
      <c r="I397" s="440"/>
      <c r="J397" s="440"/>
      <c r="K397" s="441"/>
      <c r="L397" s="440"/>
      <c r="M397" s="440"/>
      <c r="N397" s="440"/>
      <c r="O397" s="440"/>
      <c r="P397" s="442"/>
      <c r="Q397" s="442"/>
      <c r="R397" s="442"/>
      <c r="S397" s="442"/>
      <c r="T397" s="442"/>
      <c r="U397" s="442"/>
      <c r="V397" s="442"/>
      <c r="W397" s="442"/>
      <c r="X397" s="442"/>
      <c r="Y397" s="442"/>
      <c r="Z397" s="442"/>
      <c r="AA397" s="442"/>
      <c r="AB397" s="442"/>
      <c r="AC397" s="442"/>
      <c r="AD397" s="440"/>
      <c r="AE397" s="440"/>
      <c r="AF397" s="440"/>
      <c r="AG397" s="440"/>
      <c r="AH397" s="430">
        <f t="shared" si="269"/>
        <v>0</v>
      </c>
      <c r="AI397" s="369">
        <f t="shared" si="270"/>
        <v>0</v>
      </c>
      <c r="AJ397" s="431">
        <f t="shared" si="265"/>
        <v>0</v>
      </c>
      <c r="AK397" s="443">
        <f t="shared" si="266"/>
        <v>0</v>
      </c>
      <c r="AN397" s="431"/>
      <c r="AO397" s="443"/>
      <c r="AQ397" s="367"/>
      <c r="AS397" s="444" t="str">
        <f>'H. Debt Issues'!D78</f>
        <v>H.1</v>
      </c>
      <c r="AT397" s="367">
        <f>'H. Debt Issues'!N91</f>
        <v>0</v>
      </c>
      <c r="AU397" s="445"/>
      <c r="AV397" s="429"/>
      <c r="AY397" s="446"/>
      <c r="AZ397" s="447"/>
      <c r="BA397" s="448"/>
      <c r="BB397" s="395">
        <f t="shared" si="267"/>
        <v>0</v>
      </c>
      <c r="BC397" s="395">
        <f t="shared" si="268"/>
        <v>0</v>
      </c>
      <c r="BD397" s="485" t="str">
        <f t="shared" si="271"/>
        <v xml:space="preserve"> </v>
      </c>
      <c r="BE397" s="446">
        <f t="shared" si="272"/>
        <v>0</v>
      </c>
      <c r="BF397" s="429"/>
      <c r="BG397" s="446"/>
    </row>
    <row r="398" spans="1:61" x14ac:dyDescent="0.2">
      <c r="A398" s="19"/>
      <c r="C398" t="s">
        <v>1021</v>
      </c>
      <c r="D398" s="449">
        <v>3300000</v>
      </c>
      <c r="E398" s="450"/>
      <c r="F398" s="440"/>
      <c r="G398" s="440"/>
      <c r="H398" s="440"/>
      <c r="I398" s="440"/>
      <c r="J398" s="440"/>
      <c r="K398" s="441"/>
      <c r="L398" s="440"/>
      <c r="M398" s="440"/>
      <c r="N398" s="440"/>
      <c r="O398" s="440"/>
      <c r="P398" s="442"/>
      <c r="Q398" s="442"/>
      <c r="R398" s="442"/>
      <c r="S398" s="442"/>
      <c r="T398" s="442"/>
      <c r="U398" s="442"/>
      <c r="V398" s="442"/>
      <c r="W398" s="442"/>
      <c r="X398" s="442"/>
      <c r="Y398" s="442"/>
      <c r="Z398" s="442"/>
      <c r="AA398" s="442"/>
      <c r="AB398" s="442"/>
      <c r="AC398" s="442"/>
      <c r="AD398" s="440"/>
      <c r="AE398" s="440"/>
      <c r="AF398" s="440"/>
      <c r="AG398" s="440"/>
      <c r="AH398" s="430">
        <f t="shared" si="269"/>
        <v>0</v>
      </c>
      <c r="AI398" s="369">
        <f t="shared" si="270"/>
        <v>0</v>
      </c>
      <c r="AJ398" s="431">
        <f t="shared" si="265"/>
        <v>3300000</v>
      </c>
      <c r="AK398" s="443">
        <f t="shared" si="266"/>
        <v>0</v>
      </c>
      <c r="AN398" s="431"/>
      <c r="AO398" s="443"/>
      <c r="AQ398" s="367"/>
      <c r="AS398" s="444" t="str">
        <f>'H. Debt Issues'!D78</f>
        <v>H.1</v>
      </c>
      <c r="AT398" s="367">
        <f>'H. Debt Issues'!N92</f>
        <v>3300000</v>
      </c>
      <c r="AU398" s="445"/>
      <c r="AV398" s="429"/>
      <c r="AY398" s="446"/>
      <c r="AZ398" s="447"/>
      <c r="BA398" s="448"/>
      <c r="BB398" s="395">
        <f t="shared" si="267"/>
        <v>3300000</v>
      </c>
      <c r="BC398" s="395">
        <f t="shared" si="268"/>
        <v>3300000</v>
      </c>
      <c r="BD398" s="485" t="str">
        <f t="shared" si="271"/>
        <v xml:space="preserve"> </v>
      </c>
      <c r="BE398" s="446">
        <f t="shared" si="272"/>
        <v>0</v>
      </c>
      <c r="BF398" s="429"/>
      <c r="BG398" s="446"/>
    </row>
    <row r="399" spans="1:61" x14ac:dyDescent="0.2">
      <c r="A399" s="19"/>
      <c r="C399" t="s">
        <v>470</v>
      </c>
      <c r="D399" s="449"/>
      <c r="E399" s="450">
        <v>28482</v>
      </c>
      <c r="F399" s="440"/>
      <c r="G399" s="440"/>
      <c r="H399" s="440"/>
      <c r="I399" s="440"/>
      <c r="J399" s="440"/>
      <c r="K399" s="441"/>
      <c r="L399" s="440"/>
      <c r="M399" s="440"/>
      <c r="N399" s="440"/>
      <c r="O399" s="440"/>
      <c r="P399" s="442"/>
      <c r="Q399" s="442"/>
      <c r="R399" s="442"/>
      <c r="S399" s="442"/>
      <c r="T399" s="442"/>
      <c r="U399" s="442"/>
      <c r="V399" s="442"/>
      <c r="W399" s="442"/>
      <c r="X399" s="442"/>
      <c r="Y399" s="442"/>
      <c r="Z399" s="442"/>
      <c r="AA399" s="442"/>
      <c r="AB399" s="442"/>
      <c r="AC399" s="442"/>
      <c r="AD399" s="440"/>
      <c r="AE399" s="440"/>
      <c r="AF399" s="440"/>
      <c r="AG399" s="440"/>
      <c r="AH399" s="430">
        <f t="shared" si="269"/>
        <v>0</v>
      </c>
      <c r="AI399" s="369">
        <f t="shared" si="270"/>
        <v>0</v>
      </c>
      <c r="AJ399" s="431">
        <f t="shared" si="265"/>
        <v>0</v>
      </c>
      <c r="AK399" s="443">
        <f t="shared" si="266"/>
        <v>28482</v>
      </c>
      <c r="AN399" s="431"/>
      <c r="AO399" s="443"/>
      <c r="AP399" s="444" t="str">
        <f>'F.  Other Cap Asset Entries'!D220</f>
        <v>F.1</v>
      </c>
      <c r="AQ399" s="367">
        <f>'F.  Other Cap Asset Entries'!M228</f>
        <v>28482</v>
      </c>
      <c r="AT399" s="367"/>
      <c r="AU399" s="445"/>
      <c r="AV399" s="429"/>
      <c r="AY399" s="446"/>
      <c r="AZ399" s="447"/>
      <c r="BA399" s="448"/>
      <c r="BB399" s="395">
        <f t="shared" si="267"/>
        <v>28482</v>
      </c>
      <c r="BC399" s="395">
        <f t="shared" si="268"/>
        <v>28482</v>
      </c>
      <c r="BD399" s="485" t="str">
        <f t="shared" si="271"/>
        <v xml:space="preserve"> </v>
      </c>
      <c r="BE399" s="446">
        <f t="shared" si="272"/>
        <v>0</v>
      </c>
      <c r="BF399" s="429"/>
      <c r="BG399" s="446"/>
    </row>
    <row r="400" spans="1:61" x14ac:dyDescent="0.2">
      <c r="A400" s="19"/>
      <c r="C400" t="s">
        <v>622</v>
      </c>
      <c r="D400" s="449"/>
      <c r="E400" s="450"/>
      <c r="F400" s="440"/>
      <c r="G400" s="440"/>
      <c r="H400" s="440"/>
      <c r="I400" s="440"/>
      <c r="J400" s="440"/>
      <c r="K400" s="441"/>
      <c r="L400" s="440"/>
      <c r="M400" s="440"/>
      <c r="N400" s="440"/>
      <c r="O400" s="440"/>
      <c r="P400" s="442"/>
      <c r="Q400" s="442"/>
      <c r="R400" s="442"/>
      <c r="S400" s="442"/>
      <c r="T400" s="442"/>
      <c r="U400" s="442"/>
      <c r="V400" s="442"/>
      <c r="W400" s="442"/>
      <c r="X400" s="442"/>
      <c r="Y400" s="442"/>
      <c r="Z400" s="442"/>
      <c r="AA400" s="442"/>
      <c r="AB400" s="442"/>
      <c r="AC400" s="442"/>
      <c r="AD400" s="440"/>
      <c r="AE400" s="440"/>
      <c r="AF400" s="440"/>
      <c r="AG400" s="440"/>
      <c r="AH400" s="430">
        <f t="shared" si="269"/>
        <v>0</v>
      </c>
      <c r="AI400" s="369">
        <f t="shared" si="270"/>
        <v>0</v>
      </c>
      <c r="AJ400" s="431">
        <f t="shared" si="265"/>
        <v>0</v>
      </c>
      <c r="AK400" s="443">
        <f t="shared" si="266"/>
        <v>0</v>
      </c>
      <c r="AN400" s="431"/>
      <c r="AO400" s="443"/>
      <c r="AP400" s="444" t="s">
        <v>621</v>
      </c>
      <c r="AQ400" s="367">
        <f>'F.  Other Cap Asset Entries'!M266</f>
        <v>0</v>
      </c>
      <c r="AT400" s="367"/>
      <c r="AU400" s="445"/>
      <c r="AV400" s="429"/>
      <c r="AY400" s="446"/>
      <c r="AZ400" s="447"/>
      <c r="BA400" s="448"/>
      <c r="BB400" s="395">
        <f t="shared" si="267"/>
        <v>0</v>
      </c>
      <c r="BC400" s="395">
        <f t="shared" si="268"/>
        <v>0</v>
      </c>
      <c r="BD400" s="485" t="str">
        <f t="shared" si="271"/>
        <v xml:space="preserve"> </v>
      </c>
      <c r="BE400" s="446">
        <f t="shared" si="272"/>
        <v>0</v>
      </c>
      <c r="BF400" s="429"/>
      <c r="BG400" s="446"/>
    </row>
    <row r="401" spans="1:61" x14ac:dyDescent="0.2">
      <c r="A401" s="19"/>
      <c r="C401" t="s">
        <v>843</v>
      </c>
      <c r="D401" s="449"/>
      <c r="E401" s="450"/>
      <c r="F401" s="440"/>
      <c r="G401" s="440"/>
      <c r="H401" s="440"/>
      <c r="I401" s="440"/>
      <c r="J401" s="440"/>
      <c r="K401" s="441"/>
      <c r="L401" s="440"/>
      <c r="M401" s="440"/>
      <c r="N401" s="440"/>
      <c r="O401" s="440"/>
      <c r="P401" s="442"/>
      <c r="Q401" s="442"/>
      <c r="R401" s="442"/>
      <c r="S401" s="442"/>
      <c r="T401" s="442"/>
      <c r="U401" s="442"/>
      <c r="V401" s="442"/>
      <c r="W401" s="442"/>
      <c r="X401" s="442"/>
      <c r="Y401" s="442"/>
      <c r="Z401" s="442"/>
      <c r="AA401" s="442"/>
      <c r="AB401" s="442"/>
      <c r="AC401" s="442"/>
      <c r="AD401" s="440"/>
      <c r="AE401" s="440"/>
      <c r="AF401" s="440"/>
      <c r="AG401" s="440"/>
      <c r="AH401" s="430">
        <f t="shared" si="269"/>
        <v>0</v>
      </c>
      <c r="AI401" s="369">
        <f t="shared" si="270"/>
        <v>0</v>
      </c>
      <c r="AJ401" s="431">
        <f t="shared" si="265"/>
        <v>0</v>
      </c>
      <c r="AK401" s="443">
        <f t="shared" si="266"/>
        <v>0</v>
      </c>
      <c r="AN401" s="431"/>
      <c r="AO401" s="443"/>
      <c r="AP401" s="472" t="str">
        <f>'I.  Other Asset Entries'!B108</f>
        <v>I.1</v>
      </c>
      <c r="AQ401" s="429">
        <f>'I.  Other Asset Entries'!L110</f>
        <v>0</v>
      </c>
      <c r="AT401" s="429"/>
      <c r="AU401" s="445"/>
      <c r="AV401" s="429"/>
      <c r="AY401" s="446"/>
      <c r="AZ401" s="447"/>
      <c r="BA401" s="448"/>
      <c r="BB401" s="395">
        <f t="shared" si="267"/>
        <v>0</v>
      </c>
      <c r="BC401" s="395">
        <f t="shared" si="268"/>
        <v>0</v>
      </c>
      <c r="BD401" s="485" t="str">
        <f t="shared" si="271"/>
        <v xml:space="preserve"> </v>
      </c>
      <c r="BE401" s="446">
        <f t="shared" si="272"/>
        <v>0</v>
      </c>
      <c r="BF401" s="429"/>
      <c r="BG401" s="446"/>
    </row>
    <row r="402" spans="1:61" x14ac:dyDescent="0.2">
      <c r="A402" s="19"/>
      <c r="C402" t="s">
        <v>844</v>
      </c>
      <c r="D402" s="449"/>
      <c r="E402" s="450">
        <v>122974</v>
      </c>
      <c r="F402" s="440"/>
      <c r="G402" s="440"/>
      <c r="H402" s="440"/>
      <c r="I402" s="440"/>
      <c r="J402" s="440"/>
      <c r="K402" s="441"/>
      <c r="L402" s="440"/>
      <c r="M402" s="440"/>
      <c r="N402" s="440"/>
      <c r="O402" s="440"/>
      <c r="P402" s="442"/>
      <c r="Q402" s="442"/>
      <c r="R402" s="442"/>
      <c r="S402" s="442"/>
      <c r="T402" s="442"/>
      <c r="U402" s="442"/>
      <c r="V402" s="442"/>
      <c r="W402" s="442"/>
      <c r="X402" s="442"/>
      <c r="Y402" s="442"/>
      <c r="Z402" s="442"/>
      <c r="AA402" s="442"/>
      <c r="AB402" s="442"/>
      <c r="AC402" s="442"/>
      <c r="AD402" s="440"/>
      <c r="AE402" s="440"/>
      <c r="AF402" s="440"/>
      <c r="AG402" s="440"/>
      <c r="AH402" s="430">
        <f t="shared" si="269"/>
        <v>0</v>
      </c>
      <c r="AI402" s="369">
        <f t="shared" si="270"/>
        <v>0</v>
      </c>
      <c r="AJ402" s="431">
        <f t="shared" si="265"/>
        <v>0</v>
      </c>
      <c r="AK402" s="443">
        <f t="shared" si="266"/>
        <v>122974</v>
      </c>
      <c r="AN402" s="431"/>
      <c r="AO402" s="443"/>
      <c r="AP402" s="472" t="str">
        <f>'I.  Other Asset Entries'!B108</f>
        <v>I.1</v>
      </c>
      <c r="AQ402" s="983">
        <f>'I.  Other Asset Entries'!L111</f>
        <v>122974</v>
      </c>
      <c r="AT402" s="429"/>
      <c r="AU402" s="445"/>
      <c r="AV402" s="429"/>
      <c r="AY402" s="446"/>
      <c r="AZ402" s="447"/>
      <c r="BA402" s="448"/>
      <c r="BB402" s="395">
        <f t="shared" si="267"/>
        <v>122974</v>
      </c>
      <c r="BC402" s="395">
        <f t="shared" si="268"/>
        <v>122974</v>
      </c>
      <c r="BD402" s="485" t="str">
        <f t="shared" si="271"/>
        <v xml:space="preserve"> </v>
      </c>
      <c r="BE402" s="446">
        <f t="shared" si="272"/>
        <v>0</v>
      </c>
      <c r="BF402" s="429"/>
      <c r="BG402" s="446"/>
    </row>
    <row r="403" spans="1:61" ht="6" customHeight="1" x14ac:dyDescent="0.2">
      <c r="A403" s="19"/>
      <c r="D403" s="453"/>
      <c r="E403" s="454"/>
      <c r="F403" s="440"/>
      <c r="G403" s="440"/>
      <c r="H403" s="440"/>
      <c r="I403" s="440"/>
      <c r="J403" s="440"/>
      <c r="K403" s="441"/>
      <c r="L403" s="440"/>
      <c r="M403" s="440"/>
      <c r="N403" s="440"/>
      <c r="O403" s="440"/>
      <c r="P403" s="451"/>
      <c r="Q403" s="451"/>
      <c r="R403" s="451"/>
      <c r="S403" s="451"/>
      <c r="T403" s="451"/>
      <c r="U403" s="451"/>
      <c r="V403" s="451"/>
      <c r="W403" s="451"/>
      <c r="X403" s="451"/>
      <c r="Y403" s="451"/>
      <c r="Z403" s="451"/>
      <c r="AA403" s="451"/>
      <c r="AB403" s="451"/>
      <c r="AC403" s="451"/>
      <c r="AD403" s="440"/>
      <c r="AE403" s="440"/>
      <c r="AF403" s="440"/>
      <c r="AG403" s="440"/>
      <c r="AH403" s="430"/>
      <c r="AJ403" s="431"/>
      <c r="AK403" s="443"/>
      <c r="AN403" s="431"/>
      <c r="AO403" s="443"/>
      <c r="AQ403" s="367"/>
      <c r="AT403" s="367"/>
      <c r="AU403" s="445"/>
      <c r="AV403" s="367"/>
      <c r="AY403" s="455"/>
      <c r="AZ403" s="451"/>
      <c r="BA403" s="476"/>
      <c r="BB403" s="367"/>
      <c r="BC403" s="367"/>
      <c r="BD403" s="483"/>
      <c r="BE403" s="455"/>
      <c r="BF403" s="367"/>
      <c r="BG403" s="455"/>
    </row>
    <row r="404" spans="1:61" ht="18.75" customHeight="1" x14ac:dyDescent="0.2">
      <c r="A404" s="221" t="s">
        <v>795</v>
      </c>
      <c r="B404" s="17"/>
      <c r="C404" s="333"/>
      <c r="D404" s="453"/>
      <c r="E404" s="454"/>
      <c r="F404" s="440"/>
      <c r="G404" s="440"/>
      <c r="H404" s="440"/>
      <c r="I404" s="440"/>
      <c r="J404" s="440"/>
      <c r="K404" s="441"/>
      <c r="L404" s="440"/>
      <c r="M404" s="440"/>
      <c r="N404" s="440"/>
      <c r="O404" s="440"/>
      <c r="P404" s="451"/>
      <c r="Q404" s="451"/>
      <c r="R404" s="451"/>
      <c r="S404" s="451"/>
      <c r="T404" s="451"/>
      <c r="U404" s="451"/>
      <c r="V404" s="451"/>
      <c r="W404" s="451"/>
      <c r="X404" s="451"/>
      <c r="Y404" s="451"/>
      <c r="Z404" s="451"/>
      <c r="AA404" s="451"/>
      <c r="AB404" s="451"/>
      <c r="AC404" s="451"/>
      <c r="AD404" s="440"/>
      <c r="AE404" s="440"/>
      <c r="AF404" s="440"/>
      <c r="AG404" s="440"/>
      <c r="AH404" s="430"/>
      <c r="AJ404" s="431"/>
      <c r="AK404" s="443"/>
      <c r="AN404" s="431"/>
      <c r="AO404" s="443"/>
      <c r="AQ404" s="367"/>
      <c r="AT404" s="367"/>
      <c r="AU404" s="445"/>
      <c r="AV404" s="367"/>
      <c r="AY404" s="455"/>
      <c r="AZ404" s="451"/>
      <c r="BA404" s="476"/>
      <c r="BB404" s="367"/>
      <c r="BC404" s="367"/>
      <c r="BD404" s="483"/>
      <c r="BE404" s="455"/>
      <c r="BF404" s="367"/>
      <c r="BG404" s="455"/>
    </row>
    <row r="405" spans="1:61" ht="5.25" customHeight="1" x14ac:dyDescent="0.2">
      <c r="A405" s="19"/>
      <c r="D405" s="453"/>
      <c r="E405" s="454"/>
      <c r="F405" s="440"/>
      <c r="G405" s="440"/>
      <c r="H405" s="440"/>
      <c r="I405" s="440"/>
      <c r="J405" s="440"/>
      <c r="K405" s="441"/>
      <c r="L405" s="440"/>
      <c r="M405" s="440"/>
      <c r="N405" s="440"/>
      <c r="O405" s="440"/>
      <c r="P405" s="451"/>
      <c r="Q405" s="451"/>
      <c r="R405" s="451"/>
      <c r="S405" s="451"/>
      <c r="T405" s="451"/>
      <c r="U405" s="451"/>
      <c r="V405" s="451"/>
      <c r="W405" s="451"/>
      <c r="X405" s="451"/>
      <c r="Y405" s="451"/>
      <c r="Z405" s="451"/>
      <c r="AA405" s="451"/>
      <c r="AB405" s="451"/>
      <c r="AC405" s="451"/>
      <c r="AD405" s="440"/>
      <c r="AE405" s="440"/>
      <c r="AF405" s="440"/>
      <c r="AG405" s="440"/>
      <c r="AH405" s="430"/>
      <c r="AJ405" s="431"/>
      <c r="AK405" s="443"/>
      <c r="AN405" s="431"/>
      <c r="AO405" s="443"/>
      <c r="AQ405" s="367"/>
      <c r="AT405" s="367"/>
      <c r="AU405" s="445"/>
      <c r="AV405" s="367"/>
      <c r="AY405" s="455"/>
      <c r="AZ405" s="451"/>
      <c r="BA405" s="476"/>
      <c r="BB405" s="367"/>
      <c r="BC405" s="367"/>
      <c r="BD405" s="483"/>
      <c r="BE405" s="455"/>
      <c r="BF405" s="367"/>
      <c r="BG405" s="455"/>
      <c r="BI405" s="939"/>
    </row>
    <row r="406" spans="1:61" x14ac:dyDescent="0.2">
      <c r="A406" s="19"/>
      <c r="B406" s="2"/>
      <c r="C406" t="s">
        <v>201</v>
      </c>
      <c r="D406" s="449"/>
      <c r="E406" s="450"/>
      <c r="F406" s="440"/>
      <c r="G406" s="440"/>
      <c r="H406" s="440"/>
      <c r="I406" s="440"/>
      <c r="J406" s="440"/>
      <c r="K406" s="441"/>
      <c r="L406" s="440"/>
      <c r="M406" s="440"/>
      <c r="N406" s="440"/>
      <c r="O406" s="440"/>
      <c r="P406" s="442"/>
      <c r="Q406" s="442"/>
      <c r="R406" s="442"/>
      <c r="S406" s="442"/>
      <c r="T406" s="442"/>
      <c r="U406" s="442"/>
      <c r="V406" s="442"/>
      <c r="W406" s="442"/>
      <c r="X406" s="442"/>
      <c r="Y406" s="442"/>
      <c r="Z406" s="442"/>
      <c r="AA406" s="442"/>
      <c r="AB406" s="442"/>
      <c r="AC406" s="442"/>
      <c r="AD406" s="440"/>
      <c r="AE406" s="440"/>
      <c r="AF406" s="440"/>
      <c r="AG406" s="440"/>
      <c r="AH406" s="430">
        <f t="shared" ref="AH406:AH408" si="279">L406+N406+P406+R406+T406+V406+X406+Z406+AB406+AD406+AF406</f>
        <v>0</v>
      </c>
      <c r="AI406" s="369">
        <f t="shared" ref="AI406:AI408" si="280">M406+O406+Q406+S406+U406+W406+Y406+AA406+AC406+AE406+AG406</f>
        <v>0</v>
      </c>
      <c r="AJ406" s="431">
        <f t="shared" ref="AJ406:AK408" si="281">D406+F406+H406+J406+AH406</f>
        <v>0</v>
      </c>
      <c r="AK406" s="443">
        <f t="shared" si="281"/>
        <v>0</v>
      </c>
      <c r="AN406" s="431"/>
      <c r="AO406" s="443"/>
      <c r="AP406" s="444" t="str">
        <f>'J. Other Liability &amp; Expenses'!D203</f>
        <v>J.1</v>
      </c>
      <c r="AQ406" s="429">
        <f>'J. Other Liability &amp; Expenses'!L212</f>
        <v>0</v>
      </c>
      <c r="AS406" s="444" t="str">
        <f>'J. Other Liability &amp; Expenses'!D203</f>
        <v>J.1</v>
      </c>
      <c r="AT406" s="429">
        <f>'J. Other Liability &amp; Expenses'!N212</f>
        <v>0</v>
      </c>
      <c r="AU406" s="445" t="str">
        <f>'L. Eliminations-Consolidations'!B285</f>
        <v>L.10</v>
      </c>
      <c r="AV406" s="429">
        <f>'L. Eliminations-Consolidations'!J286</f>
        <v>0</v>
      </c>
      <c r="AY406" s="446"/>
      <c r="AZ406" s="447"/>
      <c r="BA406" s="448"/>
      <c r="BB406" s="395">
        <f>ROUND(AJ406+AL406+AN406+AQ406+AV406+AZ406,0)</f>
        <v>0</v>
      </c>
      <c r="BC406" s="395">
        <f>ROUND(AK406+AM406+AO406+AT406+AY406+BA406,0)</f>
        <v>0</v>
      </c>
      <c r="BD406" s="485" t="str">
        <f>IF(BB406-BC406&lt;=0," ",BB406-BC406)</f>
        <v xml:space="preserve"> </v>
      </c>
      <c r="BE406" s="446">
        <f t="shared" si="272"/>
        <v>0</v>
      </c>
      <c r="BF406" s="429"/>
      <c r="BG406" s="446"/>
      <c r="BI406" s="939"/>
    </row>
    <row r="407" spans="1:61" x14ac:dyDescent="0.2">
      <c r="A407" s="19"/>
      <c r="B407" s="2"/>
      <c r="C407" s="204" t="s">
        <v>796</v>
      </c>
      <c r="D407" s="456"/>
      <c r="E407" s="457"/>
      <c r="F407" s="458"/>
      <c r="G407" s="458"/>
      <c r="H407" s="458"/>
      <c r="I407" s="458"/>
      <c r="J407" s="458"/>
      <c r="K407" s="459"/>
      <c r="L407" s="458"/>
      <c r="M407" s="458"/>
      <c r="N407" s="458"/>
      <c r="O407" s="458"/>
      <c r="P407" s="460"/>
      <c r="Q407" s="460"/>
      <c r="R407" s="460"/>
      <c r="S407" s="460"/>
      <c r="T407" s="460"/>
      <c r="U407" s="460"/>
      <c r="V407" s="460"/>
      <c r="W407" s="460"/>
      <c r="X407" s="460"/>
      <c r="Y407" s="460"/>
      <c r="Z407" s="460"/>
      <c r="AA407" s="460"/>
      <c r="AB407" s="460"/>
      <c r="AC407" s="460"/>
      <c r="AD407" s="458"/>
      <c r="AE407" s="458"/>
      <c r="AF407" s="458"/>
      <c r="AG407" s="458"/>
      <c r="AH407" s="461">
        <f t="shared" si="279"/>
        <v>0</v>
      </c>
      <c r="AI407" s="462">
        <f t="shared" si="280"/>
        <v>0</v>
      </c>
      <c r="AJ407" s="463">
        <f t="shared" si="281"/>
        <v>0</v>
      </c>
      <c r="AK407" s="464">
        <f t="shared" si="281"/>
        <v>0</v>
      </c>
      <c r="AL407" s="462"/>
      <c r="AM407" s="462"/>
      <c r="AN407" s="463">
        <f>'A. Revenue by function'!L112</f>
        <v>0</v>
      </c>
      <c r="AO407" s="464"/>
      <c r="AP407" s="465" t="str">
        <f>'J. Other Liability &amp; Expenses'!D203</f>
        <v>J.1</v>
      </c>
      <c r="AQ407" s="466">
        <f>'J. Other Liability &amp; Expenses'!L213</f>
        <v>0</v>
      </c>
      <c r="AR407" s="462"/>
      <c r="AS407" s="465" t="str">
        <f>'J. Other Liability &amp; Expenses'!D203</f>
        <v>J.1</v>
      </c>
      <c r="AT407" s="466">
        <f>'J. Other Liability &amp; Expenses'!N213</f>
        <v>0</v>
      </c>
      <c r="AU407" s="467"/>
      <c r="AV407" s="466"/>
      <c r="AW407" s="462"/>
      <c r="AX407" s="465"/>
      <c r="AY407" s="468"/>
      <c r="AZ407" s="447"/>
      <c r="BA407" s="448"/>
      <c r="BB407" s="466">
        <f>ROUND(AJ407+AL407+AN407+AQ407+AV407+AZ407,0)</f>
        <v>0</v>
      </c>
      <c r="BC407" s="466">
        <f>ROUND(AK407+AM407+AO407+AT407+AY407+BA407,0)</f>
        <v>0</v>
      </c>
      <c r="BD407" s="486" t="str">
        <f>IF(BB407+BB408-(BC407+BC408)&lt;=0," ",BB407+BB408-(BC407+BC408))</f>
        <v xml:space="preserve"> </v>
      </c>
      <c r="BE407" s="468">
        <f>IF(BB407+BB408-(BC407+BC408)&gt;0," ",BC407+BC408-(BB407+BB408))</f>
        <v>0</v>
      </c>
      <c r="BF407" s="429"/>
      <c r="BG407" s="446"/>
      <c r="BI407" s="939"/>
    </row>
    <row r="408" spans="1:61" x14ac:dyDescent="0.2">
      <c r="A408" s="19"/>
      <c r="B408" s="2"/>
      <c r="C408" s="204"/>
      <c r="D408" s="456"/>
      <c r="E408" s="457"/>
      <c r="F408" s="458"/>
      <c r="G408" s="458"/>
      <c r="H408" s="458"/>
      <c r="I408" s="458"/>
      <c r="J408" s="458"/>
      <c r="K408" s="459"/>
      <c r="L408" s="458"/>
      <c r="M408" s="458"/>
      <c r="N408" s="458"/>
      <c r="O408" s="458"/>
      <c r="P408" s="460"/>
      <c r="Q408" s="460"/>
      <c r="R408" s="460"/>
      <c r="S408" s="460"/>
      <c r="T408" s="460"/>
      <c r="U408" s="460"/>
      <c r="V408" s="460"/>
      <c r="W408" s="460"/>
      <c r="X408" s="460"/>
      <c r="Y408" s="460"/>
      <c r="Z408" s="460"/>
      <c r="AA408" s="460"/>
      <c r="AB408" s="460"/>
      <c r="AC408" s="460"/>
      <c r="AD408" s="458"/>
      <c r="AE408" s="458"/>
      <c r="AF408" s="458"/>
      <c r="AG408" s="458"/>
      <c r="AH408" s="461">
        <f t="shared" si="279"/>
        <v>0</v>
      </c>
      <c r="AI408" s="462">
        <f t="shared" si="280"/>
        <v>0</v>
      </c>
      <c r="AJ408" s="463">
        <f t="shared" si="281"/>
        <v>0</v>
      </c>
      <c r="AK408" s="464">
        <f t="shared" si="281"/>
        <v>0</v>
      </c>
      <c r="AL408" s="462"/>
      <c r="AM408" s="462"/>
      <c r="AN408" s="463"/>
      <c r="AO408" s="464"/>
      <c r="AP408" s="465" t="s">
        <v>621</v>
      </c>
      <c r="AQ408" s="466">
        <f>'F.  Other Cap Asset Entries'!M276</f>
        <v>0</v>
      </c>
      <c r="AR408" s="462"/>
      <c r="AS408" s="465"/>
      <c r="AT408" s="466"/>
      <c r="AU408" s="467"/>
      <c r="AV408" s="466"/>
      <c r="AW408" s="462"/>
      <c r="AX408" s="465"/>
      <c r="AY408" s="468"/>
      <c r="AZ408" s="447"/>
      <c r="BA408" s="448"/>
      <c r="BB408" s="466">
        <f>ROUND(AJ408+AL408+AN408+AQ408+AV408+AZ408,0)</f>
        <v>0</v>
      </c>
      <c r="BC408" s="466">
        <f>ROUND(AK408+AM408+AO408+AT408+AY408+BA408,0)</f>
        <v>0</v>
      </c>
      <c r="BD408" s="486"/>
      <c r="BE408" s="468"/>
      <c r="BF408" s="429"/>
      <c r="BG408" s="446"/>
      <c r="BI408" s="939"/>
    </row>
    <row r="409" spans="1:61" ht="5.25" customHeight="1" x14ac:dyDescent="0.2">
      <c r="A409" s="19"/>
      <c r="B409" s="2"/>
      <c r="D409" s="490"/>
      <c r="E409" s="491"/>
      <c r="F409" s="369"/>
      <c r="G409" s="369"/>
      <c r="K409" s="443"/>
      <c r="P409" s="492"/>
      <c r="Q409" s="492"/>
      <c r="R409" s="492"/>
      <c r="S409" s="492"/>
      <c r="T409" s="492"/>
      <c r="U409" s="492"/>
      <c r="V409" s="492"/>
      <c r="W409" s="492"/>
      <c r="X409" s="492"/>
      <c r="Y409" s="492"/>
      <c r="Z409" s="492"/>
      <c r="AA409" s="492"/>
      <c r="AB409" s="492"/>
      <c r="AC409" s="492"/>
      <c r="AH409" s="430"/>
      <c r="AJ409" s="431"/>
      <c r="AK409" s="443"/>
      <c r="AN409" s="431"/>
      <c r="AO409" s="443"/>
      <c r="AQ409" s="492"/>
      <c r="AT409" s="492"/>
      <c r="AU409" s="445"/>
      <c r="AV409" s="492"/>
      <c r="AY409" s="493"/>
      <c r="AZ409" s="451"/>
      <c r="BA409" s="476"/>
      <c r="BB409" s="492"/>
      <c r="BC409" s="492"/>
      <c r="BD409" s="494"/>
      <c r="BE409" s="493"/>
      <c r="BF409" s="492"/>
      <c r="BG409" s="493"/>
      <c r="BI409" s="948"/>
    </row>
    <row r="410" spans="1:61" x14ac:dyDescent="0.2">
      <c r="A410" s="19"/>
      <c r="B410" s="2"/>
      <c r="C410" s="204" t="s">
        <v>198</v>
      </c>
      <c r="D410" s="456"/>
      <c r="E410" s="457"/>
      <c r="F410" s="458"/>
      <c r="G410" s="458"/>
      <c r="H410" s="458"/>
      <c r="I410" s="458"/>
      <c r="J410" s="458"/>
      <c r="K410" s="459"/>
      <c r="L410" s="458"/>
      <c r="M410" s="458"/>
      <c r="N410" s="458"/>
      <c r="O410" s="458"/>
      <c r="P410" s="460"/>
      <c r="Q410" s="460"/>
      <c r="R410" s="460"/>
      <c r="S410" s="460"/>
      <c r="T410" s="460"/>
      <c r="U410" s="460"/>
      <c r="V410" s="460"/>
      <c r="W410" s="460"/>
      <c r="X410" s="460"/>
      <c r="Y410" s="460"/>
      <c r="Z410" s="460"/>
      <c r="AA410" s="460"/>
      <c r="AB410" s="460"/>
      <c r="AC410" s="460"/>
      <c r="AD410" s="458"/>
      <c r="AE410" s="458"/>
      <c r="AF410" s="458"/>
      <c r="AG410" s="458"/>
      <c r="AH410" s="461">
        <f t="shared" ref="AH410:AH411" si="282">L410+N410+P410+R410+T410+V410+X410+Z410+AB410+AD410+AF410</f>
        <v>0</v>
      </c>
      <c r="AI410" s="462">
        <f t="shared" ref="AI410:AI411" si="283">M410+O410+Q410+S410+U410+W410+Y410+AA410+AC410+AE410+AG410</f>
        <v>0</v>
      </c>
      <c r="AJ410" s="463">
        <f t="shared" ref="AJ410:AK412" si="284">D410+F410+H410+J410+AH410</f>
        <v>0</v>
      </c>
      <c r="AK410" s="464">
        <f t="shared" si="284"/>
        <v>0</v>
      </c>
      <c r="AL410" s="462"/>
      <c r="AM410" s="462"/>
      <c r="AN410" s="463">
        <f>'A. Revenue by function'!L111</f>
        <v>0</v>
      </c>
      <c r="AO410" s="464">
        <f>'A. Revenue by function'!N140</f>
        <v>0</v>
      </c>
      <c r="AP410" s="465" t="str">
        <f>'F.  Other Cap Asset Entries'!D220</f>
        <v>F.1</v>
      </c>
      <c r="AQ410" s="466">
        <f>'F.  Other Cap Asset Entries'!M242</f>
        <v>0</v>
      </c>
      <c r="AR410" s="462"/>
      <c r="AS410" s="465" t="str">
        <f>'F.  Other Cap Asset Entries'!D220</f>
        <v>F.1</v>
      </c>
      <c r="AT410" s="367">
        <f>'F.  Other Cap Asset Entries'!O242</f>
        <v>27482</v>
      </c>
      <c r="AU410" s="467"/>
      <c r="AV410" s="466"/>
      <c r="AW410" s="462"/>
      <c r="AX410" s="465"/>
      <c r="AY410" s="468"/>
      <c r="AZ410" s="447"/>
      <c r="BA410" s="448"/>
      <c r="BB410" s="466">
        <f>ROUND(AJ410+AL410+AN410+AQ410+AV410+AZ410,0)</f>
        <v>0</v>
      </c>
      <c r="BC410" s="466">
        <f>ROUND(AK410+AM410+AO410+AT410+AY410+BA410,0)</f>
        <v>27482</v>
      </c>
      <c r="BD410" s="486" t="str">
        <f>IF(BB410+BB411-(BC410+BC411)&lt;=0," ",BB410+BB411-(BC410+BC411))</f>
        <v xml:space="preserve"> </v>
      </c>
      <c r="BE410" s="468">
        <f>IF(BB410+BB411-(BC410+BC411)&gt;0," ",BC410+BC411-(BB410+BB411))</f>
        <v>27482</v>
      </c>
      <c r="BF410" s="429"/>
      <c r="BG410" s="446"/>
      <c r="BH410" s="937"/>
      <c r="BI410" s="939"/>
    </row>
    <row r="411" spans="1:61" x14ac:dyDescent="0.2">
      <c r="A411" s="19"/>
      <c r="B411" s="2"/>
      <c r="C411" s="204"/>
      <c r="D411" s="456"/>
      <c r="E411" s="457"/>
      <c r="F411" s="458"/>
      <c r="G411" s="458"/>
      <c r="H411" s="458"/>
      <c r="I411" s="458"/>
      <c r="J411" s="458"/>
      <c r="K411" s="459"/>
      <c r="L411" s="458"/>
      <c r="M411" s="458"/>
      <c r="N411" s="458"/>
      <c r="O411" s="458"/>
      <c r="P411" s="460"/>
      <c r="Q411" s="460"/>
      <c r="R411" s="460"/>
      <c r="S411" s="460"/>
      <c r="T411" s="460"/>
      <c r="U411" s="460"/>
      <c r="V411" s="460"/>
      <c r="W411" s="460"/>
      <c r="X411" s="460"/>
      <c r="Y411" s="460"/>
      <c r="Z411" s="460"/>
      <c r="AA411" s="460"/>
      <c r="AB411" s="460"/>
      <c r="AC411" s="460"/>
      <c r="AD411" s="458"/>
      <c r="AE411" s="458"/>
      <c r="AF411" s="458"/>
      <c r="AG411" s="458"/>
      <c r="AH411" s="461">
        <f t="shared" si="282"/>
        <v>0</v>
      </c>
      <c r="AI411" s="462">
        <f t="shared" si="283"/>
        <v>0</v>
      </c>
      <c r="AJ411" s="463">
        <f t="shared" si="284"/>
        <v>0</v>
      </c>
      <c r="AK411" s="464">
        <f t="shared" si="284"/>
        <v>0</v>
      </c>
      <c r="AL411" s="462"/>
      <c r="AM411" s="462"/>
      <c r="AN411" s="463"/>
      <c r="AO411" s="464"/>
      <c r="AP411" s="465"/>
      <c r="AQ411" s="466"/>
      <c r="AR411" s="462"/>
      <c r="AS411" s="465" t="str">
        <f>'F.  Other Cap Asset Entries'!D244</f>
        <v>F.2</v>
      </c>
      <c r="AT411" s="466">
        <f>'F.  Other Cap Asset Entries'!O253</f>
        <v>0</v>
      </c>
      <c r="AU411" s="467"/>
      <c r="AV411" s="466"/>
      <c r="AW411" s="462"/>
      <c r="AX411" s="465"/>
      <c r="AY411" s="468"/>
      <c r="AZ411" s="447"/>
      <c r="BA411" s="448"/>
      <c r="BB411" s="466">
        <f>ROUND(AJ411+AL411+AN411+AQ411+AV411+AZ411,0)</f>
        <v>0</v>
      </c>
      <c r="BC411" s="466">
        <f>ROUND(AK411+AM411+AO411+AT411+AY411+BA411,0)</f>
        <v>0</v>
      </c>
      <c r="BD411" s="486"/>
      <c r="BE411" s="468"/>
      <c r="BF411" s="429"/>
      <c r="BG411" s="446"/>
      <c r="BI411" s="939"/>
    </row>
    <row r="412" spans="1:61" x14ac:dyDescent="0.2">
      <c r="A412" s="19"/>
      <c r="B412" s="2"/>
      <c r="C412" t="s">
        <v>797</v>
      </c>
      <c r="D412" s="449"/>
      <c r="E412" s="450"/>
      <c r="F412" s="440"/>
      <c r="G412" s="440"/>
      <c r="H412" s="440"/>
      <c r="I412" s="440"/>
      <c r="J412" s="440"/>
      <c r="K412" s="441"/>
      <c r="L412" s="440"/>
      <c r="M412" s="440"/>
      <c r="N412" s="440"/>
      <c r="O412" s="440"/>
      <c r="P412" s="442"/>
      <c r="Q412" s="442"/>
      <c r="R412" s="442"/>
      <c r="S412" s="442"/>
      <c r="T412" s="442"/>
      <c r="U412" s="442"/>
      <c r="V412" s="442"/>
      <c r="W412" s="442"/>
      <c r="X412" s="442"/>
      <c r="Y412" s="442"/>
      <c r="Z412" s="442"/>
      <c r="AA412" s="442"/>
      <c r="AB412" s="442"/>
      <c r="AC412" s="442"/>
      <c r="AD412" s="440"/>
      <c r="AE412" s="440"/>
      <c r="AF412" s="440"/>
      <c r="AG412" s="440"/>
      <c r="AH412" s="430">
        <f t="shared" ref="AH412" si="285">L412+N412+P412+R412+T412+V412+X412+Z412+AB412+AD412+AF412</f>
        <v>0</v>
      </c>
      <c r="AI412" s="369">
        <f t="shared" ref="AI412" si="286">M412+O412+Q412+S412+U412+W412+Y412+AA412+AC412+AE412+AG412</f>
        <v>0</v>
      </c>
      <c r="AJ412" s="431">
        <f t="shared" si="284"/>
        <v>0</v>
      </c>
      <c r="AK412" s="443">
        <f t="shared" si="284"/>
        <v>0</v>
      </c>
      <c r="AN412" s="431"/>
      <c r="AO412" s="443">
        <f>'A. Revenue by function'!N141</f>
        <v>0</v>
      </c>
      <c r="AS412" s="444" t="s">
        <v>621</v>
      </c>
      <c r="AT412" s="429">
        <f>'F.  Other Cap Asset Entries'!O276</f>
        <v>0</v>
      </c>
      <c r="AU412" s="445"/>
      <c r="AV412" s="429"/>
      <c r="AY412" s="446"/>
      <c r="AZ412" s="447"/>
      <c r="BA412" s="448"/>
      <c r="BB412" s="395">
        <f>ROUND(AJ412+AL412+AN412+AQ412+AV412+AZ412,0)</f>
        <v>0</v>
      </c>
      <c r="BC412" s="395">
        <f>ROUND(AK412+AM412+AO412+AT412+AY412+BA412,0)</f>
        <v>0</v>
      </c>
      <c r="BD412" s="485" t="str">
        <f>IF(BB412-BC412&lt;=0," ",BB412-BC412)</f>
        <v xml:space="preserve"> </v>
      </c>
      <c r="BE412" s="446">
        <f>IF(BB412-BC412&gt;0," ",BC412-BB412)</f>
        <v>0</v>
      </c>
      <c r="BF412" s="429"/>
      <c r="BG412" s="446"/>
    </row>
    <row r="413" spans="1:61" ht="6.75" customHeight="1" x14ac:dyDescent="0.2">
      <c r="A413" s="19"/>
      <c r="B413" s="2"/>
      <c r="D413" s="449"/>
      <c r="E413" s="450"/>
      <c r="F413" s="440"/>
      <c r="G413" s="440"/>
      <c r="H413" s="440"/>
      <c r="I413" s="440"/>
      <c r="J413" s="440"/>
      <c r="K413" s="441"/>
      <c r="L413" s="440"/>
      <c r="M413" s="440"/>
      <c r="N413" s="440"/>
      <c r="O413" s="440"/>
      <c r="P413" s="451"/>
      <c r="Q413" s="451"/>
      <c r="R413" s="451"/>
      <c r="S413" s="451"/>
      <c r="T413" s="451"/>
      <c r="U413" s="451"/>
      <c r="V413" s="451"/>
      <c r="W413" s="451"/>
      <c r="X413" s="451"/>
      <c r="Y413" s="451"/>
      <c r="Z413" s="451"/>
      <c r="AA413" s="451"/>
      <c r="AB413" s="451"/>
      <c r="AC413" s="451"/>
      <c r="AD413" s="440"/>
      <c r="AE413" s="440"/>
      <c r="AF413" s="440"/>
      <c r="AG413" s="440"/>
      <c r="AH413" s="430"/>
      <c r="AJ413" s="431"/>
      <c r="AK413" s="443"/>
      <c r="AN413" s="431"/>
      <c r="AO413" s="443"/>
      <c r="AQ413" s="367"/>
      <c r="AT413" s="367"/>
      <c r="AU413" s="445"/>
      <c r="AV413" s="367"/>
      <c r="AY413" s="455"/>
      <c r="AZ413" s="451"/>
      <c r="BA413" s="476"/>
      <c r="BB413" s="367"/>
      <c r="BC413" s="367"/>
      <c r="BD413" s="431"/>
      <c r="BE413" s="443"/>
      <c r="BF413" s="367"/>
      <c r="BG413" s="455"/>
    </row>
    <row r="414" spans="1:61" ht="4.5" customHeight="1" thickBot="1" x14ac:dyDescent="0.25">
      <c r="A414" s="19"/>
      <c r="B414" s="2"/>
      <c r="D414" s="449"/>
      <c r="E414" s="450"/>
      <c r="F414" s="440"/>
      <c r="G414" s="440"/>
      <c r="H414" s="440"/>
      <c r="I414" s="440"/>
      <c r="J414" s="440"/>
      <c r="K414" s="441"/>
      <c r="L414" s="440"/>
      <c r="M414" s="440"/>
      <c r="N414" s="440"/>
      <c r="O414" s="440"/>
      <c r="P414" s="451"/>
      <c r="Q414" s="451"/>
      <c r="R414" s="451"/>
      <c r="S414" s="451"/>
      <c r="T414" s="451"/>
      <c r="U414" s="451"/>
      <c r="V414" s="451"/>
      <c r="W414" s="451"/>
      <c r="X414" s="451"/>
      <c r="Y414" s="451"/>
      <c r="Z414" s="451"/>
      <c r="AA414" s="451"/>
      <c r="AB414" s="451"/>
      <c r="AC414" s="451"/>
      <c r="AD414" s="440"/>
      <c r="AE414" s="440"/>
      <c r="AF414" s="440"/>
      <c r="AG414" s="440"/>
      <c r="AH414" s="430"/>
      <c r="AJ414" s="431"/>
      <c r="AK414" s="443"/>
      <c r="AN414" s="431"/>
      <c r="AO414" s="443"/>
      <c r="AQ414" s="367"/>
      <c r="AT414" s="367"/>
      <c r="AU414" s="445"/>
      <c r="AV414" s="367"/>
      <c r="AY414" s="455"/>
      <c r="AZ414" s="451"/>
      <c r="BA414" s="476"/>
      <c r="BB414" s="367"/>
      <c r="BC414" s="367"/>
      <c r="BD414" s="431"/>
      <c r="BE414" s="443"/>
      <c r="BF414" s="367"/>
      <c r="BG414" s="455"/>
    </row>
    <row r="415" spans="1:61" ht="13.5" thickBot="1" x14ac:dyDescent="0.25">
      <c r="A415" s="19"/>
      <c r="C415" t="s">
        <v>779</v>
      </c>
      <c r="D415" s="495">
        <f>SUM(D8:D414)</f>
        <v>112776341</v>
      </c>
      <c r="E415" s="496">
        <f>SUM(E8:E414)</f>
        <v>112776341</v>
      </c>
      <c r="F415" s="497">
        <f t="shared" ref="F415:AG415" si="287">SUM(F6:F414)</f>
        <v>3760000</v>
      </c>
      <c r="G415" s="497">
        <f t="shared" si="287"/>
        <v>3760000</v>
      </c>
      <c r="H415" s="497">
        <f t="shared" si="287"/>
        <v>2983376</v>
      </c>
      <c r="I415" s="497">
        <f t="shared" si="287"/>
        <v>2983376</v>
      </c>
      <c r="J415" s="497">
        <f t="shared" si="287"/>
        <v>0</v>
      </c>
      <c r="K415" s="901">
        <f t="shared" si="287"/>
        <v>0</v>
      </c>
      <c r="L415" s="497">
        <f t="shared" si="287"/>
        <v>0</v>
      </c>
      <c r="M415" s="497">
        <f t="shared" si="287"/>
        <v>0</v>
      </c>
      <c r="N415" s="497">
        <f t="shared" si="287"/>
        <v>72614</v>
      </c>
      <c r="O415" s="497">
        <f t="shared" si="287"/>
        <v>72614</v>
      </c>
      <c r="P415" s="497">
        <f t="shared" si="287"/>
        <v>23928</v>
      </c>
      <c r="Q415" s="497">
        <f t="shared" si="287"/>
        <v>23928</v>
      </c>
      <c r="R415" s="497">
        <f t="shared" si="287"/>
        <v>586115</v>
      </c>
      <c r="S415" s="497">
        <f t="shared" si="287"/>
        <v>586115</v>
      </c>
      <c r="T415" s="497">
        <f t="shared" si="287"/>
        <v>15324</v>
      </c>
      <c r="U415" s="497">
        <f t="shared" si="287"/>
        <v>15324</v>
      </c>
      <c r="V415" s="497">
        <f t="shared" si="287"/>
        <v>557443</v>
      </c>
      <c r="W415" s="497">
        <f t="shared" si="287"/>
        <v>557443</v>
      </c>
      <c r="X415" s="497">
        <f t="shared" si="287"/>
        <v>157433</v>
      </c>
      <c r="Y415" s="497">
        <f t="shared" si="287"/>
        <v>157433</v>
      </c>
      <c r="Z415" s="497">
        <f t="shared" si="287"/>
        <v>2979009</v>
      </c>
      <c r="AA415" s="497">
        <f t="shared" si="287"/>
        <v>2979009</v>
      </c>
      <c r="AB415" s="497">
        <f t="shared" si="287"/>
        <v>0</v>
      </c>
      <c r="AC415" s="497">
        <f t="shared" si="287"/>
        <v>0</v>
      </c>
      <c r="AD415" s="497">
        <f t="shared" si="287"/>
        <v>0</v>
      </c>
      <c r="AE415" s="497">
        <f t="shared" si="287"/>
        <v>0</v>
      </c>
      <c r="AF415" s="497">
        <f t="shared" si="287"/>
        <v>0</v>
      </c>
      <c r="AG415" s="497">
        <f t="shared" si="287"/>
        <v>0</v>
      </c>
      <c r="AH415" s="498">
        <f>SUM(AH6:AH413)</f>
        <v>4391866</v>
      </c>
      <c r="AI415" s="498">
        <f>SUM(AI6:AI413)</f>
        <v>4391866</v>
      </c>
      <c r="AJ415" s="902">
        <f t="shared" ref="AJ415:BD415" si="288">SUM(AJ6:AJ414)</f>
        <v>123911583</v>
      </c>
      <c r="AK415" s="905">
        <f t="shared" si="288"/>
        <v>123911583</v>
      </c>
      <c r="AL415" s="903">
        <f t="shared" si="288"/>
        <v>41201213</v>
      </c>
      <c r="AM415" s="905">
        <f t="shared" si="288"/>
        <v>41201213</v>
      </c>
      <c r="AN415" s="903">
        <f t="shared" si="288"/>
        <v>18147903</v>
      </c>
      <c r="AO415" s="905">
        <f t="shared" si="288"/>
        <v>18147903</v>
      </c>
      <c r="AP415" s="903">
        <f t="shared" si="288"/>
        <v>0</v>
      </c>
      <c r="AQ415" s="903">
        <f t="shared" si="288"/>
        <v>34044411</v>
      </c>
      <c r="AR415" s="903">
        <f t="shared" si="288"/>
        <v>0</v>
      </c>
      <c r="AS415" s="903">
        <f t="shared" si="288"/>
        <v>0</v>
      </c>
      <c r="AT415" s="905">
        <f t="shared" si="288"/>
        <v>34401471</v>
      </c>
      <c r="AU415" s="903">
        <f t="shared" si="288"/>
        <v>0</v>
      </c>
      <c r="AV415" s="903">
        <f t="shared" si="288"/>
        <v>18481172</v>
      </c>
      <c r="AW415" s="903">
        <f t="shared" si="288"/>
        <v>0</v>
      </c>
      <c r="AX415" s="903">
        <f t="shared" si="288"/>
        <v>0</v>
      </c>
      <c r="AY415" s="905">
        <f t="shared" si="288"/>
        <v>18481172</v>
      </c>
      <c r="AZ415" s="903">
        <f t="shared" si="288"/>
        <v>0</v>
      </c>
      <c r="BA415" s="905">
        <f t="shared" si="288"/>
        <v>0</v>
      </c>
      <c r="BB415" s="903">
        <f t="shared" si="288"/>
        <v>232744346</v>
      </c>
      <c r="BC415" s="904">
        <f t="shared" si="288"/>
        <v>232744346</v>
      </c>
      <c r="BD415" s="501">
        <f t="shared" si="288"/>
        <v>96500549</v>
      </c>
      <c r="BE415" s="502">
        <f t="shared" ref="BE415" si="289">SUM(BE6:BE414)</f>
        <v>91749951</v>
      </c>
      <c r="BF415" s="502">
        <f>BF214</f>
        <v>71428862</v>
      </c>
      <c r="BG415" s="502">
        <f>BG214</f>
        <v>71428862</v>
      </c>
    </row>
    <row r="416" spans="1:61" ht="13.5" thickTop="1" x14ac:dyDescent="0.2">
      <c r="A416" s="19"/>
      <c r="D416" s="503"/>
      <c r="E416" s="504"/>
      <c r="F416" s="505"/>
      <c r="G416" s="505"/>
      <c r="K416" s="443"/>
      <c r="P416" s="429"/>
      <c r="Q416" s="429"/>
      <c r="R416" s="429"/>
      <c r="S416" s="429"/>
      <c r="T416" s="429"/>
      <c r="U416" s="429"/>
      <c r="V416" s="429"/>
      <c r="W416" s="429"/>
      <c r="X416" s="429"/>
      <c r="Y416" s="429"/>
      <c r="Z416" s="429"/>
      <c r="AA416" s="429"/>
      <c r="AB416" s="429"/>
      <c r="AC416" s="429"/>
      <c r="AH416" s="430"/>
      <c r="AI416" s="369">
        <f>L416+N416+P416+AH416</f>
        <v>0</v>
      </c>
      <c r="AJ416" s="431"/>
      <c r="AK416" s="443">
        <f>D416+H416+K416+AI416</f>
        <v>0</v>
      </c>
      <c r="AN416" s="431"/>
      <c r="AO416" s="443"/>
      <c r="AQ416" s="429"/>
      <c r="AT416" s="429"/>
      <c r="AU416" s="445"/>
      <c r="AY416" s="443"/>
      <c r="BA416" s="443"/>
      <c r="BB416" s="367"/>
      <c r="BC416" s="367"/>
      <c r="BD416" s="506"/>
      <c r="BE416" s="507"/>
      <c r="BF416" s="446"/>
    </row>
    <row r="417" spans="1:60" x14ac:dyDescent="0.2">
      <c r="A417" s="223" t="s">
        <v>1136</v>
      </c>
      <c r="D417" s="503"/>
      <c r="E417" s="504"/>
      <c r="F417" s="505"/>
      <c r="G417" s="505"/>
      <c r="K417" s="443"/>
      <c r="P417" s="429"/>
      <c r="Q417" s="429"/>
      <c r="R417" s="429"/>
      <c r="S417" s="429"/>
      <c r="T417" s="429"/>
      <c r="U417" s="429"/>
      <c r="V417" s="429"/>
      <c r="W417" s="429"/>
      <c r="X417" s="429"/>
      <c r="Y417" s="429"/>
      <c r="Z417" s="429"/>
      <c r="AA417" s="429"/>
      <c r="AB417" s="429"/>
      <c r="AC417" s="429"/>
      <c r="AH417" s="430"/>
      <c r="AJ417" s="431"/>
      <c r="AK417" s="443"/>
      <c r="AN417" s="431"/>
      <c r="AO417" s="443"/>
      <c r="AQ417" s="429">
        <f>AQ415-AT415</f>
        <v>-357060</v>
      </c>
      <c r="AT417" s="429"/>
      <c r="AU417" s="445"/>
      <c r="AY417" s="443"/>
      <c r="BA417" s="443"/>
      <c r="BB417" s="367"/>
      <c r="BC417" s="367"/>
      <c r="BD417" s="506">
        <f>IF(BE415-BD415&lt;0,0,(BE415-BD415))</f>
        <v>0</v>
      </c>
      <c r="BE417" s="507">
        <f>IF(BE415-BD415&gt;0,0,(BE415-BD415)*-1)</f>
        <v>4750598</v>
      </c>
      <c r="BF417" s="429"/>
      <c r="BG417" s="446"/>
      <c r="BH417" s="937"/>
    </row>
    <row r="418" spans="1:60" ht="3.75" customHeight="1" x14ac:dyDescent="0.2">
      <c r="A418" s="19"/>
      <c r="D418" s="503"/>
      <c r="E418" s="504"/>
      <c r="F418" s="505"/>
      <c r="G418" s="505"/>
      <c r="K418" s="443"/>
      <c r="P418" s="429"/>
      <c r="Q418" s="429"/>
      <c r="R418" s="429"/>
      <c r="S418" s="429"/>
      <c r="T418" s="429"/>
      <c r="U418" s="429"/>
      <c r="V418" s="429"/>
      <c r="W418" s="429"/>
      <c r="X418" s="429"/>
      <c r="Y418" s="429"/>
      <c r="Z418" s="429"/>
      <c r="AA418" s="429"/>
      <c r="AB418" s="429"/>
      <c r="AC418" s="429"/>
      <c r="AH418" s="430"/>
      <c r="AJ418" s="431"/>
      <c r="AK418" s="443"/>
      <c r="AN418" s="431"/>
      <c r="AO418" s="443"/>
      <c r="AQ418" s="429"/>
      <c r="AT418" s="429"/>
      <c r="AU418" s="445"/>
      <c r="AY418" s="443"/>
      <c r="BA418" s="443"/>
      <c r="BB418" s="367"/>
      <c r="BC418" s="367"/>
      <c r="BD418" s="506"/>
      <c r="BE418" s="507"/>
      <c r="BF418" s="429"/>
      <c r="BG418" s="446"/>
    </row>
    <row r="419" spans="1:60" ht="13.5" thickBot="1" x14ac:dyDescent="0.25">
      <c r="A419" s="19"/>
      <c r="D419" s="503"/>
      <c r="E419" s="504"/>
      <c r="F419" s="505"/>
      <c r="G419" s="505"/>
      <c r="K419" s="443"/>
      <c r="P419" s="429"/>
      <c r="Q419" s="429"/>
      <c r="R419" s="429"/>
      <c r="S419" s="429"/>
      <c r="T419" s="429"/>
      <c r="U419" s="429"/>
      <c r="V419" s="429"/>
      <c r="W419" s="429"/>
      <c r="X419" s="429"/>
      <c r="Y419" s="429"/>
      <c r="Z419" s="429"/>
      <c r="AA419" s="429"/>
      <c r="AB419" s="429"/>
      <c r="AC419" s="429"/>
      <c r="AH419" s="430"/>
      <c r="AJ419" s="431"/>
      <c r="AK419" s="443"/>
      <c r="AM419" s="369">
        <f>AL415-AM415</f>
        <v>0</v>
      </c>
      <c r="AN419" s="431">
        <f>AN415-AO415</f>
        <v>0</v>
      </c>
      <c r="AO419" s="443"/>
      <c r="AQ419" s="429"/>
      <c r="AT419" s="429"/>
      <c r="AU419" s="445"/>
      <c r="AY419" s="443"/>
      <c r="BA419" s="443"/>
      <c r="BB419" s="367"/>
      <c r="BC419" s="367"/>
      <c r="BD419" s="499">
        <f>BD415+BD417</f>
        <v>96500549</v>
      </c>
      <c r="BE419" s="500">
        <f>BE415+BE417</f>
        <v>96500549</v>
      </c>
      <c r="BF419" s="429"/>
      <c r="BG419" s="446"/>
    </row>
    <row r="420" spans="1:60" ht="14.25" thickTop="1" thickBot="1" x14ac:dyDescent="0.25">
      <c r="A420" s="208"/>
      <c r="B420" s="12"/>
      <c r="C420" s="21"/>
      <c r="D420" s="508">
        <f>E415-D415</f>
        <v>0</v>
      </c>
      <c r="E420" s="509"/>
      <c r="F420" s="510"/>
      <c r="G420" s="510"/>
      <c r="H420" s="510"/>
      <c r="I420" s="510"/>
      <c r="J420" s="510"/>
      <c r="K420" s="509"/>
      <c r="L420" s="510"/>
      <c r="M420" s="510"/>
      <c r="N420" s="510"/>
      <c r="O420" s="510"/>
      <c r="P420" s="511"/>
      <c r="Q420" s="511"/>
      <c r="R420" s="511"/>
      <c r="S420" s="511"/>
      <c r="T420" s="511"/>
      <c r="U420" s="511"/>
      <c r="V420" s="511"/>
      <c r="W420" s="511"/>
      <c r="X420" s="511"/>
      <c r="Y420" s="511"/>
      <c r="Z420" s="511"/>
      <c r="AA420" s="511"/>
      <c r="AB420" s="511"/>
      <c r="AC420" s="511"/>
      <c r="AD420" s="512"/>
      <c r="AE420" s="512"/>
      <c r="AF420" s="512"/>
      <c r="AG420" s="512"/>
      <c r="AH420" s="513"/>
      <c r="AI420" s="512">
        <f>L420+N420+P420+AH420</f>
        <v>0</v>
      </c>
      <c r="AJ420" s="514"/>
      <c r="AK420" s="515">
        <f>D420+H420+K420+AI420</f>
        <v>0</v>
      </c>
      <c r="AL420" s="512"/>
      <c r="AM420" s="512"/>
      <c r="AN420" s="514"/>
      <c r="AO420" s="515"/>
      <c r="AP420" s="516"/>
      <c r="AQ420" s="511"/>
      <c r="AR420" s="512"/>
      <c r="AS420" s="516"/>
      <c r="AT420" s="511"/>
      <c r="AU420" s="517"/>
      <c r="AV420" s="512"/>
      <c r="AW420" s="512"/>
      <c r="AX420" s="516"/>
      <c r="AY420" s="515"/>
      <c r="AZ420" s="512"/>
      <c r="BA420" s="515"/>
      <c r="BB420" s="518"/>
      <c r="BC420" s="518"/>
      <c r="BD420" s="514"/>
      <c r="BE420" s="515"/>
      <c r="BF420" s="511"/>
      <c r="BG420" s="519"/>
    </row>
    <row r="421" spans="1:60" x14ac:dyDescent="0.2">
      <c r="AI421" s="369">
        <f>L421+N421+P421+AH421</f>
        <v>0</v>
      </c>
      <c r="AK421" s="369">
        <f>D421+H421+K421+AI421</f>
        <v>0</v>
      </c>
      <c r="AQ421" s="429"/>
      <c r="AT421" s="429"/>
      <c r="BB421" s="367"/>
      <c r="BC421" s="367"/>
      <c r="BF421" s="429"/>
      <c r="BG421" s="429"/>
    </row>
    <row r="422" spans="1:60" x14ac:dyDescent="0.2">
      <c r="H422" s="520"/>
      <c r="I422" s="520"/>
      <c r="J422" s="520"/>
      <c r="K422" s="520"/>
      <c r="L422" s="505"/>
      <c r="M422" s="505"/>
      <c r="N422" s="520"/>
      <c r="O422" s="520"/>
      <c r="AI422" s="369">
        <f>L422+N422+P422+AH422</f>
        <v>0</v>
      </c>
      <c r="AK422" s="369">
        <f>D422+H422+K422+AI422</f>
        <v>0</v>
      </c>
      <c r="AQ422" s="521"/>
      <c r="AR422" s="522"/>
      <c r="AS422" s="523"/>
      <c r="AT422" s="524"/>
      <c r="BB422" s="525"/>
      <c r="BC422" s="369"/>
      <c r="BF422" s="526"/>
      <c r="BG422" s="526"/>
      <c r="BH422" s="937"/>
    </row>
    <row r="423" spans="1:60" x14ac:dyDescent="0.2">
      <c r="BE423" s="934"/>
      <c r="BF423" s="935"/>
      <c r="BG423" s="527"/>
    </row>
    <row r="427" spans="1:60" x14ac:dyDescent="0.2">
      <c r="A427" s="92"/>
      <c r="B427" s="92"/>
      <c r="C427" s="92"/>
      <c r="D427" s="528"/>
      <c r="E427" s="528"/>
      <c r="F427" s="528"/>
      <c r="G427" s="528"/>
      <c r="H427" s="529"/>
      <c r="I427" s="529"/>
      <c r="J427" s="529"/>
      <c r="K427" s="529"/>
      <c r="L427" s="529"/>
      <c r="M427" s="529"/>
      <c r="N427" s="529"/>
      <c r="O427" s="529"/>
      <c r="P427" s="528"/>
      <c r="Q427" s="528"/>
      <c r="R427" s="528"/>
      <c r="S427" s="528"/>
      <c r="T427" s="528"/>
      <c r="U427" s="528"/>
      <c r="V427" s="528"/>
      <c r="W427" s="528"/>
      <c r="X427" s="528"/>
      <c r="Y427" s="528"/>
      <c r="Z427" s="528"/>
      <c r="AA427" s="528"/>
      <c r="AB427" s="528"/>
      <c r="AC427" s="528"/>
      <c r="AD427" s="529"/>
      <c r="AE427" s="529"/>
      <c r="AF427" s="529"/>
      <c r="AG427" s="529"/>
      <c r="AH427" s="529"/>
      <c r="AI427" s="529"/>
      <c r="AJ427" s="529"/>
      <c r="AK427" s="529"/>
      <c r="AL427" s="529"/>
      <c r="AM427" s="529"/>
      <c r="AN427" s="529"/>
      <c r="AO427" s="529"/>
      <c r="AP427" s="530"/>
    </row>
    <row r="428" spans="1:60" x14ac:dyDescent="0.2">
      <c r="A428" s="92"/>
      <c r="B428" s="92"/>
      <c r="C428" s="92"/>
      <c r="D428" s="528"/>
      <c r="E428" s="528"/>
      <c r="F428" s="528"/>
      <c r="G428" s="528"/>
      <c r="H428" s="529"/>
      <c r="I428" s="529"/>
      <c r="J428" s="529"/>
      <c r="K428" s="529"/>
      <c r="L428" s="529"/>
      <c r="M428" s="529"/>
      <c r="N428" s="529"/>
      <c r="O428" s="529"/>
      <c r="P428" s="528"/>
      <c r="Q428" s="528"/>
      <c r="R428" s="528"/>
      <c r="S428" s="528"/>
      <c r="T428" s="528"/>
      <c r="U428" s="528"/>
      <c r="V428" s="528"/>
      <c r="W428" s="528"/>
      <c r="X428" s="528"/>
      <c r="Y428" s="528"/>
      <c r="Z428" s="528"/>
      <c r="AA428" s="528"/>
      <c r="AB428" s="528"/>
      <c r="AC428" s="528"/>
      <c r="AD428" s="529"/>
      <c r="AE428" s="529"/>
      <c r="AF428" s="529"/>
      <c r="AG428" s="529"/>
      <c r="AH428" s="529"/>
      <c r="AI428" s="529"/>
      <c r="AJ428" s="529"/>
      <c r="AK428" s="529"/>
      <c r="AL428" s="529"/>
      <c r="AM428" s="529"/>
      <c r="AN428" s="529"/>
      <c r="AO428" s="529"/>
      <c r="AP428" s="530"/>
    </row>
    <row r="431" spans="1:60" x14ac:dyDescent="0.2">
      <c r="A431" s="4" t="s">
        <v>576</v>
      </c>
    </row>
    <row r="432" spans="1:60" ht="2.25" customHeight="1" x14ac:dyDescent="0.2">
      <c r="A432" s="4"/>
    </row>
    <row r="433" spans="1:59" x14ac:dyDescent="0.2">
      <c r="A433" s="4">
        <v>1</v>
      </c>
      <c r="B433" t="s">
        <v>443</v>
      </c>
    </row>
    <row r="434" spans="1:59" ht="2.25" customHeight="1" x14ac:dyDescent="0.2">
      <c r="A434" s="4"/>
    </row>
    <row r="435" spans="1:59" x14ac:dyDescent="0.2">
      <c r="A435" s="4">
        <v>2</v>
      </c>
      <c r="B435" t="s">
        <v>82</v>
      </c>
    </row>
    <row r="436" spans="1:59" ht="2.25" customHeight="1" x14ac:dyDescent="0.2">
      <c r="A436" s="4"/>
    </row>
    <row r="437" spans="1:59" x14ac:dyDescent="0.2">
      <c r="A437" s="4">
        <v>3</v>
      </c>
      <c r="B437" t="s">
        <v>486</v>
      </c>
    </row>
    <row r="438" spans="1:59" x14ac:dyDescent="0.2">
      <c r="A438" s="4"/>
      <c r="B438" t="s">
        <v>487</v>
      </c>
    </row>
    <row r="439" spans="1:59" ht="2.25" customHeight="1" x14ac:dyDescent="0.2">
      <c r="A439" s="4">
        <v>4</v>
      </c>
    </row>
    <row r="440" spans="1:59" ht="12.75" customHeight="1" x14ac:dyDescent="0.2">
      <c r="A440" s="4">
        <v>4</v>
      </c>
      <c r="B440" s="1019" t="s">
        <v>800</v>
      </c>
      <c r="C440" s="1019"/>
      <c r="D440" s="1019"/>
      <c r="E440" s="1019"/>
      <c r="F440" s="1019"/>
      <c r="G440" s="1019"/>
      <c r="H440" s="1019"/>
      <c r="I440" s="1019"/>
      <c r="J440" s="1019"/>
      <c r="K440" s="1019"/>
      <c r="L440" s="1019"/>
      <c r="M440" s="1019"/>
      <c r="N440" s="1019"/>
      <c r="O440" s="1019"/>
      <c r="P440" s="1019"/>
      <c r="Q440" s="1019"/>
      <c r="R440" s="1019"/>
      <c r="S440" s="1019"/>
      <c r="T440" s="1019"/>
      <c r="U440" s="1019"/>
      <c r="V440" s="1019"/>
      <c r="W440" s="1019"/>
      <c r="X440" s="1019"/>
      <c r="Y440" s="1019"/>
      <c r="Z440" s="1019"/>
      <c r="AA440" s="1019"/>
      <c r="AB440" s="1019"/>
      <c r="AC440" s="1019"/>
      <c r="AD440" s="1019"/>
      <c r="AE440" s="1019"/>
      <c r="AF440" s="1019"/>
      <c r="AG440" s="1019"/>
      <c r="AH440" s="1019"/>
      <c r="AI440" s="1019"/>
      <c r="AJ440" s="1019"/>
      <c r="AK440" s="1019"/>
      <c r="AL440" s="1019"/>
      <c r="AM440" s="1019"/>
      <c r="AN440" s="1019"/>
      <c r="AO440" s="1019"/>
      <c r="AP440" s="1019"/>
      <c r="AQ440" s="1019"/>
      <c r="AR440" s="1019"/>
      <c r="AS440" s="1019"/>
      <c r="AT440" s="531"/>
      <c r="AU440" s="532"/>
      <c r="AV440" s="532"/>
      <c r="AW440" s="532"/>
      <c r="AX440" s="532"/>
      <c r="AY440" s="532"/>
      <c r="AZ440" s="532"/>
      <c r="BA440" s="532"/>
      <c r="BB440" s="531"/>
      <c r="BC440" s="531"/>
      <c r="BD440" s="532"/>
      <c r="BE440" s="532"/>
      <c r="BF440" s="531"/>
      <c r="BG440" s="531"/>
    </row>
    <row r="441" spans="1:59" ht="12.75" customHeight="1" x14ac:dyDescent="0.2">
      <c r="A441" s="4">
        <v>5</v>
      </c>
      <c r="B441" t="s">
        <v>488</v>
      </c>
      <c r="C441" s="24"/>
      <c r="D441" s="532"/>
      <c r="E441" s="532"/>
      <c r="F441" s="532"/>
      <c r="G441" s="532"/>
      <c r="H441" s="532"/>
      <c r="I441" s="532"/>
      <c r="J441" s="532"/>
      <c r="K441" s="532"/>
      <c r="L441" s="532"/>
      <c r="M441" s="532"/>
      <c r="N441" s="532"/>
      <c r="O441" s="532"/>
      <c r="P441" s="532"/>
      <c r="Q441" s="532"/>
      <c r="R441" s="532"/>
      <c r="S441" s="532"/>
      <c r="T441" s="532"/>
      <c r="U441" s="532"/>
      <c r="V441" s="532"/>
      <c r="W441" s="532"/>
      <c r="X441" s="532"/>
      <c r="Y441" s="532"/>
      <c r="Z441" s="532"/>
      <c r="AA441" s="532"/>
      <c r="AB441" s="532"/>
      <c r="AC441" s="532"/>
      <c r="AD441" s="532"/>
      <c r="AE441" s="532"/>
      <c r="AF441" s="532"/>
      <c r="AG441" s="532"/>
      <c r="AH441" s="532"/>
      <c r="AI441" s="532"/>
      <c r="AJ441" s="532"/>
      <c r="AK441" s="532"/>
      <c r="AL441" s="532"/>
      <c r="AM441" s="532"/>
      <c r="AN441" s="532"/>
      <c r="AO441" s="532"/>
      <c r="AP441" s="532"/>
      <c r="AQ441" s="532"/>
      <c r="AR441" s="532"/>
      <c r="AS441" s="532"/>
      <c r="AT441" s="531"/>
      <c r="AU441" s="532"/>
      <c r="AV441" s="532"/>
      <c r="AW441" s="532"/>
      <c r="AX441" s="532"/>
      <c r="AY441" s="532"/>
      <c r="AZ441" s="532"/>
      <c r="BA441" s="532"/>
      <c r="BB441" s="531"/>
      <c r="BC441" s="531"/>
      <c r="BD441" s="532"/>
      <c r="BE441" s="532"/>
      <c r="BF441" s="531"/>
      <c r="BG441" s="531"/>
    </row>
    <row r="442" spans="1:59" ht="2.25" customHeight="1" x14ac:dyDescent="0.2">
      <c r="A442" s="4"/>
      <c r="B442" s="24"/>
      <c r="C442" s="24"/>
      <c r="D442" s="532"/>
      <c r="E442" s="532"/>
      <c r="F442" s="532"/>
      <c r="G442" s="532"/>
      <c r="H442" s="532"/>
      <c r="I442" s="532"/>
      <c r="J442" s="532"/>
      <c r="K442" s="532"/>
      <c r="L442" s="532"/>
      <c r="M442" s="532"/>
      <c r="N442" s="532"/>
      <c r="O442" s="532"/>
      <c r="P442" s="532"/>
      <c r="Q442" s="532"/>
      <c r="R442" s="532"/>
      <c r="S442" s="532"/>
      <c r="T442" s="532"/>
      <c r="U442" s="532"/>
      <c r="V442" s="532"/>
      <c r="W442" s="532"/>
      <c r="X442" s="532"/>
      <c r="Y442" s="532"/>
      <c r="Z442" s="532"/>
      <c r="AA442" s="532"/>
      <c r="AB442" s="532"/>
      <c r="AC442" s="532"/>
      <c r="AD442" s="532"/>
      <c r="AE442" s="532"/>
      <c r="AF442" s="532"/>
      <c r="AG442" s="532"/>
      <c r="AH442" s="532"/>
      <c r="AI442" s="532"/>
      <c r="AJ442" s="532"/>
      <c r="AK442" s="532"/>
      <c r="AL442" s="532"/>
      <c r="AM442" s="532"/>
      <c r="AN442" s="532"/>
      <c r="AO442" s="532"/>
      <c r="AP442" s="532"/>
      <c r="AQ442" s="532"/>
      <c r="AR442" s="532"/>
      <c r="AS442" s="532"/>
      <c r="AT442" s="531"/>
      <c r="AU442" s="532"/>
      <c r="AV442" s="532"/>
      <c r="AW442" s="532"/>
      <c r="AX442" s="532"/>
      <c r="AY442" s="532"/>
      <c r="AZ442" s="532"/>
      <c r="BA442" s="532"/>
      <c r="BB442" s="531"/>
      <c r="BC442" s="531"/>
      <c r="BD442" s="532"/>
      <c r="BE442" s="532"/>
      <c r="BF442" s="531"/>
      <c r="BG442" s="531"/>
    </row>
    <row r="443" spans="1:59" ht="14.25" customHeight="1" x14ac:dyDescent="0.2">
      <c r="A443" s="4">
        <v>5</v>
      </c>
      <c r="B443" t="s">
        <v>401</v>
      </c>
    </row>
    <row r="444" spans="1:59" ht="2.25" customHeight="1" x14ac:dyDescent="0.2">
      <c r="A444" s="4"/>
    </row>
    <row r="445" spans="1:59" x14ac:dyDescent="0.2">
      <c r="A445" s="4">
        <v>6</v>
      </c>
      <c r="B445" t="s">
        <v>247</v>
      </c>
    </row>
    <row r="451" spans="48:55" x14ac:dyDescent="0.2">
      <c r="AV451" s="522"/>
      <c r="AW451" s="522"/>
      <c r="AX451" s="523"/>
      <c r="AY451" s="522"/>
      <c r="AZ451" s="522"/>
      <c r="BA451" s="522"/>
      <c r="BB451" s="533"/>
      <c r="BC451" s="533"/>
    </row>
  </sheetData>
  <customSheetViews>
    <customSheetView guid="{D2B860EA-92EC-4999-9A59-C624E1F8C7FB}" fitToPage="1" hiddenRows="1">
      <pane xSplit="3" ySplit="7" topLeftCell="AW110" activePane="bottomRight" state="frozen"/>
      <selection pane="bottomRight" activeCell="BF119" sqref="BF119"/>
      <rowBreaks count="4" manualBreakCount="4">
        <brk id="72" max="52" man="1"/>
        <brk id="202" max="16383" man="1"/>
        <brk id="266" max="16383" man="1"/>
        <brk id="374" max="16383" man="1"/>
      </rowBreaks>
      <colBreaks count="1" manualBreakCount="1">
        <brk id="59" max="1048575" man="1"/>
      </colBreaks>
      <pageMargins left="0.26" right="0.22" top="0.91" bottom="0.65" header="0.42" footer="0.5"/>
      <pageSetup paperSize="5" scale="17" fitToHeight="5" orientation="portrait" r:id="rId1"/>
      <headerFooter alignWithMargins="0">
        <oddHeader>&amp;L&amp;D&amp;C&amp;"Arial,Bold"&amp;14Carolina County
&amp;"Arial,Regular"GASB 34 Conversion Worksheet&amp;"Arial,Bold"
&amp;11to prepare the Government-wide Statements - (including  adjustments and consolidations)&amp;R&amp;P</oddHeader>
        <oddFooter>&amp;L&amp;F</oddFooter>
      </headerFooter>
    </customSheetView>
    <customSheetView guid="{C1197650-3ED8-49E4-8E4C-0D1D4B503FC0}" fitToPage="1" hiddenRows="1">
      <pane xSplit="3" ySplit="7" topLeftCell="AO83" activePane="bottomRight" state="frozen"/>
      <selection pane="bottomRight" activeCell="AQ138" sqref="AQ138"/>
      <rowBreaks count="4" manualBreakCount="4">
        <brk id="72" max="52" man="1"/>
        <brk id="202" max="16383" man="1"/>
        <brk id="266" max="16383" man="1"/>
        <brk id="374" max="16383" man="1"/>
      </rowBreaks>
      <colBreaks count="1" manualBreakCount="1">
        <brk id="59" max="1048575" man="1"/>
      </colBreaks>
      <pageMargins left="0.26" right="0.22" top="0.91" bottom="0.65" header="0.42" footer="0.5"/>
      <pageSetup paperSize="5" scale="17" fitToHeight="5" orientation="portrait" r:id="rId2"/>
      <headerFooter alignWithMargins="0">
        <oddHeader>&amp;L&amp;D&amp;C&amp;"Arial,Bold"&amp;14Carolina County
&amp;"Arial,Regular"GASB 34 Conversion Worksheet&amp;"Arial,Bold"
&amp;11to prepare the Government-wide Statements - (including  adjustments and consolidations)&amp;R&amp;P</oddHeader>
        <oddFooter>&amp;L&amp;F</oddFooter>
      </headerFooter>
    </customSheetView>
  </customSheetViews>
  <mergeCells count="59">
    <mergeCell ref="AL1:AM2"/>
    <mergeCell ref="L3:Y3"/>
    <mergeCell ref="AN3:AO3"/>
    <mergeCell ref="AN4:AO4"/>
    <mergeCell ref="X4:Y4"/>
    <mergeCell ref="L1:P1"/>
    <mergeCell ref="AJ1:AK2"/>
    <mergeCell ref="AH1:AI1"/>
    <mergeCell ref="AH2:AI2"/>
    <mergeCell ref="P4:Q4"/>
    <mergeCell ref="AF4:AG4"/>
    <mergeCell ref="R4:S4"/>
    <mergeCell ref="T4:U4"/>
    <mergeCell ref="V4:W4"/>
    <mergeCell ref="B440:AS440"/>
    <mergeCell ref="AU1:AY1"/>
    <mergeCell ref="AU2:AY2"/>
    <mergeCell ref="AJ4:AK4"/>
    <mergeCell ref="AL3:AM3"/>
    <mergeCell ref="AL4:AM4"/>
    <mergeCell ref="AH4:AI4"/>
    <mergeCell ref="AP1:AT1"/>
    <mergeCell ref="AP2:AT2"/>
    <mergeCell ref="AJ3:AK3"/>
    <mergeCell ref="AP4:AT4"/>
    <mergeCell ref="AU3:AY3"/>
    <mergeCell ref="AU4:AY4"/>
    <mergeCell ref="D4:E4"/>
    <mergeCell ref="H4:I4"/>
    <mergeCell ref="J4:K4"/>
    <mergeCell ref="BD214:BE214"/>
    <mergeCell ref="Z4:AA4"/>
    <mergeCell ref="AB4:AC4"/>
    <mergeCell ref="AD4:AE4"/>
    <mergeCell ref="B197:B212"/>
    <mergeCell ref="F4:G4"/>
    <mergeCell ref="L4:M4"/>
    <mergeCell ref="N4:O4"/>
    <mergeCell ref="BE1:BF1"/>
    <mergeCell ref="BB1:BC1"/>
    <mergeCell ref="AN2:AO2"/>
    <mergeCell ref="BF3:BG3"/>
    <mergeCell ref="BF4:BG4"/>
    <mergeCell ref="BD3:BE3"/>
    <mergeCell ref="BD4:BE4"/>
    <mergeCell ref="BB4:BC4"/>
    <mergeCell ref="D1:K1"/>
    <mergeCell ref="A388:C388"/>
    <mergeCell ref="A279:C279"/>
    <mergeCell ref="B270:B272"/>
    <mergeCell ref="B275:B277"/>
    <mergeCell ref="D3:K3"/>
    <mergeCell ref="B260:B262"/>
    <mergeCell ref="B265:B267"/>
    <mergeCell ref="B234:B236"/>
    <mergeCell ref="B245:B247"/>
    <mergeCell ref="B250:B252"/>
    <mergeCell ref="B255:B257"/>
    <mergeCell ref="B239:B242"/>
  </mergeCells>
  <phoneticPr fontId="14" type="noConversion"/>
  <pageMargins left="0.26" right="0.22" top="0.91" bottom="0.65" header="0.42" footer="0.5"/>
  <pageSetup paperSize="5" scale="17" fitToHeight="5" orientation="portrait" r:id="rId3"/>
  <headerFooter alignWithMargins="0">
    <oddHeader>&amp;L&amp;D&amp;C&amp;"Arial,Bold"&amp;14Carolina County
&amp;"Arial,Regular"GASB 34 Conversion Worksheet&amp;"Arial,Bold"
&amp;11to prepare the Government-wide Statements - (including  adjustments and consolidations)&amp;R&amp;P</oddHeader>
    <oddFooter>&amp;L&amp;F</oddFooter>
  </headerFooter>
  <rowBreaks count="4" manualBreakCount="4">
    <brk id="78" max="52" man="1"/>
    <brk id="213" max="16383" man="1"/>
    <brk id="278" max="16383" man="1"/>
    <brk id="387" max="16383" man="1"/>
  </rowBreaks>
  <colBreaks count="1" manualBreakCount="1">
    <brk id="59" max="1048575" man="1"/>
  </colBreaks>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811"/>
  <sheetViews>
    <sheetView workbookViewId="0"/>
  </sheetViews>
  <sheetFormatPr defaultColWidth="9.140625" defaultRowHeight="15" x14ac:dyDescent="0.25"/>
  <cols>
    <col min="1" max="1" width="10.5703125" style="774" customWidth="1"/>
    <col min="2" max="2" width="43.7109375" style="774" customWidth="1"/>
    <col min="3" max="4" width="13.85546875" style="774" customWidth="1"/>
    <col min="5" max="5" width="13.85546875" style="799" customWidth="1"/>
    <col min="6" max="6" width="18.28515625" style="774" customWidth="1"/>
    <col min="7" max="7" width="3.85546875" style="774" customWidth="1"/>
    <col min="8" max="8" width="18.28515625" style="774" customWidth="1"/>
    <col min="9" max="9" width="20" style="775" customWidth="1"/>
    <col min="10" max="10" width="14.42578125" style="774" customWidth="1"/>
    <col min="11" max="11" width="19.42578125" style="774" customWidth="1"/>
    <col min="12" max="12" width="20" style="775" customWidth="1"/>
    <col min="13" max="13" width="3.85546875" style="774" customWidth="1"/>
    <col min="14" max="14" width="18.28515625" style="774" customWidth="1"/>
    <col min="15" max="15" width="11.85546875" style="774" customWidth="1"/>
    <col min="16" max="16" width="19.42578125" style="774" customWidth="1"/>
    <col min="17" max="17" width="20" style="775" customWidth="1"/>
    <col min="18" max="18" width="3.85546875" style="774" customWidth="1"/>
    <col min="19" max="19" width="13.85546875" style="774" customWidth="1"/>
    <col min="20" max="20" width="22.42578125" style="774" customWidth="1"/>
    <col min="21" max="21" width="14.85546875" style="774" bestFit="1" customWidth="1"/>
    <col min="22" max="16384" width="9.140625" style="774"/>
  </cols>
  <sheetData>
    <row r="1" spans="1:21" x14ac:dyDescent="0.25">
      <c r="A1" s="774" t="s">
        <v>3657</v>
      </c>
      <c r="I1" s="774"/>
    </row>
    <row r="2" spans="1:21" x14ac:dyDescent="0.25">
      <c r="A2" s="774" t="s">
        <v>3658</v>
      </c>
      <c r="I2" s="774"/>
    </row>
    <row r="3" spans="1:21" x14ac:dyDescent="0.25">
      <c r="I3" s="774"/>
    </row>
    <row r="4" spans="1:21" x14ac:dyDescent="0.25">
      <c r="H4" s="776" t="s">
        <v>1144</v>
      </c>
      <c r="I4" s="776"/>
      <c r="J4" s="776"/>
      <c r="K4" s="776"/>
      <c r="L4" s="777"/>
      <c r="N4" s="776" t="s">
        <v>1145</v>
      </c>
      <c r="O4" s="776"/>
      <c r="P4" s="776"/>
      <c r="Q4" s="777"/>
      <c r="S4" s="776" t="s">
        <v>1146</v>
      </c>
      <c r="T4" s="776"/>
      <c r="U4" s="776"/>
    </row>
    <row r="5" spans="1:21" ht="120" x14ac:dyDescent="0.25">
      <c r="A5" s="778" t="s">
        <v>1147</v>
      </c>
      <c r="B5" s="778" t="s">
        <v>1148</v>
      </c>
      <c r="C5" s="778" t="s">
        <v>2087</v>
      </c>
      <c r="D5" s="778" t="s">
        <v>2088</v>
      </c>
      <c r="E5" s="800" t="s">
        <v>3951</v>
      </c>
      <c r="F5" s="778" t="s">
        <v>2028</v>
      </c>
      <c r="G5" s="778"/>
      <c r="H5" s="778" t="s">
        <v>1150</v>
      </c>
      <c r="I5" s="779" t="s">
        <v>1151</v>
      </c>
      <c r="J5" s="778" t="s">
        <v>1152</v>
      </c>
      <c r="K5" s="778" t="s">
        <v>1153</v>
      </c>
      <c r="L5" s="779" t="s">
        <v>3659</v>
      </c>
      <c r="M5" s="778"/>
      <c r="N5" s="778" t="s">
        <v>1150</v>
      </c>
      <c r="O5" s="778" t="s">
        <v>1152</v>
      </c>
      <c r="P5" s="778" t="s">
        <v>1153</v>
      </c>
      <c r="Q5" s="779" t="s">
        <v>3660</v>
      </c>
      <c r="R5" s="778"/>
      <c r="S5" s="778" t="s">
        <v>1154</v>
      </c>
      <c r="T5" s="778" t="s">
        <v>1155</v>
      </c>
      <c r="U5" s="778" t="s">
        <v>1156</v>
      </c>
    </row>
    <row r="6" spans="1:21" x14ac:dyDescent="0.25">
      <c r="A6" s="780" t="s">
        <v>822</v>
      </c>
      <c r="B6" s="781" t="s">
        <v>2086</v>
      </c>
      <c r="C6" s="778"/>
      <c r="D6" s="778"/>
      <c r="E6" s="800">
        <v>0</v>
      </c>
      <c r="F6" s="778"/>
      <c r="G6" s="778"/>
      <c r="H6" s="778"/>
      <c r="I6" s="779"/>
      <c r="J6" s="778"/>
      <c r="K6" s="778"/>
      <c r="L6" s="779"/>
      <c r="M6" s="778"/>
      <c r="N6" s="778"/>
      <c r="O6" s="778"/>
      <c r="P6" s="778"/>
      <c r="Q6" s="779"/>
      <c r="R6" s="778"/>
      <c r="S6" s="778"/>
      <c r="T6" s="778"/>
      <c r="U6" s="778"/>
    </row>
    <row r="7" spans="1:21" x14ac:dyDescent="0.25">
      <c r="A7" s="782">
        <v>70505</v>
      </c>
      <c r="B7" s="783" t="s">
        <v>2627</v>
      </c>
      <c r="C7" s="784">
        <v>4.147E-4</v>
      </c>
      <c r="D7" s="784">
        <v>4.6880000000000001E-4</v>
      </c>
      <c r="E7" s="800">
        <v>195765</v>
      </c>
      <c r="F7" s="785">
        <v>633547</v>
      </c>
      <c r="G7" s="785"/>
      <c r="H7" s="786">
        <v>36498</v>
      </c>
      <c r="I7" s="787">
        <v>153826</v>
      </c>
      <c r="J7" s="786">
        <v>90479</v>
      </c>
      <c r="K7" s="785">
        <v>0</v>
      </c>
      <c r="L7" s="787">
        <f t="shared" ref="L7:L70" si="0">H7+I7+J7+K7</f>
        <v>280803</v>
      </c>
      <c r="M7" s="785"/>
      <c r="N7" s="786">
        <v>17934</v>
      </c>
      <c r="O7" s="786">
        <v>0</v>
      </c>
      <c r="P7" s="785">
        <v>53472</v>
      </c>
      <c r="Q7" s="787">
        <f t="shared" ref="Q7:Q70" si="1">N7+O7+P7</f>
        <v>71406</v>
      </c>
      <c r="R7" s="785"/>
      <c r="S7" s="786">
        <v>213506</v>
      </c>
      <c r="T7" s="788">
        <v>-18259</v>
      </c>
      <c r="U7" s="788">
        <v>195247</v>
      </c>
    </row>
    <row r="8" spans="1:21" x14ac:dyDescent="0.25">
      <c r="A8" s="782">
        <v>72265</v>
      </c>
      <c r="B8" s="783" t="s">
        <v>2629</v>
      </c>
      <c r="C8" s="784">
        <v>1.4009999999999999E-4</v>
      </c>
      <c r="D8" s="784">
        <v>1.327E-4</v>
      </c>
      <c r="E8" s="800">
        <v>61817</v>
      </c>
      <c r="F8" s="785">
        <v>214034</v>
      </c>
      <c r="G8" s="785"/>
      <c r="H8" s="786">
        <v>12330</v>
      </c>
      <c r="I8" s="787">
        <v>51967</v>
      </c>
      <c r="J8" s="786">
        <v>30567</v>
      </c>
      <c r="K8" s="785">
        <v>6550</v>
      </c>
      <c r="L8" s="787">
        <f t="shared" si="0"/>
        <v>101414</v>
      </c>
      <c r="M8" s="785"/>
      <c r="N8" s="786">
        <v>6059</v>
      </c>
      <c r="O8" s="786">
        <v>0</v>
      </c>
      <c r="P8" s="785">
        <v>3729</v>
      </c>
      <c r="Q8" s="787">
        <f t="shared" si="1"/>
        <v>9788</v>
      </c>
      <c r="R8" s="785"/>
      <c r="S8" s="786">
        <v>72130</v>
      </c>
      <c r="T8" s="788">
        <v>3031</v>
      </c>
      <c r="U8" s="788">
        <v>75161</v>
      </c>
    </row>
    <row r="9" spans="1:21" x14ac:dyDescent="0.25">
      <c r="A9" s="782">
        <v>72593</v>
      </c>
      <c r="B9" s="783" t="s">
        <v>3661</v>
      </c>
      <c r="C9" s="784">
        <v>5.9000000000000003E-6</v>
      </c>
      <c r="D9" s="784">
        <v>0</v>
      </c>
      <c r="E9" s="800">
        <v>1531</v>
      </c>
      <c r="F9" s="785">
        <v>9014</v>
      </c>
      <c r="G9" s="785"/>
      <c r="H9" s="786">
        <v>519</v>
      </c>
      <c r="I9" s="787">
        <v>2188</v>
      </c>
      <c r="J9" s="786">
        <v>1287</v>
      </c>
      <c r="K9" s="785">
        <v>3014</v>
      </c>
      <c r="L9" s="787">
        <f t="shared" si="0"/>
        <v>7008</v>
      </c>
      <c r="M9" s="785"/>
      <c r="N9" s="786">
        <v>255</v>
      </c>
      <c r="O9" s="786">
        <v>0</v>
      </c>
      <c r="P9" s="785">
        <v>0</v>
      </c>
      <c r="Q9" s="787">
        <f t="shared" si="1"/>
        <v>255</v>
      </c>
      <c r="R9" s="785"/>
      <c r="S9" s="786">
        <v>3038</v>
      </c>
      <c r="T9" s="788">
        <v>753</v>
      </c>
      <c r="U9" s="788">
        <v>3791</v>
      </c>
    </row>
    <row r="10" spans="1:21" x14ac:dyDescent="0.25">
      <c r="A10" s="782">
        <v>72657</v>
      </c>
      <c r="B10" s="783" t="s">
        <v>2630</v>
      </c>
      <c r="C10" s="784">
        <v>3.9900000000000001E-5</v>
      </c>
      <c r="D10" s="784">
        <v>4.2799999999999997E-5</v>
      </c>
      <c r="E10" s="800">
        <v>16620</v>
      </c>
      <c r="F10" s="785">
        <v>60956</v>
      </c>
      <c r="G10" s="785"/>
      <c r="H10" s="786">
        <v>3512</v>
      </c>
      <c r="I10" s="787">
        <v>14801</v>
      </c>
      <c r="J10" s="786">
        <v>8705</v>
      </c>
      <c r="K10" s="785">
        <v>3272</v>
      </c>
      <c r="L10" s="787">
        <f t="shared" si="0"/>
        <v>30290</v>
      </c>
      <c r="M10" s="785"/>
      <c r="N10" s="786">
        <v>1725</v>
      </c>
      <c r="O10" s="786">
        <v>0</v>
      </c>
      <c r="P10" s="785">
        <v>6366</v>
      </c>
      <c r="Q10" s="787">
        <f t="shared" si="1"/>
        <v>8091</v>
      </c>
      <c r="R10" s="785"/>
      <c r="S10" s="786">
        <v>20542</v>
      </c>
      <c r="T10" s="788">
        <v>900</v>
      </c>
      <c r="U10" s="788">
        <v>21442</v>
      </c>
    </row>
    <row r="11" spans="1:21" x14ac:dyDescent="0.25">
      <c r="A11" s="782">
        <v>90001</v>
      </c>
      <c r="B11" s="783" t="s">
        <v>2631</v>
      </c>
      <c r="C11" s="784">
        <v>8.6030000000000004E-4</v>
      </c>
      <c r="D11" s="784">
        <v>8.6910000000000004E-4</v>
      </c>
      <c r="E11" s="800">
        <v>386652</v>
      </c>
      <c r="F11" s="785">
        <v>1314300</v>
      </c>
      <c r="G11" s="785"/>
      <c r="H11" s="786">
        <v>75716</v>
      </c>
      <c r="I11" s="787">
        <v>319114</v>
      </c>
      <c r="J11" s="786">
        <v>187700</v>
      </c>
      <c r="K11" s="785">
        <v>11972</v>
      </c>
      <c r="L11" s="787">
        <f t="shared" si="0"/>
        <v>594502</v>
      </c>
      <c r="M11" s="785"/>
      <c r="N11" s="786">
        <v>37204</v>
      </c>
      <c r="O11" s="786">
        <v>0</v>
      </c>
      <c r="P11" s="785">
        <v>15474</v>
      </c>
      <c r="Q11" s="787">
        <f t="shared" si="1"/>
        <v>52678</v>
      </c>
      <c r="R11" s="785"/>
      <c r="S11" s="786">
        <v>442920</v>
      </c>
      <c r="T11" s="788">
        <v>891</v>
      </c>
      <c r="U11" s="788">
        <f>443812-1</f>
        <v>443811</v>
      </c>
    </row>
    <row r="12" spans="1:21" x14ac:dyDescent="0.25">
      <c r="A12" s="782">
        <v>90002</v>
      </c>
      <c r="B12" s="783" t="s">
        <v>2632</v>
      </c>
      <c r="C12" s="784">
        <v>1.06E-5</v>
      </c>
      <c r="D12" s="784">
        <v>1.15E-5</v>
      </c>
      <c r="E12" s="800">
        <v>6253</v>
      </c>
      <c r="F12" s="785">
        <v>16194</v>
      </c>
      <c r="G12" s="785"/>
      <c r="H12" s="786">
        <v>933</v>
      </c>
      <c r="I12" s="787">
        <v>3932</v>
      </c>
      <c r="J12" s="786">
        <v>2313</v>
      </c>
      <c r="K12" s="785">
        <v>1497</v>
      </c>
      <c r="L12" s="787">
        <f t="shared" si="0"/>
        <v>8675</v>
      </c>
      <c r="M12" s="785"/>
      <c r="N12" s="786">
        <v>458</v>
      </c>
      <c r="O12" s="786">
        <v>0</v>
      </c>
      <c r="P12" s="785">
        <v>0</v>
      </c>
      <c r="Q12" s="787">
        <f t="shared" si="1"/>
        <v>458</v>
      </c>
      <c r="R12" s="785"/>
      <c r="S12" s="786">
        <v>5457</v>
      </c>
      <c r="T12" s="788">
        <v>563</v>
      </c>
      <c r="U12" s="788">
        <v>6020</v>
      </c>
    </row>
    <row r="13" spans="1:21" x14ac:dyDescent="0.25">
      <c r="A13" s="782">
        <v>90011</v>
      </c>
      <c r="B13" s="783" t="s">
        <v>2633</v>
      </c>
      <c r="C13" s="784">
        <v>1.974E-4</v>
      </c>
      <c r="D13" s="784">
        <v>2.0819999999999999E-4</v>
      </c>
      <c r="E13" s="800">
        <v>84205</v>
      </c>
      <c r="F13" s="785">
        <v>301573</v>
      </c>
      <c r="G13" s="785"/>
      <c r="H13" s="786">
        <v>17373</v>
      </c>
      <c r="I13" s="787">
        <v>73222</v>
      </c>
      <c r="J13" s="786">
        <v>43069</v>
      </c>
      <c r="K13" s="785">
        <v>2300</v>
      </c>
      <c r="L13" s="787">
        <f t="shared" si="0"/>
        <v>135964</v>
      </c>
      <c r="M13" s="785"/>
      <c r="N13" s="786">
        <v>8537</v>
      </c>
      <c r="O13" s="786">
        <v>0</v>
      </c>
      <c r="P13" s="785">
        <v>30094</v>
      </c>
      <c r="Q13" s="787">
        <f t="shared" si="1"/>
        <v>38631</v>
      </c>
      <c r="R13" s="785"/>
      <c r="S13" s="786">
        <v>101630</v>
      </c>
      <c r="T13" s="788">
        <v>-7615</v>
      </c>
      <c r="U13" s="788">
        <v>94015</v>
      </c>
    </row>
    <row r="14" spans="1:21" x14ac:dyDescent="0.25">
      <c r="A14" s="782">
        <v>90092</v>
      </c>
      <c r="B14" s="783" t="s">
        <v>2634</v>
      </c>
      <c r="C14" s="784">
        <v>3.5349999999999997E-4</v>
      </c>
      <c r="D14" s="784">
        <v>3.946E-4</v>
      </c>
      <c r="E14" s="800">
        <v>186641</v>
      </c>
      <c r="F14" s="785">
        <v>540050</v>
      </c>
      <c r="G14" s="785"/>
      <c r="H14" s="786">
        <v>31112</v>
      </c>
      <c r="I14" s="787">
        <v>131125</v>
      </c>
      <c r="J14" s="786">
        <v>77127</v>
      </c>
      <c r="K14" s="785">
        <v>0</v>
      </c>
      <c r="L14" s="787">
        <f t="shared" si="0"/>
        <v>239364</v>
      </c>
      <c r="M14" s="785"/>
      <c r="N14" s="786">
        <v>15287</v>
      </c>
      <c r="O14" s="786">
        <v>0</v>
      </c>
      <c r="P14" s="785">
        <v>83168</v>
      </c>
      <c r="Q14" s="787">
        <f t="shared" si="1"/>
        <v>98455</v>
      </c>
      <c r="R14" s="785"/>
      <c r="S14" s="786">
        <v>181997</v>
      </c>
      <c r="T14" s="788">
        <v>-42793</v>
      </c>
      <c r="U14" s="788">
        <f>139205-1</f>
        <v>139204</v>
      </c>
    </row>
    <row r="15" spans="1:21" x14ac:dyDescent="0.25">
      <c r="A15" s="782">
        <v>90096</v>
      </c>
      <c r="B15" s="783" t="s">
        <v>2635</v>
      </c>
      <c r="C15" s="784">
        <v>9.7559999999999997E-4</v>
      </c>
      <c r="D15" s="784">
        <v>1.3860999999999999E-3</v>
      </c>
      <c r="E15" s="800">
        <v>535127</v>
      </c>
      <c r="F15" s="785">
        <v>1490447</v>
      </c>
      <c r="G15" s="785"/>
      <c r="H15" s="786">
        <v>85864</v>
      </c>
      <c r="I15" s="787">
        <v>361882</v>
      </c>
      <c r="J15" s="786">
        <v>212856</v>
      </c>
      <c r="K15" s="785">
        <v>43597</v>
      </c>
      <c r="L15" s="787">
        <f t="shared" si="0"/>
        <v>704199</v>
      </c>
      <c r="M15" s="785"/>
      <c r="N15" s="786">
        <v>42190</v>
      </c>
      <c r="O15" s="786">
        <v>0</v>
      </c>
      <c r="P15" s="785">
        <v>238564</v>
      </c>
      <c r="Q15" s="787">
        <f t="shared" si="1"/>
        <v>280754</v>
      </c>
      <c r="R15" s="785"/>
      <c r="S15" s="786">
        <v>502282</v>
      </c>
      <c r="T15" s="788">
        <v>-27538</v>
      </c>
      <c r="U15" s="788">
        <v>474744</v>
      </c>
    </row>
    <row r="16" spans="1:21" x14ac:dyDescent="0.25">
      <c r="A16" s="782">
        <v>90098</v>
      </c>
      <c r="B16" s="783" t="s">
        <v>2636</v>
      </c>
      <c r="C16" s="784">
        <v>2.9599999999999998E-4</v>
      </c>
      <c r="D16" s="784">
        <v>2.9280000000000002E-4</v>
      </c>
      <c r="E16" s="800">
        <v>140184</v>
      </c>
      <c r="F16" s="785">
        <v>452206</v>
      </c>
      <c r="G16" s="785"/>
      <c r="H16" s="786">
        <v>26051</v>
      </c>
      <c r="I16" s="787">
        <v>109796</v>
      </c>
      <c r="J16" s="786">
        <v>64581</v>
      </c>
      <c r="K16" s="785">
        <v>5581</v>
      </c>
      <c r="L16" s="787">
        <f t="shared" si="0"/>
        <v>206009</v>
      </c>
      <c r="M16" s="785"/>
      <c r="N16" s="786">
        <v>12801</v>
      </c>
      <c r="O16" s="786">
        <v>0</v>
      </c>
      <c r="P16" s="785">
        <v>110893</v>
      </c>
      <c r="Q16" s="787">
        <f t="shared" si="1"/>
        <v>123694</v>
      </c>
      <c r="R16" s="785"/>
      <c r="S16" s="786">
        <v>152394</v>
      </c>
      <c r="T16" s="788">
        <v>-51374</v>
      </c>
      <c r="U16" s="788">
        <v>101020</v>
      </c>
    </row>
    <row r="17" spans="1:21" x14ac:dyDescent="0.25">
      <c r="A17" s="782">
        <v>90099</v>
      </c>
      <c r="B17" s="783" t="s">
        <v>2637</v>
      </c>
      <c r="C17" s="784">
        <v>6.6330000000000002E-4</v>
      </c>
      <c r="D17" s="784">
        <v>4.9330000000000001E-4</v>
      </c>
      <c r="E17" s="800">
        <v>271208</v>
      </c>
      <c r="F17" s="785">
        <v>1013339</v>
      </c>
      <c r="G17" s="785"/>
      <c r="H17" s="786">
        <v>58378</v>
      </c>
      <c r="I17" s="787">
        <v>246040</v>
      </c>
      <c r="J17" s="786">
        <v>144719</v>
      </c>
      <c r="K17" s="785">
        <v>89744</v>
      </c>
      <c r="L17" s="787">
        <f t="shared" si="0"/>
        <v>538881</v>
      </c>
      <c r="M17" s="785"/>
      <c r="N17" s="786">
        <v>28684</v>
      </c>
      <c r="O17" s="786">
        <v>0</v>
      </c>
      <c r="P17" s="785">
        <v>44006</v>
      </c>
      <c r="Q17" s="787">
        <f t="shared" si="1"/>
        <v>72690</v>
      </c>
      <c r="R17" s="785"/>
      <c r="S17" s="786">
        <v>341496</v>
      </c>
      <c r="T17" s="788">
        <v>7780</v>
      </c>
      <c r="U17" s="788">
        <v>349276</v>
      </c>
    </row>
    <row r="18" spans="1:21" x14ac:dyDescent="0.25">
      <c r="A18" s="782">
        <v>90101</v>
      </c>
      <c r="B18" s="783" t="s">
        <v>2638</v>
      </c>
      <c r="C18" s="784">
        <v>6.6312000000000003E-3</v>
      </c>
      <c r="D18" s="784">
        <v>6.3996000000000001E-3</v>
      </c>
      <c r="E18" s="800">
        <v>2960721</v>
      </c>
      <c r="F18" s="785">
        <v>10130637</v>
      </c>
      <c r="G18" s="785"/>
      <c r="H18" s="786">
        <v>583619</v>
      </c>
      <c r="I18" s="787">
        <v>2459731</v>
      </c>
      <c r="J18" s="786">
        <v>1446795</v>
      </c>
      <c r="K18" s="785">
        <v>245836</v>
      </c>
      <c r="L18" s="787">
        <f t="shared" si="0"/>
        <v>4735981</v>
      </c>
      <c r="M18" s="785"/>
      <c r="N18" s="786">
        <v>286766</v>
      </c>
      <c r="O18" s="786">
        <v>0</v>
      </c>
      <c r="P18" s="785">
        <v>25616</v>
      </c>
      <c r="Q18" s="787">
        <f t="shared" si="1"/>
        <v>312382</v>
      </c>
      <c r="R18" s="785"/>
      <c r="S18" s="786">
        <v>3414034</v>
      </c>
      <c r="T18" s="788">
        <v>67895</v>
      </c>
      <c r="U18" s="788">
        <f>3481928+1</f>
        <v>3481929</v>
      </c>
    </row>
    <row r="19" spans="1:21" x14ac:dyDescent="0.25">
      <c r="A19" s="782">
        <v>90111</v>
      </c>
      <c r="B19" s="783" t="s">
        <v>2639</v>
      </c>
      <c r="C19" s="784">
        <v>4.9740000000000001E-3</v>
      </c>
      <c r="D19" s="784">
        <v>4.8874000000000001E-3</v>
      </c>
      <c r="E19" s="800">
        <v>2229766</v>
      </c>
      <c r="F19" s="785">
        <v>7598894</v>
      </c>
      <c r="G19" s="785"/>
      <c r="H19" s="786">
        <v>437767</v>
      </c>
      <c r="I19" s="787">
        <v>1845021</v>
      </c>
      <c r="J19" s="786">
        <v>1085227</v>
      </c>
      <c r="K19" s="785">
        <v>15088</v>
      </c>
      <c r="L19" s="787">
        <f t="shared" si="0"/>
        <v>3383103</v>
      </c>
      <c r="M19" s="785"/>
      <c r="N19" s="786">
        <v>215101</v>
      </c>
      <c r="O19" s="786">
        <v>0</v>
      </c>
      <c r="P19" s="785">
        <v>106602</v>
      </c>
      <c r="Q19" s="787">
        <f t="shared" si="1"/>
        <v>321703</v>
      </c>
      <c r="R19" s="785"/>
      <c r="S19" s="786">
        <v>2560834</v>
      </c>
      <c r="T19" s="788">
        <v>-53609</v>
      </c>
      <c r="U19" s="788">
        <v>2507225</v>
      </c>
    </row>
    <row r="20" spans="1:21" x14ac:dyDescent="0.25">
      <c r="A20" s="782">
        <v>90114</v>
      </c>
      <c r="B20" s="783" t="s">
        <v>2640</v>
      </c>
      <c r="C20" s="784">
        <v>1.0919E-3</v>
      </c>
      <c r="D20" s="784">
        <v>1.0681E-3</v>
      </c>
      <c r="E20" s="800">
        <v>1108464</v>
      </c>
      <c r="F20" s="785">
        <v>1668121</v>
      </c>
      <c r="G20" s="785"/>
      <c r="H20" s="786">
        <v>96099</v>
      </c>
      <c r="I20" s="787">
        <v>405022</v>
      </c>
      <c r="J20" s="786">
        <v>238231</v>
      </c>
      <c r="K20" s="785">
        <v>1077044</v>
      </c>
      <c r="L20" s="787">
        <f t="shared" si="0"/>
        <v>1816396</v>
      </c>
      <c r="M20" s="785"/>
      <c r="N20" s="786">
        <v>47219</v>
      </c>
      <c r="O20" s="786">
        <v>0</v>
      </c>
      <c r="P20" s="785">
        <v>0</v>
      </c>
      <c r="Q20" s="787">
        <f t="shared" si="1"/>
        <v>47219</v>
      </c>
      <c r="R20" s="785"/>
      <c r="S20" s="786">
        <v>562158</v>
      </c>
      <c r="T20" s="788">
        <v>371192</v>
      </c>
      <c r="U20" s="788">
        <v>933350</v>
      </c>
    </row>
    <row r="21" spans="1:21" x14ac:dyDescent="0.25">
      <c r="A21" s="782">
        <v>90117</v>
      </c>
      <c r="B21" s="783" t="s">
        <v>2641</v>
      </c>
      <c r="C21" s="784">
        <v>1.407E-4</v>
      </c>
      <c r="D21" s="784">
        <v>1.35E-4</v>
      </c>
      <c r="E21" s="800">
        <v>80147</v>
      </c>
      <c r="F21" s="785">
        <v>214951</v>
      </c>
      <c r="G21" s="785"/>
      <c r="H21" s="786">
        <v>12383</v>
      </c>
      <c r="I21" s="787">
        <v>52190</v>
      </c>
      <c r="J21" s="786">
        <v>30698</v>
      </c>
      <c r="K21" s="785">
        <v>44526</v>
      </c>
      <c r="L21" s="787">
        <f t="shared" si="0"/>
        <v>139797</v>
      </c>
      <c r="M21" s="785"/>
      <c r="N21" s="786">
        <v>6085</v>
      </c>
      <c r="O21" s="786">
        <v>0</v>
      </c>
      <c r="P21" s="785">
        <v>0</v>
      </c>
      <c r="Q21" s="787">
        <f t="shared" si="1"/>
        <v>6085</v>
      </c>
      <c r="R21" s="785"/>
      <c r="S21" s="786">
        <v>72439</v>
      </c>
      <c r="T21" s="788">
        <v>18359</v>
      </c>
      <c r="U21" s="788">
        <f>90797+1</f>
        <v>90798</v>
      </c>
    </row>
    <row r="22" spans="1:21" x14ac:dyDescent="0.25">
      <c r="A22" s="782">
        <v>90121</v>
      </c>
      <c r="B22" s="783" t="s">
        <v>2642</v>
      </c>
      <c r="C22" s="784">
        <v>1.0991E-3</v>
      </c>
      <c r="D22" s="784">
        <v>1.0789E-3</v>
      </c>
      <c r="E22" s="800">
        <v>452142</v>
      </c>
      <c r="F22" s="785">
        <v>1679120</v>
      </c>
      <c r="G22" s="785"/>
      <c r="H22" s="786">
        <v>96733</v>
      </c>
      <c r="I22" s="787">
        <v>407692</v>
      </c>
      <c r="J22" s="786">
        <v>239802</v>
      </c>
      <c r="K22" s="785">
        <v>3244</v>
      </c>
      <c r="L22" s="787">
        <f t="shared" si="0"/>
        <v>747471</v>
      </c>
      <c r="M22" s="785"/>
      <c r="N22" s="786">
        <v>47531</v>
      </c>
      <c r="O22" s="786">
        <v>0</v>
      </c>
      <c r="P22" s="785">
        <v>81552</v>
      </c>
      <c r="Q22" s="787">
        <f t="shared" si="1"/>
        <v>129083</v>
      </c>
      <c r="R22" s="785"/>
      <c r="S22" s="786">
        <v>565865</v>
      </c>
      <c r="T22" s="788">
        <v>-25049</v>
      </c>
      <c r="U22" s="788">
        <v>540816</v>
      </c>
    </row>
    <row r="23" spans="1:21" x14ac:dyDescent="0.25">
      <c r="A23" s="782">
        <v>90131</v>
      </c>
      <c r="B23" s="783" t="s">
        <v>2643</v>
      </c>
      <c r="C23" s="784">
        <v>4.7639999999999998E-4</v>
      </c>
      <c r="D23" s="784">
        <v>5.0440000000000001E-4</v>
      </c>
      <c r="E23" s="800">
        <v>207243</v>
      </c>
      <c r="F23" s="785">
        <v>727807</v>
      </c>
      <c r="G23" s="785"/>
      <c r="H23" s="786">
        <v>41928</v>
      </c>
      <c r="I23" s="787">
        <v>176712</v>
      </c>
      <c r="J23" s="786">
        <v>103941</v>
      </c>
      <c r="K23" s="785">
        <v>0</v>
      </c>
      <c r="L23" s="787">
        <f t="shared" si="0"/>
        <v>322581</v>
      </c>
      <c r="M23" s="785"/>
      <c r="N23" s="786">
        <v>20602</v>
      </c>
      <c r="O23" s="786">
        <v>0</v>
      </c>
      <c r="P23" s="785">
        <v>42066</v>
      </c>
      <c r="Q23" s="787">
        <f t="shared" si="1"/>
        <v>62668</v>
      </c>
      <c r="R23" s="785"/>
      <c r="S23" s="786">
        <v>245272</v>
      </c>
      <c r="T23" s="788">
        <v>-15937</v>
      </c>
      <c r="U23" s="788">
        <v>229335</v>
      </c>
    </row>
    <row r="24" spans="1:21" x14ac:dyDescent="0.25">
      <c r="A24" s="782">
        <v>90141</v>
      </c>
      <c r="B24" s="783" t="s">
        <v>2644</v>
      </c>
      <c r="C24" s="784">
        <v>1.4779999999999999E-4</v>
      </c>
      <c r="D24" s="784">
        <v>1.306E-4</v>
      </c>
      <c r="E24" s="800">
        <v>62655</v>
      </c>
      <c r="F24" s="785">
        <v>225797</v>
      </c>
      <c r="G24" s="785"/>
      <c r="H24" s="786">
        <v>13008</v>
      </c>
      <c r="I24" s="787">
        <v>54824</v>
      </c>
      <c r="J24" s="786">
        <v>32247</v>
      </c>
      <c r="K24" s="785">
        <v>8660</v>
      </c>
      <c r="L24" s="787">
        <f t="shared" si="0"/>
        <v>108739</v>
      </c>
      <c r="M24" s="785"/>
      <c r="N24" s="786">
        <v>6392</v>
      </c>
      <c r="O24" s="786">
        <v>0</v>
      </c>
      <c r="P24" s="785">
        <v>10174</v>
      </c>
      <c r="Q24" s="787">
        <f t="shared" si="1"/>
        <v>16566</v>
      </c>
      <c r="R24" s="785"/>
      <c r="S24" s="786">
        <v>76094</v>
      </c>
      <c r="T24" s="788">
        <v>-857</v>
      </c>
      <c r="U24" s="788">
        <v>75237</v>
      </c>
    </row>
    <row r="25" spans="1:21" x14ac:dyDescent="0.25">
      <c r="A25" s="782">
        <v>90151</v>
      </c>
      <c r="B25" s="783" t="s">
        <v>2645</v>
      </c>
      <c r="C25" s="784">
        <v>9.9000000000000001E-6</v>
      </c>
      <c r="D25" s="784">
        <v>1.0000000000000001E-5</v>
      </c>
      <c r="E25" s="800">
        <v>3085</v>
      </c>
      <c r="F25" s="785">
        <v>15124</v>
      </c>
      <c r="G25" s="785"/>
      <c r="H25" s="786">
        <v>871</v>
      </c>
      <c r="I25" s="787">
        <v>3672</v>
      </c>
      <c r="J25" s="786">
        <v>2160</v>
      </c>
      <c r="K25" s="785">
        <v>0</v>
      </c>
      <c r="L25" s="787">
        <f t="shared" si="0"/>
        <v>6703</v>
      </c>
      <c r="M25" s="785"/>
      <c r="N25" s="786">
        <v>428</v>
      </c>
      <c r="O25" s="786">
        <v>0</v>
      </c>
      <c r="P25" s="785">
        <v>2719</v>
      </c>
      <c r="Q25" s="787">
        <f t="shared" si="1"/>
        <v>3147</v>
      </c>
      <c r="R25" s="785"/>
      <c r="S25" s="786">
        <v>5097</v>
      </c>
      <c r="T25" s="788">
        <v>-1090</v>
      </c>
      <c r="U25" s="788">
        <v>4007</v>
      </c>
    </row>
    <row r="26" spans="1:21" x14ac:dyDescent="0.25">
      <c r="A26" s="782">
        <v>90161</v>
      </c>
      <c r="B26" s="783" t="s">
        <v>2646</v>
      </c>
      <c r="C26" s="784">
        <v>3.4199999999999998E-5</v>
      </c>
      <c r="D26" s="784">
        <v>3.4799999999999999E-5</v>
      </c>
      <c r="E26" s="800">
        <v>15627</v>
      </c>
      <c r="F26" s="785">
        <v>52248</v>
      </c>
      <c r="G26" s="785"/>
      <c r="H26" s="786">
        <v>3010</v>
      </c>
      <c r="I26" s="787">
        <v>12686</v>
      </c>
      <c r="J26" s="786">
        <v>7462</v>
      </c>
      <c r="K26" s="785">
        <v>4022</v>
      </c>
      <c r="L26" s="787">
        <f t="shared" si="0"/>
        <v>27180</v>
      </c>
      <c r="M26" s="785"/>
      <c r="N26" s="786">
        <v>1479</v>
      </c>
      <c r="O26" s="786">
        <v>0</v>
      </c>
      <c r="P26" s="785">
        <v>462</v>
      </c>
      <c r="Q26" s="787">
        <f t="shared" si="1"/>
        <v>1941</v>
      </c>
      <c r="R26" s="785"/>
      <c r="S26" s="786">
        <v>17608</v>
      </c>
      <c r="T26" s="788">
        <v>1591</v>
      </c>
      <c r="U26" s="788">
        <v>19199</v>
      </c>
    </row>
    <row r="27" spans="1:21" x14ac:dyDescent="0.25">
      <c r="A27" s="782">
        <v>90201</v>
      </c>
      <c r="B27" s="783" t="s">
        <v>2647</v>
      </c>
      <c r="C27" s="784">
        <v>1.2126999999999999E-3</v>
      </c>
      <c r="D27" s="784">
        <v>1.2419E-3</v>
      </c>
      <c r="E27" s="800">
        <v>536124</v>
      </c>
      <c r="F27" s="785">
        <v>1852670</v>
      </c>
      <c r="G27" s="785"/>
      <c r="H27" s="786">
        <v>106731</v>
      </c>
      <c r="I27" s="787">
        <v>449830</v>
      </c>
      <c r="J27" s="786">
        <v>264587</v>
      </c>
      <c r="K27" s="785">
        <v>36621</v>
      </c>
      <c r="L27" s="787">
        <f t="shared" si="0"/>
        <v>857769</v>
      </c>
      <c r="M27" s="785"/>
      <c r="N27" s="786">
        <v>52443</v>
      </c>
      <c r="O27" s="786">
        <v>0</v>
      </c>
      <c r="P27" s="785">
        <v>36396</v>
      </c>
      <c r="Q27" s="787">
        <f t="shared" si="1"/>
        <v>88839</v>
      </c>
      <c r="R27" s="785"/>
      <c r="S27" s="786">
        <v>624351</v>
      </c>
      <c r="T27" s="788">
        <v>24941</v>
      </c>
      <c r="U27" s="788">
        <v>649292</v>
      </c>
    </row>
    <row r="28" spans="1:21" x14ac:dyDescent="0.25">
      <c r="A28" s="782">
        <v>90203</v>
      </c>
      <c r="B28" s="783" t="s">
        <v>2648</v>
      </c>
      <c r="C28" s="784">
        <v>1.994E-4</v>
      </c>
      <c r="D28" s="784">
        <v>2.3680000000000001E-4</v>
      </c>
      <c r="E28" s="800">
        <v>91056</v>
      </c>
      <c r="F28" s="785">
        <v>304628</v>
      </c>
      <c r="G28" s="785"/>
      <c r="H28" s="786">
        <v>17549</v>
      </c>
      <c r="I28" s="787">
        <v>73964</v>
      </c>
      <c r="J28" s="786">
        <v>43505</v>
      </c>
      <c r="K28" s="785">
        <v>2154</v>
      </c>
      <c r="L28" s="787">
        <f t="shared" si="0"/>
        <v>137172</v>
      </c>
      <c r="M28" s="785"/>
      <c r="N28" s="786">
        <v>8623</v>
      </c>
      <c r="O28" s="786">
        <v>0</v>
      </c>
      <c r="P28" s="785">
        <v>49077</v>
      </c>
      <c r="Q28" s="787">
        <f t="shared" si="1"/>
        <v>57700</v>
      </c>
      <c r="R28" s="785"/>
      <c r="S28" s="786">
        <v>102660</v>
      </c>
      <c r="T28" s="788">
        <v>-18026</v>
      </c>
      <c r="U28" s="788">
        <v>84634</v>
      </c>
    </row>
    <row r="29" spans="1:21" x14ac:dyDescent="0.25">
      <c r="A29" s="782">
        <v>90205</v>
      </c>
      <c r="B29" s="783" t="s">
        <v>2649</v>
      </c>
      <c r="C29" s="784">
        <v>3.0000000000000001E-5</v>
      </c>
      <c r="D29" s="784">
        <v>3.3599999999999997E-5</v>
      </c>
      <c r="E29" s="800">
        <v>14233</v>
      </c>
      <c r="F29" s="785">
        <v>45832</v>
      </c>
      <c r="G29" s="785"/>
      <c r="H29" s="786">
        <v>2640</v>
      </c>
      <c r="I29" s="787">
        <v>11128</v>
      </c>
      <c r="J29" s="786">
        <v>6545</v>
      </c>
      <c r="K29" s="785">
        <v>769</v>
      </c>
      <c r="L29" s="787">
        <f t="shared" si="0"/>
        <v>21082</v>
      </c>
      <c r="M29" s="785"/>
      <c r="N29" s="786">
        <v>1297</v>
      </c>
      <c r="O29" s="786">
        <v>0</v>
      </c>
      <c r="P29" s="785">
        <v>2625</v>
      </c>
      <c r="Q29" s="787">
        <f t="shared" si="1"/>
        <v>3922</v>
      </c>
      <c r="R29" s="785"/>
      <c r="S29" s="786">
        <v>15445</v>
      </c>
      <c r="T29" s="788">
        <v>-105</v>
      </c>
      <c r="U29" s="788">
        <v>15340</v>
      </c>
    </row>
    <row r="30" spans="1:21" x14ac:dyDescent="0.25">
      <c r="A30" s="782">
        <v>90206</v>
      </c>
      <c r="B30" s="783" t="s">
        <v>2650</v>
      </c>
      <c r="C30" s="784">
        <v>4.2069999999999998E-4</v>
      </c>
      <c r="D30" s="784">
        <v>4.347E-4</v>
      </c>
      <c r="E30" s="800">
        <v>184249</v>
      </c>
      <c r="F30" s="785">
        <v>642713</v>
      </c>
      <c r="G30" s="785"/>
      <c r="H30" s="786">
        <v>37026</v>
      </c>
      <c r="I30" s="787">
        <v>156051</v>
      </c>
      <c r="J30" s="786">
        <v>91788</v>
      </c>
      <c r="K30" s="785">
        <v>8978</v>
      </c>
      <c r="L30" s="787">
        <f t="shared" si="0"/>
        <v>293843</v>
      </c>
      <c r="M30" s="785"/>
      <c r="N30" s="786">
        <v>18193</v>
      </c>
      <c r="O30" s="786">
        <v>0</v>
      </c>
      <c r="P30" s="785">
        <v>25382</v>
      </c>
      <c r="Q30" s="787">
        <f t="shared" si="1"/>
        <v>43575</v>
      </c>
      <c r="R30" s="785"/>
      <c r="S30" s="786">
        <v>216595</v>
      </c>
      <c r="T30" s="788">
        <v>1315</v>
      </c>
      <c r="U30" s="788">
        <v>217910</v>
      </c>
    </row>
    <row r="31" spans="1:21" x14ac:dyDescent="0.25">
      <c r="A31" s="782">
        <v>90211</v>
      </c>
      <c r="B31" s="783" t="s">
        <v>2651</v>
      </c>
      <c r="C31" s="784">
        <v>1.4799999999999999E-4</v>
      </c>
      <c r="D31" s="784">
        <v>1.5689999999999999E-4</v>
      </c>
      <c r="E31" s="800">
        <v>71260</v>
      </c>
      <c r="F31" s="785">
        <v>226103</v>
      </c>
      <c r="G31" s="785"/>
      <c r="H31" s="786">
        <v>13026</v>
      </c>
      <c r="I31" s="787">
        <v>54898</v>
      </c>
      <c r="J31" s="786">
        <v>32291</v>
      </c>
      <c r="K31" s="785">
        <v>0</v>
      </c>
      <c r="L31" s="787">
        <f t="shared" si="0"/>
        <v>100215</v>
      </c>
      <c r="M31" s="785"/>
      <c r="N31" s="786">
        <v>6400</v>
      </c>
      <c r="O31" s="786">
        <v>0</v>
      </c>
      <c r="P31" s="785">
        <v>15344</v>
      </c>
      <c r="Q31" s="787">
        <f t="shared" si="1"/>
        <v>21744</v>
      </c>
      <c r="R31" s="785"/>
      <c r="S31" s="786">
        <v>76197</v>
      </c>
      <c r="T31" s="788">
        <v>-6134</v>
      </c>
      <c r="U31" s="788">
        <v>70063</v>
      </c>
    </row>
    <row r="32" spans="1:21" x14ac:dyDescent="0.25">
      <c r="A32" s="782">
        <v>90301</v>
      </c>
      <c r="B32" s="783" t="s">
        <v>2652</v>
      </c>
      <c r="C32" s="784">
        <v>6.7040000000000003E-4</v>
      </c>
      <c r="D32" s="784">
        <v>6.4000000000000005E-4</v>
      </c>
      <c r="E32" s="800">
        <v>280575</v>
      </c>
      <c r="F32" s="785">
        <v>1024185</v>
      </c>
      <c r="G32" s="785"/>
      <c r="H32" s="786">
        <v>59003</v>
      </c>
      <c r="I32" s="787">
        <v>248673</v>
      </c>
      <c r="J32" s="786">
        <v>146268</v>
      </c>
      <c r="K32" s="785">
        <v>4314</v>
      </c>
      <c r="L32" s="787">
        <f t="shared" si="0"/>
        <v>458258</v>
      </c>
      <c r="M32" s="785"/>
      <c r="N32" s="786">
        <v>28991</v>
      </c>
      <c r="O32" s="786">
        <v>0</v>
      </c>
      <c r="P32" s="785">
        <v>13341</v>
      </c>
      <c r="Q32" s="787">
        <f t="shared" si="1"/>
        <v>42332</v>
      </c>
      <c r="R32" s="785"/>
      <c r="S32" s="786">
        <v>345151</v>
      </c>
      <c r="T32" s="788">
        <v>-5567</v>
      </c>
      <c r="U32" s="788">
        <v>339584</v>
      </c>
    </row>
    <row r="33" spans="1:21" x14ac:dyDescent="0.25">
      <c r="A33" s="782">
        <v>90305</v>
      </c>
      <c r="B33" s="783" t="s">
        <v>2653</v>
      </c>
      <c r="C33" s="784">
        <v>1.617E-4</v>
      </c>
      <c r="D33" s="784">
        <v>1.7009999999999999E-4</v>
      </c>
      <c r="E33" s="800">
        <v>85892</v>
      </c>
      <c r="F33" s="785">
        <v>247033</v>
      </c>
      <c r="G33" s="785"/>
      <c r="H33" s="786">
        <v>14231</v>
      </c>
      <c r="I33" s="787">
        <v>59980</v>
      </c>
      <c r="J33" s="786">
        <v>35280</v>
      </c>
      <c r="K33" s="785">
        <v>20715</v>
      </c>
      <c r="L33" s="787">
        <f t="shared" si="0"/>
        <v>130206</v>
      </c>
      <c r="M33" s="785"/>
      <c r="N33" s="786">
        <v>6993</v>
      </c>
      <c r="O33" s="786">
        <v>0</v>
      </c>
      <c r="P33" s="785">
        <v>0</v>
      </c>
      <c r="Q33" s="787">
        <f t="shared" si="1"/>
        <v>6993</v>
      </c>
      <c r="R33" s="785"/>
      <c r="S33" s="786">
        <v>83250</v>
      </c>
      <c r="T33" s="788">
        <v>10025</v>
      </c>
      <c r="U33" s="788">
        <v>93275</v>
      </c>
    </row>
    <row r="34" spans="1:21" x14ac:dyDescent="0.25">
      <c r="A34" s="782">
        <v>90307</v>
      </c>
      <c r="B34" s="783" t="s">
        <v>2654</v>
      </c>
      <c r="C34" s="784">
        <v>7.7999999999999999E-6</v>
      </c>
      <c r="D34" s="784">
        <v>7.7000000000000008E-6</v>
      </c>
      <c r="E34" s="800">
        <v>4130</v>
      </c>
      <c r="F34" s="785">
        <v>11916</v>
      </c>
      <c r="G34" s="785"/>
      <c r="H34" s="786">
        <v>686</v>
      </c>
      <c r="I34" s="787">
        <v>2893</v>
      </c>
      <c r="J34" s="786">
        <v>1702</v>
      </c>
      <c r="K34" s="785">
        <v>647</v>
      </c>
      <c r="L34" s="787">
        <f t="shared" si="0"/>
        <v>5928</v>
      </c>
      <c r="M34" s="785"/>
      <c r="N34" s="786">
        <v>337</v>
      </c>
      <c r="O34" s="786">
        <v>0</v>
      </c>
      <c r="P34" s="785">
        <v>40</v>
      </c>
      <c r="Q34" s="787">
        <f t="shared" si="1"/>
        <v>377</v>
      </c>
      <c r="R34" s="785"/>
      <c r="S34" s="786">
        <v>4016</v>
      </c>
      <c r="T34" s="788">
        <v>160</v>
      </c>
      <c r="U34" s="788">
        <v>4176</v>
      </c>
    </row>
    <row r="35" spans="1:21" x14ac:dyDescent="0.25">
      <c r="A35" s="782">
        <v>90401</v>
      </c>
      <c r="B35" s="783" t="s">
        <v>2655</v>
      </c>
      <c r="C35" s="784">
        <v>1.3270999999999999E-3</v>
      </c>
      <c r="D35" s="784">
        <v>1.3626999999999999E-3</v>
      </c>
      <c r="E35" s="800">
        <v>624955</v>
      </c>
      <c r="F35" s="785">
        <v>2027441</v>
      </c>
      <c r="G35" s="785"/>
      <c r="H35" s="786">
        <v>116799</v>
      </c>
      <c r="I35" s="787">
        <v>492266</v>
      </c>
      <c r="J35" s="786">
        <v>289547</v>
      </c>
      <c r="K35" s="785">
        <v>44019</v>
      </c>
      <c r="L35" s="787">
        <f t="shared" si="0"/>
        <v>942631</v>
      </c>
      <c r="M35" s="785"/>
      <c r="N35" s="786">
        <v>57390</v>
      </c>
      <c r="O35" s="786">
        <v>0</v>
      </c>
      <c r="P35" s="785">
        <v>11305</v>
      </c>
      <c r="Q35" s="787">
        <f t="shared" si="1"/>
        <v>68695</v>
      </c>
      <c r="R35" s="785"/>
      <c r="S35" s="786">
        <v>683249</v>
      </c>
      <c r="T35" s="788">
        <v>23981</v>
      </c>
      <c r="U35" s="788">
        <v>707230</v>
      </c>
    </row>
    <row r="36" spans="1:21" x14ac:dyDescent="0.25">
      <c r="A36" s="782">
        <v>90411</v>
      </c>
      <c r="B36" s="783" t="s">
        <v>2656</v>
      </c>
      <c r="C36" s="784">
        <v>3.5100000000000002E-4</v>
      </c>
      <c r="D36" s="784">
        <v>3.5490000000000001E-4</v>
      </c>
      <c r="E36" s="800">
        <v>152317</v>
      </c>
      <c r="F36" s="785">
        <v>536231</v>
      </c>
      <c r="G36" s="785"/>
      <c r="H36" s="786">
        <v>30892</v>
      </c>
      <c r="I36" s="787">
        <v>130197</v>
      </c>
      <c r="J36" s="786">
        <v>76581</v>
      </c>
      <c r="K36" s="785">
        <v>0</v>
      </c>
      <c r="L36" s="787">
        <f t="shared" si="0"/>
        <v>237670</v>
      </c>
      <c r="M36" s="785"/>
      <c r="N36" s="786">
        <v>15179</v>
      </c>
      <c r="O36" s="786">
        <v>0</v>
      </c>
      <c r="P36" s="785">
        <v>41985</v>
      </c>
      <c r="Q36" s="787">
        <f t="shared" si="1"/>
        <v>57164</v>
      </c>
      <c r="R36" s="785"/>
      <c r="S36" s="786">
        <v>180710</v>
      </c>
      <c r="T36" s="788">
        <v>-15971</v>
      </c>
      <c r="U36" s="788">
        <v>164739</v>
      </c>
    </row>
    <row r="37" spans="1:21" x14ac:dyDescent="0.25">
      <c r="A37" s="782">
        <v>90413</v>
      </c>
      <c r="B37" s="783" t="s">
        <v>2657</v>
      </c>
      <c r="C37" s="784">
        <v>3.4600000000000001E-5</v>
      </c>
      <c r="D37" s="784">
        <v>3.7299999999999999E-5</v>
      </c>
      <c r="E37" s="800">
        <v>17002</v>
      </c>
      <c r="F37" s="785">
        <v>52859</v>
      </c>
      <c r="G37" s="785"/>
      <c r="H37" s="786">
        <v>3045</v>
      </c>
      <c r="I37" s="787">
        <v>12834</v>
      </c>
      <c r="J37" s="786">
        <v>7549</v>
      </c>
      <c r="K37" s="785">
        <v>5923</v>
      </c>
      <c r="L37" s="787">
        <f t="shared" si="0"/>
        <v>29351</v>
      </c>
      <c r="M37" s="785"/>
      <c r="N37" s="786">
        <v>1496</v>
      </c>
      <c r="O37" s="786">
        <v>0</v>
      </c>
      <c r="P37" s="785">
        <v>916</v>
      </c>
      <c r="Q37" s="787">
        <f t="shared" si="1"/>
        <v>2412</v>
      </c>
      <c r="R37" s="785"/>
      <c r="S37" s="786">
        <v>17814</v>
      </c>
      <c r="T37" s="788">
        <v>3416</v>
      </c>
      <c r="U37" s="788">
        <v>21230</v>
      </c>
    </row>
    <row r="38" spans="1:21" x14ac:dyDescent="0.25">
      <c r="A38" s="782">
        <v>90417</v>
      </c>
      <c r="B38" s="783" t="s">
        <v>2658</v>
      </c>
      <c r="C38" s="784">
        <v>1.17E-5</v>
      </c>
      <c r="D38" s="784">
        <v>1.2099999999999999E-5</v>
      </c>
      <c r="E38" s="800">
        <v>8372</v>
      </c>
      <c r="F38" s="785">
        <v>17874</v>
      </c>
      <c r="G38" s="785"/>
      <c r="H38" s="786">
        <v>1030</v>
      </c>
      <c r="I38" s="787">
        <v>4340</v>
      </c>
      <c r="J38" s="786">
        <v>2553</v>
      </c>
      <c r="K38" s="785">
        <v>3477</v>
      </c>
      <c r="L38" s="787">
        <f t="shared" si="0"/>
        <v>11400</v>
      </c>
      <c r="M38" s="785"/>
      <c r="N38" s="786">
        <v>506</v>
      </c>
      <c r="O38" s="786">
        <v>0</v>
      </c>
      <c r="P38" s="785">
        <v>0</v>
      </c>
      <c r="Q38" s="787">
        <f t="shared" si="1"/>
        <v>506</v>
      </c>
      <c r="R38" s="785"/>
      <c r="S38" s="786">
        <v>6024</v>
      </c>
      <c r="T38" s="788">
        <v>1221</v>
      </c>
      <c r="U38" s="788">
        <f>7244+1</f>
        <v>7245</v>
      </c>
    </row>
    <row r="39" spans="1:21" x14ac:dyDescent="0.25">
      <c r="A39" s="782">
        <v>90421</v>
      </c>
      <c r="B39" s="783" t="s">
        <v>2659</v>
      </c>
      <c r="C39" s="784">
        <v>2.19E-5</v>
      </c>
      <c r="D39" s="784">
        <v>2.3600000000000001E-5</v>
      </c>
      <c r="E39" s="800">
        <v>8534</v>
      </c>
      <c r="F39" s="785">
        <v>33457</v>
      </c>
      <c r="G39" s="785"/>
      <c r="H39" s="786">
        <v>1927</v>
      </c>
      <c r="I39" s="787">
        <v>8123</v>
      </c>
      <c r="J39" s="786">
        <v>4778</v>
      </c>
      <c r="K39" s="785">
        <v>0</v>
      </c>
      <c r="L39" s="787">
        <f t="shared" si="0"/>
        <v>14828</v>
      </c>
      <c r="M39" s="785"/>
      <c r="N39" s="786">
        <v>947</v>
      </c>
      <c r="O39" s="786">
        <v>0</v>
      </c>
      <c r="P39" s="785">
        <v>4721</v>
      </c>
      <c r="Q39" s="787">
        <f t="shared" si="1"/>
        <v>5668</v>
      </c>
      <c r="R39" s="785"/>
      <c r="S39" s="786">
        <v>11275</v>
      </c>
      <c r="T39" s="788">
        <v>-1814</v>
      </c>
      <c r="U39" s="788">
        <v>9461</v>
      </c>
    </row>
    <row r="40" spans="1:21" x14ac:dyDescent="0.25">
      <c r="A40" s="782">
        <v>90431</v>
      </c>
      <c r="B40" s="783" t="s">
        <v>2660</v>
      </c>
      <c r="C40" s="784">
        <v>4.8300000000000002E-5</v>
      </c>
      <c r="D40" s="784">
        <v>4.2799999999999997E-5</v>
      </c>
      <c r="E40" s="800">
        <v>21844</v>
      </c>
      <c r="F40" s="785">
        <v>73789</v>
      </c>
      <c r="G40" s="785"/>
      <c r="H40" s="786">
        <v>4251</v>
      </c>
      <c r="I40" s="787">
        <v>17916</v>
      </c>
      <c r="J40" s="786">
        <v>10538</v>
      </c>
      <c r="K40" s="785">
        <v>8663</v>
      </c>
      <c r="L40" s="787">
        <f t="shared" si="0"/>
        <v>41368</v>
      </c>
      <c r="M40" s="785"/>
      <c r="N40" s="786">
        <v>2089</v>
      </c>
      <c r="O40" s="786">
        <v>0</v>
      </c>
      <c r="P40" s="785">
        <v>1273</v>
      </c>
      <c r="Q40" s="787">
        <f t="shared" si="1"/>
        <v>3362</v>
      </c>
      <c r="R40" s="785"/>
      <c r="S40" s="786">
        <v>24867</v>
      </c>
      <c r="T40" s="788">
        <v>3649</v>
      </c>
      <c r="U40" s="788">
        <v>28516</v>
      </c>
    </row>
    <row r="41" spans="1:21" x14ac:dyDescent="0.25">
      <c r="A41" s="782">
        <v>90441</v>
      </c>
      <c r="B41" s="783" t="s">
        <v>2661</v>
      </c>
      <c r="C41" s="784">
        <v>8.3999999999999992E-6</v>
      </c>
      <c r="D41" s="784">
        <v>9.3999999999999998E-6</v>
      </c>
      <c r="E41" s="800">
        <v>4910</v>
      </c>
      <c r="F41" s="785">
        <v>12833</v>
      </c>
      <c r="G41" s="785"/>
      <c r="H41" s="786">
        <v>739</v>
      </c>
      <c r="I41" s="787">
        <v>3115</v>
      </c>
      <c r="J41" s="786">
        <v>1833</v>
      </c>
      <c r="K41" s="785">
        <v>890</v>
      </c>
      <c r="L41" s="787">
        <f t="shared" si="0"/>
        <v>6577</v>
      </c>
      <c r="M41" s="785"/>
      <c r="N41" s="786">
        <v>363</v>
      </c>
      <c r="O41" s="786">
        <v>0</v>
      </c>
      <c r="P41" s="785">
        <v>129</v>
      </c>
      <c r="Q41" s="787">
        <f t="shared" si="1"/>
        <v>492</v>
      </c>
      <c r="R41" s="785"/>
      <c r="S41" s="786">
        <v>4325</v>
      </c>
      <c r="T41" s="788">
        <v>621</v>
      </c>
      <c r="U41" s="788">
        <v>4946</v>
      </c>
    </row>
    <row r="42" spans="1:21" x14ac:dyDescent="0.25">
      <c r="A42" s="782">
        <v>90451</v>
      </c>
      <c r="B42" s="783" t="s">
        <v>2662</v>
      </c>
      <c r="C42" s="784">
        <v>1.6699999999999999E-5</v>
      </c>
      <c r="D42" s="784">
        <v>1.7900000000000001E-5</v>
      </c>
      <c r="E42" s="800">
        <v>7776</v>
      </c>
      <c r="F42" s="785">
        <v>25513</v>
      </c>
      <c r="G42" s="785"/>
      <c r="H42" s="786">
        <v>1470</v>
      </c>
      <c r="I42" s="787">
        <v>6194</v>
      </c>
      <c r="J42" s="786">
        <v>3644</v>
      </c>
      <c r="K42" s="785">
        <v>2202</v>
      </c>
      <c r="L42" s="787">
        <f t="shared" si="0"/>
        <v>13510</v>
      </c>
      <c r="M42" s="785"/>
      <c r="N42" s="786">
        <v>722</v>
      </c>
      <c r="O42" s="786">
        <v>0</v>
      </c>
      <c r="P42" s="785">
        <v>903</v>
      </c>
      <c r="Q42" s="787">
        <f t="shared" si="1"/>
        <v>1625</v>
      </c>
      <c r="R42" s="785"/>
      <c r="S42" s="786">
        <v>8598</v>
      </c>
      <c r="T42" s="788">
        <v>635</v>
      </c>
      <c r="U42" s="788">
        <f>9232+1</f>
        <v>9233</v>
      </c>
    </row>
    <row r="43" spans="1:21" x14ac:dyDescent="0.25">
      <c r="A43" s="782">
        <v>90461</v>
      </c>
      <c r="B43" s="783" t="s">
        <v>2663</v>
      </c>
      <c r="C43" s="784">
        <v>7.4000000000000003E-6</v>
      </c>
      <c r="D43" s="784">
        <v>1.7200000000000001E-5</v>
      </c>
      <c r="E43" s="800">
        <v>3691</v>
      </c>
      <c r="F43" s="785">
        <v>11305</v>
      </c>
      <c r="G43" s="785"/>
      <c r="H43" s="786">
        <v>651</v>
      </c>
      <c r="I43" s="787">
        <v>2745</v>
      </c>
      <c r="J43" s="786">
        <v>1615</v>
      </c>
      <c r="K43" s="785">
        <v>3066</v>
      </c>
      <c r="L43" s="787">
        <f t="shared" si="0"/>
        <v>8077</v>
      </c>
      <c r="M43" s="785"/>
      <c r="N43" s="786">
        <v>320</v>
      </c>
      <c r="O43" s="786">
        <v>0</v>
      </c>
      <c r="P43" s="785">
        <v>7660</v>
      </c>
      <c r="Q43" s="787">
        <f t="shared" si="1"/>
        <v>7980</v>
      </c>
      <c r="R43" s="785"/>
      <c r="S43" s="786">
        <v>3810</v>
      </c>
      <c r="T43" s="788">
        <v>-1001</v>
      </c>
      <c r="U43" s="788">
        <f>2808+1</f>
        <v>2809</v>
      </c>
    </row>
    <row r="44" spans="1:21" x14ac:dyDescent="0.25">
      <c r="A44" s="782">
        <v>90501</v>
      </c>
      <c r="B44" s="783" t="s">
        <v>2664</v>
      </c>
      <c r="C44" s="784">
        <v>1.4176E-3</v>
      </c>
      <c r="D44" s="784">
        <v>1.4001E-3</v>
      </c>
      <c r="E44" s="800">
        <v>670210</v>
      </c>
      <c r="F44" s="785">
        <v>2165700</v>
      </c>
      <c r="G44" s="785"/>
      <c r="H44" s="786">
        <v>124764</v>
      </c>
      <c r="I44" s="787">
        <v>525835</v>
      </c>
      <c r="J44" s="786">
        <v>309292</v>
      </c>
      <c r="K44" s="785">
        <v>53925</v>
      </c>
      <c r="L44" s="787">
        <f t="shared" si="0"/>
        <v>1013816</v>
      </c>
      <c r="M44" s="785"/>
      <c r="N44" s="786">
        <v>61304</v>
      </c>
      <c r="O44" s="786">
        <v>0</v>
      </c>
      <c r="P44" s="785">
        <v>0</v>
      </c>
      <c r="Q44" s="787">
        <f t="shared" si="1"/>
        <v>61304</v>
      </c>
      <c r="R44" s="785"/>
      <c r="S44" s="786">
        <v>729843</v>
      </c>
      <c r="T44" s="788">
        <v>27148</v>
      </c>
      <c r="U44" s="788">
        <v>756991</v>
      </c>
    </row>
    <row r="45" spans="1:21" x14ac:dyDescent="0.25">
      <c r="A45" s="782">
        <v>90507</v>
      </c>
      <c r="B45" s="783" t="s">
        <v>1193</v>
      </c>
      <c r="C45" s="784">
        <v>6.6000000000000003E-6</v>
      </c>
      <c r="D45" s="784">
        <v>7.3000000000000004E-6</v>
      </c>
      <c r="E45" s="800">
        <v>10408</v>
      </c>
      <c r="F45" s="785">
        <v>10083</v>
      </c>
      <c r="G45" s="785"/>
      <c r="H45" s="786">
        <v>581</v>
      </c>
      <c r="I45" s="787">
        <v>2448</v>
      </c>
      <c r="J45" s="786">
        <v>1440</v>
      </c>
      <c r="K45" s="785">
        <v>11545</v>
      </c>
      <c r="L45" s="787">
        <f t="shared" si="0"/>
        <v>16014</v>
      </c>
      <c r="M45" s="785"/>
      <c r="N45" s="786">
        <v>285</v>
      </c>
      <c r="O45" s="786">
        <v>0</v>
      </c>
      <c r="P45" s="785">
        <v>0</v>
      </c>
      <c r="Q45" s="787">
        <f t="shared" si="1"/>
        <v>285</v>
      </c>
      <c r="R45" s="785"/>
      <c r="S45" s="786">
        <v>3398</v>
      </c>
      <c r="T45" s="788">
        <v>4117</v>
      </c>
      <c r="U45" s="788">
        <v>7515</v>
      </c>
    </row>
    <row r="46" spans="1:21" x14ac:dyDescent="0.25">
      <c r="A46" s="782">
        <v>90511</v>
      </c>
      <c r="B46" s="783" t="s">
        <v>2665</v>
      </c>
      <c r="C46" s="784">
        <v>8.7000000000000001E-5</v>
      </c>
      <c r="D46" s="784">
        <v>9.5500000000000004E-5</v>
      </c>
      <c r="E46" s="800">
        <v>52403</v>
      </c>
      <c r="F46" s="785">
        <v>132912</v>
      </c>
      <c r="G46" s="785"/>
      <c r="H46" s="786">
        <v>7657</v>
      </c>
      <c r="I46" s="787">
        <v>32271</v>
      </c>
      <c r="J46" s="786">
        <v>18982</v>
      </c>
      <c r="K46" s="785">
        <v>14433</v>
      </c>
      <c r="L46" s="787">
        <f t="shared" si="0"/>
        <v>73343</v>
      </c>
      <c r="M46" s="785"/>
      <c r="N46" s="786">
        <v>3762</v>
      </c>
      <c r="O46" s="786">
        <v>0</v>
      </c>
      <c r="P46" s="785">
        <v>0</v>
      </c>
      <c r="Q46" s="787">
        <f t="shared" si="1"/>
        <v>3762</v>
      </c>
      <c r="R46" s="785"/>
      <c r="S46" s="786">
        <v>44791</v>
      </c>
      <c r="T46" s="788">
        <v>6485</v>
      </c>
      <c r="U46" s="788">
        <f>51277-1</f>
        <v>51276</v>
      </c>
    </row>
    <row r="47" spans="1:21" x14ac:dyDescent="0.25">
      <c r="A47" s="782">
        <v>90521</v>
      </c>
      <c r="B47" s="783" t="s">
        <v>2666</v>
      </c>
      <c r="C47" s="784">
        <v>1.3880000000000001E-4</v>
      </c>
      <c r="D47" s="784">
        <v>1.395E-4</v>
      </c>
      <c r="E47" s="800">
        <v>56198</v>
      </c>
      <c r="F47" s="785">
        <v>212048</v>
      </c>
      <c r="G47" s="785"/>
      <c r="H47" s="786">
        <v>12216</v>
      </c>
      <c r="I47" s="787">
        <v>51485</v>
      </c>
      <c r="J47" s="786">
        <v>30283</v>
      </c>
      <c r="K47" s="785">
        <v>0</v>
      </c>
      <c r="L47" s="787">
        <f t="shared" si="0"/>
        <v>93984</v>
      </c>
      <c r="M47" s="785"/>
      <c r="N47" s="786">
        <v>6002</v>
      </c>
      <c r="O47" s="786">
        <v>0</v>
      </c>
      <c r="P47" s="785">
        <v>18446</v>
      </c>
      <c r="Q47" s="787">
        <f t="shared" si="1"/>
        <v>24448</v>
      </c>
      <c r="R47" s="785"/>
      <c r="S47" s="786">
        <v>71460</v>
      </c>
      <c r="T47" s="788">
        <v>-7131</v>
      </c>
      <c r="U47" s="788">
        <v>64329</v>
      </c>
    </row>
    <row r="48" spans="1:21" x14ac:dyDescent="0.25">
      <c r="A48" s="782">
        <v>90601</v>
      </c>
      <c r="B48" s="783" t="s">
        <v>2667</v>
      </c>
      <c r="C48" s="784">
        <v>1.1888000000000001E-3</v>
      </c>
      <c r="D48" s="784">
        <v>1.1785999999999999E-3</v>
      </c>
      <c r="E48" s="800">
        <v>540985</v>
      </c>
      <c r="F48" s="785">
        <v>1816157</v>
      </c>
      <c r="G48" s="785"/>
      <c r="H48" s="786">
        <v>104627</v>
      </c>
      <c r="I48" s="787">
        <v>440965</v>
      </c>
      <c r="J48" s="786">
        <v>259372</v>
      </c>
      <c r="K48" s="785">
        <v>20795</v>
      </c>
      <c r="L48" s="787">
        <f t="shared" si="0"/>
        <v>825759</v>
      </c>
      <c r="M48" s="785"/>
      <c r="N48" s="786">
        <v>51410</v>
      </c>
      <c r="O48" s="786">
        <v>0</v>
      </c>
      <c r="P48" s="785">
        <v>19784</v>
      </c>
      <c r="Q48" s="787">
        <f t="shared" si="1"/>
        <v>71194</v>
      </c>
      <c r="R48" s="785"/>
      <c r="S48" s="786">
        <v>612047</v>
      </c>
      <c r="T48" s="788">
        <v>8359</v>
      </c>
      <c r="U48" s="788">
        <v>620406</v>
      </c>
    </row>
    <row r="49" spans="1:21" x14ac:dyDescent="0.25">
      <c r="A49" s="782">
        <v>90602</v>
      </c>
      <c r="B49" s="783" t="s">
        <v>2099</v>
      </c>
      <c r="C49" s="784">
        <v>6.3899999999999995E-5</v>
      </c>
      <c r="D49" s="784">
        <v>6.3299999999999994E-5</v>
      </c>
      <c r="E49" s="800">
        <v>34828</v>
      </c>
      <c r="F49" s="785">
        <v>97621</v>
      </c>
      <c r="G49" s="785"/>
      <c r="H49" s="786">
        <v>5624</v>
      </c>
      <c r="I49" s="787">
        <v>23703</v>
      </c>
      <c r="J49" s="786">
        <v>13942</v>
      </c>
      <c r="K49" s="785">
        <v>38810</v>
      </c>
      <c r="L49" s="787">
        <f t="shared" si="0"/>
        <v>82079</v>
      </c>
      <c r="M49" s="785"/>
      <c r="N49" s="786">
        <v>2763</v>
      </c>
      <c r="O49" s="786">
        <v>0</v>
      </c>
      <c r="P49" s="785">
        <v>0</v>
      </c>
      <c r="Q49" s="787">
        <f t="shared" si="1"/>
        <v>2763</v>
      </c>
      <c r="R49" s="785"/>
      <c r="S49" s="786">
        <v>32899</v>
      </c>
      <c r="T49" s="788">
        <v>14161</v>
      </c>
      <c r="U49" s="788">
        <f>47059+1</f>
        <v>47060</v>
      </c>
    </row>
    <row r="50" spans="1:21" x14ac:dyDescent="0.25">
      <c r="A50" s="782">
        <v>90605</v>
      </c>
      <c r="B50" s="783" t="s">
        <v>2668</v>
      </c>
      <c r="C50" s="784">
        <v>4.1999999999999998E-5</v>
      </c>
      <c r="D50" s="784">
        <v>3.8399999999999998E-5</v>
      </c>
      <c r="E50" s="800">
        <v>25461</v>
      </c>
      <c r="F50" s="785">
        <v>64164</v>
      </c>
      <c r="G50" s="785"/>
      <c r="H50" s="786">
        <v>3696</v>
      </c>
      <c r="I50" s="787">
        <v>15579</v>
      </c>
      <c r="J50" s="786">
        <v>9164</v>
      </c>
      <c r="K50" s="785">
        <v>15425</v>
      </c>
      <c r="L50" s="787">
        <f t="shared" si="0"/>
        <v>43864</v>
      </c>
      <c r="M50" s="785"/>
      <c r="N50" s="786">
        <v>1816</v>
      </c>
      <c r="O50" s="786">
        <v>0</v>
      </c>
      <c r="P50" s="785">
        <v>0</v>
      </c>
      <c r="Q50" s="787">
        <f t="shared" si="1"/>
        <v>1816</v>
      </c>
      <c r="R50" s="785"/>
      <c r="S50" s="786">
        <v>21623</v>
      </c>
      <c r="T50" s="788">
        <v>5623</v>
      </c>
      <c r="U50" s="788">
        <f>27247-1</f>
        <v>27246</v>
      </c>
    </row>
    <row r="51" spans="1:21" x14ac:dyDescent="0.25">
      <c r="A51" s="782">
        <v>90611</v>
      </c>
      <c r="B51" s="783" t="s">
        <v>2669</v>
      </c>
      <c r="C51" s="784">
        <v>1.4880000000000001E-4</v>
      </c>
      <c r="D51" s="784">
        <v>1.5669999999999999E-4</v>
      </c>
      <c r="E51" s="800">
        <v>64371</v>
      </c>
      <c r="F51" s="785">
        <v>227325</v>
      </c>
      <c r="G51" s="785"/>
      <c r="H51" s="786">
        <v>13096</v>
      </c>
      <c r="I51" s="787">
        <v>55195</v>
      </c>
      <c r="J51" s="786">
        <v>32465</v>
      </c>
      <c r="K51" s="785">
        <v>2524</v>
      </c>
      <c r="L51" s="787">
        <f t="shared" si="0"/>
        <v>103280</v>
      </c>
      <c r="M51" s="785"/>
      <c r="N51" s="786">
        <v>6435</v>
      </c>
      <c r="O51" s="786">
        <v>0</v>
      </c>
      <c r="P51" s="785">
        <v>18006</v>
      </c>
      <c r="Q51" s="787">
        <f t="shared" si="1"/>
        <v>24441</v>
      </c>
      <c r="R51" s="785"/>
      <c r="S51" s="786">
        <v>76609</v>
      </c>
      <c r="T51" s="788">
        <v>-3082</v>
      </c>
      <c r="U51" s="788">
        <v>73527</v>
      </c>
    </row>
    <row r="52" spans="1:21" x14ac:dyDescent="0.25">
      <c r="A52" s="782">
        <v>90617</v>
      </c>
      <c r="B52" s="783" t="s">
        <v>2670</v>
      </c>
      <c r="C52" s="784">
        <v>2.5999999999999998E-5</v>
      </c>
      <c r="D52" s="784">
        <v>2.6800000000000001E-5</v>
      </c>
      <c r="E52" s="800">
        <v>15821</v>
      </c>
      <c r="F52" s="785">
        <v>39721</v>
      </c>
      <c r="G52" s="785"/>
      <c r="H52" s="786">
        <v>2288</v>
      </c>
      <c r="I52" s="787">
        <v>9644</v>
      </c>
      <c r="J52" s="786">
        <v>5673</v>
      </c>
      <c r="K52" s="785">
        <v>7632</v>
      </c>
      <c r="L52" s="787">
        <f t="shared" si="0"/>
        <v>25237</v>
      </c>
      <c r="M52" s="785"/>
      <c r="N52" s="786">
        <v>1124</v>
      </c>
      <c r="O52" s="786">
        <v>0</v>
      </c>
      <c r="P52" s="785">
        <v>0</v>
      </c>
      <c r="Q52" s="787">
        <f t="shared" si="1"/>
        <v>1124</v>
      </c>
      <c r="R52" s="785"/>
      <c r="S52" s="786">
        <v>13386</v>
      </c>
      <c r="T52" s="788">
        <v>4087</v>
      </c>
      <c r="U52" s="788">
        <v>17473</v>
      </c>
    </row>
    <row r="53" spans="1:21" x14ac:dyDescent="0.25">
      <c r="A53" s="782">
        <v>90621</v>
      </c>
      <c r="B53" s="783" t="s">
        <v>2671</v>
      </c>
      <c r="C53" s="784">
        <v>6.3999999999999997E-5</v>
      </c>
      <c r="D53" s="784">
        <v>8.2100000000000003E-5</v>
      </c>
      <c r="E53" s="800">
        <v>27532</v>
      </c>
      <c r="F53" s="785">
        <v>97774</v>
      </c>
      <c r="G53" s="785"/>
      <c r="H53" s="786">
        <v>5633</v>
      </c>
      <c r="I53" s="787">
        <v>23740</v>
      </c>
      <c r="J53" s="786">
        <v>13964</v>
      </c>
      <c r="K53" s="785">
        <v>588</v>
      </c>
      <c r="L53" s="787">
        <f t="shared" si="0"/>
        <v>43925</v>
      </c>
      <c r="M53" s="785"/>
      <c r="N53" s="786">
        <v>2768</v>
      </c>
      <c r="O53" s="786">
        <v>0</v>
      </c>
      <c r="P53" s="785">
        <v>19000</v>
      </c>
      <c r="Q53" s="787">
        <f t="shared" si="1"/>
        <v>21768</v>
      </c>
      <c r="R53" s="785"/>
      <c r="S53" s="786">
        <v>32950</v>
      </c>
      <c r="T53" s="788">
        <v>-5337</v>
      </c>
      <c r="U53" s="788">
        <v>27613</v>
      </c>
    </row>
    <row r="54" spans="1:21" x14ac:dyDescent="0.25">
      <c r="A54" s="782">
        <v>90631</v>
      </c>
      <c r="B54" s="783" t="s">
        <v>2672</v>
      </c>
      <c r="C54" s="784">
        <v>3.9560000000000002E-4</v>
      </c>
      <c r="D54" s="784">
        <v>3.8000000000000002E-4</v>
      </c>
      <c r="E54" s="800">
        <v>175402</v>
      </c>
      <c r="F54" s="785">
        <v>604367</v>
      </c>
      <c r="G54" s="785"/>
      <c r="H54" s="786">
        <v>34817</v>
      </c>
      <c r="I54" s="787">
        <v>146742</v>
      </c>
      <c r="J54" s="786">
        <v>86312</v>
      </c>
      <c r="K54" s="785">
        <v>17764</v>
      </c>
      <c r="L54" s="787">
        <f t="shared" si="0"/>
        <v>285635</v>
      </c>
      <c r="M54" s="785"/>
      <c r="N54" s="786">
        <v>17108</v>
      </c>
      <c r="O54" s="786">
        <v>0</v>
      </c>
      <c r="P54" s="785">
        <v>8233</v>
      </c>
      <c r="Q54" s="787">
        <f t="shared" si="1"/>
        <v>25341</v>
      </c>
      <c r="R54" s="785"/>
      <c r="S54" s="786">
        <v>203672</v>
      </c>
      <c r="T54" s="788">
        <v>-484</v>
      </c>
      <c r="U54" s="788">
        <f>203189-1</f>
        <v>203188</v>
      </c>
    </row>
    <row r="55" spans="1:21" x14ac:dyDescent="0.25">
      <c r="A55" s="782">
        <v>90641</v>
      </c>
      <c r="B55" s="783" t="s">
        <v>2673</v>
      </c>
      <c r="C55" s="784">
        <v>1.38E-5</v>
      </c>
      <c r="D55" s="784">
        <v>1.4399999999999999E-5</v>
      </c>
      <c r="E55" s="800">
        <v>6944</v>
      </c>
      <c r="F55" s="785">
        <v>21083</v>
      </c>
      <c r="G55" s="785"/>
      <c r="H55" s="786">
        <v>1215</v>
      </c>
      <c r="I55" s="787">
        <v>5118</v>
      </c>
      <c r="J55" s="786">
        <v>3011</v>
      </c>
      <c r="K55" s="785">
        <v>304</v>
      </c>
      <c r="L55" s="787">
        <f t="shared" si="0"/>
        <v>9648</v>
      </c>
      <c r="M55" s="785"/>
      <c r="N55" s="786">
        <v>597</v>
      </c>
      <c r="O55" s="786">
        <v>0</v>
      </c>
      <c r="P55" s="785">
        <v>517</v>
      </c>
      <c r="Q55" s="787">
        <f t="shared" si="1"/>
        <v>1114</v>
      </c>
      <c r="R55" s="785"/>
      <c r="S55" s="786">
        <v>7105</v>
      </c>
      <c r="T55" s="788">
        <v>-123</v>
      </c>
      <c r="U55" s="788">
        <v>6982</v>
      </c>
    </row>
    <row r="56" spans="1:21" x14ac:dyDescent="0.25">
      <c r="A56" s="782">
        <v>90651</v>
      </c>
      <c r="B56" s="783" t="s">
        <v>2674</v>
      </c>
      <c r="C56" s="784">
        <v>1E-4</v>
      </c>
      <c r="D56" s="784">
        <v>1.108E-4</v>
      </c>
      <c r="E56" s="800">
        <v>98054</v>
      </c>
      <c r="F56" s="785">
        <v>152772</v>
      </c>
      <c r="G56" s="785"/>
      <c r="H56" s="786">
        <v>8801</v>
      </c>
      <c r="I56" s="787">
        <v>37093</v>
      </c>
      <c r="J56" s="786">
        <v>21818</v>
      </c>
      <c r="K56" s="785">
        <v>85885</v>
      </c>
      <c r="L56" s="787">
        <f t="shared" si="0"/>
        <v>153597</v>
      </c>
      <c r="M56" s="785"/>
      <c r="N56" s="786">
        <v>4325</v>
      </c>
      <c r="O56" s="786">
        <v>0</v>
      </c>
      <c r="P56" s="785">
        <v>4659</v>
      </c>
      <c r="Q56" s="787">
        <f t="shared" si="1"/>
        <v>8984</v>
      </c>
      <c r="R56" s="785"/>
      <c r="S56" s="786">
        <v>51484</v>
      </c>
      <c r="T56" s="788">
        <v>25671</v>
      </c>
      <c r="U56" s="788">
        <f>77156-1</f>
        <v>77155</v>
      </c>
    </row>
    <row r="57" spans="1:21" x14ac:dyDescent="0.25">
      <c r="A57" s="782">
        <v>90701</v>
      </c>
      <c r="B57" s="783" t="s">
        <v>3662</v>
      </c>
      <c r="C57" s="784">
        <v>2.6581E-3</v>
      </c>
      <c r="D57" s="784">
        <v>2.3587E-3</v>
      </c>
      <c r="E57" s="800">
        <v>1110621</v>
      </c>
      <c r="F57" s="785">
        <v>4060841</v>
      </c>
      <c r="G57" s="785"/>
      <c r="H57" s="786">
        <v>233942</v>
      </c>
      <c r="I57" s="787">
        <v>985977</v>
      </c>
      <c r="J57" s="786">
        <v>579944</v>
      </c>
      <c r="K57" s="785">
        <v>130818</v>
      </c>
      <c r="L57" s="787">
        <f t="shared" si="0"/>
        <v>1930681</v>
      </c>
      <c r="M57" s="785"/>
      <c r="N57" s="786">
        <v>114950</v>
      </c>
      <c r="O57" s="786">
        <v>0</v>
      </c>
      <c r="P57" s="785">
        <v>31847</v>
      </c>
      <c r="Q57" s="787">
        <f t="shared" si="1"/>
        <v>146797</v>
      </c>
      <c r="R57" s="785"/>
      <c r="S57" s="786">
        <v>1368507</v>
      </c>
      <c r="T57" s="788">
        <v>33872</v>
      </c>
      <c r="U57" s="788">
        <v>1402379</v>
      </c>
    </row>
    <row r="58" spans="1:21" x14ac:dyDescent="0.25">
      <c r="A58" s="782">
        <v>90704</v>
      </c>
      <c r="B58" s="783" t="s">
        <v>2676</v>
      </c>
      <c r="C58" s="784">
        <v>3.3300000000000003E-5</v>
      </c>
      <c r="D58" s="784">
        <v>3.4900000000000001E-5</v>
      </c>
      <c r="E58" s="800">
        <v>23859</v>
      </c>
      <c r="F58" s="785">
        <v>50873</v>
      </c>
      <c r="G58" s="785"/>
      <c r="H58" s="786">
        <v>2931</v>
      </c>
      <c r="I58" s="787">
        <v>12352</v>
      </c>
      <c r="J58" s="786">
        <v>7265</v>
      </c>
      <c r="K58" s="785">
        <v>14629</v>
      </c>
      <c r="L58" s="787">
        <f t="shared" si="0"/>
        <v>37177</v>
      </c>
      <c r="M58" s="785"/>
      <c r="N58" s="786">
        <v>1440</v>
      </c>
      <c r="O58" s="786">
        <v>0</v>
      </c>
      <c r="P58" s="785">
        <v>0</v>
      </c>
      <c r="Q58" s="787">
        <f t="shared" si="1"/>
        <v>1440</v>
      </c>
      <c r="R58" s="785"/>
      <c r="S58" s="786">
        <v>17144</v>
      </c>
      <c r="T58" s="788">
        <v>5643</v>
      </c>
      <c r="U58" s="788">
        <f>22788-1</f>
        <v>22787</v>
      </c>
    </row>
    <row r="59" spans="1:21" x14ac:dyDescent="0.25">
      <c r="A59" s="782">
        <v>90705</v>
      </c>
      <c r="B59" s="783" t="s">
        <v>2677</v>
      </c>
      <c r="C59" s="784">
        <v>5.3000000000000001E-5</v>
      </c>
      <c r="D59" s="784">
        <v>3.3899999999999997E-5</v>
      </c>
      <c r="E59" s="800">
        <v>23100</v>
      </c>
      <c r="F59" s="785">
        <v>80969</v>
      </c>
      <c r="G59" s="785"/>
      <c r="H59" s="786">
        <v>4665</v>
      </c>
      <c r="I59" s="787">
        <v>19659</v>
      </c>
      <c r="J59" s="786">
        <v>11564</v>
      </c>
      <c r="K59" s="785">
        <v>18366</v>
      </c>
      <c r="L59" s="787">
        <f t="shared" si="0"/>
        <v>54254</v>
      </c>
      <c r="M59" s="785"/>
      <c r="N59" s="786">
        <v>2292</v>
      </c>
      <c r="O59" s="786">
        <v>0</v>
      </c>
      <c r="P59" s="785">
        <v>0</v>
      </c>
      <c r="Q59" s="787">
        <f t="shared" si="1"/>
        <v>2292</v>
      </c>
      <c r="R59" s="785"/>
      <c r="S59" s="786">
        <v>27287</v>
      </c>
      <c r="T59" s="788">
        <v>6194</v>
      </c>
      <c r="U59" s="788">
        <v>33481</v>
      </c>
    </row>
    <row r="60" spans="1:21" x14ac:dyDescent="0.25">
      <c r="A60" s="782">
        <v>90709</v>
      </c>
      <c r="B60" s="783" t="s">
        <v>2678</v>
      </c>
      <c r="C60" s="784">
        <v>1.2650000000000001E-4</v>
      </c>
      <c r="D60" s="784">
        <v>1.4569999999999999E-4</v>
      </c>
      <c r="E60" s="800">
        <v>61710</v>
      </c>
      <c r="F60" s="785">
        <v>193257</v>
      </c>
      <c r="G60" s="785"/>
      <c r="H60" s="786">
        <v>11133</v>
      </c>
      <c r="I60" s="787">
        <v>46924</v>
      </c>
      <c r="J60" s="786">
        <v>27600</v>
      </c>
      <c r="K60" s="785">
        <v>5085</v>
      </c>
      <c r="L60" s="787">
        <f t="shared" si="0"/>
        <v>90742</v>
      </c>
      <c r="M60" s="785"/>
      <c r="N60" s="786">
        <v>5470</v>
      </c>
      <c r="O60" s="786">
        <v>0</v>
      </c>
      <c r="P60" s="785">
        <v>42511</v>
      </c>
      <c r="Q60" s="787">
        <f t="shared" si="1"/>
        <v>47981</v>
      </c>
      <c r="R60" s="785"/>
      <c r="S60" s="786">
        <v>65128</v>
      </c>
      <c r="T60" s="788">
        <v>-9374</v>
      </c>
      <c r="U60" s="788">
        <v>55754</v>
      </c>
    </row>
    <row r="61" spans="1:21" x14ac:dyDescent="0.25">
      <c r="A61" s="782">
        <v>90711</v>
      </c>
      <c r="B61" s="783" t="s">
        <v>2679</v>
      </c>
      <c r="C61" s="784">
        <v>1.6877000000000001E-3</v>
      </c>
      <c r="D61" s="784">
        <v>1.7302000000000001E-3</v>
      </c>
      <c r="E61" s="800">
        <v>774256</v>
      </c>
      <c r="F61" s="785">
        <v>2578338</v>
      </c>
      <c r="G61" s="785"/>
      <c r="H61" s="786">
        <v>148536</v>
      </c>
      <c r="I61" s="787">
        <v>626023</v>
      </c>
      <c r="J61" s="786">
        <v>368222</v>
      </c>
      <c r="K61" s="785">
        <v>0</v>
      </c>
      <c r="L61" s="787">
        <f t="shared" si="0"/>
        <v>1142781</v>
      </c>
      <c r="M61" s="785"/>
      <c r="N61" s="786">
        <v>72985</v>
      </c>
      <c r="O61" s="786">
        <v>0</v>
      </c>
      <c r="P61" s="785">
        <v>160849</v>
      </c>
      <c r="Q61" s="787">
        <f t="shared" si="1"/>
        <v>233834</v>
      </c>
      <c r="R61" s="785"/>
      <c r="S61" s="786">
        <v>868902</v>
      </c>
      <c r="T61" s="788">
        <v>-68798</v>
      </c>
      <c r="U61" s="788">
        <v>800104</v>
      </c>
    </row>
    <row r="62" spans="1:21" x14ac:dyDescent="0.25">
      <c r="A62" s="782">
        <v>90721</v>
      </c>
      <c r="B62" s="783" t="s">
        <v>2680</v>
      </c>
      <c r="C62" s="784">
        <v>2.8600000000000001E-5</v>
      </c>
      <c r="D62" s="784">
        <v>3.7299999999999999E-5</v>
      </c>
      <c r="E62" s="800">
        <v>15289</v>
      </c>
      <c r="F62" s="785">
        <v>43693</v>
      </c>
      <c r="G62" s="785"/>
      <c r="H62" s="786">
        <v>2517</v>
      </c>
      <c r="I62" s="787">
        <v>10608</v>
      </c>
      <c r="J62" s="786">
        <v>6240</v>
      </c>
      <c r="K62" s="785">
        <v>2956</v>
      </c>
      <c r="L62" s="787">
        <f t="shared" si="0"/>
        <v>22321</v>
      </c>
      <c r="M62" s="785"/>
      <c r="N62" s="786">
        <v>1237</v>
      </c>
      <c r="O62" s="786">
        <v>0</v>
      </c>
      <c r="P62" s="785">
        <v>4943</v>
      </c>
      <c r="Q62" s="787">
        <f t="shared" si="1"/>
        <v>6180</v>
      </c>
      <c r="R62" s="785"/>
      <c r="S62" s="786">
        <v>14725</v>
      </c>
      <c r="T62" s="788">
        <v>1072</v>
      </c>
      <c r="U62" s="788">
        <f>15796+1</f>
        <v>15797</v>
      </c>
    </row>
    <row r="63" spans="1:21" x14ac:dyDescent="0.25">
      <c r="A63" s="782">
        <v>90731</v>
      </c>
      <c r="B63" s="783" t="s">
        <v>2681</v>
      </c>
      <c r="C63" s="784">
        <v>1.741E-4</v>
      </c>
      <c r="D63" s="784">
        <v>1.917E-4</v>
      </c>
      <c r="E63" s="800">
        <v>79540</v>
      </c>
      <c r="F63" s="785">
        <v>265977</v>
      </c>
      <c r="G63" s="785"/>
      <c r="H63" s="786">
        <v>15323</v>
      </c>
      <c r="I63" s="787">
        <v>64580</v>
      </c>
      <c r="J63" s="786">
        <v>37985</v>
      </c>
      <c r="K63" s="785">
        <v>0</v>
      </c>
      <c r="L63" s="787">
        <f t="shared" si="0"/>
        <v>117888</v>
      </c>
      <c r="M63" s="785"/>
      <c r="N63" s="786">
        <v>7529</v>
      </c>
      <c r="O63" s="786">
        <v>0</v>
      </c>
      <c r="P63" s="785">
        <v>18148</v>
      </c>
      <c r="Q63" s="787">
        <f t="shared" si="1"/>
        <v>25677</v>
      </c>
      <c r="R63" s="785"/>
      <c r="S63" s="786">
        <v>89634</v>
      </c>
      <c r="T63" s="788">
        <v>-7025</v>
      </c>
      <c r="U63" s="788">
        <v>82609</v>
      </c>
    </row>
    <row r="64" spans="1:21" x14ac:dyDescent="0.25">
      <c r="A64" s="782">
        <v>90741</v>
      </c>
      <c r="B64" s="783" t="s">
        <v>2682</v>
      </c>
      <c r="C64" s="784">
        <v>9.0999999999999993E-6</v>
      </c>
      <c r="D64" s="784">
        <v>1.2099999999999999E-5</v>
      </c>
      <c r="E64" s="800">
        <v>6433</v>
      </c>
      <c r="F64" s="785">
        <v>13902</v>
      </c>
      <c r="G64" s="785"/>
      <c r="H64" s="786">
        <v>801</v>
      </c>
      <c r="I64" s="787">
        <v>3375</v>
      </c>
      <c r="J64" s="786">
        <v>1985</v>
      </c>
      <c r="K64" s="785">
        <v>2169</v>
      </c>
      <c r="L64" s="787">
        <f t="shared" si="0"/>
        <v>8330</v>
      </c>
      <c r="M64" s="785"/>
      <c r="N64" s="786">
        <v>394</v>
      </c>
      <c r="O64" s="786">
        <v>0</v>
      </c>
      <c r="P64" s="785">
        <v>952</v>
      </c>
      <c r="Q64" s="787">
        <f t="shared" si="1"/>
        <v>1346</v>
      </c>
      <c r="R64" s="785"/>
      <c r="S64" s="786">
        <v>4685</v>
      </c>
      <c r="T64" s="788">
        <v>235</v>
      </c>
      <c r="U64" s="788">
        <v>4920</v>
      </c>
    </row>
    <row r="65" spans="1:21" x14ac:dyDescent="0.25">
      <c r="A65" s="782">
        <v>90751</v>
      </c>
      <c r="B65" s="783" t="s">
        <v>2683</v>
      </c>
      <c r="C65" s="784">
        <v>6.8700000000000003E-5</v>
      </c>
      <c r="D65" s="784">
        <v>6.5599999999999995E-5</v>
      </c>
      <c r="E65" s="800">
        <v>27591</v>
      </c>
      <c r="F65" s="785">
        <v>104955</v>
      </c>
      <c r="G65" s="785"/>
      <c r="H65" s="786">
        <v>6046</v>
      </c>
      <c r="I65" s="787">
        <v>25483</v>
      </c>
      <c r="J65" s="786">
        <v>14989</v>
      </c>
      <c r="K65" s="785">
        <v>4940</v>
      </c>
      <c r="L65" s="787">
        <f t="shared" si="0"/>
        <v>51458</v>
      </c>
      <c r="M65" s="785"/>
      <c r="N65" s="786">
        <v>2971</v>
      </c>
      <c r="O65" s="786">
        <v>0</v>
      </c>
      <c r="P65" s="785">
        <v>1080</v>
      </c>
      <c r="Q65" s="787">
        <f t="shared" si="1"/>
        <v>4051</v>
      </c>
      <c r="R65" s="785"/>
      <c r="S65" s="786">
        <v>35370</v>
      </c>
      <c r="T65" s="788">
        <v>3400</v>
      </c>
      <c r="U65" s="788">
        <v>38770</v>
      </c>
    </row>
    <row r="66" spans="1:21" x14ac:dyDescent="0.25">
      <c r="A66" s="782">
        <v>90801</v>
      </c>
      <c r="B66" s="783" t="s">
        <v>2684</v>
      </c>
      <c r="C66" s="784">
        <v>1.3064000000000001E-3</v>
      </c>
      <c r="D66" s="784">
        <v>1.1404E-3</v>
      </c>
      <c r="E66" s="800">
        <v>521156</v>
      </c>
      <c r="F66" s="785">
        <v>1995817</v>
      </c>
      <c r="G66" s="785"/>
      <c r="H66" s="786">
        <v>114978</v>
      </c>
      <c r="I66" s="787">
        <v>484586</v>
      </c>
      <c r="J66" s="786">
        <v>285030</v>
      </c>
      <c r="K66" s="785">
        <v>151641</v>
      </c>
      <c r="L66" s="787">
        <f t="shared" si="0"/>
        <v>1036235</v>
      </c>
      <c r="M66" s="785"/>
      <c r="N66" s="786">
        <v>56495</v>
      </c>
      <c r="O66" s="786">
        <v>0</v>
      </c>
      <c r="P66" s="785">
        <v>0</v>
      </c>
      <c r="Q66" s="787">
        <f t="shared" si="1"/>
        <v>56495</v>
      </c>
      <c r="R66" s="785"/>
      <c r="S66" s="786">
        <v>672592</v>
      </c>
      <c r="T66" s="788">
        <v>65370</v>
      </c>
      <c r="U66" s="788">
        <v>737962</v>
      </c>
    </row>
    <row r="67" spans="1:21" x14ac:dyDescent="0.25">
      <c r="A67" s="782">
        <v>90804</v>
      </c>
      <c r="B67" s="783" t="s">
        <v>2685</v>
      </c>
      <c r="C67" s="784">
        <v>6.1999999999999999E-6</v>
      </c>
      <c r="D67" s="784">
        <v>6.0000000000000002E-6</v>
      </c>
      <c r="E67" s="800">
        <v>2751</v>
      </c>
      <c r="F67" s="785">
        <v>9472</v>
      </c>
      <c r="G67" s="785"/>
      <c r="H67" s="786">
        <v>546</v>
      </c>
      <c r="I67" s="787">
        <v>2300</v>
      </c>
      <c r="J67" s="786">
        <v>1353</v>
      </c>
      <c r="K67" s="785">
        <v>1462</v>
      </c>
      <c r="L67" s="787">
        <f t="shared" si="0"/>
        <v>5661</v>
      </c>
      <c r="M67" s="785"/>
      <c r="N67" s="786">
        <v>268</v>
      </c>
      <c r="O67" s="786">
        <v>0</v>
      </c>
      <c r="P67" s="785">
        <v>0</v>
      </c>
      <c r="Q67" s="787">
        <f t="shared" si="1"/>
        <v>268</v>
      </c>
      <c r="R67" s="785"/>
      <c r="S67" s="786">
        <v>3192</v>
      </c>
      <c r="T67" s="788">
        <v>893</v>
      </c>
      <c r="U67" s="788">
        <v>4085</v>
      </c>
    </row>
    <row r="68" spans="1:21" x14ac:dyDescent="0.25">
      <c r="A68" s="782">
        <v>90805</v>
      </c>
      <c r="B68" s="783" t="s">
        <v>2686</v>
      </c>
      <c r="C68" s="784">
        <v>5.1900000000000001E-5</v>
      </c>
      <c r="D68" s="784">
        <v>5.5099999999999998E-5</v>
      </c>
      <c r="E68" s="800">
        <v>35600</v>
      </c>
      <c r="F68" s="785">
        <v>79289</v>
      </c>
      <c r="G68" s="785"/>
      <c r="H68" s="786">
        <v>4568</v>
      </c>
      <c r="I68" s="787">
        <v>19252</v>
      </c>
      <c r="J68" s="786">
        <v>11324</v>
      </c>
      <c r="K68" s="785">
        <v>22022</v>
      </c>
      <c r="L68" s="787">
        <f t="shared" si="0"/>
        <v>57166</v>
      </c>
      <c r="M68" s="785"/>
      <c r="N68" s="786">
        <v>2244</v>
      </c>
      <c r="O68" s="786">
        <v>0</v>
      </c>
      <c r="P68" s="785">
        <v>0</v>
      </c>
      <c r="Q68" s="787">
        <f t="shared" si="1"/>
        <v>2244</v>
      </c>
      <c r="R68" s="785"/>
      <c r="S68" s="786">
        <v>26720</v>
      </c>
      <c r="T68" s="788">
        <v>9443</v>
      </c>
      <c r="U68" s="788">
        <v>36163</v>
      </c>
    </row>
    <row r="69" spans="1:21" x14ac:dyDescent="0.25">
      <c r="A69" s="782">
        <v>90808</v>
      </c>
      <c r="B69" s="783" t="s">
        <v>2687</v>
      </c>
      <c r="C69" s="784">
        <v>1.131E-4</v>
      </c>
      <c r="D69" s="784">
        <v>1.109E-4</v>
      </c>
      <c r="E69" s="800">
        <v>56029</v>
      </c>
      <c r="F69" s="785">
        <v>172785</v>
      </c>
      <c r="G69" s="785"/>
      <c r="H69" s="786">
        <v>9954</v>
      </c>
      <c r="I69" s="787">
        <v>41952</v>
      </c>
      <c r="J69" s="786">
        <v>24676</v>
      </c>
      <c r="K69" s="785">
        <v>5678</v>
      </c>
      <c r="L69" s="787">
        <f t="shared" si="0"/>
        <v>82260</v>
      </c>
      <c r="M69" s="785"/>
      <c r="N69" s="786">
        <v>4891</v>
      </c>
      <c r="O69" s="786">
        <v>0</v>
      </c>
      <c r="P69" s="785">
        <v>2008</v>
      </c>
      <c r="Q69" s="787">
        <f t="shared" si="1"/>
        <v>6899</v>
      </c>
      <c r="R69" s="785"/>
      <c r="S69" s="786">
        <v>58229</v>
      </c>
      <c r="T69" s="788">
        <v>731</v>
      </c>
      <c r="U69" s="788">
        <f>58959+1</f>
        <v>58960</v>
      </c>
    </row>
    <row r="70" spans="1:21" x14ac:dyDescent="0.25">
      <c r="A70" s="782">
        <v>90811</v>
      </c>
      <c r="B70" s="783" t="s">
        <v>2688</v>
      </c>
      <c r="C70" s="784">
        <v>3.3599999999999997E-5</v>
      </c>
      <c r="D70" s="784">
        <v>4.0000000000000003E-5</v>
      </c>
      <c r="E70" s="800">
        <v>11655</v>
      </c>
      <c r="F70" s="785">
        <v>51331</v>
      </c>
      <c r="G70" s="785"/>
      <c r="H70" s="786">
        <v>2957</v>
      </c>
      <c r="I70" s="787">
        <v>12463</v>
      </c>
      <c r="J70" s="786">
        <v>7331</v>
      </c>
      <c r="K70" s="785">
        <v>471</v>
      </c>
      <c r="L70" s="787">
        <f t="shared" si="0"/>
        <v>23222</v>
      </c>
      <c r="M70" s="785"/>
      <c r="N70" s="786">
        <v>1453</v>
      </c>
      <c r="O70" s="786">
        <v>0</v>
      </c>
      <c r="P70" s="785">
        <v>8846</v>
      </c>
      <c r="Q70" s="787">
        <f t="shared" si="1"/>
        <v>10299</v>
      </c>
      <c r="R70" s="785"/>
      <c r="S70" s="786">
        <v>17299</v>
      </c>
      <c r="T70" s="788">
        <v>-1986</v>
      </c>
      <c r="U70" s="788">
        <v>15313</v>
      </c>
    </row>
    <row r="71" spans="1:21" x14ac:dyDescent="0.25">
      <c r="A71" s="782">
        <v>90812</v>
      </c>
      <c r="B71" s="783" t="s">
        <v>2689</v>
      </c>
      <c r="C71" s="784">
        <v>2.2900000000000001E-4</v>
      </c>
      <c r="D71" s="784">
        <v>2.13E-4</v>
      </c>
      <c r="E71" s="800">
        <v>105040</v>
      </c>
      <c r="F71" s="785">
        <v>349849</v>
      </c>
      <c r="G71" s="785"/>
      <c r="H71" s="786">
        <v>20155</v>
      </c>
      <c r="I71" s="787">
        <v>84944</v>
      </c>
      <c r="J71" s="786">
        <v>49963</v>
      </c>
      <c r="K71" s="785">
        <v>15087</v>
      </c>
      <c r="L71" s="787">
        <f t="shared" ref="L71:L134" si="2">H71+I71+J71+K71</f>
        <v>170149</v>
      </c>
      <c r="M71" s="785"/>
      <c r="N71" s="786">
        <v>9903</v>
      </c>
      <c r="O71" s="786">
        <v>0</v>
      </c>
      <c r="P71" s="785">
        <v>10549</v>
      </c>
      <c r="Q71" s="787">
        <f t="shared" ref="Q71:Q134" si="3">N71+O71+P71</f>
        <v>20452</v>
      </c>
      <c r="R71" s="785"/>
      <c r="S71" s="786">
        <v>117899</v>
      </c>
      <c r="T71" s="788">
        <v>3117</v>
      </c>
      <c r="U71" s="788">
        <v>121016</v>
      </c>
    </row>
    <row r="72" spans="1:21" x14ac:dyDescent="0.25">
      <c r="A72" s="782">
        <v>90813</v>
      </c>
      <c r="B72" s="783" t="s">
        <v>2690</v>
      </c>
      <c r="C72" s="784">
        <v>5.3000000000000001E-6</v>
      </c>
      <c r="D72" s="784">
        <v>5.4999999999999999E-6</v>
      </c>
      <c r="E72" s="800">
        <v>2061</v>
      </c>
      <c r="F72" s="785">
        <v>8097</v>
      </c>
      <c r="G72" s="785"/>
      <c r="H72" s="786">
        <v>466</v>
      </c>
      <c r="I72" s="787">
        <v>1966</v>
      </c>
      <c r="J72" s="786">
        <v>1156</v>
      </c>
      <c r="K72" s="785">
        <v>0</v>
      </c>
      <c r="L72" s="787">
        <f t="shared" si="2"/>
        <v>3588</v>
      </c>
      <c r="M72" s="785"/>
      <c r="N72" s="786">
        <v>229</v>
      </c>
      <c r="O72" s="786">
        <v>0</v>
      </c>
      <c r="P72" s="785">
        <v>1124</v>
      </c>
      <c r="Q72" s="787">
        <f t="shared" si="3"/>
        <v>1353</v>
      </c>
      <c r="R72" s="785"/>
      <c r="S72" s="786">
        <v>2729</v>
      </c>
      <c r="T72" s="788">
        <v>-505</v>
      </c>
      <c r="U72" s="788">
        <f>2223+1</f>
        <v>2224</v>
      </c>
    </row>
    <row r="73" spans="1:21" x14ac:dyDescent="0.25">
      <c r="A73" s="782">
        <v>90861</v>
      </c>
      <c r="B73" s="783" t="s">
        <v>2691</v>
      </c>
      <c r="C73" s="784">
        <v>4.1999999999999996E-6</v>
      </c>
      <c r="D73" s="784">
        <v>4.7999999999999998E-6</v>
      </c>
      <c r="E73" s="800">
        <v>3703</v>
      </c>
      <c r="F73" s="785">
        <v>6416</v>
      </c>
      <c r="G73" s="785"/>
      <c r="H73" s="786">
        <v>370</v>
      </c>
      <c r="I73" s="787">
        <v>1558</v>
      </c>
      <c r="J73" s="786">
        <v>916</v>
      </c>
      <c r="K73" s="785">
        <v>3211</v>
      </c>
      <c r="L73" s="787">
        <f t="shared" si="2"/>
        <v>6055</v>
      </c>
      <c r="M73" s="785"/>
      <c r="N73" s="786">
        <v>182</v>
      </c>
      <c r="O73" s="786">
        <v>0</v>
      </c>
      <c r="P73" s="785">
        <v>1117</v>
      </c>
      <c r="Q73" s="787">
        <f t="shared" si="3"/>
        <v>1299</v>
      </c>
      <c r="R73" s="785"/>
      <c r="S73" s="786">
        <v>2162</v>
      </c>
      <c r="T73" s="788">
        <v>191</v>
      </c>
      <c r="U73" s="788">
        <v>2353</v>
      </c>
    </row>
    <row r="74" spans="1:21" x14ac:dyDescent="0.25">
      <c r="A74" s="782">
        <v>90901</v>
      </c>
      <c r="B74" s="783" t="s">
        <v>2692</v>
      </c>
      <c r="C74" s="784">
        <v>2.1814999999999998E-3</v>
      </c>
      <c r="D74" s="784">
        <v>2.1302999999999999E-3</v>
      </c>
      <c r="E74" s="800">
        <v>980897</v>
      </c>
      <c r="F74" s="785">
        <v>3332728</v>
      </c>
      <c r="G74" s="785"/>
      <c r="H74" s="786">
        <v>191996</v>
      </c>
      <c r="I74" s="787">
        <v>809191</v>
      </c>
      <c r="J74" s="786">
        <v>475960</v>
      </c>
      <c r="K74" s="785">
        <v>22389</v>
      </c>
      <c r="L74" s="787">
        <f t="shared" si="2"/>
        <v>1499536</v>
      </c>
      <c r="M74" s="785"/>
      <c r="N74" s="786">
        <v>94339</v>
      </c>
      <c r="O74" s="786">
        <v>0</v>
      </c>
      <c r="P74" s="785">
        <v>38005</v>
      </c>
      <c r="Q74" s="787">
        <f t="shared" si="3"/>
        <v>132344</v>
      </c>
      <c r="R74" s="785"/>
      <c r="S74" s="786">
        <v>1123132</v>
      </c>
      <c r="T74" s="788">
        <v>-5969</v>
      </c>
      <c r="U74" s="788">
        <v>1117163</v>
      </c>
    </row>
    <row r="75" spans="1:21" x14ac:dyDescent="0.25">
      <c r="A75" s="782">
        <v>90911</v>
      </c>
      <c r="B75" s="783" t="s">
        <v>2693</v>
      </c>
      <c r="C75" s="784">
        <v>3.9780000000000002E-4</v>
      </c>
      <c r="D75" s="784">
        <v>3.6010000000000003E-4</v>
      </c>
      <c r="E75" s="800">
        <v>159535</v>
      </c>
      <c r="F75" s="785">
        <v>607728</v>
      </c>
      <c r="G75" s="785"/>
      <c r="H75" s="786">
        <v>35011</v>
      </c>
      <c r="I75" s="787">
        <v>147557</v>
      </c>
      <c r="J75" s="786">
        <v>86792</v>
      </c>
      <c r="K75" s="785">
        <v>6806</v>
      </c>
      <c r="L75" s="787">
        <f t="shared" si="2"/>
        <v>276166</v>
      </c>
      <c r="M75" s="785"/>
      <c r="N75" s="786">
        <v>17203</v>
      </c>
      <c r="O75" s="786">
        <v>0</v>
      </c>
      <c r="P75" s="785">
        <v>31482</v>
      </c>
      <c r="Q75" s="787">
        <f t="shared" si="3"/>
        <v>48685</v>
      </c>
      <c r="R75" s="785"/>
      <c r="S75" s="786">
        <v>204805</v>
      </c>
      <c r="T75" s="788">
        <v>-18326</v>
      </c>
      <c r="U75" s="788">
        <v>186479</v>
      </c>
    </row>
    <row r="76" spans="1:21" x14ac:dyDescent="0.25">
      <c r="A76" s="782">
        <v>90917</v>
      </c>
      <c r="B76" s="783" t="s">
        <v>2694</v>
      </c>
      <c r="C76" s="784">
        <v>1.4399999999999999E-5</v>
      </c>
      <c r="D76" s="784">
        <v>1.42E-5</v>
      </c>
      <c r="E76" s="800">
        <v>5784</v>
      </c>
      <c r="F76" s="785">
        <v>21999</v>
      </c>
      <c r="G76" s="785"/>
      <c r="H76" s="786">
        <v>1267</v>
      </c>
      <c r="I76" s="787">
        <v>5342</v>
      </c>
      <c r="J76" s="786">
        <v>3142</v>
      </c>
      <c r="K76" s="785">
        <v>1461</v>
      </c>
      <c r="L76" s="787">
        <f t="shared" si="2"/>
        <v>11212</v>
      </c>
      <c r="M76" s="785"/>
      <c r="N76" s="786">
        <v>623</v>
      </c>
      <c r="O76" s="786">
        <v>0</v>
      </c>
      <c r="P76" s="785">
        <v>966</v>
      </c>
      <c r="Q76" s="787">
        <f t="shared" si="3"/>
        <v>1589</v>
      </c>
      <c r="R76" s="785"/>
      <c r="S76" s="786">
        <v>7414</v>
      </c>
      <c r="T76" s="788">
        <v>-22</v>
      </c>
      <c r="U76" s="788">
        <v>7392</v>
      </c>
    </row>
    <row r="77" spans="1:21" x14ac:dyDescent="0.25">
      <c r="A77" s="782">
        <v>90918</v>
      </c>
      <c r="B77" s="783" t="s">
        <v>2695</v>
      </c>
      <c r="C77" s="784">
        <v>1.19E-5</v>
      </c>
      <c r="D77" s="784">
        <v>1.24E-5</v>
      </c>
      <c r="E77" s="800">
        <v>4773</v>
      </c>
      <c r="F77" s="785">
        <v>18180</v>
      </c>
      <c r="G77" s="785"/>
      <c r="H77" s="786">
        <v>1047</v>
      </c>
      <c r="I77" s="787">
        <v>4414</v>
      </c>
      <c r="J77" s="786">
        <v>2596</v>
      </c>
      <c r="K77" s="785">
        <v>0</v>
      </c>
      <c r="L77" s="787">
        <f t="shared" si="2"/>
        <v>8057</v>
      </c>
      <c r="M77" s="785"/>
      <c r="N77" s="786">
        <v>515</v>
      </c>
      <c r="O77" s="786">
        <v>0</v>
      </c>
      <c r="P77" s="785">
        <v>2553</v>
      </c>
      <c r="Q77" s="787">
        <f t="shared" si="3"/>
        <v>3068</v>
      </c>
      <c r="R77" s="785"/>
      <c r="S77" s="786">
        <v>6127</v>
      </c>
      <c r="T77" s="788">
        <v>-1087</v>
      </c>
      <c r="U77" s="788">
        <f>5039+1</f>
        <v>5040</v>
      </c>
    </row>
    <row r="78" spans="1:21" x14ac:dyDescent="0.25">
      <c r="A78" s="782">
        <v>90921</v>
      </c>
      <c r="B78" s="783" t="s">
        <v>2696</v>
      </c>
      <c r="C78" s="784">
        <v>1.2970000000000001E-4</v>
      </c>
      <c r="D78" s="784">
        <v>8.7399999999999997E-5</v>
      </c>
      <c r="E78" s="800">
        <v>59486</v>
      </c>
      <c r="F78" s="785">
        <v>198146</v>
      </c>
      <c r="G78" s="785"/>
      <c r="H78" s="786">
        <v>11415</v>
      </c>
      <c r="I78" s="787">
        <v>48110</v>
      </c>
      <c r="J78" s="786">
        <v>28298</v>
      </c>
      <c r="K78" s="785">
        <v>31212</v>
      </c>
      <c r="L78" s="787">
        <f t="shared" si="2"/>
        <v>119035</v>
      </c>
      <c r="M78" s="785"/>
      <c r="N78" s="786">
        <v>5609</v>
      </c>
      <c r="O78" s="786">
        <v>0</v>
      </c>
      <c r="P78" s="785">
        <v>7007</v>
      </c>
      <c r="Q78" s="787">
        <f t="shared" si="3"/>
        <v>12616</v>
      </c>
      <c r="R78" s="785"/>
      <c r="S78" s="786">
        <v>66775</v>
      </c>
      <c r="T78" s="788">
        <v>5102</v>
      </c>
      <c r="U78" s="788">
        <v>71877</v>
      </c>
    </row>
    <row r="79" spans="1:21" x14ac:dyDescent="0.25">
      <c r="A79" s="782">
        <v>90931</v>
      </c>
      <c r="B79" s="783" t="s">
        <v>2697</v>
      </c>
      <c r="C79" s="784">
        <v>4.07E-5</v>
      </c>
      <c r="D79" s="784">
        <v>5.1900000000000001E-5</v>
      </c>
      <c r="E79" s="800">
        <v>16168</v>
      </c>
      <c r="F79" s="785">
        <v>62178</v>
      </c>
      <c r="G79" s="785"/>
      <c r="H79" s="786">
        <v>3582</v>
      </c>
      <c r="I79" s="787">
        <v>15097</v>
      </c>
      <c r="J79" s="786">
        <v>8880</v>
      </c>
      <c r="K79" s="785">
        <v>3743</v>
      </c>
      <c r="L79" s="787">
        <f t="shared" si="2"/>
        <v>31302</v>
      </c>
      <c r="M79" s="785"/>
      <c r="N79" s="786">
        <v>1760</v>
      </c>
      <c r="O79" s="786">
        <v>0</v>
      </c>
      <c r="P79" s="785">
        <v>14137</v>
      </c>
      <c r="Q79" s="787">
        <f t="shared" si="3"/>
        <v>15897</v>
      </c>
      <c r="R79" s="785"/>
      <c r="S79" s="786">
        <v>20954</v>
      </c>
      <c r="T79" s="788">
        <v>-1298</v>
      </c>
      <c r="U79" s="788">
        <v>19656</v>
      </c>
    </row>
    <row r="80" spans="1:21" x14ac:dyDescent="0.25">
      <c r="A80" s="782">
        <v>90941</v>
      </c>
      <c r="B80" s="783" t="s">
        <v>2698</v>
      </c>
      <c r="C80" s="784">
        <v>7.0300000000000001E-5</v>
      </c>
      <c r="D80" s="784">
        <v>9.0799999999999998E-5</v>
      </c>
      <c r="E80" s="800">
        <v>35455</v>
      </c>
      <c r="F80" s="785">
        <v>107399</v>
      </c>
      <c r="G80" s="785"/>
      <c r="H80" s="786">
        <v>6187</v>
      </c>
      <c r="I80" s="787">
        <v>26076</v>
      </c>
      <c r="J80" s="786">
        <v>15338</v>
      </c>
      <c r="K80" s="785">
        <v>1686</v>
      </c>
      <c r="L80" s="787">
        <f t="shared" si="2"/>
        <v>49287</v>
      </c>
      <c r="M80" s="785"/>
      <c r="N80" s="786">
        <v>3040</v>
      </c>
      <c r="O80" s="786">
        <v>0</v>
      </c>
      <c r="P80" s="785">
        <v>16031</v>
      </c>
      <c r="Q80" s="787">
        <f t="shared" si="3"/>
        <v>19071</v>
      </c>
      <c r="R80" s="785"/>
      <c r="S80" s="786">
        <v>36194</v>
      </c>
      <c r="T80" s="788">
        <v>-4988</v>
      </c>
      <c r="U80" s="788">
        <f>31205+1</f>
        <v>31206</v>
      </c>
    </row>
    <row r="81" spans="1:21" x14ac:dyDescent="0.25">
      <c r="A81" s="782">
        <v>91001</v>
      </c>
      <c r="B81" s="783" t="s">
        <v>2699</v>
      </c>
      <c r="C81" s="784">
        <v>6.6703999999999999E-3</v>
      </c>
      <c r="D81" s="784">
        <v>6.6189999999999999E-3</v>
      </c>
      <c r="E81" s="800">
        <v>2867178</v>
      </c>
      <c r="F81" s="785">
        <v>10190523</v>
      </c>
      <c r="G81" s="785"/>
      <c r="H81" s="786">
        <v>587069</v>
      </c>
      <c r="I81" s="787">
        <v>2474271</v>
      </c>
      <c r="J81" s="786">
        <v>1455348</v>
      </c>
      <c r="K81" s="785">
        <v>35831</v>
      </c>
      <c r="L81" s="787">
        <f t="shared" si="2"/>
        <v>4552519</v>
      </c>
      <c r="M81" s="785"/>
      <c r="N81" s="786">
        <v>288461</v>
      </c>
      <c r="O81" s="786">
        <v>0</v>
      </c>
      <c r="P81" s="785">
        <v>269013</v>
      </c>
      <c r="Q81" s="787">
        <f t="shared" si="3"/>
        <v>557474</v>
      </c>
      <c r="R81" s="785"/>
      <c r="S81" s="786">
        <v>3434215</v>
      </c>
      <c r="T81" s="788">
        <v>-50061</v>
      </c>
      <c r="U81" s="788">
        <v>3384154</v>
      </c>
    </row>
    <row r="82" spans="1:21" x14ac:dyDescent="0.25">
      <c r="A82" s="782">
        <v>91002</v>
      </c>
      <c r="B82" s="783" t="s">
        <v>2700</v>
      </c>
      <c r="C82" s="784">
        <v>6.8860000000000004E-4</v>
      </c>
      <c r="D82" s="784">
        <v>5.6360000000000004E-4</v>
      </c>
      <c r="E82" s="800">
        <v>257315</v>
      </c>
      <c r="F82" s="785">
        <v>1051990</v>
      </c>
      <c r="G82" s="785"/>
      <c r="H82" s="786">
        <v>60604</v>
      </c>
      <c r="I82" s="787">
        <v>255424</v>
      </c>
      <c r="J82" s="786">
        <v>150239</v>
      </c>
      <c r="K82" s="785">
        <v>39390</v>
      </c>
      <c r="L82" s="787">
        <f t="shared" si="2"/>
        <v>505657</v>
      </c>
      <c r="M82" s="785"/>
      <c r="N82" s="786">
        <v>29779</v>
      </c>
      <c r="O82" s="786">
        <v>0</v>
      </c>
      <c r="P82" s="785">
        <v>48600</v>
      </c>
      <c r="Q82" s="787">
        <f t="shared" si="3"/>
        <v>78379</v>
      </c>
      <c r="R82" s="785"/>
      <c r="S82" s="786">
        <v>354522</v>
      </c>
      <c r="T82" s="788">
        <v>-8849</v>
      </c>
      <c r="U82" s="788">
        <v>345673</v>
      </c>
    </row>
    <row r="83" spans="1:21" x14ac:dyDescent="0.25">
      <c r="A83" s="782">
        <v>91003</v>
      </c>
      <c r="B83" s="783" t="s">
        <v>2701</v>
      </c>
      <c r="C83" s="784">
        <v>5.7260000000000004E-4</v>
      </c>
      <c r="D83" s="784">
        <v>5.6550000000000003E-4</v>
      </c>
      <c r="E83" s="800">
        <v>268789</v>
      </c>
      <c r="F83" s="785">
        <v>874774</v>
      </c>
      <c r="G83" s="785"/>
      <c r="H83" s="786">
        <v>50395</v>
      </c>
      <c r="I83" s="787">
        <v>212396</v>
      </c>
      <c r="J83" s="786">
        <v>124930</v>
      </c>
      <c r="K83" s="785">
        <v>27734</v>
      </c>
      <c r="L83" s="787">
        <f t="shared" si="2"/>
        <v>415455</v>
      </c>
      <c r="M83" s="785"/>
      <c r="N83" s="786">
        <v>24762</v>
      </c>
      <c r="O83" s="786">
        <v>0</v>
      </c>
      <c r="P83" s="785">
        <v>28524</v>
      </c>
      <c r="Q83" s="787">
        <f t="shared" si="3"/>
        <v>53286</v>
      </c>
      <c r="R83" s="785"/>
      <c r="S83" s="786">
        <v>294800</v>
      </c>
      <c r="T83" s="788">
        <v>7266</v>
      </c>
      <c r="U83" s="788">
        <v>302066</v>
      </c>
    </row>
    <row r="84" spans="1:21" x14ac:dyDescent="0.25">
      <c r="A84" s="782">
        <v>91004</v>
      </c>
      <c r="B84" s="783" t="s">
        <v>2702</v>
      </c>
      <c r="C84" s="784">
        <v>2.58E-5</v>
      </c>
      <c r="D84" s="784">
        <v>1.7499999999999998E-5</v>
      </c>
      <c r="E84" s="800">
        <v>13568</v>
      </c>
      <c r="F84" s="785">
        <v>39415</v>
      </c>
      <c r="G84" s="785"/>
      <c r="H84" s="786">
        <v>2271</v>
      </c>
      <c r="I84" s="787">
        <v>9571</v>
      </c>
      <c r="J84" s="786">
        <v>5629</v>
      </c>
      <c r="K84" s="785">
        <v>12153</v>
      </c>
      <c r="L84" s="787">
        <f t="shared" si="2"/>
        <v>29624</v>
      </c>
      <c r="M84" s="785"/>
      <c r="N84" s="786">
        <v>1116</v>
      </c>
      <c r="O84" s="786">
        <v>0</v>
      </c>
      <c r="P84" s="785">
        <v>108</v>
      </c>
      <c r="Q84" s="787">
        <f t="shared" si="3"/>
        <v>1224</v>
      </c>
      <c r="R84" s="785"/>
      <c r="S84" s="786">
        <v>13283</v>
      </c>
      <c r="T84" s="788">
        <v>4277</v>
      </c>
      <c r="U84" s="788">
        <v>17560</v>
      </c>
    </row>
    <row r="85" spans="1:21" x14ac:dyDescent="0.25">
      <c r="A85" s="782">
        <v>91006</v>
      </c>
      <c r="B85" s="783" t="s">
        <v>2703</v>
      </c>
      <c r="C85" s="784">
        <v>1.0317E-3</v>
      </c>
      <c r="D85" s="784">
        <v>1.0096E-3</v>
      </c>
      <c r="E85" s="800">
        <v>446629</v>
      </c>
      <c r="F85" s="785">
        <v>1576152</v>
      </c>
      <c r="G85" s="785"/>
      <c r="H85" s="786">
        <v>90801</v>
      </c>
      <c r="I85" s="787">
        <v>382692</v>
      </c>
      <c r="J85" s="786">
        <v>225096</v>
      </c>
      <c r="K85" s="785">
        <v>18199</v>
      </c>
      <c r="L85" s="787">
        <f t="shared" si="2"/>
        <v>716788</v>
      </c>
      <c r="M85" s="785"/>
      <c r="N85" s="786">
        <v>44616</v>
      </c>
      <c r="O85" s="786">
        <v>0</v>
      </c>
      <c r="P85" s="785">
        <v>22958</v>
      </c>
      <c r="Q85" s="787">
        <f t="shared" si="3"/>
        <v>67574</v>
      </c>
      <c r="R85" s="785"/>
      <c r="S85" s="786">
        <v>531165</v>
      </c>
      <c r="T85" s="788">
        <v>3230</v>
      </c>
      <c r="U85" s="788">
        <v>534395</v>
      </c>
    </row>
    <row r="86" spans="1:21" x14ac:dyDescent="0.25">
      <c r="A86" s="782">
        <v>91007</v>
      </c>
      <c r="B86" s="783" t="s">
        <v>2704</v>
      </c>
      <c r="C86" s="784">
        <v>9.5000000000000005E-6</v>
      </c>
      <c r="D86" s="784">
        <v>1.2500000000000001E-5</v>
      </c>
      <c r="E86" s="800">
        <v>9502</v>
      </c>
      <c r="F86" s="785">
        <v>14513</v>
      </c>
      <c r="G86" s="785"/>
      <c r="H86" s="786">
        <v>836</v>
      </c>
      <c r="I86" s="787">
        <v>3524</v>
      </c>
      <c r="J86" s="786">
        <v>2073</v>
      </c>
      <c r="K86" s="785">
        <v>7476</v>
      </c>
      <c r="L86" s="787">
        <f t="shared" si="2"/>
        <v>13909</v>
      </c>
      <c r="M86" s="785"/>
      <c r="N86" s="786">
        <v>411</v>
      </c>
      <c r="O86" s="786">
        <v>0</v>
      </c>
      <c r="P86" s="785">
        <v>507</v>
      </c>
      <c r="Q86" s="787">
        <f t="shared" si="3"/>
        <v>918</v>
      </c>
      <c r="R86" s="785"/>
      <c r="S86" s="786">
        <v>4891</v>
      </c>
      <c r="T86" s="788">
        <v>2150</v>
      </c>
      <c r="U86" s="788">
        <v>7041</v>
      </c>
    </row>
    <row r="87" spans="1:21" x14ac:dyDescent="0.25">
      <c r="A87" s="782">
        <v>91008</v>
      </c>
      <c r="B87" s="783" t="s">
        <v>2705</v>
      </c>
      <c r="C87" s="784">
        <v>1.236E-4</v>
      </c>
      <c r="D87" s="784">
        <v>1.273E-4</v>
      </c>
      <c r="E87" s="800">
        <v>68974</v>
      </c>
      <c r="F87" s="785">
        <v>188827</v>
      </c>
      <c r="G87" s="785"/>
      <c r="H87" s="786">
        <v>10878</v>
      </c>
      <c r="I87" s="787">
        <v>45847</v>
      </c>
      <c r="J87" s="786">
        <v>26967</v>
      </c>
      <c r="K87" s="785">
        <v>37042</v>
      </c>
      <c r="L87" s="787">
        <f t="shared" si="2"/>
        <v>120734</v>
      </c>
      <c r="M87" s="785"/>
      <c r="N87" s="786">
        <v>5345</v>
      </c>
      <c r="O87" s="786">
        <v>0</v>
      </c>
      <c r="P87" s="785">
        <v>0</v>
      </c>
      <c r="Q87" s="787">
        <f t="shared" si="3"/>
        <v>5345</v>
      </c>
      <c r="R87" s="785"/>
      <c r="S87" s="786">
        <v>63635</v>
      </c>
      <c r="T87" s="788">
        <v>17548</v>
      </c>
      <c r="U87" s="788">
        <v>81183</v>
      </c>
    </row>
    <row r="88" spans="1:21" x14ac:dyDescent="0.25">
      <c r="A88" s="782">
        <v>91009</v>
      </c>
      <c r="B88" s="783" t="s">
        <v>2706</v>
      </c>
      <c r="C88" s="784">
        <v>1.7499999999999998E-5</v>
      </c>
      <c r="D88" s="784">
        <v>1.8700000000000001E-5</v>
      </c>
      <c r="E88" s="800">
        <v>11392</v>
      </c>
      <c r="F88" s="785">
        <v>26735</v>
      </c>
      <c r="G88" s="785"/>
      <c r="H88" s="786">
        <v>1540</v>
      </c>
      <c r="I88" s="787">
        <v>6491</v>
      </c>
      <c r="J88" s="786">
        <v>3818</v>
      </c>
      <c r="K88" s="785">
        <v>4951</v>
      </c>
      <c r="L88" s="787">
        <f t="shared" si="2"/>
        <v>16800</v>
      </c>
      <c r="M88" s="785"/>
      <c r="N88" s="786">
        <v>757</v>
      </c>
      <c r="O88" s="786">
        <v>0</v>
      </c>
      <c r="P88" s="785">
        <v>2458</v>
      </c>
      <c r="Q88" s="787">
        <f t="shared" si="3"/>
        <v>3215</v>
      </c>
      <c r="R88" s="785"/>
      <c r="S88" s="786">
        <v>9010</v>
      </c>
      <c r="T88" s="788">
        <v>187</v>
      </c>
      <c r="U88" s="788">
        <v>9197</v>
      </c>
    </row>
    <row r="89" spans="1:21" x14ac:dyDescent="0.25">
      <c r="A89" s="782">
        <v>91010</v>
      </c>
      <c r="B89" s="783" t="s">
        <v>2707</v>
      </c>
      <c r="C89" s="784">
        <v>7.0099999999999996E-5</v>
      </c>
      <c r="D89" s="784">
        <v>6.8399999999999996E-5</v>
      </c>
      <c r="E89" s="800">
        <v>32517</v>
      </c>
      <c r="F89" s="785">
        <v>107093</v>
      </c>
      <c r="G89" s="785"/>
      <c r="H89" s="786">
        <v>6170</v>
      </c>
      <c r="I89" s="787">
        <v>26003</v>
      </c>
      <c r="J89" s="786">
        <v>15294</v>
      </c>
      <c r="K89" s="785">
        <v>7603</v>
      </c>
      <c r="L89" s="787">
        <f t="shared" si="2"/>
        <v>55070</v>
      </c>
      <c r="M89" s="785"/>
      <c r="N89" s="786">
        <v>3031</v>
      </c>
      <c r="O89" s="786">
        <v>0</v>
      </c>
      <c r="P89" s="785">
        <v>296</v>
      </c>
      <c r="Q89" s="787">
        <f t="shared" si="3"/>
        <v>3327</v>
      </c>
      <c r="R89" s="785"/>
      <c r="S89" s="786">
        <v>36091</v>
      </c>
      <c r="T89" s="788">
        <v>4736</v>
      </c>
      <c r="U89" s="788">
        <v>40827</v>
      </c>
    </row>
    <row r="90" spans="1:21" x14ac:dyDescent="0.25">
      <c r="A90" s="782">
        <v>91011</v>
      </c>
      <c r="B90" s="783" t="s">
        <v>2708</v>
      </c>
      <c r="C90" s="784">
        <v>3.5760000000000002E-4</v>
      </c>
      <c r="D90" s="784">
        <v>3.1789999999999998E-4</v>
      </c>
      <c r="E90" s="800">
        <v>159847</v>
      </c>
      <c r="F90" s="785">
        <v>546314</v>
      </c>
      <c r="G90" s="785"/>
      <c r="H90" s="786">
        <v>31473</v>
      </c>
      <c r="I90" s="787">
        <v>132645</v>
      </c>
      <c r="J90" s="786">
        <v>78021</v>
      </c>
      <c r="K90" s="785">
        <v>43643</v>
      </c>
      <c r="L90" s="787">
        <f t="shared" si="2"/>
        <v>285782</v>
      </c>
      <c r="M90" s="785"/>
      <c r="N90" s="786">
        <v>15464</v>
      </c>
      <c r="O90" s="786">
        <v>0</v>
      </c>
      <c r="P90" s="785">
        <v>0</v>
      </c>
      <c r="Q90" s="787">
        <f t="shared" si="3"/>
        <v>15464</v>
      </c>
      <c r="R90" s="785"/>
      <c r="S90" s="786">
        <v>184108</v>
      </c>
      <c r="T90" s="788">
        <v>16126</v>
      </c>
      <c r="U90" s="788">
        <v>200234</v>
      </c>
    </row>
    <row r="91" spans="1:21" x14ac:dyDescent="0.25">
      <c r="A91" s="782">
        <v>91012</v>
      </c>
      <c r="B91" s="783" t="s">
        <v>2709</v>
      </c>
      <c r="C91" s="784">
        <v>1.9300000000000002E-5</v>
      </c>
      <c r="D91" s="784">
        <v>1.49E-5</v>
      </c>
      <c r="E91" s="800">
        <v>8623</v>
      </c>
      <c r="F91" s="785">
        <v>29485</v>
      </c>
      <c r="G91" s="785"/>
      <c r="H91" s="786">
        <v>1699</v>
      </c>
      <c r="I91" s="787">
        <v>7159</v>
      </c>
      <c r="J91" s="786">
        <v>4211</v>
      </c>
      <c r="K91" s="785">
        <v>5400</v>
      </c>
      <c r="L91" s="787">
        <f t="shared" si="2"/>
        <v>18469</v>
      </c>
      <c r="M91" s="785"/>
      <c r="N91" s="786">
        <v>835</v>
      </c>
      <c r="O91" s="786">
        <v>0</v>
      </c>
      <c r="P91" s="785">
        <v>2458</v>
      </c>
      <c r="Q91" s="787">
        <f t="shared" si="3"/>
        <v>3293</v>
      </c>
      <c r="R91" s="785"/>
      <c r="S91" s="786">
        <v>9936</v>
      </c>
      <c r="T91" s="788">
        <v>-662</v>
      </c>
      <c r="U91" s="788">
        <f>9275-1</f>
        <v>9274</v>
      </c>
    </row>
    <row r="92" spans="1:21" x14ac:dyDescent="0.25">
      <c r="A92" s="782">
        <v>91013</v>
      </c>
      <c r="B92" s="783" t="s">
        <v>2710</v>
      </c>
      <c r="C92" s="784">
        <v>2.34E-5</v>
      </c>
      <c r="D92" s="784">
        <v>2.1800000000000001E-5</v>
      </c>
      <c r="E92" s="800">
        <v>29322</v>
      </c>
      <c r="F92" s="785">
        <v>35749</v>
      </c>
      <c r="G92" s="785"/>
      <c r="H92" s="786">
        <v>2059</v>
      </c>
      <c r="I92" s="787">
        <v>8680</v>
      </c>
      <c r="J92" s="786">
        <v>5105</v>
      </c>
      <c r="K92" s="785">
        <v>31764</v>
      </c>
      <c r="L92" s="787">
        <f t="shared" si="2"/>
        <v>47608</v>
      </c>
      <c r="M92" s="785"/>
      <c r="N92" s="786">
        <v>1012</v>
      </c>
      <c r="O92" s="786">
        <v>0</v>
      </c>
      <c r="P92" s="785">
        <v>0</v>
      </c>
      <c r="Q92" s="787">
        <f t="shared" si="3"/>
        <v>1012</v>
      </c>
      <c r="R92" s="785"/>
      <c r="S92" s="786">
        <v>12047</v>
      </c>
      <c r="T92" s="788">
        <v>9518</v>
      </c>
      <c r="U92" s="788">
        <v>21565</v>
      </c>
    </row>
    <row r="93" spans="1:21" x14ac:dyDescent="0.25">
      <c r="A93" s="782">
        <v>91014</v>
      </c>
      <c r="B93" s="783" t="s">
        <v>2711</v>
      </c>
      <c r="C93" s="784">
        <v>2.22E-4</v>
      </c>
      <c r="D93" s="784">
        <v>2.1499999999999999E-4</v>
      </c>
      <c r="E93" s="800">
        <v>97692</v>
      </c>
      <c r="F93" s="785">
        <v>339155</v>
      </c>
      <c r="G93" s="785"/>
      <c r="H93" s="786">
        <v>19538</v>
      </c>
      <c r="I93" s="787">
        <v>82347</v>
      </c>
      <c r="J93" s="786">
        <v>48436</v>
      </c>
      <c r="K93" s="785">
        <v>1313</v>
      </c>
      <c r="L93" s="787">
        <f t="shared" si="2"/>
        <v>151634</v>
      </c>
      <c r="M93" s="785"/>
      <c r="N93" s="786">
        <v>9600</v>
      </c>
      <c r="O93" s="786">
        <v>0</v>
      </c>
      <c r="P93" s="785">
        <v>11287</v>
      </c>
      <c r="Q93" s="787">
        <f t="shared" si="3"/>
        <v>20887</v>
      </c>
      <c r="R93" s="785"/>
      <c r="S93" s="786">
        <v>114295</v>
      </c>
      <c r="T93" s="788">
        <v>-6129</v>
      </c>
      <c r="U93" s="788">
        <f>108167-1</f>
        <v>108166</v>
      </c>
    </row>
    <row r="94" spans="1:21" x14ac:dyDescent="0.25">
      <c r="A94" s="782">
        <v>91017</v>
      </c>
      <c r="B94" s="783" t="s">
        <v>2712</v>
      </c>
      <c r="C94" s="784">
        <v>2.4300000000000001E-5</v>
      </c>
      <c r="D94" s="784">
        <v>2.3E-5</v>
      </c>
      <c r="E94" s="800">
        <v>12462</v>
      </c>
      <c r="F94" s="785">
        <v>37124</v>
      </c>
      <c r="G94" s="785"/>
      <c r="H94" s="786">
        <v>2139</v>
      </c>
      <c r="I94" s="787">
        <v>9014</v>
      </c>
      <c r="J94" s="786">
        <v>5302</v>
      </c>
      <c r="K94" s="785">
        <v>10242</v>
      </c>
      <c r="L94" s="787">
        <f t="shared" si="2"/>
        <v>26697</v>
      </c>
      <c r="M94" s="785"/>
      <c r="N94" s="786">
        <v>1051</v>
      </c>
      <c r="O94" s="786">
        <v>0</v>
      </c>
      <c r="P94" s="785">
        <v>0</v>
      </c>
      <c r="Q94" s="787">
        <f t="shared" si="3"/>
        <v>1051</v>
      </c>
      <c r="R94" s="785"/>
      <c r="S94" s="786">
        <v>12511</v>
      </c>
      <c r="T94" s="788">
        <v>4025</v>
      </c>
      <c r="U94" s="788">
        <v>16536</v>
      </c>
    </row>
    <row r="95" spans="1:21" x14ac:dyDescent="0.25">
      <c r="A95" s="782">
        <v>91020</v>
      </c>
      <c r="B95" s="783" t="s">
        <v>2713</v>
      </c>
      <c r="C95" s="784">
        <v>2.27E-5</v>
      </c>
      <c r="D95" s="784">
        <v>1.9899999999999999E-5</v>
      </c>
      <c r="E95" s="800">
        <v>10949</v>
      </c>
      <c r="F95" s="785">
        <v>34679</v>
      </c>
      <c r="G95" s="785"/>
      <c r="H95" s="786">
        <v>1998</v>
      </c>
      <c r="I95" s="787">
        <v>8420</v>
      </c>
      <c r="J95" s="786">
        <v>4953</v>
      </c>
      <c r="K95" s="785">
        <v>4064</v>
      </c>
      <c r="L95" s="787">
        <f t="shared" si="2"/>
        <v>19435</v>
      </c>
      <c r="M95" s="785"/>
      <c r="N95" s="786">
        <v>982</v>
      </c>
      <c r="O95" s="786">
        <v>0</v>
      </c>
      <c r="P95" s="785">
        <v>376</v>
      </c>
      <c r="Q95" s="787">
        <f t="shared" si="3"/>
        <v>1358</v>
      </c>
      <c r="R95" s="785"/>
      <c r="S95" s="786">
        <v>11687</v>
      </c>
      <c r="T95" s="788">
        <v>1259</v>
      </c>
      <c r="U95" s="788">
        <v>12946</v>
      </c>
    </row>
    <row r="96" spans="1:21" x14ac:dyDescent="0.25">
      <c r="A96" s="782">
        <v>91021</v>
      </c>
      <c r="B96" s="783" t="s">
        <v>2714</v>
      </c>
      <c r="C96" s="784">
        <v>8.6450000000000003E-4</v>
      </c>
      <c r="D96" s="784">
        <v>8.6989999999999995E-4</v>
      </c>
      <c r="E96" s="800">
        <v>387782</v>
      </c>
      <c r="F96" s="785">
        <v>1320717</v>
      </c>
      <c r="G96" s="785"/>
      <c r="H96" s="786">
        <v>76086</v>
      </c>
      <c r="I96" s="787">
        <v>320672</v>
      </c>
      <c r="J96" s="786">
        <v>188617</v>
      </c>
      <c r="K96" s="785">
        <v>0</v>
      </c>
      <c r="L96" s="787">
        <f t="shared" si="2"/>
        <v>585375</v>
      </c>
      <c r="M96" s="785"/>
      <c r="N96" s="786">
        <v>37385</v>
      </c>
      <c r="O96" s="786">
        <v>0</v>
      </c>
      <c r="P96" s="785">
        <v>82677</v>
      </c>
      <c r="Q96" s="787">
        <f t="shared" si="3"/>
        <v>120062</v>
      </c>
      <c r="R96" s="785"/>
      <c r="S96" s="786">
        <v>445083</v>
      </c>
      <c r="T96" s="788">
        <v>-48679</v>
      </c>
      <c r="U96" s="788">
        <v>396404</v>
      </c>
    </row>
    <row r="97" spans="1:21" x14ac:dyDescent="0.25">
      <c r="A97" s="782">
        <v>91024</v>
      </c>
      <c r="B97" s="783" t="s">
        <v>2715</v>
      </c>
      <c r="C97" s="784">
        <v>7.2999999999999999E-5</v>
      </c>
      <c r="D97" s="784">
        <v>6.6299999999999999E-5</v>
      </c>
      <c r="E97" s="800">
        <v>34458</v>
      </c>
      <c r="F97" s="785">
        <v>111524</v>
      </c>
      <c r="G97" s="785"/>
      <c r="H97" s="786">
        <v>6425</v>
      </c>
      <c r="I97" s="787">
        <v>27078</v>
      </c>
      <c r="J97" s="786">
        <v>15927</v>
      </c>
      <c r="K97" s="785">
        <v>24081</v>
      </c>
      <c r="L97" s="787">
        <f t="shared" si="2"/>
        <v>73511</v>
      </c>
      <c r="M97" s="785"/>
      <c r="N97" s="786">
        <v>3157</v>
      </c>
      <c r="O97" s="786">
        <v>0</v>
      </c>
      <c r="P97" s="785">
        <v>0</v>
      </c>
      <c r="Q97" s="787">
        <f t="shared" si="3"/>
        <v>3157</v>
      </c>
      <c r="R97" s="785"/>
      <c r="S97" s="786">
        <v>37584</v>
      </c>
      <c r="T97" s="788">
        <v>10843</v>
      </c>
      <c r="U97" s="788">
        <f>48426+1</f>
        <v>48427</v>
      </c>
    </row>
    <row r="98" spans="1:21" x14ac:dyDescent="0.25">
      <c r="A98" s="782">
        <v>91026</v>
      </c>
      <c r="B98" s="783" t="s">
        <v>1242</v>
      </c>
      <c r="C98" s="784">
        <v>4.18E-5</v>
      </c>
      <c r="D98" s="784">
        <v>6.0900000000000003E-5</v>
      </c>
      <c r="E98" s="800">
        <v>40781</v>
      </c>
      <c r="F98" s="785">
        <v>63859</v>
      </c>
      <c r="G98" s="785"/>
      <c r="H98" s="786">
        <v>3679</v>
      </c>
      <c r="I98" s="787">
        <v>15505</v>
      </c>
      <c r="J98" s="786">
        <v>9120</v>
      </c>
      <c r="K98" s="785">
        <v>34468</v>
      </c>
      <c r="L98" s="787">
        <f t="shared" si="2"/>
        <v>62772</v>
      </c>
      <c r="M98" s="785"/>
      <c r="N98" s="786">
        <v>1808</v>
      </c>
      <c r="O98" s="786">
        <v>0</v>
      </c>
      <c r="P98" s="785">
        <v>3103</v>
      </c>
      <c r="Q98" s="787">
        <f t="shared" si="3"/>
        <v>4911</v>
      </c>
      <c r="R98" s="785"/>
      <c r="S98" s="786">
        <v>21520</v>
      </c>
      <c r="T98" s="788">
        <v>11546</v>
      </c>
      <c r="U98" s="788">
        <v>33066</v>
      </c>
    </row>
    <row r="99" spans="1:21" x14ac:dyDescent="0.25">
      <c r="A99" s="782">
        <v>91027</v>
      </c>
      <c r="B99" s="783" t="s">
        <v>2716</v>
      </c>
      <c r="C99" s="784">
        <v>1.4E-5</v>
      </c>
      <c r="D99" s="784">
        <v>1.6099999999999998E-5</v>
      </c>
      <c r="E99" s="800">
        <v>15968</v>
      </c>
      <c r="F99" s="785">
        <v>21388</v>
      </c>
      <c r="G99" s="785"/>
      <c r="H99" s="786">
        <v>1232</v>
      </c>
      <c r="I99" s="787">
        <v>5193</v>
      </c>
      <c r="J99" s="786">
        <v>3055</v>
      </c>
      <c r="K99" s="785">
        <v>16343</v>
      </c>
      <c r="L99" s="787">
        <f t="shared" si="2"/>
        <v>25823</v>
      </c>
      <c r="M99" s="785"/>
      <c r="N99" s="786">
        <v>605</v>
      </c>
      <c r="O99" s="786">
        <v>0</v>
      </c>
      <c r="P99" s="785">
        <v>0</v>
      </c>
      <c r="Q99" s="787">
        <f t="shared" si="3"/>
        <v>605</v>
      </c>
      <c r="R99" s="785"/>
      <c r="S99" s="786">
        <v>7208</v>
      </c>
      <c r="T99" s="788">
        <v>6601</v>
      </c>
      <c r="U99" s="788">
        <f>13808+1</f>
        <v>13809</v>
      </c>
    </row>
    <row r="100" spans="1:21" x14ac:dyDescent="0.25">
      <c r="A100" s="782">
        <v>91032</v>
      </c>
      <c r="B100" s="783" t="s">
        <v>2717</v>
      </c>
      <c r="C100" s="784">
        <v>1.8E-5</v>
      </c>
      <c r="D100" s="784">
        <v>1.8600000000000001E-5</v>
      </c>
      <c r="E100" s="800">
        <v>16168</v>
      </c>
      <c r="F100" s="785">
        <v>27499</v>
      </c>
      <c r="G100" s="785"/>
      <c r="H100" s="786">
        <v>1584</v>
      </c>
      <c r="I100" s="787">
        <v>6677</v>
      </c>
      <c r="J100" s="786">
        <v>3927</v>
      </c>
      <c r="K100" s="785">
        <v>14996</v>
      </c>
      <c r="L100" s="787">
        <f t="shared" si="2"/>
        <v>27184</v>
      </c>
      <c r="M100" s="785"/>
      <c r="N100" s="786">
        <v>778</v>
      </c>
      <c r="O100" s="786">
        <v>0</v>
      </c>
      <c r="P100" s="785">
        <v>0</v>
      </c>
      <c r="Q100" s="787">
        <f t="shared" si="3"/>
        <v>778</v>
      </c>
      <c r="R100" s="785"/>
      <c r="S100" s="786">
        <v>9267</v>
      </c>
      <c r="T100" s="788">
        <v>6458</v>
      </c>
      <c r="U100" s="788">
        <v>15725</v>
      </c>
    </row>
    <row r="101" spans="1:21" x14ac:dyDescent="0.25">
      <c r="A101" s="782">
        <v>91041</v>
      </c>
      <c r="B101" s="783" t="s">
        <v>2718</v>
      </c>
      <c r="C101" s="784">
        <v>4.0400000000000001E-4</v>
      </c>
      <c r="D101" s="784">
        <v>4.3609999999999998E-4</v>
      </c>
      <c r="E101" s="800">
        <v>157511</v>
      </c>
      <c r="F101" s="785">
        <v>617200</v>
      </c>
      <c r="G101" s="785"/>
      <c r="H101" s="786">
        <v>35556</v>
      </c>
      <c r="I101" s="787">
        <v>149857</v>
      </c>
      <c r="J101" s="786">
        <v>88145</v>
      </c>
      <c r="K101" s="785">
        <v>0</v>
      </c>
      <c r="L101" s="787">
        <f t="shared" si="2"/>
        <v>273558</v>
      </c>
      <c r="M101" s="785"/>
      <c r="N101" s="786">
        <v>17471</v>
      </c>
      <c r="O101" s="786">
        <v>0</v>
      </c>
      <c r="P101" s="785">
        <v>109443</v>
      </c>
      <c r="Q101" s="787">
        <f t="shared" si="3"/>
        <v>126914</v>
      </c>
      <c r="R101" s="785"/>
      <c r="S101" s="786">
        <v>207997</v>
      </c>
      <c r="T101" s="788">
        <v>-39088</v>
      </c>
      <c r="U101" s="788">
        <v>168909</v>
      </c>
    </row>
    <row r="102" spans="1:21" x14ac:dyDescent="0.25">
      <c r="A102" s="782">
        <v>91042</v>
      </c>
      <c r="B102" s="783" t="s">
        <v>2719</v>
      </c>
      <c r="C102" s="784">
        <v>2.3360000000000001E-4</v>
      </c>
      <c r="D102" s="784">
        <v>2.062E-4</v>
      </c>
      <c r="E102" s="800">
        <v>99551</v>
      </c>
      <c r="F102" s="785">
        <v>356876</v>
      </c>
      <c r="G102" s="785"/>
      <c r="H102" s="786">
        <v>20559</v>
      </c>
      <c r="I102" s="787">
        <v>86650</v>
      </c>
      <c r="J102" s="786">
        <v>50967</v>
      </c>
      <c r="K102" s="785">
        <v>12354</v>
      </c>
      <c r="L102" s="787">
        <f t="shared" si="2"/>
        <v>170530</v>
      </c>
      <c r="M102" s="785"/>
      <c r="N102" s="786">
        <v>10102</v>
      </c>
      <c r="O102" s="786">
        <v>0</v>
      </c>
      <c r="P102" s="785">
        <v>6985</v>
      </c>
      <c r="Q102" s="787">
        <f t="shared" si="3"/>
        <v>17087</v>
      </c>
      <c r="R102" s="785"/>
      <c r="S102" s="786">
        <v>120268</v>
      </c>
      <c r="T102" s="788">
        <v>717</v>
      </c>
      <c r="U102" s="788">
        <f>120984+1</f>
        <v>120985</v>
      </c>
    </row>
    <row r="103" spans="1:21" x14ac:dyDescent="0.25">
      <c r="A103" s="782">
        <v>91047</v>
      </c>
      <c r="B103" s="783" t="s">
        <v>2720</v>
      </c>
      <c r="C103" s="784">
        <v>1.31E-5</v>
      </c>
      <c r="D103" s="784">
        <v>1.3200000000000001E-5</v>
      </c>
      <c r="E103" s="800">
        <v>16396</v>
      </c>
      <c r="F103" s="785">
        <v>20013</v>
      </c>
      <c r="G103" s="785"/>
      <c r="H103" s="786">
        <v>1153</v>
      </c>
      <c r="I103" s="787">
        <v>4859</v>
      </c>
      <c r="J103" s="786">
        <v>2858</v>
      </c>
      <c r="K103" s="785">
        <v>20507</v>
      </c>
      <c r="L103" s="787">
        <f t="shared" si="2"/>
        <v>29377</v>
      </c>
      <c r="M103" s="785"/>
      <c r="N103" s="786">
        <v>567</v>
      </c>
      <c r="O103" s="786">
        <v>0</v>
      </c>
      <c r="P103" s="785">
        <v>0</v>
      </c>
      <c r="Q103" s="787">
        <f t="shared" si="3"/>
        <v>567</v>
      </c>
      <c r="R103" s="785"/>
      <c r="S103" s="786">
        <v>6744</v>
      </c>
      <c r="T103" s="788">
        <v>7559</v>
      </c>
      <c r="U103" s="788">
        <v>14303</v>
      </c>
    </row>
    <row r="104" spans="1:21" x14ac:dyDescent="0.25">
      <c r="A104" s="782">
        <v>91051</v>
      </c>
      <c r="B104" s="783" t="s">
        <v>2721</v>
      </c>
      <c r="C104" s="784">
        <v>6.6400000000000001E-5</v>
      </c>
      <c r="D104" s="784">
        <v>7.6600000000000005E-5</v>
      </c>
      <c r="E104" s="800">
        <v>30964</v>
      </c>
      <c r="F104" s="785">
        <v>101441</v>
      </c>
      <c r="G104" s="785"/>
      <c r="H104" s="786">
        <v>5844</v>
      </c>
      <c r="I104" s="787">
        <v>24630</v>
      </c>
      <c r="J104" s="786">
        <v>14487</v>
      </c>
      <c r="K104" s="785">
        <v>1619</v>
      </c>
      <c r="L104" s="787">
        <f t="shared" si="2"/>
        <v>46580</v>
      </c>
      <c r="M104" s="785"/>
      <c r="N104" s="786">
        <v>2871</v>
      </c>
      <c r="O104" s="786">
        <v>0</v>
      </c>
      <c r="P104" s="785">
        <v>8430</v>
      </c>
      <c r="Q104" s="787">
        <f t="shared" si="3"/>
        <v>11301</v>
      </c>
      <c r="R104" s="785"/>
      <c r="S104" s="786">
        <v>34186</v>
      </c>
      <c r="T104" s="788">
        <v>-1576</v>
      </c>
      <c r="U104" s="788">
        <f>32609+1</f>
        <v>32610</v>
      </c>
    </row>
    <row r="105" spans="1:21" x14ac:dyDescent="0.25">
      <c r="A105" s="782">
        <v>91057</v>
      </c>
      <c r="B105" s="783" t="s">
        <v>2722</v>
      </c>
      <c r="C105" s="784">
        <v>1.4399999999999999E-5</v>
      </c>
      <c r="D105" s="784">
        <v>1.5E-5</v>
      </c>
      <c r="E105" s="800">
        <v>9616</v>
      </c>
      <c r="F105" s="785">
        <v>21999</v>
      </c>
      <c r="G105" s="785"/>
      <c r="H105" s="786">
        <v>1267</v>
      </c>
      <c r="I105" s="787">
        <v>5342</v>
      </c>
      <c r="J105" s="786">
        <v>3142</v>
      </c>
      <c r="K105" s="785">
        <v>5805</v>
      </c>
      <c r="L105" s="787">
        <f t="shared" si="2"/>
        <v>15556</v>
      </c>
      <c r="M105" s="785"/>
      <c r="N105" s="786">
        <v>623</v>
      </c>
      <c r="O105" s="786">
        <v>0</v>
      </c>
      <c r="P105" s="785">
        <v>0</v>
      </c>
      <c r="Q105" s="787">
        <f t="shared" si="3"/>
        <v>623</v>
      </c>
      <c r="R105" s="785"/>
      <c r="S105" s="786">
        <v>7414</v>
      </c>
      <c r="T105" s="788">
        <v>2191</v>
      </c>
      <c r="U105" s="788">
        <v>9605</v>
      </c>
    </row>
    <row r="106" spans="1:21" x14ac:dyDescent="0.25">
      <c r="A106" s="782">
        <v>91061</v>
      </c>
      <c r="B106" s="783" t="s">
        <v>2723</v>
      </c>
      <c r="C106" s="784">
        <v>4.104E-4</v>
      </c>
      <c r="D106" s="784">
        <v>3.7730000000000001E-4</v>
      </c>
      <c r="E106" s="800">
        <v>172504</v>
      </c>
      <c r="F106" s="785">
        <v>626978</v>
      </c>
      <c r="G106" s="785"/>
      <c r="H106" s="786">
        <v>36120</v>
      </c>
      <c r="I106" s="787">
        <v>152231</v>
      </c>
      <c r="J106" s="786">
        <v>89541</v>
      </c>
      <c r="K106" s="785">
        <v>19267</v>
      </c>
      <c r="L106" s="787">
        <f t="shared" si="2"/>
        <v>297159</v>
      </c>
      <c r="M106" s="785"/>
      <c r="N106" s="786">
        <v>17748</v>
      </c>
      <c r="O106" s="786">
        <v>0</v>
      </c>
      <c r="P106" s="785">
        <v>27800</v>
      </c>
      <c r="Q106" s="787">
        <f t="shared" si="3"/>
        <v>45548</v>
      </c>
      <c r="R106" s="785"/>
      <c r="S106" s="786">
        <v>211292</v>
      </c>
      <c r="T106" s="788">
        <v>-13384</v>
      </c>
      <c r="U106" s="788">
        <v>197908</v>
      </c>
    </row>
    <row r="107" spans="1:21" x14ac:dyDescent="0.25">
      <c r="A107" s="782">
        <v>91067</v>
      </c>
      <c r="B107" s="783" t="s">
        <v>2724</v>
      </c>
      <c r="C107" s="784">
        <v>1.5699999999999999E-5</v>
      </c>
      <c r="D107" s="784">
        <v>1.8499999999999999E-5</v>
      </c>
      <c r="E107" s="800">
        <v>9046</v>
      </c>
      <c r="F107" s="785">
        <v>23985</v>
      </c>
      <c r="G107" s="785"/>
      <c r="H107" s="786">
        <v>1382</v>
      </c>
      <c r="I107" s="787">
        <v>5824</v>
      </c>
      <c r="J107" s="786">
        <v>3425</v>
      </c>
      <c r="K107" s="785">
        <v>2413</v>
      </c>
      <c r="L107" s="787">
        <f t="shared" si="2"/>
        <v>13044</v>
      </c>
      <c r="M107" s="785"/>
      <c r="N107" s="786">
        <v>679</v>
      </c>
      <c r="O107" s="786">
        <v>0</v>
      </c>
      <c r="P107" s="785">
        <v>406</v>
      </c>
      <c r="Q107" s="787">
        <f t="shared" si="3"/>
        <v>1085</v>
      </c>
      <c r="R107" s="785"/>
      <c r="S107" s="786">
        <v>8083</v>
      </c>
      <c r="T107" s="788">
        <v>1156</v>
      </c>
      <c r="U107" s="788">
        <v>9239</v>
      </c>
    </row>
    <row r="108" spans="1:21" x14ac:dyDescent="0.25">
      <c r="A108" s="782">
        <v>91071</v>
      </c>
      <c r="B108" s="783" t="s">
        <v>2725</v>
      </c>
      <c r="C108" s="784">
        <v>2.2770000000000001E-4</v>
      </c>
      <c r="D108" s="784">
        <v>2.4379999999999999E-4</v>
      </c>
      <c r="E108" s="800">
        <v>93245</v>
      </c>
      <c r="F108" s="785">
        <v>347863</v>
      </c>
      <c r="G108" s="785"/>
      <c r="H108" s="786">
        <v>20040</v>
      </c>
      <c r="I108" s="787">
        <v>84462</v>
      </c>
      <c r="J108" s="786">
        <v>49680</v>
      </c>
      <c r="K108" s="785">
        <v>8372</v>
      </c>
      <c r="L108" s="787">
        <f t="shared" si="2"/>
        <v>162554</v>
      </c>
      <c r="M108" s="785"/>
      <c r="N108" s="786">
        <v>9847</v>
      </c>
      <c r="O108" s="786">
        <v>0</v>
      </c>
      <c r="P108" s="785">
        <v>22478</v>
      </c>
      <c r="Q108" s="787">
        <f t="shared" si="3"/>
        <v>32325</v>
      </c>
      <c r="R108" s="785"/>
      <c r="S108" s="786">
        <v>117230</v>
      </c>
      <c r="T108" s="788">
        <v>2353</v>
      </c>
      <c r="U108" s="788">
        <v>119583</v>
      </c>
    </row>
    <row r="109" spans="1:21" x14ac:dyDescent="0.25">
      <c r="A109" s="782">
        <v>91077</v>
      </c>
      <c r="B109" s="783" t="s">
        <v>2726</v>
      </c>
      <c r="C109" s="784">
        <v>3.5999999999999998E-6</v>
      </c>
      <c r="D109" s="784">
        <v>3.9999999999999998E-6</v>
      </c>
      <c r="E109" s="800">
        <v>3277</v>
      </c>
      <c r="F109" s="785">
        <v>5500</v>
      </c>
      <c r="G109" s="785"/>
      <c r="H109" s="786">
        <v>317</v>
      </c>
      <c r="I109" s="787">
        <v>1336</v>
      </c>
      <c r="J109" s="786">
        <v>785</v>
      </c>
      <c r="K109" s="785">
        <v>1826</v>
      </c>
      <c r="L109" s="787">
        <f t="shared" si="2"/>
        <v>4264</v>
      </c>
      <c r="M109" s="785"/>
      <c r="N109" s="786">
        <v>156</v>
      </c>
      <c r="O109" s="786">
        <v>0</v>
      </c>
      <c r="P109" s="785">
        <v>51</v>
      </c>
      <c r="Q109" s="787">
        <f t="shared" si="3"/>
        <v>207</v>
      </c>
      <c r="R109" s="785"/>
      <c r="S109" s="786">
        <v>1853</v>
      </c>
      <c r="T109" s="788">
        <v>551</v>
      </c>
      <c r="U109" s="788">
        <f>2405-1</f>
        <v>2404</v>
      </c>
    </row>
    <row r="110" spans="1:21" x14ac:dyDescent="0.25">
      <c r="A110" s="782">
        <v>91081</v>
      </c>
      <c r="B110" s="783" t="s">
        <v>2727</v>
      </c>
      <c r="C110" s="784">
        <v>3.6240000000000003E-4</v>
      </c>
      <c r="D110" s="784">
        <v>3.6499999999999998E-4</v>
      </c>
      <c r="E110" s="800">
        <v>169112</v>
      </c>
      <c r="F110" s="785">
        <v>553647</v>
      </c>
      <c r="G110" s="785"/>
      <c r="H110" s="786">
        <v>31895</v>
      </c>
      <c r="I110" s="787">
        <v>134426</v>
      </c>
      <c r="J110" s="786">
        <v>79068</v>
      </c>
      <c r="K110" s="785">
        <v>1618</v>
      </c>
      <c r="L110" s="787">
        <f t="shared" si="2"/>
        <v>247007</v>
      </c>
      <c r="M110" s="785"/>
      <c r="N110" s="786">
        <v>15672</v>
      </c>
      <c r="O110" s="786">
        <v>0</v>
      </c>
      <c r="P110" s="785">
        <v>13549</v>
      </c>
      <c r="Q110" s="787">
        <f t="shared" si="3"/>
        <v>29221</v>
      </c>
      <c r="R110" s="785"/>
      <c r="S110" s="786">
        <v>186579</v>
      </c>
      <c r="T110" s="788">
        <v>-13101</v>
      </c>
      <c r="U110" s="788">
        <v>173478</v>
      </c>
    </row>
    <row r="111" spans="1:21" x14ac:dyDescent="0.25">
      <c r="A111" s="782">
        <v>91091</v>
      </c>
      <c r="B111" s="783" t="s">
        <v>2728</v>
      </c>
      <c r="C111" s="784">
        <v>5.3790000000000001E-4</v>
      </c>
      <c r="D111" s="784">
        <v>5.6380000000000004E-4</v>
      </c>
      <c r="E111" s="800">
        <v>225749</v>
      </c>
      <c r="F111" s="785">
        <v>821762</v>
      </c>
      <c r="G111" s="785"/>
      <c r="H111" s="786">
        <v>47341</v>
      </c>
      <c r="I111" s="787">
        <v>199525</v>
      </c>
      <c r="J111" s="786">
        <v>117359</v>
      </c>
      <c r="K111" s="785">
        <v>0</v>
      </c>
      <c r="L111" s="787">
        <f t="shared" si="2"/>
        <v>364225</v>
      </c>
      <c r="M111" s="785"/>
      <c r="N111" s="786">
        <v>23261</v>
      </c>
      <c r="O111" s="786">
        <v>0</v>
      </c>
      <c r="P111" s="785">
        <v>66212</v>
      </c>
      <c r="Q111" s="787">
        <f t="shared" si="3"/>
        <v>89473</v>
      </c>
      <c r="R111" s="785"/>
      <c r="S111" s="786">
        <v>276935</v>
      </c>
      <c r="T111" s="788">
        <v>-30835</v>
      </c>
      <c r="U111" s="788">
        <f>246099+1</f>
        <v>246100</v>
      </c>
    </row>
    <row r="112" spans="1:21" x14ac:dyDescent="0.25">
      <c r="A112" s="782">
        <v>91101</v>
      </c>
      <c r="B112" s="783" t="s">
        <v>2729</v>
      </c>
      <c r="C112" s="784">
        <v>1.35581E-2</v>
      </c>
      <c r="D112" s="784">
        <v>1.36685E-2</v>
      </c>
      <c r="E112" s="800">
        <v>5894551</v>
      </c>
      <c r="F112" s="785">
        <v>20713021</v>
      </c>
      <c r="G112" s="785"/>
      <c r="H112" s="786">
        <v>1193262</v>
      </c>
      <c r="I112" s="787">
        <v>5029146</v>
      </c>
      <c r="J112" s="786">
        <v>2958106</v>
      </c>
      <c r="K112" s="785">
        <v>471609</v>
      </c>
      <c r="L112" s="787">
        <f t="shared" si="2"/>
        <v>9652123</v>
      </c>
      <c r="M112" s="785"/>
      <c r="N112" s="786">
        <v>586320</v>
      </c>
      <c r="O112" s="786">
        <v>0</v>
      </c>
      <c r="P112" s="785">
        <v>587664</v>
      </c>
      <c r="Q112" s="787">
        <f t="shared" si="3"/>
        <v>1173984</v>
      </c>
      <c r="R112" s="785"/>
      <c r="S112" s="786">
        <v>6980306</v>
      </c>
      <c r="T112" s="788">
        <v>147859</v>
      </c>
      <c r="U112" s="788">
        <v>7128165</v>
      </c>
    </row>
    <row r="113" spans="1:21" x14ac:dyDescent="0.25">
      <c r="A113" s="782">
        <v>91102</v>
      </c>
      <c r="B113" s="783" t="s">
        <v>2730</v>
      </c>
      <c r="C113" s="784">
        <v>3.2919999999999998E-4</v>
      </c>
      <c r="D113" s="784">
        <v>3.034E-4</v>
      </c>
      <c r="E113" s="800">
        <v>156560</v>
      </c>
      <c r="F113" s="785">
        <v>502926</v>
      </c>
      <c r="G113" s="785"/>
      <c r="H113" s="786">
        <v>28973</v>
      </c>
      <c r="I113" s="787">
        <v>122111</v>
      </c>
      <c r="J113" s="786">
        <v>71825</v>
      </c>
      <c r="K113" s="785">
        <v>35240</v>
      </c>
      <c r="L113" s="787">
        <f t="shared" si="2"/>
        <v>258149</v>
      </c>
      <c r="M113" s="785"/>
      <c r="N113" s="786">
        <v>14236</v>
      </c>
      <c r="O113" s="786">
        <v>0</v>
      </c>
      <c r="P113" s="785">
        <v>33978</v>
      </c>
      <c r="Q113" s="787">
        <f t="shared" si="3"/>
        <v>48214</v>
      </c>
      <c r="R113" s="785"/>
      <c r="S113" s="786">
        <v>169487</v>
      </c>
      <c r="T113" s="788">
        <v>-8323</v>
      </c>
      <c r="U113" s="788">
        <f>161163+1</f>
        <v>161164</v>
      </c>
    </row>
    <row r="114" spans="1:21" x14ac:dyDescent="0.25">
      <c r="A114" s="782">
        <v>91104</v>
      </c>
      <c r="B114" s="783" t="s">
        <v>2731</v>
      </c>
      <c r="C114" s="784">
        <v>7.9000000000000006E-6</v>
      </c>
      <c r="D114" s="784">
        <v>8.1999999999999994E-6</v>
      </c>
      <c r="E114" s="800">
        <v>5628</v>
      </c>
      <c r="F114" s="785">
        <v>12069</v>
      </c>
      <c r="G114" s="785"/>
      <c r="H114" s="786">
        <v>695</v>
      </c>
      <c r="I114" s="787">
        <v>2930</v>
      </c>
      <c r="J114" s="786">
        <v>1724</v>
      </c>
      <c r="K114" s="785">
        <v>2115</v>
      </c>
      <c r="L114" s="787">
        <f t="shared" si="2"/>
        <v>7464</v>
      </c>
      <c r="M114" s="785"/>
      <c r="N114" s="786">
        <v>342</v>
      </c>
      <c r="O114" s="786">
        <v>0</v>
      </c>
      <c r="P114" s="785">
        <v>39</v>
      </c>
      <c r="Q114" s="787">
        <f t="shared" si="3"/>
        <v>381</v>
      </c>
      <c r="R114" s="785"/>
      <c r="S114" s="786">
        <v>4067</v>
      </c>
      <c r="T114" s="788">
        <v>589</v>
      </c>
      <c r="U114" s="788">
        <v>4656</v>
      </c>
    </row>
    <row r="115" spans="1:21" x14ac:dyDescent="0.25">
      <c r="A115" s="782">
        <v>91107</v>
      </c>
      <c r="B115" s="783" t="s">
        <v>3663</v>
      </c>
      <c r="C115" s="784">
        <v>7.08E-5</v>
      </c>
      <c r="D115" s="784">
        <v>6.7899999999999997E-5</v>
      </c>
      <c r="E115" s="800">
        <v>36616</v>
      </c>
      <c r="F115" s="785">
        <v>108163</v>
      </c>
      <c r="G115" s="785"/>
      <c r="H115" s="786">
        <v>6231</v>
      </c>
      <c r="I115" s="787">
        <v>26263</v>
      </c>
      <c r="J115" s="786">
        <v>15447</v>
      </c>
      <c r="K115" s="785">
        <v>13143</v>
      </c>
      <c r="L115" s="787">
        <f t="shared" si="2"/>
        <v>61084</v>
      </c>
      <c r="M115" s="785"/>
      <c r="N115" s="786">
        <v>3062</v>
      </c>
      <c r="O115" s="786">
        <v>0</v>
      </c>
      <c r="P115" s="785">
        <v>0</v>
      </c>
      <c r="Q115" s="787">
        <f t="shared" si="3"/>
        <v>3062</v>
      </c>
      <c r="R115" s="785"/>
      <c r="S115" s="786">
        <v>36451</v>
      </c>
      <c r="T115" s="788">
        <v>5162</v>
      </c>
      <c r="U115" s="788">
        <v>41613</v>
      </c>
    </row>
    <row r="116" spans="1:21" x14ac:dyDescent="0.25">
      <c r="A116" s="782">
        <v>91108</v>
      </c>
      <c r="B116" s="783" t="s">
        <v>2733</v>
      </c>
      <c r="C116" s="784">
        <v>1.2413999999999999E-3</v>
      </c>
      <c r="D116" s="784">
        <v>1.2622E-3</v>
      </c>
      <c r="E116" s="800">
        <v>613476</v>
      </c>
      <c r="F116" s="785">
        <v>1896515</v>
      </c>
      <c r="G116" s="785"/>
      <c r="H116" s="786">
        <v>109257</v>
      </c>
      <c r="I116" s="787">
        <v>460476</v>
      </c>
      <c r="J116" s="786">
        <v>270849</v>
      </c>
      <c r="K116" s="785">
        <v>74887</v>
      </c>
      <c r="L116" s="787">
        <f t="shared" si="2"/>
        <v>915469</v>
      </c>
      <c r="M116" s="785"/>
      <c r="N116" s="786">
        <v>53684</v>
      </c>
      <c r="O116" s="786">
        <v>0</v>
      </c>
      <c r="P116" s="785">
        <v>0</v>
      </c>
      <c r="Q116" s="787">
        <f t="shared" si="3"/>
        <v>53684</v>
      </c>
      <c r="R116" s="785"/>
      <c r="S116" s="786">
        <v>639127</v>
      </c>
      <c r="T116" s="788">
        <v>34876</v>
      </c>
      <c r="U116" s="788">
        <v>674003</v>
      </c>
    </row>
    <row r="117" spans="1:21" x14ac:dyDescent="0.25">
      <c r="A117" s="782">
        <v>91109</v>
      </c>
      <c r="B117" s="783" t="s">
        <v>2734</v>
      </c>
      <c r="C117" s="784">
        <v>9.9599999999999995E-5</v>
      </c>
      <c r="D117" s="784">
        <v>9.2100000000000003E-5</v>
      </c>
      <c r="E117" s="800">
        <v>45066</v>
      </c>
      <c r="F117" s="785">
        <v>152161</v>
      </c>
      <c r="G117" s="785"/>
      <c r="H117" s="786">
        <v>8766</v>
      </c>
      <c r="I117" s="787">
        <v>36945</v>
      </c>
      <c r="J117" s="786">
        <v>21731</v>
      </c>
      <c r="K117" s="785">
        <v>5921</v>
      </c>
      <c r="L117" s="787">
        <f t="shared" si="2"/>
        <v>73363</v>
      </c>
      <c r="M117" s="785"/>
      <c r="N117" s="786">
        <v>4307</v>
      </c>
      <c r="O117" s="786">
        <v>0</v>
      </c>
      <c r="P117" s="785">
        <v>920</v>
      </c>
      <c r="Q117" s="787">
        <f t="shared" si="3"/>
        <v>5227</v>
      </c>
      <c r="R117" s="785"/>
      <c r="S117" s="786">
        <v>51278</v>
      </c>
      <c r="T117" s="788">
        <v>1215</v>
      </c>
      <c r="U117" s="788">
        <v>52493</v>
      </c>
    </row>
    <row r="118" spans="1:21" x14ac:dyDescent="0.25">
      <c r="A118" s="782">
        <v>91111</v>
      </c>
      <c r="B118" s="783" t="s">
        <v>2735</v>
      </c>
      <c r="C118" s="784">
        <v>2.2719999999999999E-4</v>
      </c>
      <c r="D118" s="784">
        <v>2.2359999999999999E-4</v>
      </c>
      <c r="E118" s="800">
        <v>110903</v>
      </c>
      <c r="F118" s="785">
        <v>347099</v>
      </c>
      <c r="G118" s="785"/>
      <c r="H118" s="786">
        <v>19996</v>
      </c>
      <c r="I118" s="787">
        <v>84276</v>
      </c>
      <c r="J118" s="786">
        <v>49570</v>
      </c>
      <c r="K118" s="785">
        <v>25492</v>
      </c>
      <c r="L118" s="787">
        <f t="shared" si="2"/>
        <v>179334</v>
      </c>
      <c r="M118" s="785"/>
      <c r="N118" s="786">
        <v>9825</v>
      </c>
      <c r="O118" s="786">
        <v>0</v>
      </c>
      <c r="P118" s="785">
        <v>0</v>
      </c>
      <c r="Q118" s="787">
        <f t="shared" si="3"/>
        <v>9825</v>
      </c>
      <c r="R118" s="785"/>
      <c r="S118" s="786">
        <v>116973</v>
      </c>
      <c r="T118" s="788">
        <v>10793</v>
      </c>
      <c r="U118" s="788">
        <v>127766</v>
      </c>
    </row>
    <row r="119" spans="1:21" x14ac:dyDescent="0.25">
      <c r="A119" s="782">
        <v>91119</v>
      </c>
      <c r="B119" s="783" t="s">
        <v>1262</v>
      </c>
      <c r="C119" s="784">
        <v>0</v>
      </c>
      <c r="D119" s="784">
        <v>0</v>
      </c>
      <c r="E119" s="800" t="e">
        <v>#N/A</v>
      </c>
      <c r="F119" s="785">
        <v>0</v>
      </c>
      <c r="G119" s="785"/>
      <c r="H119" s="786">
        <v>0</v>
      </c>
      <c r="I119" s="787">
        <v>0</v>
      </c>
      <c r="J119" s="786">
        <v>0</v>
      </c>
      <c r="K119" s="785">
        <v>0</v>
      </c>
      <c r="L119" s="787">
        <f t="shared" si="2"/>
        <v>0</v>
      </c>
      <c r="M119" s="785"/>
      <c r="N119" s="786">
        <v>0</v>
      </c>
      <c r="O119" s="786">
        <v>0</v>
      </c>
      <c r="P119" s="785">
        <v>321091</v>
      </c>
      <c r="Q119" s="787">
        <f t="shared" si="3"/>
        <v>321091</v>
      </c>
      <c r="R119" s="785"/>
      <c r="S119" s="786">
        <v>0</v>
      </c>
      <c r="T119" s="788">
        <v>-324334</v>
      </c>
      <c r="U119" s="788">
        <v>-324334</v>
      </c>
    </row>
    <row r="120" spans="1:21" x14ac:dyDescent="0.25">
      <c r="A120" s="782">
        <v>91120</v>
      </c>
      <c r="B120" s="783" t="s">
        <v>2736</v>
      </c>
      <c r="C120" s="784">
        <v>1.3019999999999999E-4</v>
      </c>
      <c r="D120" s="784">
        <v>1.184E-4</v>
      </c>
      <c r="E120" s="800">
        <v>45449</v>
      </c>
      <c r="F120" s="785">
        <v>198910</v>
      </c>
      <c r="G120" s="785"/>
      <c r="H120" s="786">
        <v>11459</v>
      </c>
      <c r="I120" s="787">
        <v>48295</v>
      </c>
      <c r="J120" s="786">
        <v>28407</v>
      </c>
      <c r="K120" s="785">
        <v>0</v>
      </c>
      <c r="L120" s="787">
        <f t="shared" si="2"/>
        <v>88161</v>
      </c>
      <c r="M120" s="785"/>
      <c r="N120" s="786">
        <v>5630</v>
      </c>
      <c r="O120" s="786">
        <v>0</v>
      </c>
      <c r="P120" s="785">
        <v>21939</v>
      </c>
      <c r="Q120" s="787">
        <f t="shared" si="3"/>
        <v>27569</v>
      </c>
      <c r="R120" s="785"/>
      <c r="S120" s="786">
        <v>67033</v>
      </c>
      <c r="T120" s="788">
        <v>-12131</v>
      </c>
      <c r="U120" s="788">
        <v>54902</v>
      </c>
    </row>
    <row r="121" spans="1:21" x14ac:dyDescent="0.25">
      <c r="A121" s="782">
        <v>91121</v>
      </c>
      <c r="B121" s="783" t="s">
        <v>2737</v>
      </c>
      <c r="C121" s="784">
        <v>9.9927999999999996E-3</v>
      </c>
      <c r="D121" s="784">
        <v>9.7842999999999992E-3</v>
      </c>
      <c r="E121" s="800">
        <v>4272051</v>
      </c>
      <c r="F121" s="785">
        <v>15266230</v>
      </c>
      <c r="G121" s="785"/>
      <c r="H121" s="786">
        <v>879476</v>
      </c>
      <c r="I121" s="787">
        <v>3706660</v>
      </c>
      <c r="J121" s="786">
        <v>2180229</v>
      </c>
      <c r="K121" s="785">
        <v>0</v>
      </c>
      <c r="L121" s="787">
        <f t="shared" si="2"/>
        <v>6766365</v>
      </c>
      <c r="M121" s="785"/>
      <c r="N121" s="786">
        <v>432139</v>
      </c>
      <c r="O121" s="786">
        <v>0</v>
      </c>
      <c r="P121" s="785">
        <v>650994</v>
      </c>
      <c r="Q121" s="787">
        <f t="shared" si="3"/>
        <v>1083133</v>
      </c>
      <c r="R121" s="785"/>
      <c r="S121" s="786">
        <v>5144733</v>
      </c>
      <c r="T121" s="788">
        <v>-324255</v>
      </c>
      <c r="U121" s="788">
        <f>4820479-1</f>
        <v>4820478</v>
      </c>
    </row>
    <row r="122" spans="1:21" x14ac:dyDescent="0.25">
      <c r="A122" s="782">
        <v>91127</v>
      </c>
      <c r="B122" s="783" t="s">
        <v>2738</v>
      </c>
      <c r="C122" s="784">
        <v>2.6879999999999997E-4</v>
      </c>
      <c r="D122" s="784">
        <v>2.8229999999999998E-4</v>
      </c>
      <c r="E122" s="800">
        <v>146935</v>
      </c>
      <c r="F122" s="785">
        <v>410652</v>
      </c>
      <c r="G122" s="785"/>
      <c r="H122" s="786">
        <v>23657</v>
      </c>
      <c r="I122" s="787">
        <v>99706</v>
      </c>
      <c r="J122" s="786">
        <v>58647</v>
      </c>
      <c r="K122" s="785">
        <v>46863</v>
      </c>
      <c r="L122" s="787">
        <f t="shared" si="2"/>
        <v>228873</v>
      </c>
      <c r="M122" s="785"/>
      <c r="N122" s="786">
        <v>11624</v>
      </c>
      <c r="O122" s="786">
        <v>0</v>
      </c>
      <c r="P122" s="785">
        <v>0</v>
      </c>
      <c r="Q122" s="787">
        <f t="shared" si="3"/>
        <v>11624</v>
      </c>
      <c r="R122" s="785"/>
      <c r="S122" s="786">
        <v>138390</v>
      </c>
      <c r="T122" s="788">
        <v>25061</v>
      </c>
      <c r="U122" s="788">
        <v>163451</v>
      </c>
    </row>
    <row r="123" spans="1:21" x14ac:dyDescent="0.25">
      <c r="A123" s="782">
        <v>91128</v>
      </c>
      <c r="B123" s="783" t="s">
        <v>2739</v>
      </c>
      <c r="C123" s="784">
        <v>5.2380000000000005E-4</v>
      </c>
      <c r="D123" s="784">
        <v>5.0929999999999997E-4</v>
      </c>
      <c r="E123" s="800">
        <v>238305</v>
      </c>
      <c r="F123" s="785">
        <v>800221</v>
      </c>
      <c r="G123" s="785"/>
      <c r="H123" s="786">
        <v>46100</v>
      </c>
      <c r="I123" s="787">
        <v>194295</v>
      </c>
      <c r="J123" s="786">
        <v>114283</v>
      </c>
      <c r="K123" s="785">
        <v>15169</v>
      </c>
      <c r="L123" s="787">
        <f t="shared" si="2"/>
        <v>369847</v>
      </c>
      <c r="M123" s="785"/>
      <c r="N123" s="786">
        <v>22652</v>
      </c>
      <c r="O123" s="786">
        <v>0</v>
      </c>
      <c r="P123" s="785">
        <v>6263</v>
      </c>
      <c r="Q123" s="787">
        <f t="shared" si="3"/>
        <v>28915</v>
      </c>
      <c r="R123" s="785"/>
      <c r="S123" s="786">
        <v>269675</v>
      </c>
      <c r="T123" s="788">
        <v>-679</v>
      </c>
      <c r="U123" s="788">
        <v>268996</v>
      </c>
    </row>
    <row r="124" spans="1:21" x14ac:dyDescent="0.25">
      <c r="A124" s="782">
        <v>91138</v>
      </c>
      <c r="B124" s="783" t="s">
        <v>2740</v>
      </c>
      <c r="C124" s="784">
        <v>6.2629999999999999E-4</v>
      </c>
      <c r="D124" s="784">
        <v>6.2350000000000003E-4</v>
      </c>
      <c r="E124" s="800">
        <v>220646</v>
      </c>
      <c r="F124" s="785">
        <v>956813</v>
      </c>
      <c r="G124" s="785"/>
      <c r="H124" s="786">
        <v>55121</v>
      </c>
      <c r="I124" s="787">
        <v>232316</v>
      </c>
      <c r="J124" s="786">
        <v>136646</v>
      </c>
      <c r="K124" s="785">
        <v>0</v>
      </c>
      <c r="L124" s="787">
        <f t="shared" si="2"/>
        <v>424083</v>
      </c>
      <c r="M124" s="785"/>
      <c r="N124" s="786">
        <v>27084</v>
      </c>
      <c r="O124" s="786">
        <v>0</v>
      </c>
      <c r="P124" s="785">
        <v>127984</v>
      </c>
      <c r="Q124" s="787">
        <f t="shared" si="3"/>
        <v>155068</v>
      </c>
      <c r="R124" s="785"/>
      <c r="S124" s="786">
        <v>322447</v>
      </c>
      <c r="T124" s="788">
        <v>-48531</v>
      </c>
      <c r="U124" s="788">
        <v>273916</v>
      </c>
    </row>
    <row r="125" spans="1:21" x14ac:dyDescent="0.25">
      <c r="A125" s="782">
        <v>91141</v>
      </c>
      <c r="B125" s="783" t="s">
        <v>2741</v>
      </c>
      <c r="C125" s="784">
        <v>5.7569999999999995E-4</v>
      </c>
      <c r="D125" s="784">
        <v>5.5679999999999998E-4</v>
      </c>
      <c r="E125" s="800">
        <v>236315</v>
      </c>
      <c r="F125" s="785">
        <v>879510</v>
      </c>
      <c r="G125" s="785"/>
      <c r="H125" s="786">
        <v>50668</v>
      </c>
      <c r="I125" s="787">
        <v>213546</v>
      </c>
      <c r="J125" s="786">
        <v>125606</v>
      </c>
      <c r="K125" s="785">
        <v>0</v>
      </c>
      <c r="L125" s="787">
        <f t="shared" si="2"/>
        <v>389820</v>
      </c>
      <c r="M125" s="785"/>
      <c r="N125" s="786">
        <v>24896</v>
      </c>
      <c r="O125" s="786">
        <v>0</v>
      </c>
      <c r="P125" s="785">
        <v>80393</v>
      </c>
      <c r="Q125" s="787">
        <f t="shared" si="3"/>
        <v>105289</v>
      </c>
      <c r="R125" s="785"/>
      <c r="S125" s="786">
        <v>296396</v>
      </c>
      <c r="T125" s="788">
        <v>-38126</v>
      </c>
      <c r="U125" s="788">
        <v>258270</v>
      </c>
    </row>
    <row r="126" spans="1:21" x14ac:dyDescent="0.25">
      <c r="A126" s="782">
        <v>91147</v>
      </c>
      <c r="B126" s="783" t="s">
        <v>2742</v>
      </c>
      <c r="C126" s="784">
        <v>2.6699999999999998E-5</v>
      </c>
      <c r="D126" s="784">
        <v>2.4199999999999999E-5</v>
      </c>
      <c r="E126" s="800">
        <v>12125</v>
      </c>
      <c r="F126" s="785">
        <v>40790</v>
      </c>
      <c r="G126" s="785"/>
      <c r="H126" s="786">
        <v>2350</v>
      </c>
      <c r="I126" s="787">
        <v>9904</v>
      </c>
      <c r="J126" s="786">
        <v>5825</v>
      </c>
      <c r="K126" s="785">
        <v>8489</v>
      </c>
      <c r="L126" s="787">
        <f t="shared" si="2"/>
        <v>26568</v>
      </c>
      <c r="M126" s="785"/>
      <c r="N126" s="786">
        <v>1155</v>
      </c>
      <c r="O126" s="786">
        <v>0</v>
      </c>
      <c r="P126" s="785">
        <v>0</v>
      </c>
      <c r="Q126" s="787">
        <f t="shared" si="3"/>
        <v>1155</v>
      </c>
      <c r="R126" s="785"/>
      <c r="S126" s="786">
        <v>13746</v>
      </c>
      <c r="T126" s="788">
        <v>4333</v>
      </c>
      <c r="U126" s="788">
        <f>18080-1</f>
        <v>18079</v>
      </c>
    </row>
    <row r="127" spans="1:21" x14ac:dyDescent="0.25">
      <c r="A127" s="782">
        <v>91151</v>
      </c>
      <c r="B127" s="783" t="s">
        <v>2743</v>
      </c>
      <c r="C127" s="784">
        <v>6.3409999999999996E-4</v>
      </c>
      <c r="D127" s="784">
        <v>6.1180000000000002E-4</v>
      </c>
      <c r="E127" s="800">
        <v>254760</v>
      </c>
      <c r="F127" s="785">
        <v>968729</v>
      </c>
      <c r="G127" s="785"/>
      <c r="H127" s="786">
        <v>55808</v>
      </c>
      <c r="I127" s="787">
        <v>235208</v>
      </c>
      <c r="J127" s="786">
        <v>138348</v>
      </c>
      <c r="K127" s="785">
        <v>6907</v>
      </c>
      <c r="L127" s="787">
        <f t="shared" si="2"/>
        <v>436271</v>
      </c>
      <c r="M127" s="785"/>
      <c r="N127" s="786">
        <v>27422</v>
      </c>
      <c r="O127" s="786">
        <v>0</v>
      </c>
      <c r="P127" s="785">
        <v>49311</v>
      </c>
      <c r="Q127" s="787">
        <f t="shared" si="3"/>
        <v>76733</v>
      </c>
      <c r="R127" s="785"/>
      <c r="S127" s="786">
        <v>326463</v>
      </c>
      <c r="T127" s="788">
        <v>-15290</v>
      </c>
      <c r="U127" s="788">
        <f>311172+1</f>
        <v>311173</v>
      </c>
    </row>
    <row r="128" spans="1:21" x14ac:dyDescent="0.25">
      <c r="A128" s="782">
        <v>91154</v>
      </c>
      <c r="B128" s="783" t="s">
        <v>2744</v>
      </c>
      <c r="C128" s="784">
        <v>2.6299999999999999E-5</v>
      </c>
      <c r="D128" s="784">
        <v>1.9599999999999999E-5</v>
      </c>
      <c r="E128" s="800">
        <v>10902</v>
      </c>
      <c r="F128" s="785">
        <v>40179</v>
      </c>
      <c r="G128" s="785"/>
      <c r="H128" s="786">
        <v>2315</v>
      </c>
      <c r="I128" s="787">
        <v>9756</v>
      </c>
      <c r="J128" s="786">
        <v>5738</v>
      </c>
      <c r="K128" s="785">
        <v>7326</v>
      </c>
      <c r="L128" s="787">
        <f t="shared" si="2"/>
        <v>25135</v>
      </c>
      <c r="M128" s="785"/>
      <c r="N128" s="786">
        <v>1137</v>
      </c>
      <c r="O128" s="786">
        <v>0</v>
      </c>
      <c r="P128" s="785">
        <v>0</v>
      </c>
      <c r="Q128" s="787">
        <f t="shared" si="3"/>
        <v>1137</v>
      </c>
      <c r="R128" s="785"/>
      <c r="S128" s="786">
        <v>13540</v>
      </c>
      <c r="T128" s="788">
        <v>2962</v>
      </c>
      <c r="U128" s="788">
        <f>16503-1</f>
        <v>16502</v>
      </c>
    </row>
    <row r="129" spans="1:21" x14ac:dyDescent="0.25">
      <c r="A129" s="782">
        <v>91161</v>
      </c>
      <c r="B129" s="783" t="s">
        <v>2745</v>
      </c>
      <c r="C129" s="784">
        <v>9.2600000000000001E-5</v>
      </c>
      <c r="D129" s="784">
        <v>9.4599999999999996E-5</v>
      </c>
      <c r="E129" s="800">
        <v>44457</v>
      </c>
      <c r="F129" s="785">
        <v>141467</v>
      </c>
      <c r="G129" s="785"/>
      <c r="H129" s="786">
        <v>8150</v>
      </c>
      <c r="I129" s="787">
        <v>34348</v>
      </c>
      <c r="J129" s="786">
        <v>20203</v>
      </c>
      <c r="K129" s="785">
        <v>5327</v>
      </c>
      <c r="L129" s="787">
        <f t="shared" si="2"/>
        <v>68028</v>
      </c>
      <c r="M129" s="785"/>
      <c r="N129" s="786">
        <v>4004</v>
      </c>
      <c r="O129" s="786">
        <v>0</v>
      </c>
      <c r="P129" s="785">
        <v>3079</v>
      </c>
      <c r="Q129" s="787">
        <f t="shared" si="3"/>
        <v>7083</v>
      </c>
      <c r="R129" s="785"/>
      <c r="S129" s="786">
        <v>47675</v>
      </c>
      <c r="T129" s="788">
        <v>935</v>
      </c>
      <c r="U129" s="788">
        <v>48610</v>
      </c>
    </row>
    <row r="130" spans="1:21" x14ac:dyDescent="0.25">
      <c r="A130" s="782">
        <v>91171</v>
      </c>
      <c r="B130" s="783" t="s">
        <v>2746</v>
      </c>
      <c r="C130" s="784">
        <v>1.95E-4</v>
      </c>
      <c r="D130" s="784">
        <v>2.5589999999999999E-4</v>
      </c>
      <c r="E130" s="800">
        <v>93651</v>
      </c>
      <c r="F130" s="785">
        <v>297906</v>
      </c>
      <c r="G130" s="785"/>
      <c r="H130" s="786">
        <v>17162</v>
      </c>
      <c r="I130" s="787">
        <v>72331</v>
      </c>
      <c r="J130" s="786">
        <v>42545</v>
      </c>
      <c r="K130" s="785">
        <v>0</v>
      </c>
      <c r="L130" s="787">
        <f t="shared" si="2"/>
        <v>132038</v>
      </c>
      <c r="M130" s="785"/>
      <c r="N130" s="786">
        <v>8433</v>
      </c>
      <c r="O130" s="786">
        <v>0</v>
      </c>
      <c r="P130" s="785">
        <v>58020</v>
      </c>
      <c r="Q130" s="787">
        <f t="shared" si="3"/>
        <v>66453</v>
      </c>
      <c r="R130" s="785"/>
      <c r="S130" s="786">
        <v>100395</v>
      </c>
      <c r="T130" s="788">
        <v>-21400</v>
      </c>
      <c r="U130" s="788">
        <f>78994+1</f>
        <v>78995</v>
      </c>
    </row>
    <row r="131" spans="1:21" x14ac:dyDescent="0.25">
      <c r="A131" s="782">
        <v>91201</v>
      </c>
      <c r="B131" s="783" t="s">
        <v>2747</v>
      </c>
      <c r="C131" s="784">
        <v>2.2878E-3</v>
      </c>
      <c r="D131" s="784">
        <v>2.3127999999999998E-3</v>
      </c>
      <c r="E131" s="800">
        <v>970291</v>
      </c>
      <c r="F131" s="785">
        <v>3495125</v>
      </c>
      <c r="G131" s="785"/>
      <c r="H131" s="786">
        <v>201352</v>
      </c>
      <c r="I131" s="787">
        <v>848620</v>
      </c>
      <c r="J131" s="786">
        <v>499152</v>
      </c>
      <c r="K131" s="785">
        <v>40348</v>
      </c>
      <c r="L131" s="787">
        <f t="shared" si="2"/>
        <v>1589472</v>
      </c>
      <c r="M131" s="785"/>
      <c r="N131" s="786">
        <v>98936</v>
      </c>
      <c r="O131" s="786">
        <v>0</v>
      </c>
      <c r="P131" s="785">
        <v>96428</v>
      </c>
      <c r="Q131" s="787">
        <f t="shared" si="3"/>
        <v>195364</v>
      </c>
      <c r="R131" s="785"/>
      <c r="S131" s="786">
        <v>1177860</v>
      </c>
      <c r="T131" s="788">
        <v>-568</v>
      </c>
      <c r="U131" s="788">
        <v>1177292</v>
      </c>
    </row>
    <row r="132" spans="1:21" x14ac:dyDescent="0.25">
      <c r="A132" s="782">
        <v>91202</v>
      </c>
      <c r="B132" s="783" t="s">
        <v>2748</v>
      </c>
      <c r="C132" s="784">
        <v>1.9330000000000001E-4</v>
      </c>
      <c r="D132" s="784">
        <v>1.897E-4</v>
      </c>
      <c r="E132" s="800">
        <v>96479</v>
      </c>
      <c r="F132" s="785">
        <v>295309</v>
      </c>
      <c r="G132" s="785"/>
      <c r="H132" s="786">
        <v>17013</v>
      </c>
      <c r="I132" s="787">
        <v>71701</v>
      </c>
      <c r="J132" s="786">
        <v>42174</v>
      </c>
      <c r="K132" s="785">
        <v>27893</v>
      </c>
      <c r="L132" s="787">
        <f t="shared" si="2"/>
        <v>158781</v>
      </c>
      <c r="M132" s="785"/>
      <c r="N132" s="786">
        <v>8359</v>
      </c>
      <c r="O132" s="786">
        <v>0</v>
      </c>
      <c r="P132" s="785">
        <v>0</v>
      </c>
      <c r="Q132" s="787">
        <f t="shared" si="3"/>
        <v>8359</v>
      </c>
      <c r="R132" s="785"/>
      <c r="S132" s="786">
        <v>99519</v>
      </c>
      <c r="T132" s="788">
        <v>12367</v>
      </c>
      <c r="U132" s="788">
        <v>111886</v>
      </c>
    </row>
    <row r="133" spans="1:21" x14ac:dyDescent="0.25">
      <c r="A133" s="782">
        <v>91203</v>
      </c>
      <c r="B133" s="783" t="s">
        <v>2749</v>
      </c>
      <c r="C133" s="784">
        <v>2.1939999999999999E-4</v>
      </c>
      <c r="D133" s="784">
        <v>2.4479999999999999E-4</v>
      </c>
      <c r="E133" s="800">
        <v>127249</v>
      </c>
      <c r="F133" s="785">
        <v>335182</v>
      </c>
      <c r="G133" s="785"/>
      <c r="H133" s="786">
        <v>19310</v>
      </c>
      <c r="I133" s="787">
        <v>81383</v>
      </c>
      <c r="J133" s="786">
        <v>47869</v>
      </c>
      <c r="K133" s="785">
        <v>25236</v>
      </c>
      <c r="L133" s="787">
        <f t="shared" si="2"/>
        <v>173798</v>
      </c>
      <c r="M133" s="785"/>
      <c r="N133" s="786">
        <v>9488</v>
      </c>
      <c r="O133" s="786">
        <v>0</v>
      </c>
      <c r="P133" s="785">
        <v>0</v>
      </c>
      <c r="Q133" s="787">
        <f t="shared" si="3"/>
        <v>9488</v>
      </c>
      <c r="R133" s="785"/>
      <c r="S133" s="786">
        <v>112957</v>
      </c>
      <c r="T133" s="788">
        <v>12508</v>
      </c>
      <c r="U133" s="788">
        <f>125464+1</f>
        <v>125465</v>
      </c>
    </row>
    <row r="134" spans="1:21" x14ac:dyDescent="0.25">
      <c r="A134" s="782">
        <v>91206</v>
      </c>
      <c r="B134" s="783" t="s">
        <v>2750</v>
      </c>
      <c r="C134" s="784">
        <v>8.6450000000000003E-4</v>
      </c>
      <c r="D134" s="784">
        <v>8.2129999999999996E-4</v>
      </c>
      <c r="E134" s="800">
        <v>388200</v>
      </c>
      <c r="F134" s="785">
        <v>1320717</v>
      </c>
      <c r="G134" s="785"/>
      <c r="H134" s="786">
        <v>76086</v>
      </c>
      <c r="I134" s="787">
        <v>320672</v>
      </c>
      <c r="J134" s="786">
        <v>188617</v>
      </c>
      <c r="K134" s="785">
        <v>32943</v>
      </c>
      <c r="L134" s="787">
        <f t="shared" si="2"/>
        <v>618318</v>
      </c>
      <c r="M134" s="785"/>
      <c r="N134" s="786">
        <v>37385</v>
      </c>
      <c r="O134" s="786">
        <v>0</v>
      </c>
      <c r="P134" s="785">
        <v>1131</v>
      </c>
      <c r="Q134" s="787">
        <f t="shared" si="3"/>
        <v>38516</v>
      </c>
      <c r="R134" s="785"/>
      <c r="S134" s="786">
        <v>445083</v>
      </c>
      <c r="T134" s="788">
        <v>15708</v>
      </c>
      <c r="U134" s="788">
        <v>460791</v>
      </c>
    </row>
    <row r="135" spans="1:21" x14ac:dyDescent="0.25">
      <c r="A135" s="782">
        <v>91208</v>
      </c>
      <c r="B135" s="783" t="s">
        <v>2751</v>
      </c>
      <c r="C135" s="784">
        <v>1.42E-5</v>
      </c>
      <c r="D135" s="784">
        <v>1.3699999999999999E-5</v>
      </c>
      <c r="E135" s="800">
        <v>6398</v>
      </c>
      <c r="F135" s="785">
        <v>21694</v>
      </c>
      <c r="G135" s="785"/>
      <c r="H135" s="786">
        <v>1250</v>
      </c>
      <c r="I135" s="787">
        <v>5267</v>
      </c>
      <c r="J135" s="786">
        <v>3098</v>
      </c>
      <c r="K135" s="785">
        <v>3961</v>
      </c>
      <c r="L135" s="787">
        <f t="shared" ref="L135:L198" si="4">H135+I135+J135+K135</f>
        <v>13576</v>
      </c>
      <c r="M135" s="785"/>
      <c r="N135" s="786">
        <v>614</v>
      </c>
      <c r="O135" s="786">
        <v>0</v>
      </c>
      <c r="P135" s="785">
        <v>0</v>
      </c>
      <c r="Q135" s="787">
        <f t="shared" ref="Q135:Q198" si="5">N135+O135+P135</f>
        <v>614</v>
      </c>
      <c r="R135" s="785"/>
      <c r="S135" s="786">
        <v>7311</v>
      </c>
      <c r="T135" s="788">
        <v>3460</v>
      </c>
      <c r="U135" s="788">
        <v>10771</v>
      </c>
    </row>
    <row r="136" spans="1:21" x14ac:dyDescent="0.25">
      <c r="A136" s="782">
        <v>91211</v>
      </c>
      <c r="B136" s="783" t="s">
        <v>2752</v>
      </c>
      <c r="C136" s="784">
        <v>4.5530000000000001E-4</v>
      </c>
      <c r="D136" s="784">
        <v>4.6789999999999999E-4</v>
      </c>
      <c r="E136" s="800">
        <v>223513</v>
      </c>
      <c r="F136" s="785">
        <v>695572</v>
      </c>
      <c r="G136" s="785"/>
      <c r="H136" s="786">
        <v>40071</v>
      </c>
      <c r="I136" s="787">
        <v>168886</v>
      </c>
      <c r="J136" s="786">
        <v>99337</v>
      </c>
      <c r="K136" s="785">
        <v>6745</v>
      </c>
      <c r="L136" s="787">
        <f t="shared" si="4"/>
        <v>315039</v>
      </c>
      <c r="M136" s="785"/>
      <c r="N136" s="786">
        <v>19689</v>
      </c>
      <c r="O136" s="786">
        <v>0</v>
      </c>
      <c r="P136" s="785">
        <v>3315</v>
      </c>
      <c r="Q136" s="787">
        <f t="shared" si="5"/>
        <v>23004</v>
      </c>
      <c r="R136" s="785"/>
      <c r="S136" s="786">
        <v>234408</v>
      </c>
      <c r="T136" s="788">
        <v>1355</v>
      </c>
      <c r="U136" s="788">
        <v>235763</v>
      </c>
    </row>
    <row r="137" spans="1:21" x14ac:dyDescent="0.25">
      <c r="A137" s="782">
        <v>91213</v>
      </c>
      <c r="B137" s="783" t="s">
        <v>2753</v>
      </c>
      <c r="C137" s="784">
        <v>3.2499999999999997E-5</v>
      </c>
      <c r="D137" s="784">
        <v>3.57E-5</v>
      </c>
      <c r="E137" s="800">
        <v>12090</v>
      </c>
      <c r="F137" s="785">
        <v>49651</v>
      </c>
      <c r="G137" s="785"/>
      <c r="H137" s="786">
        <v>2860</v>
      </c>
      <c r="I137" s="787">
        <v>12056</v>
      </c>
      <c r="J137" s="786">
        <v>7091</v>
      </c>
      <c r="K137" s="785">
        <v>0</v>
      </c>
      <c r="L137" s="787">
        <f t="shared" si="4"/>
        <v>22007</v>
      </c>
      <c r="M137" s="785"/>
      <c r="N137" s="786">
        <v>1405</v>
      </c>
      <c r="O137" s="786">
        <v>0</v>
      </c>
      <c r="P137" s="785">
        <v>7680</v>
      </c>
      <c r="Q137" s="787">
        <f t="shared" si="5"/>
        <v>9085</v>
      </c>
      <c r="R137" s="785"/>
      <c r="S137" s="786">
        <v>16732</v>
      </c>
      <c r="T137" s="788">
        <v>-2660</v>
      </c>
      <c r="U137" s="788">
        <v>14072</v>
      </c>
    </row>
    <row r="138" spans="1:21" x14ac:dyDescent="0.25">
      <c r="A138" s="782">
        <v>91214</v>
      </c>
      <c r="B138" s="783" t="s">
        <v>2754</v>
      </c>
      <c r="C138" s="784">
        <v>2.9300000000000001E-5</v>
      </c>
      <c r="D138" s="784">
        <v>2.8200000000000001E-5</v>
      </c>
      <c r="E138" s="800">
        <v>9669</v>
      </c>
      <c r="F138" s="785">
        <v>44762</v>
      </c>
      <c r="G138" s="785"/>
      <c r="H138" s="786">
        <v>2579</v>
      </c>
      <c r="I138" s="787">
        <v>10868</v>
      </c>
      <c r="J138" s="786">
        <v>6393</v>
      </c>
      <c r="K138" s="785">
        <v>1300</v>
      </c>
      <c r="L138" s="787">
        <f t="shared" si="4"/>
        <v>21140</v>
      </c>
      <c r="M138" s="785"/>
      <c r="N138" s="786">
        <v>1267</v>
      </c>
      <c r="O138" s="786">
        <v>0</v>
      </c>
      <c r="P138" s="785">
        <v>3669</v>
      </c>
      <c r="Q138" s="787">
        <f t="shared" si="5"/>
        <v>4936</v>
      </c>
      <c r="R138" s="785"/>
      <c r="S138" s="786">
        <v>15085</v>
      </c>
      <c r="T138" s="788">
        <v>-283</v>
      </c>
      <c r="U138" s="788">
        <v>14802</v>
      </c>
    </row>
    <row r="139" spans="1:21" x14ac:dyDescent="0.25">
      <c r="A139" s="782">
        <v>91217</v>
      </c>
      <c r="B139" s="783" t="s">
        <v>2755</v>
      </c>
      <c r="C139" s="784">
        <v>2.8799999999999999E-5</v>
      </c>
      <c r="D139" s="784">
        <v>2.6699999999999998E-5</v>
      </c>
      <c r="E139" s="800">
        <v>14934</v>
      </c>
      <c r="F139" s="785">
        <v>43998</v>
      </c>
      <c r="G139" s="785"/>
      <c r="H139" s="786">
        <v>2535</v>
      </c>
      <c r="I139" s="787">
        <v>10683</v>
      </c>
      <c r="J139" s="786">
        <v>6284</v>
      </c>
      <c r="K139" s="785">
        <v>10784</v>
      </c>
      <c r="L139" s="787">
        <f t="shared" si="4"/>
        <v>30286</v>
      </c>
      <c r="M139" s="785"/>
      <c r="N139" s="786">
        <v>1245</v>
      </c>
      <c r="O139" s="786">
        <v>0</v>
      </c>
      <c r="P139" s="785">
        <v>0</v>
      </c>
      <c r="Q139" s="787">
        <f t="shared" si="5"/>
        <v>1245</v>
      </c>
      <c r="R139" s="785"/>
      <c r="S139" s="786">
        <v>14828</v>
      </c>
      <c r="T139" s="788">
        <v>4311</v>
      </c>
      <c r="U139" s="788">
        <v>19139</v>
      </c>
    </row>
    <row r="140" spans="1:21" x14ac:dyDescent="0.25">
      <c r="A140" s="782">
        <v>91221</v>
      </c>
      <c r="B140" s="783" t="s">
        <v>2756</v>
      </c>
      <c r="C140" s="784">
        <v>1.3359999999999999E-4</v>
      </c>
      <c r="D140" s="784">
        <v>1.294E-4</v>
      </c>
      <c r="E140" s="800">
        <v>59449</v>
      </c>
      <c r="F140" s="785">
        <v>204104</v>
      </c>
      <c r="G140" s="785"/>
      <c r="H140" s="786">
        <v>11758</v>
      </c>
      <c r="I140" s="787">
        <v>49557</v>
      </c>
      <c r="J140" s="786">
        <v>29149</v>
      </c>
      <c r="K140" s="785">
        <v>5038</v>
      </c>
      <c r="L140" s="787">
        <f t="shared" si="4"/>
        <v>95502</v>
      </c>
      <c r="M140" s="785"/>
      <c r="N140" s="786">
        <v>5778</v>
      </c>
      <c r="O140" s="786">
        <v>0</v>
      </c>
      <c r="P140" s="785">
        <v>7113</v>
      </c>
      <c r="Q140" s="787">
        <f t="shared" si="5"/>
        <v>12891</v>
      </c>
      <c r="R140" s="785"/>
      <c r="S140" s="786">
        <v>68783</v>
      </c>
      <c r="T140" s="788">
        <v>1397</v>
      </c>
      <c r="U140" s="788">
        <v>70180</v>
      </c>
    </row>
    <row r="141" spans="1:21" x14ac:dyDescent="0.25">
      <c r="A141" s="782">
        <v>91231</v>
      </c>
      <c r="B141" s="783" t="s">
        <v>2757</v>
      </c>
      <c r="C141" s="784">
        <v>1.8856000000000001E-3</v>
      </c>
      <c r="D141" s="784">
        <v>1.9957E-3</v>
      </c>
      <c r="E141" s="800">
        <v>867955</v>
      </c>
      <c r="F141" s="785">
        <v>2880674</v>
      </c>
      <c r="G141" s="785"/>
      <c r="H141" s="786">
        <v>165954</v>
      </c>
      <c r="I141" s="787">
        <v>699431</v>
      </c>
      <c r="J141" s="786">
        <v>411400</v>
      </c>
      <c r="K141" s="785">
        <v>10587</v>
      </c>
      <c r="L141" s="787">
        <f t="shared" si="4"/>
        <v>1287372</v>
      </c>
      <c r="M141" s="785"/>
      <c r="N141" s="786">
        <v>81543</v>
      </c>
      <c r="O141" s="786">
        <v>0</v>
      </c>
      <c r="P141" s="785">
        <v>132995</v>
      </c>
      <c r="Q141" s="787">
        <f t="shared" si="5"/>
        <v>214538</v>
      </c>
      <c r="R141" s="785"/>
      <c r="S141" s="786">
        <v>970790</v>
      </c>
      <c r="T141" s="788">
        <v>-32073</v>
      </c>
      <c r="U141" s="788">
        <v>938717</v>
      </c>
    </row>
    <row r="142" spans="1:21" x14ac:dyDescent="0.25">
      <c r="A142" s="782">
        <v>91233</v>
      </c>
      <c r="B142" s="783" t="s">
        <v>2758</v>
      </c>
      <c r="C142" s="784">
        <v>5.8100000000000003E-5</v>
      </c>
      <c r="D142" s="784">
        <v>4.5599999999999997E-5</v>
      </c>
      <c r="E142" s="800">
        <v>21828</v>
      </c>
      <c r="F142" s="785">
        <v>88761</v>
      </c>
      <c r="G142" s="785"/>
      <c r="H142" s="786">
        <v>5113</v>
      </c>
      <c r="I142" s="787">
        <v>21551</v>
      </c>
      <c r="J142" s="786">
        <v>12676</v>
      </c>
      <c r="K142" s="785">
        <v>9544</v>
      </c>
      <c r="L142" s="787">
        <f t="shared" si="4"/>
        <v>48884</v>
      </c>
      <c r="M142" s="785"/>
      <c r="N142" s="786">
        <v>2513</v>
      </c>
      <c r="O142" s="786">
        <v>0</v>
      </c>
      <c r="P142" s="785">
        <v>117</v>
      </c>
      <c r="Q142" s="787">
        <f t="shared" si="5"/>
        <v>2630</v>
      </c>
      <c r="R142" s="785"/>
      <c r="S142" s="786">
        <v>29912</v>
      </c>
      <c r="T142" s="788">
        <v>4289</v>
      </c>
      <c r="U142" s="788">
        <f>34202-1</f>
        <v>34201</v>
      </c>
    </row>
    <row r="143" spans="1:21" x14ac:dyDescent="0.25">
      <c r="A143" s="782">
        <v>91241</v>
      </c>
      <c r="B143" s="783" t="s">
        <v>2759</v>
      </c>
      <c r="C143" s="784">
        <v>3.5500000000000002E-5</v>
      </c>
      <c r="D143" s="784">
        <v>3.68E-5</v>
      </c>
      <c r="E143" s="800">
        <v>17216</v>
      </c>
      <c r="F143" s="785">
        <v>54234</v>
      </c>
      <c r="G143" s="785"/>
      <c r="H143" s="786">
        <v>3124</v>
      </c>
      <c r="I143" s="787">
        <v>13168</v>
      </c>
      <c r="J143" s="786">
        <v>7745</v>
      </c>
      <c r="K143" s="785">
        <v>0</v>
      </c>
      <c r="L143" s="787">
        <f t="shared" si="4"/>
        <v>24037</v>
      </c>
      <c r="M143" s="785"/>
      <c r="N143" s="786">
        <v>1535</v>
      </c>
      <c r="O143" s="786">
        <v>0</v>
      </c>
      <c r="P143" s="785">
        <v>4391</v>
      </c>
      <c r="Q143" s="787">
        <f t="shared" si="5"/>
        <v>5926</v>
      </c>
      <c r="R143" s="785"/>
      <c r="S143" s="786">
        <v>18277</v>
      </c>
      <c r="T143" s="788">
        <v>-2564</v>
      </c>
      <c r="U143" s="788">
        <v>15713</v>
      </c>
    </row>
    <row r="144" spans="1:21" x14ac:dyDescent="0.25">
      <c r="A144" s="782">
        <v>91251</v>
      </c>
      <c r="B144" s="783" t="s">
        <v>2760</v>
      </c>
      <c r="C144" s="784">
        <v>1.9899999999999999E-5</v>
      </c>
      <c r="D144" s="784">
        <v>2.65E-5</v>
      </c>
      <c r="E144" s="800">
        <v>11339</v>
      </c>
      <c r="F144" s="785">
        <v>30402</v>
      </c>
      <c r="G144" s="785"/>
      <c r="H144" s="786">
        <v>1751</v>
      </c>
      <c r="I144" s="787">
        <v>7381</v>
      </c>
      <c r="J144" s="786">
        <v>4342</v>
      </c>
      <c r="K144" s="785">
        <v>2341</v>
      </c>
      <c r="L144" s="787">
        <f t="shared" si="4"/>
        <v>15815</v>
      </c>
      <c r="M144" s="785"/>
      <c r="N144" s="786">
        <v>861</v>
      </c>
      <c r="O144" s="786">
        <v>0</v>
      </c>
      <c r="P144" s="785">
        <v>3540</v>
      </c>
      <c r="Q144" s="787">
        <f t="shared" si="5"/>
        <v>4401</v>
      </c>
      <c r="R144" s="785"/>
      <c r="S144" s="786">
        <v>10245</v>
      </c>
      <c r="T144" s="788">
        <v>1340</v>
      </c>
      <c r="U144" s="788">
        <f>11586-1</f>
        <v>11585</v>
      </c>
    </row>
    <row r="145" spans="1:21" x14ac:dyDescent="0.25">
      <c r="A145" s="782">
        <v>91261</v>
      </c>
      <c r="B145" s="783" t="s">
        <v>2761</v>
      </c>
      <c r="C145" s="784">
        <v>1.03E-5</v>
      </c>
      <c r="D145" s="784">
        <v>9.5000000000000005E-6</v>
      </c>
      <c r="E145" s="800">
        <v>4666</v>
      </c>
      <c r="F145" s="785">
        <v>15736</v>
      </c>
      <c r="G145" s="785"/>
      <c r="H145" s="786">
        <v>907</v>
      </c>
      <c r="I145" s="787">
        <v>3821</v>
      </c>
      <c r="J145" s="786">
        <v>2247</v>
      </c>
      <c r="K145" s="785">
        <v>1784</v>
      </c>
      <c r="L145" s="787">
        <f t="shared" si="4"/>
        <v>8759</v>
      </c>
      <c r="M145" s="785"/>
      <c r="N145" s="786">
        <v>445</v>
      </c>
      <c r="O145" s="786">
        <v>0</v>
      </c>
      <c r="P145" s="785">
        <v>0</v>
      </c>
      <c r="Q145" s="787">
        <f t="shared" si="5"/>
        <v>445</v>
      </c>
      <c r="R145" s="785"/>
      <c r="S145" s="786">
        <v>5303</v>
      </c>
      <c r="T145" s="788">
        <v>850</v>
      </c>
      <c r="U145" s="788">
        <v>6153</v>
      </c>
    </row>
    <row r="146" spans="1:21" x14ac:dyDescent="0.25">
      <c r="A146" s="782">
        <v>91301</v>
      </c>
      <c r="B146" s="783" t="s">
        <v>2762</v>
      </c>
      <c r="C146" s="784">
        <v>7.6985999999999999E-3</v>
      </c>
      <c r="D146" s="784">
        <v>7.7765000000000004E-3</v>
      </c>
      <c r="E146" s="800">
        <v>3428603</v>
      </c>
      <c r="F146" s="785">
        <v>11761328</v>
      </c>
      <c r="G146" s="785"/>
      <c r="H146" s="786">
        <v>677561</v>
      </c>
      <c r="I146" s="787">
        <v>2855665</v>
      </c>
      <c r="J146" s="786">
        <v>1679681</v>
      </c>
      <c r="K146" s="785">
        <v>19915</v>
      </c>
      <c r="L146" s="787">
        <f t="shared" si="4"/>
        <v>5232822</v>
      </c>
      <c r="M146" s="785"/>
      <c r="N146" s="786">
        <v>332926</v>
      </c>
      <c r="O146" s="786">
        <v>0</v>
      </c>
      <c r="P146" s="785">
        <v>249856</v>
      </c>
      <c r="Q146" s="787">
        <f t="shared" si="5"/>
        <v>582782</v>
      </c>
      <c r="R146" s="785"/>
      <c r="S146" s="786">
        <v>3963578</v>
      </c>
      <c r="T146" s="788">
        <v>-98741</v>
      </c>
      <c r="U146" s="788">
        <v>3864837</v>
      </c>
    </row>
    <row r="147" spans="1:21" x14ac:dyDescent="0.25">
      <c r="A147" s="782">
        <v>91302</v>
      </c>
      <c r="B147" s="783" t="s">
        <v>3664</v>
      </c>
      <c r="C147" s="784">
        <v>6.0300000000000002E-4</v>
      </c>
      <c r="D147" s="784">
        <v>5.9190000000000002E-4</v>
      </c>
      <c r="E147" s="800">
        <v>259187</v>
      </c>
      <c r="F147" s="785">
        <v>921217</v>
      </c>
      <c r="G147" s="785"/>
      <c r="H147" s="786">
        <v>53071</v>
      </c>
      <c r="I147" s="787">
        <v>223673</v>
      </c>
      <c r="J147" s="786">
        <v>131563</v>
      </c>
      <c r="K147" s="785">
        <v>32897</v>
      </c>
      <c r="L147" s="787">
        <f t="shared" si="4"/>
        <v>441204</v>
      </c>
      <c r="M147" s="785"/>
      <c r="N147" s="786">
        <v>26077</v>
      </c>
      <c r="O147" s="786">
        <v>0</v>
      </c>
      <c r="P147" s="785">
        <v>6670</v>
      </c>
      <c r="Q147" s="787">
        <f t="shared" si="5"/>
        <v>32747</v>
      </c>
      <c r="R147" s="785"/>
      <c r="S147" s="786">
        <v>310451</v>
      </c>
      <c r="T147" s="788">
        <v>18435</v>
      </c>
      <c r="U147" s="788">
        <v>328886</v>
      </c>
    </row>
    <row r="148" spans="1:21" x14ac:dyDescent="0.25">
      <c r="A148" s="782">
        <v>91306</v>
      </c>
      <c r="B148" s="783" t="s">
        <v>2764</v>
      </c>
      <c r="C148" s="784">
        <v>1.6412E-3</v>
      </c>
      <c r="D148" s="784">
        <v>1.6676E-3</v>
      </c>
      <c r="E148" s="800">
        <v>766698</v>
      </c>
      <c r="F148" s="785">
        <v>2507299</v>
      </c>
      <c r="G148" s="785"/>
      <c r="H148" s="786">
        <v>144444</v>
      </c>
      <c r="I148" s="787">
        <v>608776</v>
      </c>
      <c r="J148" s="786">
        <v>358077</v>
      </c>
      <c r="K148" s="785">
        <v>113707</v>
      </c>
      <c r="L148" s="787">
        <f t="shared" si="4"/>
        <v>1225004</v>
      </c>
      <c r="M148" s="785"/>
      <c r="N148" s="786">
        <v>70974</v>
      </c>
      <c r="O148" s="786">
        <v>0</v>
      </c>
      <c r="P148" s="785">
        <v>7101</v>
      </c>
      <c r="Q148" s="787">
        <f t="shared" si="5"/>
        <v>78075</v>
      </c>
      <c r="R148" s="785"/>
      <c r="S148" s="786">
        <v>844962</v>
      </c>
      <c r="T148" s="788">
        <v>59215</v>
      </c>
      <c r="U148" s="788">
        <v>904177</v>
      </c>
    </row>
    <row r="149" spans="1:21" x14ac:dyDescent="0.25">
      <c r="A149" s="782">
        <v>91308</v>
      </c>
      <c r="B149" s="783" t="s">
        <v>2765</v>
      </c>
      <c r="C149" s="784">
        <v>1.8009999999999999E-4</v>
      </c>
      <c r="D149" s="784">
        <v>2.05E-4</v>
      </c>
      <c r="E149" s="800">
        <v>80232</v>
      </c>
      <c r="F149" s="785">
        <v>275143</v>
      </c>
      <c r="G149" s="785"/>
      <c r="H149" s="786">
        <v>15851</v>
      </c>
      <c r="I149" s="787">
        <v>66805</v>
      </c>
      <c r="J149" s="786">
        <v>39294</v>
      </c>
      <c r="K149" s="785">
        <v>2442</v>
      </c>
      <c r="L149" s="787">
        <f t="shared" si="4"/>
        <v>124392</v>
      </c>
      <c r="M149" s="785"/>
      <c r="N149" s="786">
        <v>7788</v>
      </c>
      <c r="O149" s="786">
        <v>0</v>
      </c>
      <c r="P149" s="785">
        <v>21144</v>
      </c>
      <c r="Q149" s="787">
        <f t="shared" si="5"/>
        <v>28932</v>
      </c>
      <c r="R149" s="785"/>
      <c r="S149" s="786">
        <v>92723</v>
      </c>
      <c r="T149" s="788">
        <v>-3684</v>
      </c>
      <c r="U149" s="788">
        <f>89040-1</f>
        <v>89039</v>
      </c>
    </row>
    <row r="150" spans="1:21" x14ac:dyDescent="0.25">
      <c r="A150" s="782">
        <v>91311</v>
      </c>
      <c r="B150" s="783" t="s">
        <v>2766</v>
      </c>
      <c r="C150" s="784">
        <v>7.6685E-3</v>
      </c>
      <c r="D150" s="784">
        <v>7.6649999999999999E-3</v>
      </c>
      <c r="E150" s="800">
        <v>3305761</v>
      </c>
      <c r="F150" s="785">
        <v>11715344</v>
      </c>
      <c r="G150" s="785"/>
      <c r="H150" s="786">
        <v>674912</v>
      </c>
      <c r="I150" s="787">
        <v>2844500</v>
      </c>
      <c r="J150" s="786">
        <v>1673113</v>
      </c>
      <c r="K150" s="785">
        <v>78345</v>
      </c>
      <c r="L150" s="787">
        <f t="shared" si="4"/>
        <v>5270870</v>
      </c>
      <c r="M150" s="785"/>
      <c r="N150" s="786">
        <v>331624</v>
      </c>
      <c r="O150" s="786">
        <v>0</v>
      </c>
      <c r="P150" s="785">
        <v>516736</v>
      </c>
      <c r="Q150" s="787">
        <f t="shared" si="5"/>
        <v>848360</v>
      </c>
      <c r="R150" s="785"/>
      <c r="S150" s="786">
        <v>3948081</v>
      </c>
      <c r="T150" s="788">
        <v>-187514</v>
      </c>
      <c r="U150" s="788">
        <v>3760567</v>
      </c>
    </row>
    <row r="151" spans="1:21" x14ac:dyDescent="0.25">
      <c r="A151" s="782">
        <v>91317</v>
      </c>
      <c r="B151" s="783" t="s">
        <v>2767</v>
      </c>
      <c r="C151" s="784">
        <v>1.016E-4</v>
      </c>
      <c r="D151" s="784">
        <v>9.0500000000000004E-5</v>
      </c>
      <c r="E151" s="800">
        <v>50865</v>
      </c>
      <c r="F151" s="785">
        <v>155217</v>
      </c>
      <c r="G151" s="785"/>
      <c r="H151" s="786">
        <v>8942</v>
      </c>
      <c r="I151" s="787">
        <v>37687</v>
      </c>
      <c r="J151" s="786">
        <v>22167</v>
      </c>
      <c r="K151" s="785">
        <v>13159</v>
      </c>
      <c r="L151" s="787">
        <f t="shared" si="4"/>
        <v>81955</v>
      </c>
      <c r="M151" s="785"/>
      <c r="N151" s="786">
        <v>4394</v>
      </c>
      <c r="O151" s="786">
        <v>0</v>
      </c>
      <c r="P151" s="785">
        <v>1760</v>
      </c>
      <c r="Q151" s="787">
        <f t="shared" si="5"/>
        <v>6154</v>
      </c>
      <c r="R151" s="785"/>
      <c r="S151" s="786">
        <v>52308</v>
      </c>
      <c r="T151" s="788">
        <v>2823</v>
      </c>
      <c r="U151" s="788">
        <f>55132-1</f>
        <v>55131</v>
      </c>
    </row>
    <row r="152" spans="1:21" x14ac:dyDescent="0.25">
      <c r="A152" s="782">
        <v>91321</v>
      </c>
      <c r="B152" s="783" t="s">
        <v>2768</v>
      </c>
      <c r="C152" s="784">
        <v>4.2799999999999997E-5</v>
      </c>
      <c r="D152" s="784">
        <v>4.1999999999999998E-5</v>
      </c>
      <c r="E152" s="800">
        <v>37213</v>
      </c>
      <c r="F152" s="785">
        <v>65387</v>
      </c>
      <c r="G152" s="785"/>
      <c r="H152" s="786">
        <v>3767</v>
      </c>
      <c r="I152" s="787">
        <v>15876</v>
      </c>
      <c r="J152" s="786">
        <v>9338</v>
      </c>
      <c r="K152" s="785">
        <v>18992</v>
      </c>
      <c r="L152" s="787">
        <f t="shared" si="4"/>
        <v>47973</v>
      </c>
      <c r="M152" s="785"/>
      <c r="N152" s="786">
        <v>1851</v>
      </c>
      <c r="O152" s="786">
        <v>0</v>
      </c>
      <c r="P152" s="785">
        <v>3760</v>
      </c>
      <c r="Q152" s="787">
        <f t="shared" si="5"/>
        <v>5611</v>
      </c>
      <c r="R152" s="785"/>
      <c r="S152" s="786">
        <v>22035</v>
      </c>
      <c r="T152" s="788">
        <v>3437</v>
      </c>
      <c r="U152" s="788">
        <v>25472</v>
      </c>
    </row>
    <row r="153" spans="1:21" x14ac:dyDescent="0.25">
      <c r="A153" s="782">
        <v>91327</v>
      </c>
      <c r="B153" s="783" t="s">
        <v>2769</v>
      </c>
      <c r="C153" s="784">
        <v>8.1999999999999994E-6</v>
      </c>
      <c r="D153" s="784">
        <v>1.03E-5</v>
      </c>
      <c r="E153" s="800">
        <v>4495</v>
      </c>
      <c r="F153" s="785">
        <v>12527</v>
      </c>
      <c r="G153" s="785"/>
      <c r="H153" s="786">
        <v>722</v>
      </c>
      <c r="I153" s="787">
        <v>3042</v>
      </c>
      <c r="J153" s="786">
        <v>1789</v>
      </c>
      <c r="K153" s="785">
        <v>36</v>
      </c>
      <c r="L153" s="787">
        <f t="shared" si="4"/>
        <v>5589</v>
      </c>
      <c r="M153" s="785"/>
      <c r="N153" s="786">
        <v>355</v>
      </c>
      <c r="O153" s="786">
        <v>0</v>
      </c>
      <c r="P153" s="785">
        <v>1563</v>
      </c>
      <c r="Q153" s="787">
        <f t="shared" si="5"/>
        <v>1918</v>
      </c>
      <c r="R153" s="785"/>
      <c r="S153" s="786">
        <v>4222</v>
      </c>
      <c r="T153" s="788">
        <v>-481</v>
      </c>
      <c r="U153" s="788">
        <v>3741</v>
      </c>
    </row>
    <row r="154" spans="1:21" x14ac:dyDescent="0.25">
      <c r="A154" s="782">
        <v>91331</v>
      </c>
      <c r="B154" s="783" t="s">
        <v>2770</v>
      </c>
      <c r="C154" s="784">
        <v>3.0033E-3</v>
      </c>
      <c r="D154" s="784">
        <v>2.8509999999999998E-3</v>
      </c>
      <c r="E154" s="800">
        <v>1190887</v>
      </c>
      <c r="F154" s="785">
        <v>4588210</v>
      </c>
      <c r="G154" s="785"/>
      <c r="H154" s="786">
        <v>264323</v>
      </c>
      <c r="I154" s="787">
        <v>1114023</v>
      </c>
      <c r="J154" s="786">
        <v>655260</v>
      </c>
      <c r="K154" s="785">
        <v>0</v>
      </c>
      <c r="L154" s="787">
        <f t="shared" si="4"/>
        <v>2033606</v>
      </c>
      <c r="M154" s="785"/>
      <c r="N154" s="786">
        <v>129878</v>
      </c>
      <c r="O154" s="786">
        <v>0</v>
      </c>
      <c r="P154" s="785">
        <v>342951</v>
      </c>
      <c r="Q154" s="787">
        <f t="shared" si="5"/>
        <v>472829</v>
      </c>
      <c r="R154" s="785"/>
      <c r="S154" s="786">
        <v>1546231</v>
      </c>
      <c r="T154" s="788">
        <v>-176510</v>
      </c>
      <c r="U154" s="788">
        <v>1369721</v>
      </c>
    </row>
    <row r="155" spans="1:21" x14ac:dyDescent="0.25">
      <c r="A155" s="782">
        <v>91341</v>
      </c>
      <c r="B155" s="783" t="s">
        <v>2771</v>
      </c>
      <c r="C155" s="784">
        <v>2.51E-5</v>
      </c>
      <c r="D155" s="784">
        <v>1.4399999999999999E-5</v>
      </c>
      <c r="E155" s="800">
        <v>9161</v>
      </c>
      <c r="F155" s="785">
        <v>38346</v>
      </c>
      <c r="G155" s="785"/>
      <c r="H155" s="786">
        <v>2209</v>
      </c>
      <c r="I155" s="787">
        <v>9311</v>
      </c>
      <c r="J155" s="786">
        <v>5476</v>
      </c>
      <c r="K155" s="785">
        <v>5566</v>
      </c>
      <c r="L155" s="787">
        <f t="shared" si="4"/>
        <v>22562</v>
      </c>
      <c r="M155" s="785"/>
      <c r="N155" s="786">
        <v>1085</v>
      </c>
      <c r="O155" s="786">
        <v>0</v>
      </c>
      <c r="P155" s="785">
        <v>1759</v>
      </c>
      <c r="Q155" s="787">
        <f t="shared" si="5"/>
        <v>2844</v>
      </c>
      <c r="R155" s="785"/>
      <c r="S155" s="786">
        <v>12923</v>
      </c>
      <c r="T155" s="788">
        <v>939</v>
      </c>
      <c r="U155" s="788">
        <f>13861+1</f>
        <v>13862</v>
      </c>
    </row>
    <row r="156" spans="1:21" x14ac:dyDescent="0.25">
      <c r="A156" s="782">
        <v>91401</v>
      </c>
      <c r="B156" s="783" t="s">
        <v>2772</v>
      </c>
      <c r="C156" s="784">
        <v>3.5885000000000001E-3</v>
      </c>
      <c r="D156" s="784">
        <v>3.6841E-3</v>
      </c>
      <c r="E156" s="800">
        <v>1559430</v>
      </c>
      <c r="F156" s="785">
        <v>5482234</v>
      </c>
      <c r="G156" s="785"/>
      <c r="H156" s="786">
        <v>315827</v>
      </c>
      <c r="I156" s="787">
        <v>1331093</v>
      </c>
      <c r="J156" s="786">
        <v>782939</v>
      </c>
      <c r="K156" s="785">
        <v>17446</v>
      </c>
      <c r="L156" s="787">
        <f t="shared" si="4"/>
        <v>2447305</v>
      </c>
      <c r="M156" s="785"/>
      <c r="N156" s="786">
        <v>155185</v>
      </c>
      <c r="O156" s="786">
        <v>0</v>
      </c>
      <c r="P156" s="785">
        <v>142927</v>
      </c>
      <c r="Q156" s="787">
        <f t="shared" si="5"/>
        <v>298112</v>
      </c>
      <c r="R156" s="785"/>
      <c r="S156" s="786">
        <v>1847518</v>
      </c>
      <c r="T156" s="788">
        <v>-23160</v>
      </c>
      <c r="U156" s="788">
        <v>1824358</v>
      </c>
    </row>
    <row r="157" spans="1:21" x14ac:dyDescent="0.25">
      <c r="A157" s="782">
        <v>91411</v>
      </c>
      <c r="B157" s="783" t="s">
        <v>2773</v>
      </c>
      <c r="C157" s="784">
        <v>3.7829999999999998E-4</v>
      </c>
      <c r="D157" s="784">
        <v>3.5379999999999998E-4</v>
      </c>
      <c r="E157" s="800">
        <v>168365</v>
      </c>
      <c r="F157" s="785">
        <v>577938</v>
      </c>
      <c r="G157" s="785"/>
      <c r="H157" s="786">
        <v>33295</v>
      </c>
      <c r="I157" s="787">
        <v>140324</v>
      </c>
      <c r="J157" s="786">
        <v>82537</v>
      </c>
      <c r="K157" s="785">
        <v>28581</v>
      </c>
      <c r="L157" s="787">
        <f t="shared" si="4"/>
        <v>284737</v>
      </c>
      <c r="M157" s="785"/>
      <c r="N157" s="786">
        <v>16360</v>
      </c>
      <c r="O157" s="786">
        <v>0</v>
      </c>
      <c r="P157" s="785">
        <v>1394</v>
      </c>
      <c r="Q157" s="787">
        <f t="shared" si="5"/>
        <v>17754</v>
      </c>
      <c r="R157" s="785"/>
      <c r="S157" s="786">
        <v>194765</v>
      </c>
      <c r="T157" s="788">
        <v>7766</v>
      </c>
      <c r="U157" s="788">
        <v>202531</v>
      </c>
    </row>
    <row r="158" spans="1:21" x14ac:dyDescent="0.25">
      <c r="A158" s="782">
        <v>91417</v>
      </c>
      <c r="B158" s="783" t="s">
        <v>2774</v>
      </c>
      <c r="C158" s="784">
        <v>9.3000000000000007E-6</v>
      </c>
      <c r="D158" s="784">
        <v>9.9000000000000001E-6</v>
      </c>
      <c r="E158" s="800">
        <v>5289</v>
      </c>
      <c r="F158" s="785">
        <v>14208</v>
      </c>
      <c r="G158" s="785"/>
      <c r="H158" s="786">
        <v>819</v>
      </c>
      <c r="I158" s="787">
        <v>3450</v>
      </c>
      <c r="J158" s="786">
        <v>2029</v>
      </c>
      <c r="K158" s="785">
        <v>2388</v>
      </c>
      <c r="L158" s="787">
        <f t="shared" si="4"/>
        <v>8686</v>
      </c>
      <c r="M158" s="785"/>
      <c r="N158" s="786">
        <v>402</v>
      </c>
      <c r="O158" s="786">
        <v>0</v>
      </c>
      <c r="P158" s="785">
        <v>0</v>
      </c>
      <c r="Q158" s="787">
        <f t="shared" si="5"/>
        <v>402</v>
      </c>
      <c r="R158" s="785"/>
      <c r="S158" s="786">
        <v>4788</v>
      </c>
      <c r="T158" s="788">
        <v>1814</v>
      </c>
      <c r="U158" s="788">
        <v>6602</v>
      </c>
    </row>
    <row r="159" spans="1:21" x14ac:dyDescent="0.25">
      <c r="A159" s="782">
        <v>91421</v>
      </c>
      <c r="B159" s="783" t="s">
        <v>2775</v>
      </c>
      <c r="C159" s="784">
        <v>6.9499999999999995E-5</v>
      </c>
      <c r="D159" s="784">
        <v>7.0400000000000004E-5</v>
      </c>
      <c r="E159" s="800">
        <v>36488</v>
      </c>
      <c r="F159" s="785">
        <v>106177</v>
      </c>
      <c r="G159" s="785"/>
      <c r="H159" s="786">
        <v>6117</v>
      </c>
      <c r="I159" s="787">
        <v>25779</v>
      </c>
      <c r="J159" s="786">
        <v>15164</v>
      </c>
      <c r="K159" s="785">
        <v>4339</v>
      </c>
      <c r="L159" s="787">
        <f t="shared" si="4"/>
        <v>51399</v>
      </c>
      <c r="M159" s="785"/>
      <c r="N159" s="786">
        <v>3006</v>
      </c>
      <c r="O159" s="786">
        <v>0</v>
      </c>
      <c r="P159" s="785">
        <v>3143</v>
      </c>
      <c r="Q159" s="787">
        <f t="shared" si="5"/>
        <v>6149</v>
      </c>
      <c r="R159" s="785"/>
      <c r="S159" s="786">
        <v>35782</v>
      </c>
      <c r="T159" s="788">
        <v>365</v>
      </c>
      <c r="U159" s="788">
        <v>36147</v>
      </c>
    </row>
    <row r="160" spans="1:21" x14ac:dyDescent="0.25">
      <c r="A160" s="782">
        <v>91423</v>
      </c>
      <c r="B160" s="783" t="s">
        <v>2776</v>
      </c>
      <c r="C160" s="784">
        <v>5.38E-5</v>
      </c>
      <c r="D160" s="784">
        <v>3.8699999999999999E-5</v>
      </c>
      <c r="E160" s="800">
        <v>20620</v>
      </c>
      <c r="F160" s="785">
        <v>82191</v>
      </c>
      <c r="G160" s="785"/>
      <c r="H160" s="786">
        <v>4735</v>
      </c>
      <c r="I160" s="787">
        <v>19956</v>
      </c>
      <c r="J160" s="786">
        <v>11738</v>
      </c>
      <c r="K160" s="785">
        <v>13454</v>
      </c>
      <c r="L160" s="787">
        <f t="shared" si="4"/>
        <v>49883</v>
      </c>
      <c r="M160" s="785"/>
      <c r="N160" s="786">
        <v>2327</v>
      </c>
      <c r="O160" s="786">
        <v>0</v>
      </c>
      <c r="P160" s="785">
        <v>2026</v>
      </c>
      <c r="Q160" s="787">
        <f t="shared" si="5"/>
        <v>4353</v>
      </c>
      <c r="R160" s="785"/>
      <c r="S160" s="786">
        <v>27699</v>
      </c>
      <c r="T160" s="788">
        <v>3208</v>
      </c>
      <c r="U160" s="788">
        <f>30906+1</f>
        <v>30907</v>
      </c>
    </row>
    <row r="161" spans="1:21" x14ac:dyDescent="0.25">
      <c r="A161" s="782">
        <v>91431</v>
      </c>
      <c r="B161" s="783" t="s">
        <v>2777</v>
      </c>
      <c r="C161" s="784">
        <v>1.562E-4</v>
      </c>
      <c r="D161" s="784">
        <v>1.417E-4</v>
      </c>
      <c r="E161" s="800">
        <v>80270</v>
      </c>
      <c r="F161" s="785">
        <v>238630</v>
      </c>
      <c r="G161" s="785"/>
      <c r="H161" s="786">
        <v>13747</v>
      </c>
      <c r="I161" s="787">
        <v>57939</v>
      </c>
      <c r="J161" s="786">
        <v>34080</v>
      </c>
      <c r="K161" s="785">
        <v>17694</v>
      </c>
      <c r="L161" s="787">
        <f t="shared" si="4"/>
        <v>123460</v>
      </c>
      <c r="M161" s="785"/>
      <c r="N161" s="786">
        <v>6755</v>
      </c>
      <c r="O161" s="786">
        <v>0</v>
      </c>
      <c r="P161" s="785">
        <v>1767</v>
      </c>
      <c r="Q161" s="787">
        <f t="shared" si="5"/>
        <v>8522</v>
      </c>
      <c r="R161" s="785"/>
      <c r="S161" s="786">
        <v>80419</v>
      </c>
      <c r="T161" s="788">
        <v>4026</v>
      </c>
      <c r="U161" s="788">
        <v>84445</v>
      </c>
    </row>
    <row r="162" spans="1:21" x14ac:dyDescent="0.25">
      <c r="A162" s="782">
        <v>91441</v>
      </c>
      <c r="B162" s="783" t="s">
        <v>2778</v>
      </c>
      <c r="C162" s="784">
        <v>9.5140000000000003E-4</v>
      </c>
      <c r="D162" s="784">
        <v>7.3800000000000005E-4</v>
      </c>
      <c r="E162" s="800">
        <v>316618</v>
      </c>
      <c r="F162" s="785">
        <v>1453476</v>
      </c>
      <c r="G162" s="785"/>
      <c r="H162" s="786">
        <v>83734</v>
      </c>
      <c r="I162" s="787">
        <v>352905</v>
      </c>
      <c r="J162" s="786">
        <v>207576</v>
      </c>
      <c r="K162" s="785">
        <v>46954</v>
      </c>
      <c r="L162" s="787">
        <f t="shared" si="4"/>
        <v>691169</v>
      </c>
      <c r="M162" s="785"/>
      <c r="N162" s="786">
        <v>41143</v>
      </c>
      <c r="O162" s="786">
        <v>0</v>
      </c>
      <c r="P162" s="785">
        <v>103301</v>
      </c>
      <c r="Q162" s="787">
        <f t="shared" si="5"/>
        <v>144444</v>
      </c>
      <c r="R162" s="785"/>
      <c r="S162" s="786">
        <v>489823</v>
      </c>
      <c r="T162" s="788">
        <v>-39929</v>
      </c>
      <c r="U162" s="788">
        <v>449894</v>
      </c>
    </row>
    <row r="163" spans="1:21" x14ac:dyDescent="0.25">
      <c r="A163" s="782">
        <v>91451</v>
      </c>
      <c r="B163" s="783" t="s">
        <v>2779</v>
      </c>
      <c r="C163" s="784">
        <v>1.4760000000000001E-3</v>
      </c>
      <c r="D163" s="784">
        <v>1.5629000000000001E-3</v>
      </c>
      <c r="E163" s="800">
        <v>670223</v>
      </c>
      <c r="F163" s="785">
        <v>2254919</v>
      </c>
      <c r="G163" s="785"/>
      <c r="H163" s="786">
        <v>129904</v>
      </c>
      <c r="I163" s="787">
        <v>547497</v>
      </c>
      <c r="J163" s="786">
        <v>322034</v>
      </c>
      <c r="K163" s="785">
        <v>0</v>
      </c>
      <c r="L163" s="787">
        <f t="shared" si="4"/>
        <v>999435</v>
      </c>
      <c r="M163" s="785"/>
      <c r="N163" s="786">
        <v>63830</v>
      </c>
      <c r="O163" s="786">
        <v>0</v>
      </c>
      <c r="P163" s="785">
        <v>199933</v>
      </c>
      <c r="Q163" s="787">
        <f t="shared" si="5"/>
        <v>263763</v>
      </c>
      <c r="R163" s="785"/>
      <c r="S163" s="786">
        <v>759910</v>
      </c>
      <c r="T163" s="788">
        <v>-85072</v>
      </c>
      <c r="U163" s="788">
        <v>674838</v>
      </c>
    </row>
    <row r="164" spans="1:21" x14ac:dyDescent="0.25">
      <c r="A164" s="782">
        <v>91457</v>
      </c>
      <c r="B164" s="783" t="s">
        <v>2780</v>
      </c>
      <c r="C164" s="784">
        <v>2.23E-5</v>
      </c>
      <c r="D164" s="784">
        <v>2.58E-5</v>
      </c>
      <c r="E164" s="800">
        <v>30670</v>
      </c>
      <c r="F164" s="785">
        <v>34068</v>
      </c>
      <c r="G164" s="785"/>
      <c r="H164" s="786">
        <v>1963</v>
      </c>
      <c r="I164" s="787">
        <v>8272</v>
      </c>
      <c r="J164" s="786">
        <v>4865</v>
      </c>
      <c r="K164" s="785">
        <v>30858</v>
      </c>
      <c r="L164" s="787">
        <f t="shared" si="4"/>
        <v>45958</v>
      </c>
      <c r="M164" s="785"/>
      <c r="N164" s="786">
        <v>964</v>
      </c>
      <c r="O164" s="786">
        <v>0</v>
      </c>
      <c r="P164" s="785">
        <v>0</v>
      </c>
      <c r="Q164" s="787">
        <f t="shared" si="5"/>
        <v>964</v>
      </c>
      <c r="R164" s="785"/>
      <c r="S164" s="786">
        <v>11481</v>
      </c>
      <c r="T164" s="788">
        <v>10929</v>
      </c>
      <c r="U164" s="788">
        <v>22410</v>
      </c>
    </row>
    <row r="165" spans="1:21" x14ac:dyDescent="0.25">
      <c r="A165" s="782">
        <v>91461</v>
      </c>
      <c r="B165" s="783" t="s">
        <v>2781</v>
      </c>
      <c r="C165" s="784">
        <v>9.3999999999999998E-6</v>
      </c>
      <c r="D165" s="784">
        <v>8.6999999999999997E-6</v>
      </c>
      <c r="E165" s="800">
        <v>2932</v>
      </c>
      <c r="F165" s="785">
        <v>14361</v>
      </c>
      <c r="G165" s="785"/>
      <c r="H165" s="786">
        <v>827</v>
      </c>
      <c r="I165" s="787">
        <v>3487</v>
      </c>
      <c r="J165" s="786">
        <v>2051</v>
      </c>
      <c r="K165" s="785">
        <v>2052</v>
      </c>
      <c r="L165" s="787">
        <f t="shared" si="4"/>
        <v>8417</v>
      </c>
      <c r="M165" s="785"/>
      <c r="N165" s="786">
        <v>407</v>
      </c>
      <c r="O165" s="786">
        <v>0</v>
      </c>
      <c r="P165" s="785">
        <v>637</v>
      </c>
      <c r="Q165" s="787">
        <f t="shared" si="5"/>
        <v>1044</v>
      </c>
      <c r="R165" s="785"/>
      <c r="S165" s="786">
        <v>4840</v>
      </c>
      <c r="T165" s="788">
        <v>945</v>
      </c>
      <c r="U165" s="788">
        <f>5784+1</f>
        <v>5785</v>
      </c>
    </row>
    <row r="166" spans="1:21" x14ac:dyDescent="0.25">
      <c r="A166" s="782">
        <v>91501</v>
      </c>
      <c r="B166" s="783" t="s">
        <v>2782</v>
      </c>
      <c r="C166" s="784">
        <v>4.9700000000000005E-4</v>
      </c>
      <c r="D166" s="784">
        <v>5.1099999999999995E-4</v>
      </c>
      <c r="E166" s="800">
        <v>231246</v>
      </c>
      <c r="F166" s="785">
        <v>759278</v>
      </c>
      <c r="G166" s="785"/>
      <c r="H166" s="786">
        <v>43741</v>
      </c>
      <c r="I166" s="787">
        <v>184353</v>
      </c>
      <c r="J166" s="786">
        <v>108435</v>
      </c>
      <c r="K166" s="785">
        <v>24430</v>
      </c>
      <c r="L166" s="787">
        <f t="shared" si="4"/>
        <v>360959</v>
      </c>
      <c r="M166" s="785"/>
      <c r="N166" s="786">
        <v>21493</v>
      </c>
      <c r="O166" s="786">
        <v>0</v>
      </c>
      <c r="P166" s="785">
        <v>6922</v>
      </c>
      <c r="Q166" s="787">
        <f t="shared" si="5"/>
        <v>28415</v>
      </c>
      <c r="R166" s="785"/>
      <c r="S166" s="786">
        <v>255877</v>
      </c>
      <c r="T166" s="788">
        <v>15592</v>
      </c>
      <c r="U166" s="788">
        <v>271469</v>
      </c>
    </row>
    <row r="167" spans="1:21" x14ac:dyDescent="0.25">
      <c r="A167" s="782">
        <v>91504</v>
      </c>
      <c r="B167" s="783" t="s">
        <v>2783</v>
      </c>
      <c r="C167" s="784">
        <v>9.7000000000000003E-6</v>
      </c>
      <c r="D167" s="784">
        <v>1.0200000000000001E-5</v>
      </c>
      <c r="E167" s="800">
        <v>6531</v>
      </c>
      <c r="F167" s="785">
        <v>14819</v>
      </c>
      <c r="G167" s="785"/>
      <c r="H167" s="786">
        <v>854</v>
      </c>
      <c r="I167" s="787">
        <v>3599</v>
      </c>
      <c r="J167" s="786">
        <v>2116</v>
      </c>
      <c r="K167" s="785">
        <v>5620</v>
      </c>
      <c r="L167" s="787">
        <f t="shared" si="4"/>
        <v>12189</v>
      </c>
      <c r="M167" s="785"/>
      <c r="N167" s="786">
        <v>419</v>
      </c>
      <c r="O167" s="786">
        <v>0</v>
      </c>
      <c r="P167" s="785">
        <v>0</v>
      </c>
      <c r="Q167" s="787">
        <f t="shared" si="5"/>
        <v>419</v>
      </c>
      <c r="R167" s="785"/>
      <c r="S167" s="786">
        <v>4994</v>
      </c>
      <c r="T167" s="788">
        <v>2602</v>
      </c>
      <c r="U167" s="788">
        <v>7596</v>
      </c>
    </row>
    <row r="168" spans="1:21" x14ac:dyDescent="0.25">
      <c r="A168" s="782">
        <v>91601</v>
      </c>
      <c r="B168" s="783" t="s">
        <v>2784</v>
      </c>
      <c r="C168" s="784">
        <v>2.8040000000000001E-3</v>
      </c>
      <c r="D168" s="784">
        <v>2.9077999999999999E-3</v>
      </c>
      <c r="E168" s="800">
        <v>1323806</v>
      </c>
      <c r="F168" s="785">
        <v>4283735</v>
      </c>
      <c r="G168" s="785"/>
      <c r="H168" s="786">
        <v>246783</v>
      </c>
      <c r="I168" s="787">
        <v>1040096</v>
      </c>
      <c r="J168" s="786">
        <v>611777</v>
      </c>
      <c r="K168" s="785">
        <v>168530</v>
      </c>
      <c r="L168" s="787">
        <f t="shared" si="4"/>
        <v>2067186</v>
      </c>
      <c r="M168" s="785"/>
      <c r="N168" s="786">
        <v>121259</v>
      </c>
      <c r="O168" s="786">
        <v>0</v>
      </c>
      <c r="P168" s="785">
        <v>40367</v>
      </c>
      <c r="Q168" s="787">
        <f t="shared" si="5"/>
        <v>161626</v>
      </c>
      <c r="R168" s="785"/>
      <c r="S168" s="786">
        <v>1443623</v>
      </c>
      <c r="T168" s="788">
        <v>76132</v>
      </c>
      <c r="U168" s="788">
        <v>1519755</v>
      </c>
    </row>
    <row r="169" spans="1:21" x14ac:dyDescent="0.25">
      <c r="A169" s="782">
        <v>91604</v>
      </c>
      <c r="B169" s="783" t="s">
        <v>2785</v>
      </c>
      <c r="C169" s="784">
        <v>8.8499999999999996E-5</v>
      </c>
      <c r="D169" s="784">
        <v>8.6799999999999996E-5</v>
      </c>
      <c r="E169" s="800">
        <v>50507</v>
      </c>
      <c r="F169" s="785">
        <v>135203</v>
      </c>
      <c r="G169" s="785"/>
      <c r="H169" s="786">
        <v>7789</v>
      </c>
      <c r="I169" s="787">
        <v>32827</v>
      </c>
      <c r="J169" s="786">
        <v>19309</v>
      </c>
      <c r="K169" s="785">
        <v>20977</v>
      </c>
      <c r="L169" s="787">
        <f t="shared" si="4"/>
        <v>80902</v>
      </c>
      <c r="M169" s="785"/>
      <c r="N169" s="786">
        <v>3827</v>
      </c>
      <c r="O169" s="786">
        <v>0</v>
      </c>
      <c r="P169" s="785">
        <v>0</v>
      </c>
      <c r="Q169" s="787">
        <f t="shared" si="5"/>
        <v>3827</v>
      </c>
      <c r="R169" s="785"/>
      <c r="S169" s="786">
        <v>45564</v>
      </c>
      <c r="T169" s="788">
        <v>7680</v>
      </c>
      <c r="U169" s="788">
        <v>53244</v>
      </c>
    </row>
    <row r="170" spans="1:21" x14ac:dyDescent="0.25">
      <c r="A170" s="782">
        <v>91608</v>
      </c>
      <c r="B170" s="783" t="s">
        <v>2786</v>
      </c>
      <c r="C170" s="784">
        <v>1.5349999999999999E-4</v>
      </c>
      <c r="D170" s="784">
        <v>1.208E-4</v>
      </c>
      <c r="E170" s="800">
        <v>45013</v>
      </c>
      <c r="F170" s="785">
        <v>234505</v>
      </c>
      <c r="G170" s="785"/>
      <c r="H170" s="786">
        <v>13510</v>
      </c>
      <c r="I170" s="787">
        <v>56938</v>
      </c>
      <c r="J170" s="786">
        <v>33491</v>
      </c>
      <c r="K170" s="785">
        <v>2430</v>
      </c>
      <c r="L170" s="787">
        <f t="shared" si="4"/>
        <v>106369</v>
      </c>
      <c r="M170" s="785"/>
      <c r="N170" s="786">
        <v>6638</v>
      </c>
      <c r="O170" s="786">
        <v>0</v>
      </c>
      <c r="P170" s="785">
        <v>28763</v>
      </c>
      <c r="Q170" s="787">
        <f t="shared" si="5"/>
        <v>35401</v>
      </c>
      <c r="R170" s="785"/>
      <c r="S170" s="786">
        <v>79029</v>
      </c>
      <c r="T170" s="788">
        <v>-12888</v>
      </c>
      <c r="U170" s="788">
        <f>66140+1</f>
        <v>66141</v>
      </c>
    </row>
    <row r="171" spans="1:21" x14ac:dyDescent="0.25">
      <c r="A171" s="782">
        <v>91611</v>
      </c>
      <c r="B171" s="783" t="s">
        <v>2787</v>
      </c>
      <c r="C171" s="784">
        <v>1.4708E-3</v>
      </c>
      <c r="D171" s="784">
        <v>1.4345E-3</v>
      </c>
      <c r="E171" s="800">
        <v>598449</v>
      </c>
      <c r="F171" s="785">
        <v>2246975</v>
      </c>
      <c r="G171" s="785"/>
      <c r="H171" s="786">
        <v>129447</v>
      </c>
      <c r="I171" s="787">
        <v>545569</v>
      </c>
      <c r="J171" s="786">
        <v>320899</v>
      </c>
      <c r="K171" s="785">
        <v>19333</v>
      </c>
      <c r="L171" s="787">
        <f t="shared" si="4"/>
        <v>1015248</v>
      </c>
      <c r="M171" s="785"/>
      <c r="N171" s="786">
        <v>63605</v>
      </c>
      <c r="O171" s="786">
        <v>0</v>
      </c>
      <c r="P171" s="785">
        <v>53335</v>
      </c>
      <c r="Q171" s="787">
        <f t="shared" si="5"/>
        <v>116940</v>
      </c>
      <c r="R171" s="785"/>
      <c r="S171" s="786">
        <v>757233</v>
      </c>
      <c r="T171" s="788">
        <v>2483</v>
      </c>
      <c r="U171" s="788">
        <f>759715+1</f>
        <v>759716</v>
      </c>
    </row>
    <row r="172" spans="1:21" x14ac:dyDescent="0.25">
      <c r="A172" s="782">
        <v>91621</v>
      </c>
      <c r="B172" s="783" t="s">
        <v>2788</v>
      </c>
      <c r="C172" s="784">
        <v>2.7050000000000002E-4</v>
      </c>
      <c r="D172" s="784">
        <v>2.5240000000000001E-4</v>
      </c>
      <c r="E172" s="800">
        <v>108514</v>
      </c>
      <c r="F172" s="785">
        <v>413249</v>
      </c>
      <c r="G172" s="785"/>
      <c r="H172" s="786">
        <v>23807</v>
      </c>
      <c r="I172" s="787">
        <v>100337</v>
      </c>
      <c r="J172" s="786">
        <v>59018</v>
      </c>
      <c r="K172" s="785">
        <v>13260</v>
      </c>
      <c r="L172" s="787">
        <f t="shared" si="4"/>
        <v>196422</v>
      </c>
      <c r="M172" s="785"/>
      <c r="N172" s="786">
        <v>11698</v>
      </c>
      <c r="O172" s="786">
        <v>0</v>
      </c>
      <c r="P172" s="785">
        <v>14620</v>
      </c>
      <c r="Q172" s="787">
        <f t="shared" si="5"/>
        <v>26318</v>
      </c>
      <c r="R172" s="785"/>
      <c r="S172" s="786">
        <v>139265</v>
      </c>
      <c r="T172" s="788">
        <v>-4185</v>
      </c>
      <c r="U172" s="788">
        <v>135080</v>
      </c>
    </row>
    <row r="173" spans="1:21" x14ac:dyDescent="0.25">
      <c r="A173" s="782">
        <v>91631</v>
      </c>
      <c r="B173" s="783" t="s">
        <v>2789</v>
      </c>
      <c r="C173" s="784">
        <v>5.2249999999999996E-4</v>
      </c>
      <c r="D173" s="784">
        <v>5.3870000000000003E-4</v>
      </c>
      <c r="E173" s="800">
        <v>219722</v>
      </c>
      <c r="F173" s="785">
        <v>798235</v>
      </c>
      <c r="G173" s="785"/>
      <c r="H173" s="786">
        <v>45986</v>
      </c>
      <c r="I173" s="787">
        <v>193812</v>
      </c>
      <c r="J173" s="786">
        <v>113999</v>
      </c>
      <c r="K173" s="785">
        <v>0</v>
      </c>
      <c r="L173" s="787">
        <f t="shared" si="4"/>
        <v>353797</v>
      </c>
      <c r="M173" s="785"/>
      <c r="N173" s="786">
        <v>22596</v>
      </c>
      <c r="O173" s="786">
        <v>0</v>
      </c>
      <c r="P173" s="785">
        <v>52272</v>
      </c>
      <c r="Q173" s="787">
        <f t="shared" si="5"/>
        <v>74868</v>
      </c>
      <c r="R173" s="785"/>
      <c r="S173" s="786">
        <v>269006</v>
      </c>
      <c r="T173" s="788">
        <v>-16747</v>
      </c>
      <c r="U173" s="788">
        <v>252259</v>
      </c>
    </row>
    <row r="174" spans="1:21" x14ac:dyDescent="0.25">
      <c r="A174" s="782">
        <v>91633</v>
      </c>
      <c r="B174" s="783" t="s">
        <v>2790</v>
      </c>
      <c r="C174" s="784">
        <v>2.51E-5</v>
      </c>
      <c r="D174" s="784">
        <v>2.3799999999999999E-5</v>
      </c>
      <c r="E174" s="800">
        <v>11022</v>
      </c>
      <c r="F174" s="785">
        <v>38346</v>
      </c>
      <c r="G174" s="785"/>
      <c r="H174" s="786">
        <v>2209</v>
      </c>
      <c r="I174" s="787">
        <v>9311</v>
      </c>
      <c r="J174" s="786">
        <v>5476</v>
      </c>
      <c r="K174" s="785">
        <v>1513</v>
      </c>
      <c r="L174" s="787">
        <f t="shared" si="4"/>
        <v>18509</v>
      </c>
      <c r="M174" s="785"/>
      <c r="N174" s="786">
        <v>1085</v>
      </c>
      <c r="O174" s="786">
        <v>0</v>
      </c>
      <c r="P174" s="785">
        <v>3215</v>
      </c>
      <c r="Q174" s="787">
        <f t="shared" si="5"/>
        <v>4300</v>
      </c>
      <c r="R174" s="785"/>
      <c r="S174" s="786">
        <v>12923</v>
      </c>
      <c r="T174" s="788">
        <v>-1367</v>
      </c>
      <c r="U174" s="788">
        <f>11555+1</f>
        <v>11556</v>
      </c>
    </row>
    <row r="175" spans="1:21" x14ac:dyDescent="0.25">
      <c r="A175" s="782">
        <v>91641</v>
      </c>
      <c r="B175" s="783" t="s">
        <v>2791</v>
      </c>
      <c r="C175" s="784">
        <v>3.1139999999999998E-4</v>
      </c>
      <c r="D175" s="784">
        <v>2.742E-4</v>
      </c>
      <c r="E175" s="800">
        <v>104379</v>
      </c>
      <c r="F175" s="785">
        <v>475733</v>
      </c>
      <c r="G175" s="785"/>
      <c r="H175" s="786">
        <v>27407</v>
      </c>
      <c r="I175" s="787">
        <v>115509</v>
      </c>
      <c r="J175" s="786">
        <v>67941</v>
      </c>
      <c r="K175" s="785">
        <v>0</v>
      </c>
      <c r="L175" s="787">
        <f t="shared" si="4"/>
        <v>210857</v>
      </c>
      <c r="M175" s="785"/>
      <c r="N175" s="786">
        <v>13466</v>
      </c>
      <c r="O175" s="786">
        <v>0</v>
      </c>
      <c r="P175" s="785">
        <v>55139</v>
      </c>
      <c r="Q175" s="787">
        <f t="shared" si="5"/>
        <v>68605</v>
      </c>
      <c r="R175" s="785"/>
      <c r="S175" s="786">
        <v>160322</v>
      </c>
      <c r="T175" s="788">
        <v>-25877</v>
      </c>
      <c r="U175" s="788">
        <v>134445</v>
      </c>
    </row>
    <row r="176" spans="1:21" x14ac:dyDescent="0.25">
      <c r="A176" s="782">
        <v>91651</v>
      </c>
      <c r="B176" s="783" t="s">
        <v>2792</v>
      </c>
      <c r="C176" s="784">
        <v>4.4440000000000001E-4</v>
      </c>
      <c r="D176" s="784">
        <v>4.6099999999999998E-4</v>
      </c>
      <c r="E176" s="800">
        <v>205102</v>
      </c>
      <c r="F176" s="785">
        <v>678920</v>
      </c>
      <c r="G176" s="785"/>
      <c r="H176" s="786">
        <v>39112</v>
      </c>
      <c r="I176" s="787">
        <v>164843</v>
      </c>
      <c r="J176" s="786">
        <v>96959</v>
      </c>
      <c r="K176" s="785">
        <v>0</v>
      </c>
      <c r="L176" s="787">
        <f t="shared" si="4"/>
        <v>300914</v>
      </c>
      <c r="M176" s="785"/>
      <c r="N176" s="786">
        <v>19218</v>
      </c>
      <c r="O176" s="786">
        <v>0</v>
      </c>
      <c r="P176" s="785">
        <v>30696</v>
      </c>
      <c r="Q176" s="787">
        <f t="shared" si="5"/>
        <v>49914</v>
      </c>
      <c r="R176" s="785"/>
      <c r="S176" s="786">
        <v>228797</v>
      </c>
      <c r="T176" s="788">
        <v>-12407</v>
      </c>
      <c r="U176" s="788">
        <v>216390</v>
      </c>
    </row>
    <row r="177" spans="1:21" x14ac:dyDescent="0.25">
      <c r="A177" s="782">
        <v>91661</v>
      </c>
      <c r="B177" s="783" t="s">
        <v>2793</v>
      </c>
      <c r="C177" s="784">
        <v>1.673E-4</v>
      </c>
      <c r="D177" s="784">
        <v>1.6750000000000001E-4</v>
      </c>
      <c r="E177" s="800">
        <v>56241</v>
      </c>
      <c r="F177" s="785">
        <v>255588</v>
      </c>
      <c r="G177" s="785"/>
      <c r="H177" s="786">
        <v>14724</v>
      </c>
      <c r="I177" s="787">
        <v>62057</v>
      </c>
      <c r="J177" s="786">
        <v>36502</v>
      </c>
      <c r="K177" s="785">
        <v>0</v>
      </c>
      <c r="L177" s="787">
        <f t="shared" si="4"/>
        <v>113283</v>
      </c>
      <c r="M177" s="785"/>
      <c r="N177" s="786">
        <v>7235</v>
      </c>
      <c r="O177" s="786">
        <v>0</v>
      </c>
      <c r="P177" s="785">
        <v>45519</v>
      </c>
      <c r="Q177" s="787">
        <f t="shared" si="5"/>
        <v>52754</v>
      </c>
      <c r="R177" s="785"/>
      <c r="S177" s="786">
        <v>86133</v>
      </c>
      <c r="T177" s="788">
        <v>-16188</v>
      </c>
      <c r="U177" s="788">
        <v>69945</v>
      </c>
    </row>
    <row r="178" spans="1:21" x14ac:dyDescent="0.25">
      <c r="A178" s="782">
        <v>91671</v>
      </c>
      <c r="B178" s="783" t="s">
        <v>2794</v>
      </c>
      <c r="C178" s="784">
        <v>9.6700000000000006E-5</v>
      </c>
      <c r="D178" s="784">
        <v>9.7600000000000001E-5</v>
      </c>
      <c r="E178" s="800">
        <v>43651</v>
      </c>
      <c r="F178" s="785">
        <v>147731</v>
      </c>
      <c r="G178" s="785"/>
      <c r="H178" s="786">
        <v>8511</v>
      </c>
      <c r="I178" s="787">
        <v>35869</v>
      </c>
      <c r="J178" s="786">
        <v>21098</v>
      </c>
      <c r="K178" s="785">
        <v>11497</v>
      </c>
      <c r="L178" s="787">
        <f t="shared" si="4"/>
        <v>76975</v>
      </c>
      <c r="M178" s="785"/>
      <c r="N178" s="786">
        <v>4182</v>
      </c>
      <c r="O178" s="786">
        <v>0</v>
      </c>
      <c r="P178" s="785">
        <v>1197</v>
      </c>
      <c r="Q178" s="787">
        <f t="shared" si="5"/>
        <v>5379</v>
      </c>
      <c r="R178" s="785"/>
      <c r="S178" s="786">
        <v>49785</v>
      </c>
      <c r="T178" s="788">
        <v>5725</v>
      </c>
      <c r="U178" s="788">
        <v>55510</v>
      </c>
    </row>
    <row r="179" spans="1:21" x14ac:dyDescent="0.25">
      <c r="A179" s="782">
        <v>91681</v>
      </c>
      <c r="B179" s="783" t="s">
        <v>2795</v>
      </c>
      <c r="C179" s="784">
        <v>4.728E-4</v>
      </c>
      <c r="D179" s="784">
        <v>4.7130000000000002E-4</v>
      </c>
      <c r="E179" s="800">
        <v>387832</v>
      </c>
      <c r="F179" s="785">
        <v>722307</v>
      </c>
      <c r="G179" s="785"/>
      <c r="H179" s="786">
        <v>41612</v>
      </c>
      <c r="I179" s="787">
        <v>175378</v>
      </c>
      <c r="J179" s="786">
        <v>103156</v>
      </c>
      <c r="K179" s="785">
        <v>274278</v>
      </c>
      <c r="L179" s="787">
        <f t="shared" si="4"/>
        <v>594424</v>
      </c>
      <c r="M179" s="785"/>
      <c r="N179" s="786">
        <v>20446</v>
      </c>
      <c r="O179" s="786">
        <v>0</v>
      </c>
      <c r="P179" s="785">
        <v>4516</v>
      </c>
      <c r="Q179" s="787">
        <f t="shared" si="5"/>
        <v>24962</v>
      </c>
      <c r="R179" s="785"/>
      <c r="S179" s="786">
        <v>243418</v>
      </c>
      <c r="T179" s="788">
        <v>89641</v>
      </c>
      <c r="U179" s="788">
        <v>333059</v>
      </c>
    </row>
    <row r="180" spans="1:21" x14ac:dyDescent="0.25">
      <c r="A180" s="782">
        <v>91691</v>
      </c>
      <c r="B180" s="783" t="s">
        <v>2796</v>
      </c>
      <c r="C180" s="784">
        <v>2.3200000000000001E-5</v>
      </c>
      <c r="D180" s="784">
        <v>2.4199999999999999E-5</v>
      </c>
      <c r="E180" s="800">
        <v>10219</v>
      </c>
      <c r="F180" s="785">
        <v>35443</v>
      </c>
      <c r="G180" s="785"/>
      <c r="H180" s="786">
        <v>2042</v>
      </c>
      <c r="I180" s="787">
        <v>8605</v>
      </c>
      <c r="J180" s="786">
        <v>5062</v>
      </c>
      <c r="K180" s="785">
        <v>1782</v>
      </c>
      <c r="L180" s="787">
        <f t="shared" si="4"/>
        <v>17491</v>
      </c>
      <c r="M180" s="785"/>
      <c r="N180" s="786">
        <v>1003</v>
      </c>
      <c r="O180" s="786">
        <v>0</v>
      </c>
      <c r="P180" s="785">
        <v>1533</v>
      </c>
      <c r="Q180" s="787">
        <f t="shared" si="5"/>
        <v>2536</v>
      </c>
      <c r="R180" s="785"/>
      <c r="S180" s="786">
        <v>11944</v>
      </c>
      <c r="T180" s="788">
        <v>129</v>
      </c>
      <c r="U180" s="788">
        <f>12074-1</f>
        <v>12073</v>
      </c>
    </row>
    <row r="181" spans="1:21" x14ac:dyDescent="0.25">
      <c r="A181" s="782">
        <v>91701</v>
      </c>
      <c r="B181" s="783" t="s">
        <v>2797</v>
      </c>
      <c r="C181" s="784">
        <v>1.2451999999999999E-3</v>
      </c>
      <c r="D181" s="784">
        <v>1.0897000000000001E-3</v>
      </c>
      <c r="E181" s="800">
        <v>542906</v>
      </c>
      <c r="F181" s="785">
        <v>1902321</v>
      </c>
      <c r="G181" s="785"/>
      <c r="H181" s="786">
        <v>109591</v>
      </c>
      <c r="I181" s="787">
        <v>461886</v>
      </c>
      <c r="J181" s="786">
        <v>271678</v>
      </c>
      <c r="K181" s="785">
        <v>95964</v>
      </c>
      <c r="L181" s="787">
        <f t="shared" si="4"/>
        <v>939119</v>
      </c>
      <c r="M181" s="785"/>
      <c r="N181" s="786">
        <v>53849</v>
      </c>
      <c r="O181" s="786">
        <v>0</v>
      </c>
      <c r="P181" s="785">
        <v>6949</v>
      </c>
      <c r="Q181" s="787">
        <f t="shared" si="5"/>
        <v>60798</v>
      </c>
      <c r="R181" s="785"/>
      <c r="S181" s="786">
        <v>641084</v>
      </c>
      <c r="T181" s="788">
        <v>18725</v>
      </c>
      <c r="U181" s="788">
        <v>659809</v>
      </c>
    </row>
    <row r="182" spans="1:21" x14ac:dyDescent="0.25">
      <c r="A182" s="782">
        <v>91704</v>
      </c>
      <c r="B182" s="783" t="s">
        <v>2798</v>
      </c>
      <c r="C182" s="784">
        <v>1.73E-5</v>
      </c>
      <c r="D182" s="784">
        <v>1.6699999999999999E-5</v>
      </c>
      <c r="E182" s="800">
        <v>7506</v>
      </c>
      <c r="F182" s="785">
        <v>26430</v>
      </c>
      <c r="G182" s="785"/>
      <c r="H182" s="786">
        <v>1523</v>
      </c>
      <c r="I182" s="787">
        <v>6417</v>
      </c>
      <c r="J182" s="786">
        <v>3775</v>
      </c>
      <c r="K182" s="785">
        <v>1084</v>
      </c>
      <c r="L182" s="787">
        <f t="shared" si="4"/>
        <v>12799</v>
      </c>
      <c r="M182" s="785"/>
      <c r="N182" s="786">
        <v>748</v>
      </c>
      <c r="O182" s="786">
        <v>0</v>
      </c>
      <c r="P182" s="785">
        <v>0</v>
      </c>
      <c r="Q182" s="787">
        <f t="shared" si="5"/>
        <v>748</v>
      </c>
      <c r="R182" s="785"/>
      <c r="S182" s="786">
        <v>8907</v>
      </c>
      <c r="T182" s="788">
        <v>641</v>
      </c>
      <c r="U182" s="788">
        <v>9548</v>
      </c>
    </row>
    <row r="183" spans="1:21" x14ac:dyDescent="0.25">
      <c r="A183" s="782">
        <v>91706</v>
      </c>
      <c r="B183" s="783" t="s">
        <v>2799</v>
      </c>
      <c r="C183" s="784">
        <v>2.4340000000000001E-4</v>
      </c>
      <c r="D183" s="784">
        <v>2.4279999999999999E-4</v>
      </c>
      <c r="E183" s="800">
        <v>121963</v>
      </c>
      <c r="F183" s="785">
        <v>371848</v>
      </c>
      <c r="G183" s="785"/>
      <c r="H183" s="786">
        <v>21422</v>
      </c>
      <c r="I183" s="787">
        <v>90285</v>
      </c>
      <c r="J183" s="786">
        <v>53105</v>
      </c>
      <c r="K183" s="785">
        <v>9101</v>
      </c>
      <c r="L183" s="787">
        <f t="shared" si="4"/>
        <v>173913</v>
      </c>
      <c r="M183" s="785"/>
      <c r="N183" s="786">
        <v>10526</v>
      </c>
      <c r="O183" s="786">
        <v>0</v>
      </c>
      <c r="P183" s="785">
        <v>8271</v>
      </c>
      <c r="Q183" s="787">
        <f t="shared" si="5"/>
        <v>18797</v>
      </c>
      <c r="R183" s="785"/>
      <c r="S183" s="786">
        <v>125313</v>
      </c>
      <c r="T183" s="788">
        <v>-4120</v>
      </c>
      <c r="U183" s="788">
        <v>121193</v>
      </c>
    </row>
    <row r="184" spans="1:21" x14ac:dyDescent="0.25">
      <c r="A184" s="782">
        <v>91719</v>
      </c>
      <c r="B184" s="783" t="s">
        <v>2800</v>
      </c>
      <c r="C184" s="784">
        <v>4.9700000000000002E-5</v>
      </c>
      <c r="D184" s="784">
        <v>4.9299999999999999E-5</v>
      </c>
      <c r="E184" s="800">
        <v>19656</v>
      </c>
      <c r="F184" s="785">
        <v>75928</v>
      </c>
      <c r="G184" s="785"/>
      <c r="H184" s="786">
        <v>4374</v>
      </c>
      <c r="I184" s="787">
        <v>18435</v>
      </c>
      <c r="J184" s="786">
        <v>10844</v>
      </c>
      <c r="K184" s="785">
        <v>4395</v>
      </c>
      <c r="L184" s="787">
        <f t="shared" si="4"/>
        <v>38048</v>
      </c>
      <c r="M184" s="785"/>
      <c r="N184" s="786">
        <v>2149</v>
      </c>
      <c r="O184" s="786">
        <v>0</v>
      </c>
      <c r="P184" s="785">
        <v>4419</v>
      </c>
      <c r="Q184" s="787">
        <f t="shared" si="5"/>
        <v>6568</v>
      </c>
      <c r="R184" s="785"/>
      <c r="S184" s="786">
        <v>25588</v>
      </c>
      <c r="T184" s="788">
        <v>37</v>
      </c>
      <c r="U184" s="788">
        <v>25625</v>
      </c>
    </row>
    <row r="185" spans="1:21" x14ac:dyDescent="0.25">
      <c r="A185" s="782">
        <v>91801</v>
      </c>
      <c r="B185" s="783" t="s">
        <v>2801</v>
      </c>
      <c r="C185" s="784">
        <v>8.0961000000000002E-3</v>
      </c>
      <c r="D185" s="784">
        <v>8.3853999999999995E-3</v>
      </c>
      <c r="E185" s="800">
        <v>3752769</v>
      </c>
      <c r="F185" s="785">
        <v>12368598</v>
      </c>
      <c r="G185" s="785"/>
      <c r="H185" s="786">
        <v>712546</v>
      </c>
      <c r="I185" s="787">
        <v>3003111</v>
      </c>
      <c r="J185" s="786">
        <v>1766407</v>
      </c>
      <c r="K185" s="785">
        <v>0</v>
      </c>
      <c r="L185" s="787">
        <f t="shared" si="4"/>
        <v>5482064</v>
      </c>
      <c r="M185" s="785"/>
      <c r="N185" s="786">
        <v>350116</v>
      </c>
      <c r="O185" s="786">
        <v>0</v>
      </c>
      <c r="P185" s="785">
        <v>242225</v>
      </c>
      <c r="Q185" s="787">
        <f t="shared" si="5"/>
        <v>592341</v>
      </c>
      <c r="R185" s="785"/>
      <c r="S185" s="786">
        <v>4168229</v>
      </c>
      <c r="T185" s="788">
        <v>-87031</v>
      </c>
      <c r="U185" s="788">
        <f>4081197+1</f>
        <v>4081198</v>
      </c>
    </row>
    <row r="186" spans="1:21" x14ac:dyDescent="0.25">
      <c r="A186" s="782">
        <v>91804</v>
      </c>
      <c r="B186" s="783" t="s">
        <v>2802</v>
      </c>
      <c r="C186" s="784">
        <v>1.3439999999999999E-4</v>
      </c>
      <c r="D186" s="784">
        <v>1.462E-4</v>
      </c>
      <c r="E186" s="800">
        <v>95886</v>
      </c>
      <c r="F186" s="785">
        <v>205326</v>
      </c>
      <c r="G186" s="785"/>
      <c r="H186" s="786">
        <v>11829</v>
      </c>
      <c r="I186" s="787">
        <v>49854</v>
      </c>
      <c r="J186" s="786">
        <v>29323</v>
      </c>
      <c r="K186" s="785">
        <v>55699</v>
      </c>
      <c r="L186" s="787">
        <f t="shared" si="4"/>
        <v>146705</v>
      </c>
      <c r="M186" s="785"/>
      <c r="N186" s="786">
        <v>5812</v>
      </c>
      <c r="O186" s="786">
        <v>0</v>
      </c>
      <c r="P186" s="785">
        <v>0</v>
      </c>
      <c r="Q186" s="787">
        <f t="shared" si="5"/>
        <v>5812</v>
      </c>
      <c r="R186" s="785"/>
      <c r="S186" s="786">
        <v>69195</v>
      </c>
      <c r="T186" s="788">
        <v>23621</v>
      </c>
      <c r="U186" s="788">
        <v>92816</v>
      </c>
    </row>
    <row r="187" spans="1:21" x14ac:dyDescent="0.25">
      <c r="A187" s="782">
        <v>91811</v>
      </c>
      <c r="B187" s="783" t="s">
        <v>2803</v>
      </c>
      <c r="C187" s="784">
        <v>4.5555999999999999E-3</v>
      </c>
      <c r="D187" s="784">
        <v>4.6454000000000001E-3</v>
      </c>
      <c r="E187" s="800">
        <v>1964158</v>
      </c>
      <c r="F187" s="785">
        <v>6959695</v>
      </c>
      <c r="G187" s="785"/>
      <c r="H187" s="786">
        <v>400943</v>
      </c>
      <c r="I187" s="787">
        <v>1689822</v>
      </c>
      <c r="J187" s="786">
        <v>993941</v>
      </c>
      <c r="K187" s="785">
        <v>0</v>
      </c>
      <c r="L187" s="787">
        <f t="shared" si="4"/>
        <v>3084706</v>
      </c>
      <c r="M187" s="785"/>
      <c r="N187" s="786">
        <v>197007</v>
      </c>
      <c r="O187" s="786">
        <v>0</v>
      </c>
      <c r="P187" s="785">
        <v>519421</v>
      </c>
      <c r="Q187" s="787">
        <f t="shared" si="5"/>
        <v>716428</v>
      </c>
      <c r="R187" s="785"/>
      <c r="S187" s="786">
        <v>2345423</v>
      </c>
      <c r="T187" s="788">
        <v>-197590</v>
      </c>
      <c r="U187" s="788">
        <v>2147833</v>
      </c>
    </row>
    <row r="188" spans="1:21" x14ac:dyDescent="0.25">
      <c r="A188" s="782">
        <v>91812</v>
      </c>
      <c r="B188" s="783" t="s">
        <v>2804</v>
      </c>
      <c r="C188" s="784">
        <v>5.0800000000000002E-5</v>
      </c>
      <c r="D188" s="784">
        <v>5.8199999999999998E-5</v>
      </c>
      <c r="E188" s="800">
        <v>26136</v>
      </c>
      <c r="F188" s="785">
        <v>77608</v>
      </c>
      <c r="G188" s="785"/>
      <c r="H188" s="786">
        <v>4471</v>
      </c>
      <c r="I188" s="787">
        <v>18843</v>
      </c>
      <c r="J188" s="786">
        <v>11084</v>
      </c>
      <c r="K188" s="785">
        <v>11326</v>
      </c>
      <c r="L188" s="787">
        <f t="shared" si="4"/>
        <v>45724</v>
      </c>
      <c r="M188" s="785"/>
      <c r="N188" s="786">
        <v>2197</v>
      </c>
      <c r="O188" s="786">
        <v>0</v>
      </c>
      <c r="P188" s="785">
        <v>2710</v>
      </c>
      <c r="Q188" s="787">
        <f t="shared" si="5"/>
        <v>4907</v>
      </c>
      <c r="R188" s="785"/>
      <c r="S188" s="786">
        <v>26154</v>
      </c>
      <c r="T188" s="788">
        <v>4584</v>
      </c>
      <c r="U188" s="788">
        <v>30738</v>
      </c>
    </row>
    <row r="189" spans="1:21" x14ac:dyDescent="0.25">
      <c r="A189" s="782">
        <v>91813</v>
      </c>
      <c r="B189" s="783" t="s">
        <v>2805</v>
      </c>
      <c r="C189" s="784">
        <v>8.6100000000000006E-5</v>
      </c>
      <c r="D189" s="784">
        <v>1.083E-4</v>
      </c>
      <c r="E189" s="800">
        <v>44452</v>
      </c>
      <c r="F189" s="785">
        <v>131537</v>
      </c>
      <c r="G189" s="785"/>
      <c r="H189" s="786">
        <v>7578</v>
      </c>
      <c r="I189" s="787">
        <v>31938</v>
      </c>
      <c r="J189" s="786">
        <v>18785</v>
      </c>
      <c r="K189" s="785">
        <v>10986</v>
      </c>
      <c r="L189" s="787">
        <f t="shared" si="4"/>
        <v>69287</v>
      </c>
      <c r="M189" s="785"/>
      <c r="N189" s="786">
        <v>3723</v>
      </c>
      <c r="O189" s="786">
        <v>0</v>
      </c>
      <c r="P189" s="785">
        <v>13565</v>
      </c>
      <c r="Q189" s="787">
        <f t="shared" si="5"/>
        <v>17288</v>
      </c>
      <c r="R189" s="785"/>
      <c r="S189" s="786">
        <v>44328</v>
      </c>
      <c r="T189" s="788">
        <v>-155</v>
      </c>
      <c r="U189" s="788">
        <v>44173</v>
      </c>
    </row>
    <row r="190" spans="1:21" x14ac:dyDescent="0.25">
      <c r="A190" s="782">
        <v>91818</v>
      </c>
      <c r="B190" s="783" t="s">
        <v>2806</v>
      </c>
      <c r="C190" s="784">
        <v>4.0079999999999998E-4</v>
      </c>
      <c r="D190" s="784">
        <v>3.8559999999999999E-4</v>
      </c>
      <c r="E190" s="800">
        <v>453409</v>
      </c>
      <c r="F190" s="785">
        <v>612311</v>
      </c>
      <c r="G190" s="785"/>
      <c r="H190" s="786">
        <v>35275</v>
      </c>
      <c r="I190" s="787">
        <v>148670</v>
      </c>
      <c r="J190" s="786">
        <v>87447</v>
      </c>
      <c r="K190" s="785">
        <v>469231</v>
      </c>
      <c r="L190" s="787">
        <f t="shared" si="4"/>
        <v>740623</v>
      </c>
      <c r="M190" s="785"/>
      <c r="N190" s="786">
        <v>17333</v>
      </c>
      <c r="O190" s="786">
        <v>0</v>
      </c>
      <c r="P190" s="785">
        <v>5024</v>
      </c>
      <c r="Q190" s="787">
        <f t="shared" si="5"/>
        <v>22357</v>
      </c>
      <c r="R190" s="785"/>
      <c r="S190" s="786">
        <v>206349</v>
      </c>
      <c r="T190" s="788">
        <v>155106</v>
      </c>
      <c r="U190" s="788">
        <f>361456-1</f>
        <v>361455</v>
      </c>
    </row>
    <row r="191" spans="1:21" x14ac:dyDescent="0.25">
      <c r="A191" s="782">
        <v>91819</v>
      </c>
      <c r="B191" s="783" t="s">
        <v>2807</v>
      </c>
      <c r="C191" s="784">
        <v>2.8489999999999999E-4</v>
      </c>
      <c r="D191" s="784">
        <v>2.8200000000000002E-4</v>
      </c>
      <c r="E191" s="800">
        <v>138657</v>
      </c>
      <c r="F191" s="785">
        <v>435248</v>
      </c>
      <c r="G191" s="785"/>
      <c r="H191" s="786">
        <v>25074</v>
      </c>
      <c r="I191" s="787">
        <v>105678</v>
      </c>
      <c r="J191" s="786">
        <v>62159</v>
      </c>
      <c r="K191" s="785">
        <v>15073</v>
      </c>
      <c r="L191" s="787">
        <f t="shared" si="4"/>
        <v>207984</v>
      </c>
      <c r="M191" s="785"/>
      <c r="N191" s="786">
        <v>12321</v>
      </c>
      <c r="O191" s="786">
        <v>0</v>
      </c>
      <c r="P191" s="785">
        <v>8276</v>
      </c>
      <c r="Q191" s="787">
        <f t="shared" si="5"/>
        <v>20597</v>
      </c>
      <c r="R191" s="785"/>
      <c r="S191" s="786">
        <v>146679</v>
      </c>
      <c r="T191" s="788">
        <v>5278</v>
      </c>
      <c r="U191" s="788">
        <v>151957</v>
      </c>
    </row>
    <row r="192" spans="1:21" x14ac:dyDescent="0.25">
      <c r="A192" s="782">
        <v>91821</v>
      </c>
      <c r="B192" s="783" t="s">
        <v>2808</v>
      </c>
      <c r="C192" s="784">
        <v>1.7330000000000001E-4</v>
      </c>
      <c r="D192" s="784">
        <v>1.63E-4</v>
      </c>
      <c r="E192" s="800">
        <v>71126</v>
      </c>
      <c r="F192" s="785">
        <v>264754</v>
      </c>
      <c r="G192" s="785"/>
      <c r="H192" s="786">
        <v>15252</v>
      </c>
      <c r="I192" s="787">
        <v>64283</v>
      </c>
      <c r="J192" s="786">
        <v>37811</v>
      </c>
      <c r="K192" s="785">
        <v>2434</v>
      </c>
      <c r="L192" s="787">
        <f t="shared" si="4"/>
        <v>119780</v>
      </c>
      <c r="M192" s="785"/>
      <c r="N192" s="786">
        <v>7494</v>
      </c>
      <c r="O192" s="786">
        <v>0</v>
      </c>
      <c r="P192" s="785">
        <v>1112</v>
      </c>
      <c r="Q192" s="787">
        <f t="shared" si="5"/>
        <v>8606</v>
      </c>
      <c r="R192" s="785"/>
      <c r="S192" s="786">
        <v>89222</v>
      </c>
      <c r="T192" s="788">
        <v>1572</v>
      </c>
      <c r="U192" s="788">
        <f>90795-1</f>
        <v>90794</v>
      </c>
    </row>
    <row r="193" spans="1:21" x14ac:dyDescent="0.25">
      <c r="A193" s="782">
        <v>91831</v>
      </c>
      <c r="B193" s="783" t="s">
        <v>2809</v>
      </c>
      <c r="C193" s="784">
        <v>3.366E-4</v>
      </c>
      <c r="D193" s="784">
        <v>3.414E-4</v>
      </c>
      <c r="E193" s="800">
        <v>150178</v>
      </c>
      <c r="F193" s="785">
        <v>514232</v>
      </c>
      <c r="G193" s="785"/>
      <c r="H193" s="786">
        <v>29625</v>
      </c>
      <c r="I193" s="787">
        <v>124856</v>
      </c>
      <c r="J193" s="786">
        <v>73439</v>
      </c>
      <c r="K193" s="785">
        <v>7847</v>
      </c>
      <c r="L193" s="787">
        <f t="shared" si="4"/>
        <v>235767</v>
      </c>
      <c r="M193" s="785"/>
      <c r="N193" s="786">
        <v>14556</v>
      </c>
      <c r="O193" s="786">
        <v>0</v>
      </c>
      <c r="P193" s="785">
        <v>13475</v>
      </c>
      <c r="Q193" s="787">
        <f t="shared" si="5"/>
        <v>28031</v>
      </c>
      <c r="R193" s="785"/>
      <c r="S193" s="786">
        <v>173296</v>
      </c>
      <c r="T193" s="788">
        <v>520</v>
      </c>
      <c r="U193" s="788">
        <v>173816</v>
      </c>
    </row>
    <row r="194" spans="1:21" x14ac:dyDescent="0.25">
      <c r="A194" s="782">
        <v>91841</v>
      </c>
      <c r="B194" s="783" t="s">
        <v>2810</v>
      </c>
      <c r="C194" s="784">
        <v>2.5339999999999998E-4</v>
      </c>
      <c r="D194" s="784">
        <v>2.63E-4</v>
      </c>
      <c r="E194" s="800">
        <v>126479</v>
      </c>
      <c r="F194" s="785">
        <v>387125</v>
      </c>
      <c r="G194" s="785"/>
      <c r="H194" s="786">
        <v>22302</v>
      </c>
      <c r="I194" s="787">
        <v>93994</v>
      </c>
      <c r="J194" s="786">
        <v>55287</v>
      </c>
      <c r="K194" s="785">
        <v>1681</v>
      </c>
      <c r="L194" s="787">
        <f t="shared" si="4"/>
        <v>173264</v>
      </c>
      <c r="M194" s="785"/>
      <c r="N194" s="786">
        <v>10958</v>
      </c>
      <c r="O194" s="786">
        <v>0</v>
      </c>
      <c r="P194" s="785">
        <v>14711</v>
      </c>
      <c r="Q194" s="787">
        <f t="shared" si="5"/>
        <v>25669</v>
      </c>
      <c r="R194" s="785"/>
      <c r="S194" s="786">
        <v>130461</v>
      </c>
      <c r="T194" s="788">
        <v>-9727</v>
      </c>
      <c r="U194" s="788">
        <v>120734</v>
      </c>
    </row>
    <row r="195" spans="1:21" x14ac:dyDescent="0.25">
      <c r="A195" s="782">
        <v>91851</v>
      </c>
      <c r="B195" s="783" t="s">
        <v>2811</v>
      </c>
      <c r="C195" s="784">
        <v>7.4910000000000005E-4</v>
      </c>
      <c r="D195" s="784">
        <v>7.2059999999999995E-4</v>
      </c>
      <c r="E195" s="800">
        <v>326836</v>
      </c>
      <c r="F195" s="785">
        <v>1144417</v>
      </c>
      <c r="G195" s="785"/>
      <c r="H195" s="786">
        <v>65929</v>
      </c>
      <c r="I195" s="787">
        <v>277866</v>
      </c>
      <c r="J195" s="786">
        <v>163439</v>
      </c>
      <c r="K195" s="785">
        <v>9030</v>
      </c>
      <c r="L195" s="787">
        <f t="shared" si="4"/>
        <v>516264</v>
      </c>
      <c r="M195" s="785"/>
      <c r="N195" s="786">
        <v>32395</v>
      </c>
      <c r="O195" s="786">
        <v>0</v>
      </c>
      <c r="P195" s="785">
        <v>44287</v>
      </c>
      <c r="Q195" s="787">
        <f t="shared" si="5"/>
        <v>76682</v>
      </c>
      <c r="R195" s="785"/>
      <c r="S195" s="786">
        <v>385670</v>
      </c>
      <c r="T195" s="788">
        <v>-13424</v>
      </c>
      <c r="U195" s="788">
        <v>372246</v>
      </c>
    </row>
    <row r="196" spans="1:21" x14ac:dyDescent="0.25">
      <c r="A196" s="782">
        <v>91861</v>
      </c>
      <c r="B196" s="783" t="s">
        <v>2812</v>
      </c>
      <c r="C196" s="784">
        <v>1.9700000000000001E-5</v>
      </c>
      <c r="D196" s="784">
        <v>1.9899999999999999E-5</v>
      </c>
      <c r="E196" s="800">
        <v>8023</v>
      </c>
      <c r="F196" s="785">
        <v>30096</v>
      </c>
      <c r="G196" s="785"/>
      <c r="H196" s="786">
        <v>1734</v>
      </c>
      <c r="I196" s="787">
        <v>7308</v>
      </c>
      <c r="J196" s="786">
        <v>4298</v>
      </c>
      <c r="K196" s="785">
        <v>2050</v>
      </c>
      <c r="L196" s="787">
        <f t="shared" si="4"/>
        <v>15390</v>
      </c>
      <c r="M196" s="785"/>
      <c r="N196" s="786">
        <v>852</v>
      </c>
      <c r="O196" s="786">
        <v>0</v>
      </c>
      <c r="P196" s="785">
        <v>1061</v>
      </c>
      <c r="Q196" s="787">
        <f t="shared" si="5"/>
        <v>1913</v>
      </c>
      <c r="R196" s="785"/>
      <c r="S196" s="786">
        <v>10142</v>
      </c>
      <c r="T196" s="788">
        <v>692</v>
      </c>
      <c r="U196" s="788">
        <f>10835-1</f>
        <v>10834</v>
      </c>
    </row>
    <row r="197" spans="1:21" x14ac:dyDescent="0.25">
      <c r="A197" s="782">
        <v>91871</v>
      </c>
      <c r="B197" s="783" t="s">
        <v>2813</v>
      </c>
      <c r="C197" s="784">
        <v>1.3319E-3</v>
      </c>
      <c r="D197" s="784">
        <v>1.2712000000000001E-3</v>
      </c>
      <c r="E197" s="800">
        <v>588755</v>
      </c>
      <c r="F197" s="785">
        <v>2034774</v>
      </c>
      <c r="G197" s="785"/>
      <c r="H197" s="786">
        <v>117222</v>
      </c>
      <c r="I197" s="787">
        <v>494045</v>
      </c>
      <c r="J197" s="786">
        <v>290594</v>
      </c>
      <c r="K197" s="785">
        <v>22538</v>
      </c>
      <c r="L197" s="787">
        <f t="shared" si="4"/>
        <v>924399</v>
      </c>
      <c r="M197" s="785"/>
      <c r="N197" s="786">
        <v>57598</v>
      </c>
      <c r="O197" s="786">
        <v>0</v>
      </c>
      <c r="P197" s="785">
        <v>73797</v>
      </c>
      <c r="Q197" s="787">
        <f t="shared" si="5"/>
        <v>131395</v>
      </c>
      <c r="R197" s="785"/>
      <c r="S197" s="786">
        <v>685721</v>
      </c>
      <c r="T197" s="788">
        <v>-28802</v>
      </c>
      <c r="U197" s="788">
        <v>656919</v>
      </c>
    </row>
    <row r="198" spans="1:21" x14ac:dyDescent="0.25">
      <c r="A198" s="782">
        <v>91881</v>
      </c>
      <c r="B198" s="783" t="s">
        <v>2814</v>
      </c>
      <c r="C198" s="784">
        <v>9.3000000000000007E-6</v>
      </c>
      <c r="D198" s="784">
        <v>1.01E-5</v>
      </c>
      <c r="E198" s="800">
        <v>6384</v>
      </c>
      <c r="F198" s="785">
        <v>14208</v>
      </c>
      <c r="G198" s="785"/>
      <c r="H198" s="786">
        <v>819</v>
      </c>
      <c r="I198" s="787">
        <v>3450</v>
      </c>
      <c r="J198" s="786">
        <v>2029</v>
      </c>
      <c r="K198" s="785">
        <v>1155</v>
      </c>
      <c r="L198" s="787">
        <f t="shared" si="4"/>
        <v>7453</v>
      </c>
      <c r="M198" s="785"/>
      <c r="N198" s="786">
        <v>402</v>
      </c>
      <c r="O198" s="786">
        <v>0</v>
      </c>
      <c r="P198" s="785">
        <v>8809</v>
      </c>
      <c r="Q198" s="787">
        <f t="shared" si="5"/>
        <v>9211</v>
      </c>
      <c r="R198" s="785"/>
      <c r="S198" s="786">
        <v>4788</v>
      </c>
      <c r="T198" s="788">
        <v>-5615</v>
      </c>
      <c r="U198" s="788">
        <v>-827</v>
      </c>
    </row>
    <row r="199" spans="1:21" x14ac:dyDescent="0.25">
      <c r="A199" s="782">
        <v>91901</v>
      </c>
      <c r="B199" s="783" t="s">
        <v>2815</v>
      </c>
      <c r="C199" s="784">
        <v>3.6706999999999998E-3</v>
      </c>
      <c r="D199" s="784">
        <v>3.6564000000000002E-3</v>
      </c>
      <c r="E199" s="800">
        <v>1652493</v>
      </c>
      <c r="F199" s="785">
        <v>5607813</v>
      </c>
      <c r="G199" s="785"/>
      <c r="H199" s="786">
        <v>323062</v>
      </c>
      <c r="I199" s="787">
        <v>1361584</v>
      </c>
      <c r="J199" s="786">
        <v>800873</v>
      </c>
      <c r="K199" s="785">
        <v>89719</v>
      </c>
      <c r="L199" s="787">
        <f t="shared" ref="L199:L262" si="6">H199+I199+J199+K199</f>
        <v>2575238</v>
      </c>
      <c r="M199" s="785"/>
      <c r="N199" s="786">
        <v>158739</v>
      </c>
      <c r="O199" s="786">
        <v>0</v>
      </c>
      <c r="P199" s="785">
        <v>16546</v>
      </c>
      <c r="Q199" s="787">
        <f t="shared" ref="Q199:Q262" si="7">N199+O199+P199</f>
        <v>175285</v>
      </c>
      <c r="R199" s="785"/>
      <c r="S199" s="786">
        <v>1889838</v>
      </c>
      <c r="T199" s="788">
        <v>53714</v>
      </c>
      <c r="U199" s="788">
        <v>1943552</v>
      </c>
    </row>
    <row r="200" spans="1:21" x14ac:dyDescent="0.25">
      <c r="A200" s="782">
        <v>91903</v>
      </c>
      <c r="B200" s="783" t="s">
        <v>2816</v>
      </c>
      <c r="C200" s="784">
        <v>8.6999999999999997E-6</v>
      </c>
      <c r="D200" s="784">
        <v>8.3999999999999992E-6</v>
      </c>
      <c r="E200" s="800">
        <v>5739</v>
      </c>
      <c r="F200" s="785">
        <v>13291</v>
      </c>
      <c r="G200" s="785"/>
      <c r="H200" s="786">
        <v>766</v>
      </c>
      <c r="I200" s="787">
        <v>3227</v>
      </c>
      <c r="J200" s="786">
        <v>1898</v>
      </c>
      <c r="K200" s="785">
        <v>2037</v>
      </c>
      <c r="L200" s="787">
        <f t="shared" si="6"/>
        <v>7928</v>
      </c>
      <c r="M200" s="785"/>
      <c r="N200" s="786">
        <v>376</v>
      </c>
      <c r="O200" s="786">
        <v>0</v>
      </c>
      <c r="P200" s="785">
        <v>3011</v>
      </c>
      <c r="Q200" s="787">
        <f t="shared" si="7"/>
        <v>3387</v>
      </c>
      <c r="R200" s="785"/>
      <c r="S200" s="786">
        <v>4479</v>
      </c>
      <c r="T200" s="788">
        <v>-2426</v>
      </c>
      <c r="U200" s="788">
        <v>2053</v>
      </c>
    </row>
    <row r="201" spans="1:21" x14ac:dyDescent="0.25">
      <c r="A201" s="782">
        <v>91904</v>
      </c>
      <c r="B201" s="783" t="s">
        <v>2817</v>
      </c>
      <c r="C201" s="784">
        <v>3.3399999999999999E-5</v>
      </c>
      <c r="D201" s="784">
        <v>2.3300000000000001E-5</v>
      </c>
      <c r="E201" s="800">
        <v>13231</v>
      </c>
      <c r="F201" s="785">
        <v>51026</v>
      </c>
      <c r="G201" s="785"/>
      <c r="H201" s="786">
        <v>2940</v>
      </c>
      <c r="I201" s="787">
        <v>12389</v>
      </c>
      <c r="J201" s="786">
        <v>7287</v>
      </c>
      <c r="K201" s="785">
        <v>11190</v>
      </c>
      <c r="L201" s="787">
        <f t="shared" si="6"/>
        <v>33806</v>
      </c>
      <c r="M201" s="785"/>
      <c r="N201" s="786">
        <v>1444</v>
      </c>
      <c r="O201" s="786">
        <v>0</v>
      </c>
      <c r="P201" s="785">
        <v>0</v>
      </c>
      <c r="Q201" s="787">
        <f t="shared" si="7"/>
        <v>1444</v>
      </c>
      <c r="R201" s="785"/>
      <c r="S201" s="786">
        <v>17196</v>
      </c>
      <c r="T201" s="788">
        <v>4334</v>
      </c>
      <c r="U201" s="788">
        <v>21530</v>
      </c>
    </row>
    <row r="202" spans="1:21" x14ac:dyDescent="0.25">
      <c r="A202" s="782">
        <v>91908</v>
      </c>
      <c r="B202" s="783" t="s">
        <v>2818</v>
      </c>
      <c r="C202" s="784">
        <v>1.6900000000000001E-5</v>
      </c>
      <c r="D202" s="784">
        <v>1.3699999999999999E-5</v>
      </c>
      <c r="E202" s="800">
        <v>5211</v>
      </c>
      <c r="F202" s="785">
        <v>25819</v>
      </c>
      <c r="G202" s="785"/>
      <c r="H202" s="786">
        <v>1487</v>
      </c>
      <c r="I202" s="787">
        <v>6269</v>
      </c>
      <c r="J202" s="786">
        <v>3687</v>
      </c>
      <c r="K202" s="785">
        <v>935</v>
      </c>
      <c r="L202" s="787">
        <f t="shared" si="6"/>
        <v>12378</v>
      </c>
      <c r="M202" s="785"/>
      <c r="N202" s="786">
        <v>731</v>
      </c>
      <c r="O202" s="786">
        <v>0</v>
      </c>
      <c r="P202" s="785">
        <v>2553</v>
      </c>
      <c r="Q202" s="787">
        <f t="shared" si="7"/>
        <v>3284</v>
      </c>
      <c r="R202" s="785"/>
      <c r="S202" s="786">
        <v>8701</v>
      </c>
      <c r="T202" s="788">
        <v>-56</v>
      </c>
      <c r="U202" s="788">
        <v>8645</v>
      </c>
    </row>
    <row r="203" spans="1:21" x14ac:dyDescent="0.25">
      <c r="A203" s="782">
        <v>91911</v>
      </c>
      <c r="B203" s="783" t="s">
        <v>2819</v>
      </c>
      <c r="C203" s="784">
        <v>4.5580000000000002E-4</v>
      </c>
      <c r="D203" s="784">
        <v>4.639E-4</v>
      </c>
      <c r="E203" s="800">
        <v>224257</v>
      </c>
      <c r="F203" s="785">
        <v>696336</v>
      </c>
      <c r="G203" s="785"/>
      <c r="H203" s="786">
        <v>40115</v>
      </c>
      <c r="I203" s="787">
        <v>169071</v>
      </c>
      <c r="J203" s="786">
        <v>99446</v>
      </c>
      <c r="K203" s="785">
        <v>13510</v>
      </c>
      <c r="L203" s="787">
        <f t="shared" si="6"/>
        <v>322142</v>
      </c>
      <c r="M203" s="785"/>
      <c r="N203" s="786">
        <v>19711</v>
      </c>
      <c r="O203" s="786">
        <v>0</v>
      </c>
      <c r="P203" s="785">
        <v>5011</v>
      </c>
      <c r="Q203" s="787">
        <f t="shared" si="7"/>
        <v>24722</v>
      </c>
      <c r="R203" s="785"/>
      <c r="S203" s="786">
        <v>234666</v>
      </c>
      <c r="T203" s="788">
        <v>598</v>
      </c>
      <c r="U203" s="788">
        <v>235264</v>
      </c>
    </row>
    <row r="204" spans="1:21" x14ac:dyDescent="0.25">
      <c r="A204" s="782">
        <v>91917</v>
      </c>
      <c r="B204" s="783" t="s">
        <v>2820</v>
      </c>
      <c r="C204" s="784">
        <v>1.22E-5</v>
      </c>
      <c r="D204" s="784">
        <v>1.36E-5</v>
      </c>
      <c r="E204" s="800">
        <v>6387</v>
      </c>
      <c r="F204" s="785">
        <v>18638</v>
      </c>
      <c r="G204" s="785"/>
      <c r="H204" s="786">
        <v>1074</v>
      </c>
      <c r="I204" s="787">
        <v>4526</v>
      </c>
      <c r="J204" s="786">
        <v>2662</v>
      </c>
      <c r="K204" s="785">
        <v>527</v>
      </c>
      <c r="L204" s="787">
        <f t="shared" si="6"/>
        <v>8789</v>
      </c>
      <c r="M204" s="785"/>
      <c r="N204" s="786">
        <v>528</v>
      </c>
      <c r="O204" s="786">
        <v>0</v>
      </c>
      <c r="P204" s="785">
        <v>310</v>
      </c>
      <c r="Q204" s="787">
        <f t="shared" si="7"/>
        <v>838</v>
      </c>
      <c r="R204" s="785"/>
      <c r="S204" s="786">
        <v>6281</v>
      </c>
      <c r="T204" s="788">
        <v>126</v>
      </c>
      <c r="U204" s="788">
        <v>6407</v>
      </c>
    </row>
    <row r="205" spans="1:21" x14ac:dyDescent="0.25">
      <c r="A205" s="782">
        <v>91921</v>
      </c>
      <c r="B205" s="783" t="s">
        <v>2821</v>
      </c>
      <c r="C205" s="784">
        <v>3.769E-4</v>
      </c>
      <c r="D205" s="784">
        <v>3.6600000000000001E-4</v>
      </c>
      <c r="E205" s="800">
        <v>160505</v>
      </c>
      <c r="F205" s="785">
        <v>575799</v>
      </c>
      <c r="G205" s="785"/>
      <c r="H205" s="786">
        <v>33171</v>
      </c>
      <c r="I205" s="787">
        <v>139804</v>
      </c>
      <c r="J205" s="786">
        <v>82232</v>
      </c>
      <c r="K205" s="785">
        <v>0</v>
      </c>
      <c r="L205" s="787">
        <f t="shared" si="6"/>
        <v>255207</v>
      </c>
      <c r="M205" s="785"/>
      <c r="N205" s="786">
        <v>16299</v>
      </c>
      <c r="O205" s="786">
        <v>0</v>
      </c>
      <c r="P205" s="785">
        <v>10651</v>
      </c>
      <c r="Q205" s="787">
        <f t="shared" si="7"/>
        <v>26950</v>
      </c>
      <c r="R205" s="785"/>
      <c r="S205" s="786">
        <v>194045</v>
      </c>
      <c r="T205" s="788">
        <v>-5316</v>
      </c>
      <c r="U205" s="788">
        <v>188729</v>
      </c>
    </row>
    <row r="206" spans="1:21" x14ac:dyDescent="0.25">
      <c r="A206" s="782">
        <v>92001</v>
      </c>
      <c r="B206" s="783" t="s">
        <v>2822</v>
      </c>
      <c r="C206" s="784">
        <v>1.8143E-3</v>
      </c>
      <c r="D206" s="784">
        <v>1.9604000000000002E-3</v>
      </c>
      <c r="E206" s="800">
        <v>790603</v>
      </c>
      <c r="F206" s="785">
        <v>2771748</v>
      </c>
      <c r="G206" s="785"/>
      <c r="H206" s="786">
        <v>159678</v>
      </c>
      <c r="I206" s="787">
        <v>672984</v>
      </c>
      <c r="J206" s="786">
        <v>395844</v>
      </c>
      <c r="K206" s="785">
        <v>48219</v>
      </c>
      <c r="L206" s="787">
        <f t="shared" si="6"/>
        <v>1276725</v>
      </c>
      <c r="M206" s="785"/>
      <c r="N206" s="786">
        <v>78459</v>
      </c>
      <c r="O206" s="786">
        <v>0</v>
      </c>
      <c r="P206" s="785">
        <v>157894</v>
      </c>
      <c r="Q206" s="787">
        <f t="shared" si="7"/>
        <v>236353</v>
      </c>
      <c r="R206" s="785"/>
      <c r="S206" s="786">
        <v>934081</v>
      </c>
      <c r="T206" s="788">
        <v>-42009</v>
      </c>
      <c r="U206" s="788">
        <f>892073-1</f>
        <v>892072</v>
      </c>
    </row>
    <row r="207" spans="1:21" x14ac:dyDescent="0.25">
      <c r="A207" s="782">
        <v>92005</v>
      </c>
      <c r="B207" s="783" t="s">
        <v>2823</v>
      </c>
      <c r="C207" s="784">
        <v>4.1399999999999997E-5</v>
      </c>
      <c r="D207" s="784">
        <v>4.6499999999999999E-5</v>
      </c>
      <c r="E207" s="800">
        <v>20947</v>
      </c>
      <c r="F207" s="785">
        <v>63248</v>
      </c>
      <c r="G207" s="785"/>
      <c r="H207" s="786">
        <v>3644</v>
      </c>
      <c r="I207" s="787">
        <v>15356</v>
      </c>
      <c r="J207" s="786">
        <v>9033</v>
      </c>
      <c r="K207" s="785">
        <v>1741</v>
      </c>
      <c r="L207" s="787">
        <f t="shared" si="6"/>
        <v>29774</v>
      </c>
      <c r="M207" s="785"/>
      <c r="N207" s="786">
        <v>1790</v>
      </c>
      <c r="O207" s="786">
        <v>0</v>
      </c>
      <c r="P207" s="785">
        <v>2252</v>
      </c>
      <c r="Q207" s="787">
        <f t="shared" si="7"/>
        <v>4042</v>
      </c>
      <c r="R207" s="785"/>
      <c r="S207" s="786">
        <v>21315</v>
      </c>
      <c r="T207" s="788">
        <v>208</v>
      </c>
      <c r="U207" s="788">
        <f>21522+1</f>
        <v>21523</v>
      </c>
    </row>
    <row r="208" spans="1:21" x14ac:dyDescent="0.25">
      <c r="A208" s="782">
        <v>92011</v>
      </c>
      <c r="B208" s="783" t="s">
        <v>2824</v>
      </c>
      <c r="C208" s="784">
        <v>2.0049999999999999E-4</v>
      </c>
      <c r="D208" s="784">
        <v>1.8660000000000001E-4</v>
      </c>
      <c r="E208" s="800">
        <v>90383</v>
      </c>
      <c r="F208" s="785">
        <v>306308</v>
      </c>
      <c r="G208" s="785"/>
      <c r="H208" s="786">
        <v>17646</v>
      </c>
      <c r="I208" s="787">
        <v>74372</v>
      </c>
      <c r="J208" s="786">
        <v>43745</v>
      </c>
      <c r="K208" s="785">
        <v>17614</v>
      </c>
      <c r="L208" s="787">
        <f t="shared" si="6"/>
        <v>153377</v>
      </c>
      <c r="M208" s="785"/>
      <c r="N208" s="786">
        <v>8671</v>
      </c>
      <c r="O208" s="786">
        <v>0</v>
      </c>
      <c r="P208" s="785">
        <v>0</v>
      </c>
      <c r="Q208" s="787">
        <f t="shared" si="7"/>
        <v>8671</v>
      </c>
      <c r="R208" s="785"/>
      <c r="S208" s="786">
        <v>103226</v>
      </c>
      <c r="T208" s="788">
        <v>9780</v>
      </c>
      <c r="U208" s="788">
        <v>113006</v>
      </c>
    </row>
    <row r="209" spans="1:21" x14ac:dyDescent="0.25">
      <c r="A209" s="782">
        <v>92017</v>
      </c>
      <c r="B209" s="783" t="s">
        <v>2825</v>
      </c>
      <c r="C209" s="784">
        <v>3.4199999999999998E-5</v>
      </c>
      <c r="D209" s="784">
        <v>3.5099999999999999E-5</v>
      </c>
      <c r="E209" s="800">
        <v>16941</v>
      </c>
      <c r="F209" s="785">
        <v>52248</v>
      </c>
      <c r="G209" s="785"/>
      <c r="H209" s="786">
        <v>3010</v>
      </c>
      <c r="I209" s="787">
        <v>12686</v>
      </c>
      <c r="J209" s="786">
        <v>7462</v>
      </c>
      <c r="K209" s="785">
        <v>639</v>
      </c>
      <c r="L209" s="787">
        <f t="shared" si="6"/>
        <v>23797</v>
      </c>
      <c r="M209" s="785"/>
      <c r="N209" s="786">
        <v>1479</v>
      </c>
      <c r="O209" s="786">
        <v>0</v>
      </c>
      <c r="P209" s="785">
        <v>1257</v>
      </c>
      <c r="Q209" s="787">
        <f t="shared" si="7"/>
        <v>2736</v>
      </c>
      <c r="R209" s="785"/>
      <c r="S209" s="786">
        <v>17608</v>
      </c>
      <c r="T209" s="788">
        <v>-668</v>
      </c>
      <c r="U209" s="788">
        <f>16939+1</f>
        <v>16940</v>
      </c>
    </row>
    <row r="210" spans="1:21" x14ac:dyDescent="0.25">
      <c r="A210" s="782">
        <v>92021</v>
      </c>
      <c r="B210" s="783" t="s">
        <v>2826</v>
      </c>
      <c r="C210" s="784">
        <v>1.5779999999999999E-4</v>
      </c>
      <c r="D210" s="784">
        <v>1.4249999999999999E-4</v>
      </c>
      <c r="E210" s="800">
        <v>72635</v>
      </c>
      <c r="F210" s="785">
        <v>241075</v>
      </c>
      <c r="G210" s="785"/>
      <c r="H210" s="786">
        <v>13888</v>
      </c>
      <c r="I210" s="787">
        <v>58533</v>
      </c>
      <c r="J210" s="786">
        <v>34429</v>
      </c>
      <c r="K210" s="785">
        <v>30504</v>
      </c>
      <c r="L210" s="787">
        <f t="shared" si="6"/>
        <v>137354</v>
      </c>
      <c r="M210" s="785"/>
      <c r="N210" s="786">
        <v>6824</v>
      </c>
      <c r="O210" s="786">
        <v>0</v>
      </c>
      <c r="P210" s="785">
        <v>11142</v>
      </c>
      <c r="Q210" s="787">
        <f t="shared" si="7"/>
        <v>17966</v>
      </c>
      <c r="R210" s="785"/>
      <c r="S210" s="786">
        <v>81242</v>
      </c>
      <c r="T210" s="788">
        <v>1771</v>
      </c>
      <c r="U210" s="788">
        <f>83014-1</f>
        <v>83013</v>
      </c>
    </row>
    <row r="211" spans="1:21" x14ac:dyDescent="0.25">
      <c r="A211" s="782">
        <v>92101</v>
      </c>
      <c r="B211" s="783" t="s">
        <v>2827</v>
      </c>
      <c r="C211" s="784">
        <v>8.5209999999999995E-4</v>
      </c>
      <c r="D211" s="784">
        <v>8.6870000000000003E-4</v>
      </c>
      <c r="E211" s="800">
        <v>368519</v>
      </c>
      <c r="F211" s="785">
        <v>1301773</v>
      </c>
      <c r="G211" s="785"/>
      <c r="H211" s="786">
        <v>74994</v>
      </c>
      <c r="I211" s="787">
        <v>316072</v>
      </c>
      <c r="J211" s="786">
        <v>185911</v>
      </c>
      <c r="K211" s="785">
        <v>9505</v>
      </c>
      <c r="L211" s="787">
        <f t="shared" si="6"/>
        <v>586482</v>
      </c>
      <c r="M211" s="785"/>
      <c r="N211" s="786">
        <v>36849</v>
      </c>
      <c r="O211" s="786">
        <v>0</v>
      </c>
      <c r="P211" s="785">
        <v>63189</v>
      </c>
      <c r="Q211" s="787">
        <f t="shared" si="7"/>
        <v>100038</v>
      </c>
      <c r="R211" s="785"/>
      <c r="S211" s="786">
        <v>438699</v>
      </c>
      <c r="T211" s="788">
        <v>-10164</v>
      </c>
      <c r="U211" s="788">
        <v>428535</v>
      </c>
    </row>
    <row r="212" spans="1:21" x14ac:dyDescent="0.25">
      <c r="A212" s="782">
        <v>92104</v>
      </c>
      <c r="B212" s="783" t="s">
        <v>2828</v>
      </c>
      <c r="C212" s="784">
        <v>8.6000000000000007E-6</v>
      </c>
      <c r="D212" s="784">
        <v>8.8000000000000004E-6</v>
      </c>
      <c r="E212" s="800">
        <v>5180</v>
      </c>
      <c r="F212" s="785">
        <v>13138</v>
      </c>
      <c r="G212" s="785"/>
      <c r="H212" s="786">
        <v>757</v>
      </c>
      <c r="I212" s="787">
        <v>3190</v>
      </c>
      <c r="J212" s="786">
        <v>1876</v>
      </c>
      <c r="K212" s="785">
        <v>3377</v>
      </c>
      <c r="L212" s="787">
        <f t="shared" si="6"/>
        <v>9200</v>
      </c>
      <c r="M212" s="785"/>
      <c r="N212" s="786">
        <v>372</v>
      </c>
      <c r="O212" s="786">
        <v>0</v>
      </c>
      <c r="P212" s="785">
        <v>0</v>
      </c>
      <c r="Q212" s="787">
        <f t="shared" si="7"/>
        <v>372</v>
      </c>
      <c r="R212" s="785"/>
      <c r="S212" s="786">
        <v>4428</v>
      </c>
      <c r="T212" s="788">
        <v>1850</v>
      </c>
      <c r="U212" s="788">
        <f>6277+1</f>
        <v>6278</v>
      </c>
    </row>
    <row r="213" spans="1:21" x14ac:dyDescent="0.25">
      <c r="A213" s="782">
        <v>92109</v>
      </c>
      <c r="B213" s="783" t="s">
        <v>2829</v>
      </c>
      <c r="C213" s="784">
        <v>1.8809999999999999E-4</v>
      </c>
      <c r="D213" s="784">
        <v>1.7909999999999999E-4</v>
      </c>
      <c r="E213" s="800">
        <v>79223</v>
      </c>
      <c r="F213" s="785">
        <v>287365</v>
      </c>
      <c r="G213" s="785"/>
      <c r="H213" s="786">
        <v>16555</v>
      </c>
      <c r="I213" s="787">
        <v>69773</v>
      </c>
      <c r="J213" s="786">
        <v>41040</v>
      </c>
      <c r="K213" s="785">
        <v>2067</v>
      </c>
      <c r="L213" s="787">
        <f t="shared" si="6"/>
        <v>129435</v>
      </c>
      <c r="M213" s="785"/>
      <c r="N213" s="786">
        <v>8134</v>
      </c>
      <c r="O213" s="786">
        <v>0</v>
      </c>
      <c r="P213" s="785">
        <v>12612</v>
      </c>
      <c r="Q213" s="787">
        <f t="shared" si="7"/>
        <v>20746</v>
      </c>
      <c r="R213" s="785"/>
      <c r="S213" s="786">
        <v>96842</v>
      </c>
      <c r="T213" s="788">
        <v>-5396</v>
      </c>
      <c r="U213" s="788">
        <v>91446</v>
      </c>
    </row>
    <row r="214" spans="1:21" x14ac:dyDescent="0.25">
      <c r="A214" s="782">
        <v>92111</v>
      </c>
      <c r="B214" s="783" t="s">
        <v>2830</v>
      </c>
      <c r="C214" s="784">
        <v>5.0460000000000001E-4</v>
      </c>
      <c r="D214" s="784">
        <v>5.0009999999999996E-4</v>
      </c>
      <c r="E214" s="800">
        <v>231049</v>
      </c>
      <c r="F214" s="785">
        <v>770889</v>
      </c>
      <c r="G214" s="785"/>
      <c r="H214" s="786">
        <v>44410</v>
      </c>
      <c r="I214" s="787">
        <v>187173</v>
      </c>
      <c r="J214" s="786">
        <v>110094</v>
      </c>
      <c r="K214" s="785">
        <v>10602</v>
      </c>
      <c r="L214" s="787">
        <f t="shared" si="6"/>
        <v>352279</v>
      </c>
      <c r="M214" s="785"/>
      <c r="N214" s="786">
        <v>21821</v>
      </c>
      <c r="O214" s="786">
        <v>0</v>
      </c>
      <c r="P214" s="785">
        <v>13269</v>
      </c>
      <c r="Q214" s="787">
        <f t="shared" si="7"/>
        <v>35090</v>
      </c>
      <c r="R214" s="785"/>
      <c r="S214" s="786">
        <v>259790</v>
      </c>
      <c r="T214" s="788">
        <v>2449</v>
      </c>
      <c r="U214" s="788">
        <v>262239</v>
      </c>
    </row>
    <row r="215" spans="1:21" x14ac:dyDescent="0.25">
      <c r="A215" s="782">
        <v>92113</v>
      </c>
      <c r="B215" s="783" t="s">
        <v>2831</v>
      </c>
      <c r="C215" s="784">
        <v>1.4399999999999999E-5</v>
      </c>
      <c r="D215" s="784">
        <v>2.2099999999999998E-5</v>
      </c>
      <c r="E215" s="800">
        <v>10341</v>
      </c>
      <c r="F215" s="785">
        <v>21999</v>
      </c>
      <c r="G215" s="785"/>
      <c r="H215" s="786">
        <v>1267</v>
      </c>
      <c r="I215" s="787">
        <v>5342</v>
      </c>
      <c r="J215" s="786">
        <v>3142</v>
      </c>
      <c r="K215" s="785">
        <v>17604</v>
      </c>
      <c r="L215" s="787">
        <f t="shared" si="6"/>
        <v>27355</v>
      </c>
      <c r="M215" s="785"/>
      <c r="N215" s="786">
        <v>623</v>
      </c>
      <c r="O215" s="786">
        <v>0</v>
      </c>
      <c r="P215" s="785">
        <v>2179</v>
      </c>
      <c r="Q215" s="787">
        <f t="shared" si="7"/>
        <v>2802</v>
      </c>
      <c r="R215" s="785"/>
      <c r="S215" s="786">
        <v>7414</v>
      </c>
      <c r="T215" s="788">
        <v>7173</v>
      </c>
      <c r="U215" s="788">
        <v>14587</v>
      </c>
    </row>
    <row r="216" spans="1:21" x14ac:dyDescent="0.25">
      <c r="A216" s="782">
        <v>92201</v>
      </c>
      <c r="B216" s="783" t="s">
        <v>2832</v>
      </c>
      <c r="C216" s="784">
        <v>9.3389999999999999E-4</v>
      </c>
      <c r="D216" s="784">
        <v>1.0267E-3</v>
      </c>
      <c r="E216" s="800">
        <v>452318</v>
      </c>
      <c r="F216" s="785">
        <v>1426741</v>
      </c>
      <c r="G216" s="785"/>
      <c r="H216" s="786">
        <v>82193</v>
      </c>
      <c r="I216" s="787">
        <v>346414</v>
      </c>
      <c r="J216" s="786">
        <v>203758</v>
      </c>
      <c r="K216" s="785">
        <v>36804</v>
      </c>
      <c r="L216" s="787">
        <f t="shared" si="6"/>
        <v>669169</v>
      </c>
      <c r="M216" s="785"/>
      <c r="N216" s="786">
        <v>40387</v>
      </c>
      <c r="O216" s="786">
        <v>0</v>
      </c>
      <c r="P216" s="785">
        <v>43356</v>
      </c>
      <c r="Q216" s="787">
        <f t="shared" si="7"/>
        <v>83743</v>
      </c>
      <c r="R216" s="785"/>
      <c r="S216" s="786">
        <v>480813</v>
      </c>
      <c r="T216" s="788">
        <v>13056</v>
      </c>
      <c r="U216" s="788">
        <v>493869</v>
      </c>
    </row>
    <row r="217" spans="1:21" x14ac:dyDescent="0.25">
      <c r="A217" s="782">
        <v>92301</v>
      </c>
      <c r="B217" s="783" t="s">
        <v>2833</v>
      </c>
      <c r="C217" s="784">
        <v>5.2129999999999998E-3</v>
      </c>
      <c r="D217" s="784">
        <v>5.2411000000000003E-3</v>
      </c>
      <c r="E217" s="800">
        <v>2376668</v>
      </c>
      <c r="F217" s="785">
        <v>7964020</v>
      </c>
      <c r="G217" s="785"/>
      <c r="H217" s="786">
        <v>458801</v>
      </c>
      <c r="I217" s="787">
        <v>1933674</v>
      </c>
      <c r="J217" s="786">
        <v>1137372</v>
      </c>
      <c r="K217" s="785">
        <v>53669</v>
      </c>
      <c r="L217" s="787">
        <f t="shared" si="6"/>
        <v>3583516</v>
      </c>
      <c r="M217" s="785"/>
      <c r="N217" s="786">
        <v>225436</v>
      </c>
      <c r="O217" s="786">
        <v>0</v>
      </c>
      <c r="P217" s="785">
        <v>40357</v>
      </c>
      <c r="Q217" s="787">
        <f t="shared" si="7"/>
        <v>265793</v>
      </c>
      <c r="R217" s="785"/>
      <c r="S217" s="786">
        <v>2683882</v>
      </c>
      <c r="T217" s="788">
        <v>7360</v>
      </c>
      <c r="U217" s="788">
        <v>2691242</v>
      </c>
    </row>
    <row r="218" spans="1:21" x14ac:dyDescent="0.25">
      <c r="A218" s="782">
        <v>92302</v>
      </c>
      <c r="B218" s="783" t="s">
        <v>3665</v>
      </c>
      <c r="C218" s="784">
        <v>2.9740000000000002E-4</v>
      </c>
      <c r="D218" s="784">
        <v>3.168E-4</v>
      </c>
      <c r="E218" s="800">
        <v>124071</v>
      </c>
      <c r="F218" s="785">
        <v>454345</v>
      </c>
      <c r="G218" s="785"/>
      <c r="H218" s="786">
        <v>26174</v>
      </c>
      <c r="I218" s="787">
        <v>110316</v>
      </c>
      <c r="J218" s="786">
        <v>64887</v>
      </c>
      <c r="K218" s="785">
        <v>0</v>
      </c>
      <c r="L218" s="787">
        <f t="shared" si="6"/>
        <v>201377</v>
      </c>
      <c r="M218" s="785"/>
      <c r="N218" s="786">
        <v>12861</v>
      </c>
      <c r="O218" s="786">
        <v>0</v>
      </c>
      <c r="P218" s="785">
        <v>28639</v>
      </c>
      <c r="Q218" s="787">
        <f t="shared" si="7"/>
        <v>41500</v>
      </c>
      <c r="R218" s="785"/>
      <c r="S218" s="786">
        <v>153115</v>
      </c>
      <c r="T218" s="788">
        <v>-9739</v>
      </c>
      <c r="U218" s="788">
        <v>143376</v>
      </c>
    </row>
    <row r="219" spans="1:21" x14ac:dyDescent="0.25">
      <c r="A219" s="782">
        <v>92311</v>
      </c>
      <c r="B219" s="783" t="s">
        <v>2835</v>
      </c>
      <c r="C219" s="784">
        <v>2.2504999999999999E-3</v>
      </c>
      <c r="D219" s="784">
        <v>2.1857000000000001E-3</v>
      </c>
      <c r="E219" s="800">
        <v>989308</v>
      </c>
      <c r="F219" s="785">
        <v>3438141</v>
      </c>
      <c r="G219" s="785"/>
      <c r="H219" s="786">
        <v>198069</v>
      </c>
      <c r="I219" s="787">
        <v>834785</v>
      </c>
      <c r="J219" s="786">
        <v>491014</v>
      </c>
      <c r="K219" s="785">
        <v>8358</v>
      </c>
      <c r="L219" s="787">
        <f t="shared" si="6"/>
        <v>1532226</v>
      </c>
      <c r="M219" s="785"/>
      <c r="N219" s="786">
        <v>97323</v>
      </c>
      <c r="O219" s="786">
        <v>0</v>
      </c>
      <c r="P219" s="785">
        <v>54246</v>
      </c>
      <c r="Q219" s="787">
        <f t="shared" si="7"/>
        <v>151569</v>
      </c>
      <c r="R219" s="785"/>
      <c r="S219" s="786">
        <v>1158656</v>
      </c>
      <c r="T219" s="788">
        <v>-36529</v>
      </c>
      <c r="U219" s="788">
        <v>1122127</v>
      </c>
    </row>
    <row r="220" spans="1:21" x14ac:dyDescent="0.25">
      <c r="A220" s="782">
        <v>92317</v>
      </c>
      <c r="B220" s="783" t="s">
        <v>2836</v>
      </c>
      <c r="C220" s="784">
        <v>2.94E-5</v>
      </c>
      <c r="D220" s="784">
        <v>2.9600000000000001E-5</v>
      </c>
      <c r="E220" s="800">
        <v>22749</v>
      </c>
      <c r="F220" s="785">
        <v>44915</v>
      </c>
      <c r="G220" s="785"/>
      <c r="H220" s="786">
        <v>2588</v>
      </c>
      <c r="I220" s="787">
        <v>10905</v>
      </c>
      <c r="J220" s="786">
        <v>6414</v>
      </c>
      <c r="K220" s="785">
        <v>15615</v>
      </c>
      <c r="L220" s="787">
        <f t="shared" si="6"/>
        <v>35522</v>
      </c>
      <c r="M220" s="785"/>
      <c r="N220" s="786">
        <v>1271</v>
      </c>
      <c r="O220" s="786">
        <v>0</v>
      </c>
      <c r="P220" s="785">
        <v>0</v>
      </c>
      <c r="Q220" s="787">
        <f t="shared" si="7"/>
        <v>1271</v>
      </c>
      <c r="R220" s="785"/>
      <c r="S220" s="786">
        <v>15136</v>
      </c>
      <c r="T220" s="788">
        <v>6218</v>
      </c>
      <c r="U220" s="788">
        <v>21354</v>
      </c>
    </row>
    <row r="221" spans="1:21" x14ac:dyDescent="0.25">
      <c r="A221" s="782">
        <v>92321</v>
      </c>
      <c r="B221" s="783" t="s">
        <v>2837</v>
      </c>
      <c r="C221" s="784">
        <v>1.1773E-3</v>
      </c>
      <c r="D221" s="784">
        <v>1.2218999999999999E-3</v>
      </c>
      <c r="E221" s="800">
        <v>553266</v>
      </c>
      <c r="F221" s="785">
        <v>1798588</v>
      </c>
      <c r="G221" s="785"/>
      <c r="H221" s="786">
        <v>103615</v>
      </c>
      <c r="I221" s="787">
        <v>436700</v>
      </c>
      <c r="J221" s="786">
        <v>256863</v>
      </c>
      <c r="K221" s="785">
        <v>35464</v>
      </c>
      <c r="L221" s="787">
        <f t="shared" si="6"/>
        <v>832642</v>
      </c>
      <c r="M221" s="785"/>
      <c r="N221" s="786">
        <v>50912</v>
      </c>
      <c r="O221" s="786">
        <v>0</v>
      </c>
      <c r="P221" s="785">
        <v>20669</v>
      </c>
      <c r="Q221" s="787">
        <f t="shared" si="7"/>
        <v>71581</v>
      </c>
      <c r="R221" s="785"/>
      <c r="S221" s="786">
        <v>606126</v>
      </c>
      <c r="T221" s="788">
        <v>20498</v>
      </c>
      <c r="U221" s="788">
        <v>626624</v>
      </c>
    </row>
    <row r="222" spans="1:21" x14ac:dyDescent="0.25">
      <c r="A222" s="782">
        <v>92327</v>
      </c>
      <c r="B222" s="783" t="s">
        <v>2838</v>
      </c>
      <c r="C222" s="784">
        <v>5.6999999999999996E-6</v>
      </c>
      <c r="D222" s="784">
        <v>7.6000000000000001E-6</v>
      </c>
      <c r="E222" s="800">
        <v>5653</v>
      </c>
      <c r="F222" s="785">
        <v>8708</v>
      </c>
      <c r="G222" s="785"/>
      <c r="H222" s="786">
        <v>502</v>
      </c>
      <c r="I222" s="787">
        <v>2115</v>
      </c>
      <c r="J222" s="786">
        <v>1244</v>
      </c>
      <c r="K222" s="785">
        <v>2932</v>
      </c>
      <c r="L222" s="787">
        <f t="shared" si="6"/>
        <v>6793</v>
      </c>
      <c r="M222" s="785"/>
      <c r="N222" s="786">
        <v>246</v>
      </c>
      <c r="O222" s="786">
        <v>0</v>
      </c>
      <c r="P222" s="785">
        <v>0</v>
      </c>
      <c r="Q222" s="787">
        <f t="shared" si="7"/>
        <v>246</v>
      </c>
      <c r="R222" s="785"/>
      <c r="S222" s="786">
        <v>2935</v>
      </c>
      <c r="T222" s="788">
        <v>1142</v>
      </c>
      <c r="U222" s="788">
        <v>4077</v>
      </c>
    </row>
    <row r="223" spans="1:21" x14ac:dyDescent="0.25">
      <c r="A223" s="782">
        <v>92331</v>
      </c>
      <c r="B223" s="783" t="s">
        <v>2839</v>
      </c>
      <c r="C223" s="784">
        <v>1.3970000000000001E-4</v>
      </c>
      <c r="D223" s="784">
        <v>1.393E-4</v>
      </c>
      <c r="E223" s="800">
        <v>60878</v>
      </c>
      <c r="F223" s="785">
        <v>213423</v>
      </c>
      <c r="G223" s="785"/>
      <c r="H223" s="786">
        <v>12295</v>
      </c>
      <c r="I223" s="787">
        <v>51819</v>
      </c>
      <c r="J223" s="786">
        <v>30480</v>
      </c>
      <c r="K223" s="785">
        <v>2070</v>
      </c>
      <c r="L223" s="787">
        <f t="shared" si="6"/>
        <v>96664</v>
      </c>
      <c r="M223" s="785"/>
      <c r="N223" s="786">
        <v>6041</v>
      </c>
      <c r="O223" s="786">
        <v>0</v>
      </c>
      <c r="P223" s="785">
        <v>7559</v>
      </c>
      <c r="Q223" s="787">
        <f t="shared" si="7"/>
        <v>13600</v>
      </c>
      <c r="R223" s="785"/>
      <c r="S223" s="786">
        <v>71924</v>
      </c>
      <c r="T223" s="788">
        <v>-755</v>
      </c>
      <c r="U223" s="788">
        <v>71169</v>
      </c>
    </row>
    <row r="224" spans="1:21" x14ac:dyDescent="0.25">
      <c r="A224" s="782">
        <v>92341</v>
      </c>
      <c r="B224" s="783" t="s">
        <v>2840</v>
      </c>
      <c r="C224" s="784">
        <v>9.7999999999999993E-6</v>
      </c>
      <c r="D224" s="784">
        <v>7.9000000000000006E-6</v>
      </c>
      <c r="E224" s="800">
        <v>3179</v>
      </c>
      <c r="F224" s="785">
        <v>14972</v>
      </c>
      <c r="G224" s="785"/>
      <c r="H224" s="786">
        <v>863</v>
      </c>
      <c r="I224" s="787">
        <v>3635</v>
      </c>
      <c r="J224" s="786">
        <v>2138</v>
      </c>
      <c r="K224" s="785">
        <v>523</v>
      </c>
      <c r="L224" s="787">
        <f t="shared" si="6"/>
        <v>7159</v>
      </c>
      <c r="M224" s="785"/>
      <c r="N224" s="786">
        <v>424</v>
      </c>
      <c r="O224" s="786">
        <v>0</v>
      </c>
      <c r="P224" s="785">
        <v>1977</v>
      </c>
      <c r="Q224" s="787">
        <f t="shared" si="7"/>
        <v>2401</v>
      </c>
      <c r="R224" s="785"/>
      <c r="S224" s="786">
        <v>5045</v>
      </c>
      <c r="T224" s="788">
        <v>-859</v>
      </c>
      <c r="U224" s="788">
        <f>4187-1</f>
        <v>4186</v>
      </c>
    </row>
    <row r="225" spans="1:21" x14ac:dyDescent="0.25">
      <c r="A225" s="782">
        <v>92351</v>
      </c>
      <c r="B225" s="783" t="s">
        <v>2841</v>
      </c>
      <c r="C225" s="784">
        <v>1.8600000000000001E-5</v>
      </c>
      <c r="D225" s="784">
        <v>1.95E-5</v>
      </c>
      <c r="E225" s="800">
        <v>9507</v>
      </c>
      <c r="F225" s="785">
        <v>28416</v>
      </c>
      <c r="G225" s="785"/>
      <c r="H225" s="786">
        <v>1637</v>
      </c>
      <c r="I225" s="787">
        <v>6899</v>
      </c>
      <c r="J225" s="786">
        <v>4058</v>
      </c>
      <c r="K225" s="785">
        <v>746</v>
      </c>
      <c r="L225" s="787">
        <f t="shared" si="6"/>
        <v>13340</v>
      </c>
      <c r="M225" s="785"/>
      <c r="N225" s="786">
        <v>804</v>
      </c>
      <c r="O225" s="786">
        <v>0</v>
      </c>
      <c r="P225" s="785">
        <v>4166</v>
      </c>
      <c r="Q225" s="787">
        <f t="shared" si="7"/>
        <v>4970</v>
      </c>
      <c r="R225" s="785"/>
      <c r="S225" s="786">
        <v>9576</v>
      </c>
      <c r="T225" s="788">
        <v>-1010</v>
      </c>
      <c r="U225" s="788">
        <f>8567-1</f>
        <v>8566</v>
      </c>
    </row>
    <row r="226" spans="1:21" x14ac:dyDescent="0.25">
      <c r="A226" s="782">
        <v>92401</v>
      </c>
      <c r="B226" s="783" t="s">
        <v>2842</v>
      </c>
      <c r="C226" s="784">
        <v>2.6890999999999998E-3</v>
      </c>
      <c r="D226" s="784">
        <v>2.7449000000000002E-3</v>
      </c>
      <c r="E226" s="800">
        <v>1303903</v>
      </c>
      <c r="F226" s="785">
        <v>4108200</v>
      </c>
      <c r="G226" s="785"/>
      <c r="H226" s="786">
        <v>236670</v>
      </c>
      <c r="I226" s="787">
        <v>997476</v>
      </c>
      <c r="J226" s="786">
        <v>586708</v>
      </c>
      <c r="K226" s="785">
        <v>34938</v>
      </c>
      <c r="L226" s="787">
        <f t="shared" si="6"/>
        <v>1855792</v>
      </c>
      <c r="M226" s="785"/>
      <c r="N226" s="786">
        <v>116290</v>
      </c>
      <c r="O226" s="786">
        <v>0</v>
      </c>
      <c r="P226" s="785">
        <v>3448</v>
      </c>
      <c r="Q226" s="787">
        <f t="shared" si="7"/>
        <v>119738</v>
      </c>
      <c r="R226" s="785"/>
      <c r="S226" s="786">
        <v>1384467</v>
      </c>
      <c r="T226" s="788">
        <v>19009</v>
      </c>
      <c r="U226" s="788">
        <v>1403476</v>
      </c>
    </row>
    <row r="227" spans="1:21" x14ac:dyDescent="0.25">
      <c r="A227" s="782">
        <v>92403</v>
      </c>
      <c r="B227" s="783" t="s">
        <v>2843</v>
      </c>
      <c r="C227" s="784">
        <v>1.11E-5</v>
      </c>
      <c r="D227" s="784">
        <v>9.7999999999999993E-6</v>
      </c>
      <c r="E227" s="800">
        <v>5892</v>
      </c>
      <c r="F227" s="785">
        <v>16958</v>
      </c>
      <c r="G227" s="785"/>
      <c r="H227" s="786">
        <v>977</v>
      </c>
      <c r="I227" s="787">
        <v>4117</v>
      </c>
      <c r="J227" s="786">
        <v>2422</v>
      </c>
      <c r="K227" s="785">
        <v>1858</v>
      </c>
      <c r="L227" s="787">
        <f t="shared" si="6"/>
        <v>9374</v>
      </c>
      <c r="M227" s="785"/>
      <c r="N227" s="786">
        <v>480</v>
      </c>
      <c r="O227" s="786">
        <v>0</v>
      </c>
      <c r="P227" s="785">
        <v>1307</v>
      </c>
      <c r="Q227" s="787">
        <f t="shared" si="7"/>
        <v>1787</v>
      </c>
      <c r="R227" s="785"/>
      <c r="S227" s="786">
        <v>5715</v>
      </c>
      <c r="T227" s="788">
        <v>135</v>
      </c>
      <c r="U227" s="788">
        <f>5849+1</f>
        <v>5850</v>
      </c>
    </row>
    <row r="228" spans="1:21" x14ac:dyDescent="0.25">
      <c r="A228" s="782">
        <v>92411</v>
      </c>
      <c r="B228" s="783" t="s">
        <v>2844</v>
      </c>
      <c r="C228" s="784">
        <v>5.0469999999999996E-4</v>
      </c>
      <c r="D228" s="784">
        <v>4.8030000000000002E-4</v>
      </c>
      <c r="E228" s="800">
        <v>203732</v>
      </c>
      <c r="F228" s="785">
        <v>771042</v>
      </c>
      <c r="G228" s="785"/>
      <c r="H228" s="786">
        <v>44419</v>
      </c>
      <c r="I228" s="787">
        <v>187210</v>
      </c>
      <c r="J228" s="786">
        <v>110115</v>
      </c>
      <c r="K228" s="785">
        <v>369</v>
      </c>
      <c r="L228" s="787">
        <f t="shared" si="6"/>
        <v>342113</v>
      </c>
      <c r="M228" s="785"/>
      <c r="N228" s="786">
        <v>21826</v>
      </c>
      <c r="O228" s="786">
        <v>0</v>
      </c>
      <c r="P228" s="785">
        <v>44165</v>
      </c>
      <c r="Q228" s="787">
        <f t="shared" si="7"/>
        <v>65991</v>
      </c>
      <c r="R228" s="785"/>
      <c r="S228" s="786">
        <v>259842</v>
      </c>
      <c r="T228" s="788">
        <v>-17900</v>
      </c>
      <c r="U228" s="788">
        <v>241942</v>
      </c>
    </row>
    <row r="229" spans="1:21" x14ac:dyDescent="0.25">
      <c r="A229" s="782">
        <v>92414</v>
      </c>
      <c r="B229" s="783" t="s">
        <v>1370</v>
      </c>
      <c r="C229" s="784">
        <v>0</v>
      </c>
      <c r="D229" s="784">
        <v>0</v>
      </c>
      <c r="E229" s="800" t="e">
        <v>#N/A</v>
      </c>
      <c r="F229" s="785">
        <v>0</v>
      </c>
      <c r="G229" s="785"/>
      <c r="H229" s="786">
        <v>0</v>
      </c>
      <c r="I229" s="787">
        <v>0</v>
      </c>
      <c r="J229" s="786">
        <v>0</v>
      </c>
      <c r="K229" s="785">
        <v>0</v>
      </c>
      <c r="L229" s="787">
        <f t="shared" si="6"/>
        <v>0</v>
      </c>
      <c r="M229" s="785"/>
      <c r="N229" s="786">
        <v>0</v>
      </c>
      <c r="O229" s="786">
        <v>0</v>
      </c>
      <c r="P229" s="785">
        <v>5712</v>
      </c>
      <c r="Q229" s="787">
        <f t="shared" si="7"/>
        <v>5712</v>
      </c>
      <c r="R229" s="785"/>
      <c r="S229" s="786">
        <v>0</v>
      </c>
      <c r="T229" s="788">
        <v>-2445</v>
      </c>
      <c r="U229" s="788">
        <v>-2445</v>
      </c>
    </row>
    <row r="230" spans="1:21" x14ac:dyDescent="0.25">
      <c r="A230" s="782">
        <v>92417</v>
      </c>
      <c r="B230" s="783" t="s">
        <v>2845</v>
      </c>
      <c r="C230" s="784">
        <v>1.8300000000000001E-5</v>
      </c>
      <c r="D230" s="784">
        <v>1.77E-5</v>
      </c>
      <c r="E230" s="800">
        <v>5972</v>
      </c>
      <c r="F230" s="785">
        <v>27957</v>
      </c>
      <c r="G230" s="785"/>
      <c r="H230" s="786">
        <v>1611</v>
      </c>
      <c r="I230" s="787">
        <v>6788</v>
      </c>
      <c r="J230" s="786">
        <v>3993</v>
      </c>
      <c r="K230" s="785">
        <v>0</v>
      </c>
      <c r="L230" s="787">
        <f t="shared" si="6"/>
        <v>12392</v>
      </c>
      <c r="M230" s="785"/>
      <c r="N230" s="786">
        <v>791</v>
      </c>
      <c r="O230" s="786">
        <v>0</v>
      </c>
      <c r="P230" s="785">
        <v>2726</v>
      </c>
      <c r="Q230" s="787">
        <f t="shared" si="7"/>
        <v>3517</v>
      </c>
      <c r="R230" s="785"/>
      <c r="S230" s="786">
        <v>9422</v>
      </c>
      <c r="T230" s="788">
        <v>-895</v>
      </c>
      <c r="U230" s="788">
        <v>8527</v>
      </c>
    </row>
    <row r="231" spans="1:21" x14ac:dyDescent="0.25">
      <c r="A231" s="782">
        <v>92421</v>
      </c>
      <c r="B231" s="783" t="s">
        <v>2846</v>
      </c>
      <c r="C231" s="784">
        <v>8.8000000000000004E-6</v>
      </c>
      <c r="D231" s="784">
        <v>9.0000000000000002E-6</v>
      </c>
      <c r="E231" s="800">
        <v>7580</v>
      </c>
      <c r="F231" s="785">
        <v>13444</v>
      </c>
      <c r="G231" s="785"/>
      <c r="H231" s="786">
        <v>774</v>
      </c>
      <c r="I231" s="787">
        <v>3264</v>
      </c>
      <c r="J231" s="786">
        <v>1920</v>
      </c>
      <c r="K231" s="785">
        <v>3546</v>
      </c>
      <c r="L231" s="787">
        <f t="shared" si="6"/>
        <v>9504</v>
      </c>
      <c r="M231" s="785"/>
      <c r="N231" s="786">
        <v>381</v>
      </c>
      <c r="O231" s="786">
        <v>0</v>
      </c>
      <c r="P231" s="785">
        <v>1149</v>
      </c>
      <c r="Q231" s="787">
        <f t="shared" si="7"/>
        <v>1530</v>
      </c>
      <c r="R231" s="785"/>
      <c r="S231" s="786">
        <v>4531</v>
      </c>
      <c r="T231" s="788">
        <v>935</v>
      </c>
      <c r="U231" s="788">
        <v>5466</v>
      </c>
    </row>
    <row r="232" spans="1:21" x14ac:dyDescent="0.25">
      <c r="A232" s="782">
        <v>92427</v>
      </c>
      <c r="B232" s="783" t="s">
        <v>2847</v>
      </c>
      <c r="C232" s="784">
        <v>3.9999999999999998E-7</v>
      </c>
      <c r="D232" s="784">
        <v>6.9999999999999997E-7</v>
      </c>
      <c r="E232" s="800">
        <v>1463</v>
      </c>
      <c r="F232" s="785">
        <v>611</v>
      </c>
      <c r="G232" s="785"/>
      <c r="H232" s="786">
        <v>35</v>
      </c>
      <c r="I232" s="787">
        <v>148</v>
      </c>
      <c r="J232" s="786">
        <v>87</v>
      </c>
      <c r="K232" s="785">
        <v>1998</v>
      </c>
      <c r="L232" s="787">
        <f t="shared" si="6"/>
        <v>2268</v>
      </c>
      <c r="M232" s="785"/>
      <c r="N232" s="786">
        <v>17</v>
      </c>
      <c r="O232" s="786">
        <v>0</v>
      </c>
      <c r="P232" s="785">
        <v>0</v>
      </c>
      <c r="Q232" s="787">
        <f t="shared" si="7"/>
        <v>17</v>
      </c>
      <c r="R232" s="785"/>
      <c r="S232" s="786">
        <v>206</v>
      </c>
      <c r="T232" s="788">
        <v>841</v>
      </c>
      <c r="U232" s="788">
        <v>1047</v>
      </c>
    </row>
    <row r="233" spans="1:21" x14ac:dyDescent="0.25">
      <c r="A233" s="782">
        <v>92431</v>
      </c>
      <c r="B233" s="783" t="s">
        <v>2848</v>
      </c>
      <c r="C233" s="784">
        <v>3.0800000000000003E-5</v>
      </c>
      <c r="D233" s="784">
        <v>1.8499999999999999E-5</v>
      </c>
      <c r="E233" s="800">
        <v>22456</v>
      </c>
      <c r="F233" s="785">
        <v>47054</v>
      </c>
      <c r="G233" s="785"/>
      <c r="H233" s="786">
        <v>2711</v>
      </c>
      <c r="I233" s="787">
        <v>11425</v>
      </c>
      <c r="J233" s="786">
        <v>6720</v>
      </c>
      <c r="K233" s="785">
        <v>18832</v>
      </c>
      <c r="L233" s="787">
        <f t="shared" si="6"/>
        <v>39688</v>
      </c>
      <c r="M233" s="785"/>
      <c r="N233" s="786">
        <v>1332</v>
      </c>
      <c r="O233" s="786">
        <v>0</v>
      </c>
      <c r="P233" s="785">
        <v>3766</v>
      </c>
      <c r="Q233" s="787">
        <f t="shared" si="7"/>
        <v>5098</v>
      </c>
      <c r="R233" s="785"/>
      <c r="S233" s="786">
        <v>15857</v>
      </c>
      <c r="T233" s="788">
        <v>4147</v>
      </c>
      <c r="U233" s="788">
        <v>20004</v>
      </c>
    </row>
    <row r="234" spans="1:21" x14ac:dyDescent="0.25">
      <c r="A234" s="782">
        <v>92441</v>
      </c>
      <c r="B234" s="783" t="s">
        <v>2849</v>
      </c>
      <c r="C234" s="784">
        <v>7.7999999999999999E-5</v>
      </c>
      <c r="D234" s="784">
        <v>9.2299999999999994E-5</v>
      </c>
      <c r="E234" s="800">
        <v>38185</v>
      </c>
      <c r="F234" s="785">
        <v>119162</v>
      </c>
      <c r="G234" s="785"/>
      <c r="H234" s="786">
        <v>6865</v>
      </c>
      <c r="I234" s="787">
        <v>28933</v>
      </c>
      <c r="J234" s="786">
        <v>17018</v>
      </c>
      <c r="K234" s="785">
        <v>0</v>
      </c>
      <c r="L234" s="787">
        <f t="shared" si="6"/>
        <v>52816</v>
      </c>
      <c r="M234" s="785"/>
      <c r="N234" s="786">
        <v>3373</v>
      </c>
      <c r="O234" s="786">
        <v>0</v>
      </c>
      <c r="P234" s="785">
        <v>15306</v>
      </c>
      <c r="Q234" s="787">
        <f t="shared" si="7"/>
        <v>18679</v>
      </c>
      <c r="R234" s="785"/>
      <c r="S234" s="786">
        <v>40158</v>
      </c>
      <c r="T234" s="788">
        <v>-6990</v>
      </c>
      <c r="U234" s="788">
        <f>33167+1</f>
        <v>33168</v>
      </c>
    </row>
    <row r="235" spans="1:21" x14ac:dyDescent="0.25">
      <c r="A235" s="782">
        <v>92444</v>
      </c>
      <c r="B235" s="783" t="s">
        <v>2850</v>
      </c>
      <c r="C235" s="784">
        <v>1.7999999999999999E-6</v>
      </c>
      <c r="D235" s="784">
        <v>1.9999999999999999E-6</v>
      </c>
      <c r="E235" s="800">
        <v>2108</v>
      </c>
      <c r="F235" s="785">
        <v>2750</v>
      </c>
      <c r="G235" s="785"/>
      <c r="H235" s="786">
        <v>158</v>
      </c>
      <c r="I235" s="787">
        <v>667</v>
      </c>
      <c r="J235" s="786">
        <v>393</v>
      </c>
      <c r="K235" s="785">
        <v>2573</v>
      </c>
      <c r="L235" s="787">
        <f t="shared" si="6"/>
        <v>3791</v>
      </c>
      <c r="M235" s="785"/>
      <c r="N235" s="786">
        <v>78</v>
      </c>
      <c r="O235" s="786">
        <v>0</v>
      </c>
      <c r="P235" s="785">
        <v>0</v>
      </c>
      <c r="Q235" s="787">
        <f t="shared" si="7"/>
        <v>78</v>
      </c>
      <c r="R235" s="785"/>
      <c r="S235" s="786">
        <v>927</v>
      </c>
      <c r="T235" s="788">
        <v>1194</v>
      </c>
      <c r="U235" s="788">
        <v>2121</v>
      </c>
    </row>
    <row r="236" spans="1:21" x14ac:dyDescent="0.25">
      <c r="A236" s="782">
        <v>92451</v>
      </c>
      <c r="B236" s="783" t="s">
        <v>2851</v>
      </c>
      <c r="C236" s="784">
        <v>1.3070000000000001E-4</v>
      </c>
      <c r="D236" s="784">
        <v>1.4559999999999999E-4</v>
      </c>
      <c r="E236" s="800">
        <v>77938</v>
      </c>
      <c r="F236" s="785">
        <v>199673</v>
      </c>
      <c r="G236" s="785"/>
      <c r="H236" s="786">
        <v>11503</v>
      </c>
      <c r="I236" s="787">
        <v>48481</v>
      </c>
      <c r="J236" s="786">
        <v>28516</v>
      </c>
      <c r="K236" s="785">
        <v>29255</v>
      </c>
      <c r="L236" s="787">
        <f t="shared" si="6"/>
        <v>117755</v>
      </c>
      <c r="M236" s="785"/>
      <c r="N236" s="786">
        <v>5652</v>
      </c>
      <c r="O236" s="786">
        <v>0</v>
      </c>
      <c r="P236" s="785">
        <v>0</v>
      </c>
      <c r="Q236" s="787">
        <f t="shared" si="7"/>
        <v>5652</v>
      </c>
      <c r="R236" s="785"/>
      <c r="S236" s="786">
        <v>67290</v>
      </c>
      <c r="T236" s="788">
        <v>12363</v>
      </c>
      <c r="U236" s="788">
        <v>79653</v>
      </c>
    </row>
    <row r="237" spans="1:21" x14ac:dyDescent="0.25">
      <c r="A237" s="782">
        <v>92461</v>
      </c>
      <c r="B237" s="783" t="s">
        <v>2852</v>
      </c>
      <c r="C237" s="784">
        <v>7.1099999999999994E-5</v>
      </c>
      <c r="D237" s="784">
        <v>7.2999999999999999E-5</v>
      </c>
      <c r="E237" s="800">
        <v>40872</v>
      </c>
      <c r="F237" s="785">
        <v>108621</v>
      </c>
      <c r="G237" s="785"/>
      <c r="H237" s="786">
        <v>6258</v>
      </c>
      <c r="I237" s="787">
        <v>26373</v>
      </c>
      <c r="J237" s="786">
        <v>15513</v>
      </c>
      <c r="K237" s="785">
        <v>12982</v>
      </c>
      <c r="L237" s="787">
        <f t="shared" si="6"/>
        <v>61126</v>
      </c>
      <c r="M237" s="785"/>
      <c r="N237" s="786">
        <v>3075</v>
      </c>
      <c r="O237" s="786">
        <v>0</v>
      </c>
      <c r="P237" s="785">
        <v>4965</v>
      </c>
      <c r="Q237" s="787">
        <f t="shared" si="7"/>
        <v>8040</v>
      </c>
      <c r="R237" s="785"/>
      <c r="S237" s="786">
        <v>36605</v>
      </c>
      <c r="T237" s="788">
        <v>1157</v>
      </c>
      <c r="U237" s="788">
        <f>37763-1</f>
        <v>37762</v>
      </c>
    </row>
    <row r="238" spans="1:21" x14ac:dyDescent="0.25">
      <c r="A238" s="782">
        <v>92501</v>
      </c>
      <c r="B238" s="783" t="s">
        <v>2853</v>
      </c>
      <c r="C238" s="784">
        <v>3.8252E-3</v>
      </c>
      <c r="D238" s="784">
        <v>3.8141E-3</v>
      </c>
      <c r="E238" s="800">
        <v>1869584</v>
      </c>
      <c r="F238" s="785">
        <v>5843846</v>
      </c>
      <c r="G238" s="785"/>
      <c r="H238" s="786">
        <v>336660</v>
      </c>
      <c r="I238" s="787">
        <v>1418892</v>
      </c>
      <c r="J238" s="786">
        <v>834582</v>
      </c>
      <c r="K238" s="785">
        <v>137822</v>
      </c>
      <c r="L238" s="787">
        <f t="shared" si="6"/>
        <v>2727956</v>
      </c>
      <c r="M238" s="785"/>
      <c r="N238" s="786">
        <v>165421</v>
      </c>
      <c r="O238" s="786">
        <v>0</v>
      </c>
      <c r="P238" s="785">
        <v>9032</v>
      </c>
      <c r="Q238" s="787">
        <f t="shared" si="7"/>
        <v>174453</v>
      </c>
      <c r="R238" s="785"/>
      <c r="S238" s="786">
        <v>1969381</v>
      </c>
      <c r="T238" s="788">
        <v>45362</v>
      </c>
      <c r="U238" s="788">
        <v>2014743</v>
      </c>
    </row>
    <row r="239" spans="1:21" x14ac:dyDescent="0.25">
      <c r="A239" s="782">
        <v>92502</v>
      </c>
      <c r="B239" s="783" t="s">
        <v>2854</v>
      </c>
      <c r="C239" s="784">
        <v>2.7500000000000001E-5</v>
      </c>
      <c r="D239" s="784">
        <v>2.8799999999999999E-5</v>
      </c>
      <c r="E239" s="800">
        <v>14164</v>
      </c>
      <c r="F239" s="785">
        <v>42012</v>
      </c>
      <c r="G239" s="785"/>
      <c r="H239" s="786">
        <v>2420</v>
      </c>
      <c r="I239" s="787">
        <v>10201</v>
      </c>
      <c r="J239" s="786">
        <v>6000</v>
      </c>
      <c r="K239" s="785">
        <v>3940</v>
      </c>
      <c r="L239" s="787">
        <f t="shared" si="6"/>
        <v>22561</v>
      </c>
      <c r="M239" s="785"/>
      <c r="N239" s="786">
        <v>1189</v>
      </c>
      <c r="O239" s="786">
        <v>0</v>
      </c>
      <c r="P239" s="785">
        <v>2154</v>
      </c>
      <c r="Q239" s="787">
        <f t="shared" si="7"/>
        <v>3343</v>
      </c>
      <c r="R239" s="785"/>
      <c r="S239" s="786">
        <v>14158</v>
      </c>
      <c r="T239" s="788">
        <v>-13</v>
      </c>
      <c r="U239" s="788">
        <v>14145</v>
      </c>
    </row>
    <row r="240" spans="1:21" x14ac:dyDescent="0.25">
      <c r="A240" s="782">
        <v>92504</v>
      </c>
      <c r="B240" s="783" t="s">
        <v>2855</v>
      </c>
      <c r="C240" s="784">
        <v>8.4300000000000003E-5</v>
      </c>
      <c r="D240" s="784">
        <v>7.2799999999999994E-5</v>
      </c>
      <c r="E240" s="800">
        <v>49664</v>
      </c>
      <c r="F240" s="785">
        <v>128787</v>
      </c>
      <c r="G240" s="785"/>
      <c r="H240" s="786">
        <v>7419</v>
      </c>
      <c r="I240" s="787">
        <v>31269</v>
      </c>
      <c r="J240" s="786">
        <v>18393</v>
      </c>
      <c r="K240" s="785">
        <v>29049</v>
      </c>
      <c r="L240" s="787">
        <f t="shared" si="6"/>
        <v>86130</v>
      </c>
      <c r="M240" s="785"/>
      <c r="N240" s="786">
        <v>3646</v>
      </c>
      <c r="O240" s="786">
        <v>0</v>
      </c>
      <c r="P240" s="785">
        <v>27</v>
      </c>
      <c r="Q240" s="787">
        <f t="shared" si="7"/>
        <v>3673</v>
      </c>
      <c r="R240" s="785"/>
      <c r="S240" s="786">
        <v>43401</v>
      </c>
      <c r="T240" s="788">
        <v>10026</v>
      </c>
      <c r="U240" s="788">
        <v>53427</v>
      </c>
    </row>
    <row r="241" spans="1:21" x14ac:dyDescent="0.25">
      <c r="A241" s="782">
        <v>92505</v>
      </c>
      <c r="B241" s="783" t="s">
        <v>2856</v>
      </c>
      <c r="C241" s="784">
        <v>1.9239999999999999E-4</v>
      </c>
      <c r="D241" s="784">
        <v>1.8709999999999999E-4</v>
      </c>
      <c r="E241" s="800">
        <v>119136</v>
      </c>
      <c r="F241" s="785">
        <v>293934</v>
      </c>
      <c r="G241" s="785"/>
      <c r="H241" s="786">
        <v>16933</v>
      </c>
      <c r="I241" s="787">
        <v>71367</v>
      </c>
      <c r="J241" s="786">
        <v>41978</v>
      </c>
      <c r="K241" s="785">
        <v>59108</v>
      </c>
      <c r="L241" s="787">
        <f t="shared" si="6"/>
        <v>189386</v>
      </c>
      <c r="M241" s="785"/>
      <c r="N241" s="786">
        <v>8320</v>
      </c>
      <c r="O241" s="786">
        <v>0</v>
      </c>
      <c r="P241" s="785">
        <v>0</v>
      </c>
      <c r="Q241" s="787">
        <f t="shared" si="7"/>
        <v>8320</v>
      </c>
      <c r="R241" s="785"/>
      <c r="S241" s="786">
        <v>99056</v>
      </c>
      <c r="T241" s="788">
        <v>23320</v>
      </c>
      <c r="U241" s="788">
        <v>122376</v>
      </c>
    </row>
    <row r="242" spans="1:21" x14ac:dyDescent="0.25">
      <c r="A242" s="782">
        <v>92506</v>
      </c>
      <c r="B242" s="783" t="s">
        <v>2857</v>
      </c>
      <c r="C242" s="784">
        <v>4.7500000000000003E-5</v>
      </c>
      <c r="D242" s="784">
        <v>4.3699999999999998E-5</v>
      </c>
      <c r="E242" s="800">
        <v>26570</v>
      </c>
      <c r="F242" s="785">
        <v>72567</v>
      </c>
      <c r="G242" s="785"/>
      <c r="H242" s="786">
        <v>4181</v>
      </c>
      <c r="I242" s="787">
        <v>17619</v>
      </c>
      <c r="J242" s="786">
        <v>10364</v>
      </c>
      <c r="K242" s="785">
        <v>17893</v>
      </c>
      <c r="L242" s="787">
        <f t="shared" si="6"/>
        <v>50057</v>
      </c>
      <c r="M242" s="785"/>
      <c r="N242" s="786">
        <v>2054</v>
      </c>
      <c r="O242" s="786">
        <v>0</v>
      </c>
      <c r="P242" s="785">
        <v>0</v>
      </c>
      <c r="Q242" s="787">
        <f t="shared" si="7"/>
        <v>2054</v>
      </c>
      <c r="R242" s="785"/>
      <c r="S242" s="786">
        <v>24455</v>
      </c>
      <c r="T242" s="788">
        <v>7399</v>
      </c>
      <c r="U242" s="788">
        <v>31854</v>
      </c>
    </row>
    <row r="243" spans="1:21" x14ac:dyDescent="0.25">
      <c r="A243" s="782">
        <v>92507</v>
      </c>
      <c r="B243" s="783" t="s">
        <v>2858</v>
      </c>
      <c r="C243" s="784">
        <v>9.5699999999999995E-5</v>
      </c>
      <c r="D243" s="784">
        <v>7.6799999999999997E-5</v>
      </c>
      <c r="E243" s="800">
        <v>40750</v>
      </c>
      <c r="F243" s="785">
        <v>146203</v>
      </c>
      <c r="G243" s="785"/>
      <c r="H243" s="786">
        <v>8423</v>
      </c>
      <c r="I243" s="787">
        <v>35498</v>
      </c>
      <c r="J243" s="786">
        <v>20880</v>
      </c>
      <c r="K243" s="785">
        <v>10349</v>
      </c>
      <c r="L243" s="787">
        <f t="shared" si="6"/>
        <v>75150</v>
      </c>
      <c r="M243" s="785"/>
      <c r="N243" s="786">
        <v>4139</v>
      </c>
      <c r="O243" s="786">
        <v>0</v>
      </c>
      <c r="P243" s="785">
        <v>14283</v>
      </c>
      <c r="Q243" s="787">
        <f t="shared" si="7"/>
        <v>18422</v>
      </c>
      <c r="R243" s="785"/>
      <c r="S243" s="786">
        <v>49271</v>
      </c>
      <c r="T243" s="788">
        <v>-5512</v>
      </c>
      <c r="U243" s="788">
        <f>43758+1</f>
        <v>43759</v>
      </c>
    </row>
    <row r="244" spans="1:21" x14ac:dyDescent="0.25">
      <c r="A244" s="782">
        <v>92508</v>
      </c>
      <c r="B244" s="783" t="s">
        <v>2859</v>
      </c>
      <c r="C244" s="784">
        <v>3.1E-4</v>
      </c>
      <c r="D244" s="784">
        <v>3.1930000000000001E-4</v>
      </c>
      <c r="E244" s="800">
        <v>152021</v>
      </c>
      <c r="F244" s="785">
        <v>473594</v>
      </c>
      <c r="G244" s="785"/>
      <c r="H244" s="786">
        <v>27283</v>
      </c>
      <c r="I244" s="787">
        <v>114989</v>
      </c>
      <c r="J244" s="786">
        <v>67636</v>
      </c>
      <c r="K244" s="785">
        <v>5884</v>
      </c>
      <c r="L244" s="787">
        <f t="shared" si="6"/>
        <v>215792</v>
      </c>
      <c r="M244" s="785"/>
      <c r="N244" s="786">
        <v>13406</v>
      </c>
      <c r="O244" s="786">
        <v>0</v>
      </c>
      <c r="P244" s="785">
        <v>1407</v>
      </c>
      <c r="Q244" s="787">
        <f t="shared" si="7"/>
        <v>14813</v>
      </c>
      <c r="R244" s="785"/>
      <c r="S244" s="786">
        <v>159602</v>
      </c>
      <c r="T244" s="788">
        <v>3411</v>
      </c>
      <c r="U244" s="788">
        <v>163013</v>
      </c>
    </row>
    <row r="245" spans="1:21" x14ac:dyDescent="0.25">
      <c r="A245" s="782">
        <v>92511</v>
      </c>
      <c r="B245" s="783" t="s">
        <v>2861</v>
      </c>
      <c r="C245" s="784">
        <v>3.3240000000000001E-3</v>
      </c>
      <c r="D245" s="784">
        <v>3.4164E-3</v>
      </c>
      <c r="E245" s="800">
        <v>1524503</v>
      </c>
      <c r="F245" s="785">
        <v>5078151</v>
      </c>
      <c r="G245" s="785"/>
      <c r="H245" s="786">
        <v>292549</v>
      </c>
      <c r="I245" s="787">
        <v>1232981</v>
      </c>
      <c r="J245" s="786">
        <v>725230</v>
      </c>
      <c r="K245" s="785">
        <v>12146</v>
      </c>
      <c r="L245" s="787">
        <f t="shared" si="6"/>
        <v>2262906</v>
      </c>
      <c r="M245" s="785"/>
      <c r="N245" s="786">
        <v>143746</v>
      </c>
      <c r="O245" s="786">
        <v>0</v>
      </c>
      <c r="P245" s="785">
        <v>237633</v>
      </c>
      <c r="Q245" s="787">
        <f t="shared" si="7"/>
        <v>381379</v>
      </c>
      <c r="R245" s="785"/>
      <c r="S245" s="786">
        <v>1711341</v>
      </c>
      <c r="T245" s="788">
        <v>-72839</v>
      </c>
      <c r="U245" s="788">
        <f>1638503-1</f>
        <v>1638502</v>
      </c>
    </row>
    <row r="246" spans="1:21" x14ac:dyDescent="0.25">
      <c r="A246" s="782">
        <v>92513</v>
      </c>
      <c r="B246" s="783" t="s">
        <v>2862</v>
      </c>
      <c r="C246" s="784">
        <v>4.0328999999999999E-3</v>
      </c>
      <c r="D246" s="784">
        <v>3.9753000000000002E-3</v>
      </c>
      <c r="E246" s="800">
        <v>1669954</v>
      </c>
      <c r="F246" s="785">
        <v>6161154</v>
      </c>
      <c r="G246" s="785"/>
      <c r="H246" s="786">
        <v>354940</v>
      </c>
      <c r="I246" s="787">
        <v>1495936</v>
      </c>
      <c r="J246" s="786">
        <v>879898</v>
      </c>
      <c r="K246" s="785">
        <f>1481541+87063+162533</f>
        <v>1731137</v>
      </c>
      <c r="L246" s="787">
        <f t="shared" si="6"/>
        <v>4461911</v>
      </c>
      <c r="M246" s="785"/>
      <c r="N246" s="786">
        <v>174403</v>
      </c>
      <c r="O246" s="786">
        <v>0</v>
      </c>
      <c r="P246" s="785">
        <f>106570+867533+690246</f>
        <v>1664349</v>
      </c>
      <c r="Q246" s="787">
        <f t="shared" si="7"/>
        <v>1838752</v>
      </c>
      <c r="R246" s="785"/>
      <c r="S246" s="786">
        <v>2076314</v>
      </c>
      <c r="T246" s="788">
        <f>491379-223763-102954</f>
        <v>164662</v>
      </c>
      <c r="U246" s="788">
        <f>2567693-223763-102954</f>
        <v>2240976</v>
      </c>
    </row>
    <row r="247" spans="1:21" x14ac:dyDescent="0.25">
      <c r="A247" s="782">
        <v>92521</v>
      </c>
      <c r="B247" s="783" t="s">
        <v>2863</v>
      </c>
      <c r="C247" s="784">
        <v>8.6899999999999998E-5</v>
      </c>
      <c r="D247" s="784">
        <v>8.9800000000000001E-5</v>
      </c>
      <c r="E247" s="800">
        <v>37384</v>
      </c>
      <c r="F247" s="785">
        <v>132759</v>
      </c>
      <c r="G247" s="785"/>
      <c r="H247" s="786">
        <v>7648</v>
      </c>
      <c r="I247" s="787">
        <v>32235</v>
      </c>
      <c r="J247" s="786">
        <v>18960</v>
      </c>
      <c r="K247" s="785">
        <v>3168</v>
      </c>
      <c r="L247" s="787">
        <f t="shared" si="6"/>
        <v>62011</v>
      </c>
      <c r="M247" s="785"/>
      <c r="N247" s="786">
        <v>3758</v>
      </c>
      <c r="O247" s="786">
        <v>0</v>
      </c>
      <c r="P247" s="785">
        <v>10611</v>
      </c>
      <c r="Q247" s="787">
        <f t="shared" si="7"/>
        <v>14369</v>
      </c>
      <c r="R247" s="785"/>
      <c r="S247" s="786">
        <v>44740</v>
      </c>
      <c r="T247" s="788">
        <v>-2554</v>
      </c>
      <c r="U247" s="788">
        <v>42186</v>
      </c>
    </row>
    <row r="248" spans="1:21" x14ac:dyDescent="0.25">
      <c r="A248" s="782">
        <v>92531</v>
      </c>
      <c r="B248" s="783" t="s">
        <v>2864</v>
      </c>
      <c r="C248" s="784">
        <v>8.6490000000000004E-4</v>
      </c>
      <c r="D248" s="784">
        <v>8.3779999999999998E-4</v>
      </c>
      <c r="E248" s="800">
        <v>358464</v>
      </c>
      <c r="F248" s="785">
        <v>1321328</v>
      </c>
      <c r="G248" s="785"/>
      <c r="H248" s="786">
        <v>76121</v>
      </c>
      <c r="I248" s="787">
        <v>320820</v>
      </c>
      <c r="J248" s="786">
        <v>188704</v>
      </c>
      <c r="K248" s="785">
        <v>0</v>
      </c>
      <c r="L248" s="787">
        <f t="shared" si="6"/>
        <v>585645</v>
      </c>
      <c r="M248" s="785"/>
      <c r="N248" s="786">
        <v>37403</v>
      </c>
      <c r="O248" s="786">
        <v>0</v>
      </c>
      <c r="P248" s="785">
        <v>124043</v>
      </c>
      <c r="Q248" s="787">
        <f t="shared" si="7"/>
        <v>161446</v>
      </c>
      <c r="R248" s="785"/>
      <c r="S248" s="786">
        <v>445289</v>
      </c>
      <c r="T248" s="788">
        <v>-61397</v>
      </c>
      <c r="U248" s="788">
        <v>383892</v>
      </c>
    </row>
    <row r="249" spans="1:21" x14ac:dyDescent="0.25">
      <c r="A249" s="782">
        <v>92541</v>
      </c>
      <c r="B249" s="783" t="s">
        <v>2865</v>
      </c>
      <c r="C249" s="784">
        <v>1.4469999999999999E-4</v>
      </c>
      <c r="D249" s="784">
        <v>1.4300000000000001E-4</v>
      </c>
      <c r="E249" s="800">
        <v>58964</v>
      </c>
      <c r="F249" s="785">
        <v>221062</v>
      </c>
      <c r="G249" s="785"/>
      <c r="H249" s="786">
        <v>12735</v>
      </c>
      <c r="I249" s="787">
        <v>53674</v>
      </c>
      <c r="J249" s="786">
        <v>31571</v>
      </c>
      <c r="K249" s="785">
        <v>7292</v>
      </c>
      <c r="L249" s="787">
        <f t="shared" si="6"/>
        <v>105272</v>
      </c>
      <c r="M249" s="785"/>
      <c r="N249" s="786">
        <v>6258</v>
      </c>
      <c r="O249" s="786">
        <v>0</v>
      </c>
      <c r="P249" s="785">
        <v>7300</v>
      </c>
      <c r="Q249" s="787">
        <f t="shared" si="7"/>
        <v>13558</v>
      </c>
      <c r="R249" s="785"/>
      <c r="S249" s="786">
        <v>74498</v>
      </c>
      <c r="T249" s="788">
        <v>2019</v>
      </c>
      <c r="U249" s="788">
        <v>76517</v>
      </c>
    </row>
    <row r="250" spans="1:21" x14ac:dyDescent="0.25">
      <c r="A250" s="782">
        <v>92551</v>
      </c>
      <c r="B250" s="783" t="s">
        <v>2866</v>
      </c>
      <c r="C250" s="784">
        <v>5.3300000000000001E-5</v>
      </c>
      <c r="D250" s="784">
        <v>4.18E-5</v>
      </c>
      <c r="E250" s="800">
        <v>19992</v>
      </c>
      <c r="F250" s="785">
        <v>81428</v>
      </c>
      <c r="G250" s="785"/>
      <c r="H250" s="786">
        <v>4691</v>
      </c>
      <c r="I250" s="787">
        <v>19771</v>
      </c>
      <c r="J250" s="786">
        <v>11629</v>
      </c>
      <c r="K250" s="785">
        <v>7529</v>
      </c>
      <c r="L250" s="787">
        <f t="shared" si="6"/>
        <v>43620</v>
      </c>
      <c r="M250" s="785"/>
      <c r="N250" s="786">
        <v>2305</v>
      </c>
      <c r="O250" s="786">
        <v>0</v>
      </c>
      <c r="P250" s="785">
        <v>8359</v>
      </c>
      <c r="Q250" s="787">
        <f t="shared" si="7"/>
        <v>10664</v>
      </c>
      <c r="R250" s="785"/>
      <c r="S250" s="786">
        <v>27441</v>
      </c>
      <c r="T250" s="788">
        <v>961</v>
      </c>
      <c r="U250" s="788">
        <v>28402</v>
      </c>
    </row>
    <row r="251" spans="1:21" x14ac:dyDescent="0.25">
      <c r="A251" s="782">
        <v>92561</v>
      </c>
      <c r="B251" s="783" t="s">
        <v>2867</v>
      </c>
      <c r="C251" s="784">
        <v>2.2200000000000001E-5</v>
      </c>
      <c r="D251" s="784">
        <v>2.2900000000000001E-5</v>
      </c>
      <c r="E251" s="800">
        <v>11716</v>
      </c>
      <c r="F251" s="785">
        <v>33915</v>
      </c>
      <c r="G251" s="785"/>
      <c r="H251" s="786">
        <v>1954</v>
      </c>
      <c r="I251" s="787">
        <v>8235</v>
      </c>
      <c r="J251" s="786">
        <v>4844</v>
      </c>
      <c r="K251" s="785">
        <v>5369</v>
      </c>
      <c r="L251" s="787">
        <f t="shared" si="6"/>
        <v>20402</v>
      </c>
      <c r="M251" s="785"/>
      <c r="N251" s="786">
        <v>960</v>
      </c>
      <c r="O251" s="786">
        <v>0</v>
      </c>
      <c r="P251" s="785">
        <v>0</v>
      </c>
      <c r="Q251" s="787">
        <f t="shared" si="7"/>
        <v>960</v>
      </c>
      <c r="R251" s="785"/>
      <c r="S251" s="786">
        <v>11430</v>
      </c>
      <c r="T251" s="788">
        <v>2639</v>
      </c>
      <c r="U251" s="788">
        <f>14068+1</f>
        <v>14069</v>
      </c>
    </row>
    <row r="252" spans="1:21" x14ac:dyDescent="0.25">
      <c r="A252" s="782">
        <v>92571</v>
      </c>
      <c r="B252" s="783" t="s">
        <v>2868</v>
      </c>
      <c r="C252" s="784">
        <v>1.01E-5</v>
      </c>
      <c r="D252" s="784">
        <v>3.1E-6</v>
      </c>
      <c r="E252" s="800">
        <v>6486</v>
      </c>
      <c r="F252" s="785">
        <v>15430</v>
      </c>
      <c r="G252" s="785"/>
      <c r="H252" s="786">
        <v>889</v>
      </c>
      <c r="I252" s="787">
        <v>3746</v>
      </c>
      <c r="J252" s="786">
        <v>2204</v>
      </c>
      <c r="K252" s="785">
        <v>9367</v>
      </c>
      <c r="L252" s="787">
        <f t="shared" si="6"/>
        <v>16206</v>
      </c>
      <c r="M252" s="785"/>
      <c r="N252" s="786">
        <v>437</v>
      </c>
      <c r="O252" s="786">
        <v>0</v>
      </c>
      <c r="P252" s="785">
        <v>100</v>
      </c>
      <c r="Q252" s="787">
        <f t="shared" si="7"/>
        <v>537</v>
      </c>
      <c r="R252" s="785"/>
      <c r="S252" s="786">
        <v>5200</v>
      </c>
      <c r="T252" s="788">
        <v>2687</v>
      </c>
      <c r="U252" s="788">
        <v>7887</v>
      </c>
    </row>
    <row r="253" spans="1:21" x14ac:dyDescent="0.25">
      <c r="A253" s="782">
        <v>92601</v>
      </c>
      <c r="B253" s="783" t="s">
        <v>2869</v>
      </c>
      <c r="C253" s="784">
        <v>1.51874E-2</v>
      </c>
      <c r="D253" s="784">
        <v>1.54185E-2</v>
      </c>
      <c r="E253" s="800">
        <v>7108398</v>
      </c>
      <c r="F253" s="785">
        <v>23202140</v>
      </c>
      <c r="G253" s="785"/>
      <c r="H253" s="786">
        <v>1336658</v>
      </c>
      <c r="I253" s="787">
        <v>5633508</v>
      </c>
      <c r="J253" s="786">
        <v>3313587</v>
      </c>
      <c r="K253" s="785">
        <v>134811</v>
      </c>
      <c r="L253" s="787">
        <f t="shared" si="6"/>
        <v>10418564</v>
      </c>
      <c r="M253" s="785"/>
      <c r="N253" s="786">
        <v>656779</v>
      </c>
      <c r="O253" s="786">
        <v>0</v>
      </c>
      <c r="P253" s="785">
        <v>46060</v>
      </c>
      <c r="Q253" s="787">
        <f t="shared" si="7"/>
        <v>702839</v>
      </c>
      <c r="R253" s="785"/>
      <c r="S253" s="786">
        <v>7819142</v>
      </c>
      <c r="T253" s="788">
        <v>112074</v>
      </c>
      <c r="U253" s="788">
        <f>7931215+1</f>
        <v>7931216</v>
      </c>
    </row>
    <row r="254" spans="1:21" x14ac:dyDescent="0.25">
      <c r="A254" s="782">
        <v>92602</v>
      </c>
      <c r="B254" s="783" t="s">
        <v>2870</v>
      </c>
      <c r="C254" s="784">
        <v>8.3000000000000002E-6</v>
      </c>
      <c r="D254" s="784">
        <v>8.1999999999999994E-6</v>
      </c>
      <c r="E254" s="800">
        <v>3605</v>
      </c>
      <c r="F254" s="785">
        <v>12680</v>
      </c>
      <c r="G254" s="785"/>
      <c r="H254" s="786">
        <v>730</v>
      </c>
      <c r="I254" s="787">
        <v>3079</v>
      </c>
      <c r="J254" s="786">
        <v>1811</v>
      </c>
      <c r="K254" s="785">
        <v>352</v>
      </c>
      <c r="L254" s="787">
        <f t="shared" si="6"/>
        <v>5972</v>
      </c>
      <c r="M254" s="785"/>
      <c r="N254" s="786">
        <v>359</v>
      </c>
      <c r="O254" s="786">
        <v>0</v>
      </c>
      <c r="P254" s="785">
        <v>927</v>
      </c>
      <c r="Q254" s="787">
        <f t="shared" si="7"/>
        <v>1286</v>
      </c>
      <c r="R254" s="785"/>
      <c r="S254" s="786">
        <v>4273</v>
      </c>
      <c r="T254" s="788">
        <v>-99</v>
      </c>
      <c r="U254" s="788">
        <v>4174</v>
      </c>
    </row>
    <row r="255" spans="1:21" x14ac:dyDescent="0.25">
      <c r="A255" s="782">
        <v>92604</v>
      </c>
      <c r="B255" s="783" t="s">
        <v>2871</v>
      </c>
      <c r="C255" s="784">
        <v>3.4099999999999999E-4</v>
      </c>
      <c r="D255" s="784">
        <v>3.4380000000000001E-4</v>
      </c>
      <c r="E255" s="800">
        <v>178691</v>
      </c>
      <c r="F255" s="785">
        <v>520954</v>
      </c>
      <c r="G255" s="785"/>
      <c r="H255" s="786">
        <v>30012</v>
      </c>
      <c r="I255" s="787">
        <v>126488</v>
      </c>
      <c r="J255" s="786">
        <v>74399</v>
      </c>
      <c r="K255" s="785">
        <v>52760</v>
      </c>
      <c r="L255" s="787">
        <f t="shared" si="6"/>
        <v>283659</v>
      </c>
      <c r="M255" s="785"/>
      <c r="N255" s="786">
        <v>14747</v>
      </c>
      <c r="O255" s="786">
        <v>0</v>
      </c>
      <c r="P255" s="785">
        <v>0</v>
      </c>
      <c r="Q255" s="787">
        <f t="shared" si="7"/>
        <v>14747</v>
      </c>
      <c r="R255" s="785"/>
      <c r="S255" s="786">
        <v>175562</v>
      </c>
      <c r="T255" s="788">
        <v>23975</v>
      </c>
      <c r="U255" s="788">
        <v>199537</v>
      </c>
    </row>
    <row r="256" spans="1:21" x14ac:dyDescent="0.25">
      <c r="A256" s="782">
        <v>92607</v>
      </c>
      <c r="B256" s="783" t="s">
        <v>2872</v>
      </c>
      <c r="C256" s="784">
        <v>6.6400000000000001E-5</v>
      </c>
      <c r="D256" s="784">
        <v>7.0400000000000004E-5</v>
      </c>
      <c r="E256" s="800">
        <v>38427</v>
      </c>
      <c r="F256" s="785">
        <v>101441</v>
      </c>
      <c r="G256" s="785"/>
      <c r="H256" s="786">
        <v>5844</v>
      </c>
      <c r="I256" s="787">
        <v>24630</v>
      </c>
      <c r="J256" s="786">
        <v>14487</v>
      </c>
      <c r="K256" s="785">
        <v>9416</v>
      </c>
      <c r="L256" s="787">
        <f t="shared" si="6"/>
        <v>54377</v>
      </c>
      <c r="M256" s="785"/>
      <c r="N256" s="786">
        <v>2871</v>
      </c>
      <c r="O256" s="786">
        <v>0</v>
      </c>
      <c r="P256" s="785">
        <v>0</v>
      </c>
      <c r="Q256" s="787">
        <f t="shared" si="7"/>
        <v>2871</v>
      </c>
      <c r="R256" s="785"/>
      <c r="S256" s="786">
        <v>34186</v>
      </c>
      <c r="T256" s="788">
        <v>4781</v>
      </c>
      <c r="U256" s="788">
        <f>38966+1</f>
        <v>38967</v>
      </c>
    </row>
    <row r="257" spans="1:21" x14ac:dyDescent="0.25">
      <c r="A257" s="782">
        <v>92608</v>
      </c>
      <c r="B257" s="783" t="s">
        <v>2873</v>
      </c>
      <c r="C257" s="784">
        <v>0</v>
      </c>
      <c r="D257" s="784">
        <v>0</v>
      </c>
      <c r="E257" s="800" t="e">
        <v>#N/A</v>
      </c>
      <c r="F257" s="785">
        <v>0</v>
      </c>
      <c r="G257" s="785"/>
      <c r="H257" s="786">
        <v>0</v>
      </c>
      <c r="I257" s="787">
        <v>0</v>
      </c>
      <c r="J257" s="786">
        <v>0</v>
      </c>
      <c r="K257" s="785">
        <v>0</v>
      </c>
      <c r="L257" s="787">
        <f t="shared" si="6"/>
        <v>0</v>
      </c>
      <c r="M257" s="785"/>
      <c r="N257" s="786">
        <v>0</v>
      </c>
      <c r="O257" s="786">
        <v>0</v>
      </c>
      <c r="P257" s="785">
        <v>69935</v>
      </c>
      <c r="Q257" s="787">
        <f t="shared" si="7"/>
        <v>69935</v>
      </c>
      <c r="R257" s="785"/>
      <c r="S257" s="786">
        <v>0</v>
      </c>
      <c r="T257" s="788">
        <v>-69872</v>
      </c>
      <c r="U257" s="788">
        <v>-69872</v>
      </c>
    </row>
    <row r="258" spans="1:21" x14ac:dyDescent="0.25">
      <c r="A258" s="782">
        <v>92611</v>
      </c>
      <c r="B258" s="783" t="s">
        <v>2874</v>
      </c>
      <c r="C258" s="784">
        <v>1.3080899999999999E-2</v>
      </c>
      <c r="D258" s="784">
        <v>1.3650799999999999E-2</v>
      </c>
      <c r="E258" s="800">
        <v>5890415</v>
      </c>
      <c r="F258" s="785">
        <v>19983992</v>
      </c>
      <c r="G258" s="785"/>
      <c r="H258" s="786">
        <v>1151263</v>
      </c>
      <c r="I258" s="787">
        <v>4852137</v>
      </c>
      <c r="J258" s="786">
        <v>2853991</v>
      </c>
      <c r="K258" s="785">
        <v>10109</v>
      </c>
      <c r="L258" s="787">
        <f t="shared" si="6"/>
        <v>8867500</v>
      </c>
      <c r="M258" s="785"/>
      <c r="N258" s="786">
        <v>565684</v>
      </c>
      <c r="O258" s="786">
        <v>0</v>
      </c>
      <c r="P258" s="785">
        <v>976593</v>
      </c>
      <c r="Q258" s="787">
        <f t="shared" si="7"/>
        <v>1542277</v>
      </c>
      <c r="R258" s="785"/>
      <c r="S258" s="786">
        <v>6734623</v>
      </c>
      <c r="T258" s="788">
        <v>-313138</v>
      </c>
      <c r="U258" s="788">
        <v>6421485</v>
      </c>
    </row>
    <row r="259" spans="1:21" x14ac:dyDescent="0.25">
      <c r="A259" s="782">
        <v>92613</v>
      </c>
      <c r="B259" s="783" t="s">
        <v>2875</v>
      </c>
      <c r="C259" s="784">
        <v>2.6439999999999998E-4</v>
      </c>
      <c r="D259" s="784">
        <v>2.81E-4</v>
      </c>
      <c r="E259" s="800">
        <v>143121</v>
      </c>
      <c r="F259" s="785">
        <v>403930</v>
      </c>
      <c r="G259" s="785"/>
      <c r="H259" s="786">
        <v>23270</v>
      </c>
      <c r="I259" s="787">
        <v>98075</v>
      </c>
      <c r="J259" s="786">
        <v>57687</v>
      </c>
      <c r="K259" s="785">
        <v>84489</v>
      </c>
      <c r="L259" s="787">
        <f t="shared" si="6"/>
        <v>263521</v>
      </c>
      <c r="M259" s="785"/>
      <c r="N259" s="786">
        <v>11434</v>
      </c>
      <c r="O259" s="786">
        <v>0</v>
      </c>
      <c r="P259" s="785">
        <v>941</v>
      </c>
      <c r="Q259" s="787">
        <f t="shared" si="7"/>
        <v>12375</v>
      </c>
      <c r="R259" s="785"/>
      <c r="S259" s="786">
        <v>136125</v>
      </c>
      <c r="T259" s="788">
        <v>41506</v>
      </c>
      <c r="U259" s="788">
        <v>177631</v>
      </c>
    </row>
    <row r="260" spans="1:21" x14ac:dyDescent="0.25">
      <c r="A260" s="782">
        <v>92614</v>
      </c>
      <c r="B260" s="783" t="s">
        <v>2876</v>
      </c>
      <c r="C260" s="784">
        <v>5.7273000000000003E-3</v>
      </c>
      <c r="D260" s="784">
        <v>5.6468000000000004E-3</v>
      </c>
      <c r="E260" s="800">
        <v>4788008</v>
      </c>
      <c r="F260" s="785">
        <v>8749728</v>
      </c>
      <c r="G260" s="785"/>
      <c r="H260" s="786">
        <v>504065</v>
      </c>
      <c r="I260" s="787">
        <v>2124444</v>
      </c>
      <c r="J260" s="786">
        <v>1249582</v>
      </c>
      <c r="K260" s="785">
        <v>3908054</v>
      </c>
      <c r="L260" s="787">
        <f t="shared" si="6"/>
        <v>7786145</v>
      </c>
      <c r="M260" s="785"/>
      <c r="N260" s="786">
        <v>247677</v>
      </c>
      <c r="O260" s="786">
        <v>0</v>
      </c>
      <c r="P260" s="785">
        <v>0</v>
      </c>
      <c r="Q260" s="787">
        <f t="shared" si="7"/>
        <v>247677</v>
      </c>
      <c r="R260" s="785"/>
      <c r="S260" s="786">
        <v>2948666</v>
      </c>
      <c r="T260" s="788">
        <v>1416067</v>
      </c>
      <c r="U260" s="788">
        <v>4364733</v>
      </c>
    </row>
    <row r="261" spans="1:21" x14ac:dyDescent="0.25">
      <c r="A261" s="782">
        <v>92621</v>
      </c>
      <c r="B261" s="783" t="s">
        <v>2877</v>
      </c>
      <c r="C261" s="784">
        <v>2.72E-5</v>
      </c>
      <c r="D261" s="784">
        <v>3.2799999999999998E-5</v>
      </c>
      <c r="E261" s="800">
        <v>11243</v>
      </c>
      <c r="F261" s="785">
        <v>41554</v>
      </c>
      <c r="G261" s="785"/>
      <c r="H261" s="786">
        <v>2394</v>
      </c>
      <c r="I261" s="787">
        <v>10089</v>
      </c>
      <c r="J261" s="786">
        <v>5934</v>
      </c>
      <c r="K261" s="785">
        <v>872</v>
      </c>
      <c r="L261" s="787">
        <f t="shared" si="6"/>
        <v>19289</v>
      </c>
      <c r="M261" s="785"/>
      <c r="N261" s="786">
        <v>1176</v>
      </c>
      <c r="O261" s="786">
        <v>0</v>
      </c>
      <c r="P261" s="785">
        <v>6521</v>
      </c>
      <c r="Q261" s="787">
        <f t="shared" si="7"/>
        <v>7697</v>
      </c>
      <c r="R261" s="785"/>
      <c r="S261" s="786">
        <v>14004</v>
      </c>
      <c r="T261" s="788">
        <v>-1988</v>
      </c>
      <c r="U261" s="788">
        <v>12016</v>
      </c>
    </row>
    <row r="262" spans="1:21" x14ac:dyDescent="0.25">
      <c r="A262" s="782">
        <v>92631</v>
      </c>
      <c r="B262" s="783" t="s">
        <v>2878</v>
      </c>
      <c r="C262" s="784">
        <v>9.2710000000000004E-4</v>
      </c>
      <c r="D262" s="784">
        <v>1.0068E-3</v>
      </c>
      <c r="E262" s="800">
        <v>397128</v>
      </c>
      <c r="F262" s="785">
        <v>1416352</v>
      </c>
      <c r="G262" s="785"/>
      <c r="H262" s="786">
        <v>81595</v>
      </c>
      <c r="I262" s="787">
        <v>343892</v>
      </c>
      <c r="J262" s="786">
        <v>202275</v>
      </c>
      <c r="K262" s="785">
        <v>0</v>
      </c>
      <c r="L262" s="787">
        <f t="shared" si="6"/>
        <v>627762</v>
      </c>
      <c r="M262" s="785"/>
      <c r="N262" s="786">
        <v>40092</v>
      </c>
      <c r="O262" s="786">
        <v>0</v>
      </c>
      <c r="P262" s="785">
        <v>146834</v>
      </c>
      <c r="Q262" s="787">
        <f t="shared" si="7"/>
        <v>186926</v>
      </c>
      <c r="R262" s="785"/>
      <c r="S262" s="786">
        <v>477312</v>
      </c>
      <c r="T262" s="788">
        <v>-49734</v>
      </c>
      <c r="U262" s="788">
        <v>427578</v>
      </c>
    </row>
    <row r="263" spans="1:21" x14ac:dyDescent="0.25">
      <c r="A263" s="782">
        <v>92641</v>
      </c>
      <c r="B263" s="783" t="s">
        <v>2879</v>
      </c>
      <c r="C263" s="784">
        <v>1.0200000000000001E-5</v>
      </c>
      <c r="D263" s="784">
        <v>1.03E-5</v>
      </c>
      <c r="E263" s="800">
        <v>5720</v>
      </c>
      <c r="F263" s="785">
        <v>15583</v>
      </c>
      <c r="G263" s="785"/>
      <c r="H263" s="786">
        <v>898</v>
      </c>
      <c r="I263" s="787">
        <v>3784</v>
      </c>
      <c r="J263" s="786">
        <v>2225</v>
      </c>
      <c r="K263" s="785">
        <v>2556</v>
      </c>
      <c r="L263" s="787">
        <f t="shared" ref="L263:L326" si="8">H263+I263+J263+K263</f>
        <v>9463</v>
      </c>
      <c r="M263" s="785"/>
      <c r="N263" s="786">
        <v>441</v>
      </c>
      <c r="O263" s="786">
        <v>0</v>
      </c>
      <c r="P263" s="785">
        <v>945</v>
      </c>
      <c r="Q263" s="787">
        <f t="shared" ref="Q263:Q326" si="9">N263+O263+P263</f>
        <v>1386</v>
      </c>
      <c r="R263" s="785"/>
      <c r="S263" s="786">
        <v>5251</v>
      </c>
      <c r="T263" s="788">
        <v>173</v>
      </c>
      <c r="U263" s="788">
        <v>5424</v>
      </c>
    </row>
    <row r="264" spans="1:21" x14ac:dyDescent="0.25">
      <c r="A264" s="782">
        <v>92651</v>
      </c>
      <c r="B264" s="783" t="s">
        <v>2880</v>
      </c>
      <c r="C264" s="784">
        <v>2.6000000000000001E-6</v>
      </c>
      <c r="D264" s="784">
        <v>2.6000000000000001E-6</v>
      </c>
      <c r="E264" s="800">
        <v>3151</v>
      </c>
      <c r="F264" s="785">
        <v>3972</v>
      </c>
      <c r="G264" s="785"/>
      <c r="H264" s="786">
        <v>229</v>
      </c>
      <c r="I264" s="787">
        <v>964</v>
      </c>
      <c r="J264" s="786">
        <v>567</v>
      </c>
      <c r="K264" s="785">
        <v>3432</v>
      </c>
      <c r="L264" s="787">
        <f t="shared" si="8"/>
        <v>5192</v>
      </c>
      <c r="M264" s="785"/>
      <c r="N264" s="786">
        <v>112</v>
      </c>
      <c r="O264" s="786">
        <v>0</v>
      </c>
      <c r="P264" s="785">
        <v>0</v>
      </c>
      <c r="Q264" s="787">
        <f t="shared" si="9"/>
        <v>112</v>
      </c>
      <c r="R264" s="785"/>
      <c r="S264" s="786">
        <v>1339</v>
      </c>
      <c r="T264" s="788">
        <v>1345</v>
      </c>
      <c r="U264" s="788">
        <f>2683+1</f>
        <v>2684</v>
      </c>
    </row>
    <row r="265" spans="1:21" x14ac:dyDescent="0.25">
      <c r="A265" s="782">
        <v>92661</v>
      </c>
      <c r="B265" s="783" t="s">
        <v>2881</v>
      </c>
      <c r="C265" s="784">
        <v>6.9999999999999999E-4</v>
      </c>
      <c r="D265" s="784">
        <v>6.6299999999999996E-4</v>
      </c>
      <c r="E265" s="800">
        <v>591164</v>
      </c>
      <c r="F265" s="785">
        <v>1069406</v>
      </c>
      <c r="G265" s="785"/>
      <c r="H265" s="786">
        <v>61608</v>
      </c>
      <c r="I265" s="787">
        <v>259653</v>
      </c>
      <c r="J265" s="786">
        <v>152726</v>
      </c>
      <c r="K265" s="785">
        <v>446841</v>
      </c>
      <c r="L265" s="787">
        <f t="shared" si="8"/>
        <v>920828</v>
      </c>
      <c r="M265" s="785"/>
      <c r="N265" s="786">
        <v>30272</v>
      </c>
      <c r="O265" s="786">
        <v>0</v>
      </c>
      <c r="P265" s="785">
        <v>16877</v>
      </c>
      <c r="Q265" s="787">
        <f t="shared" si="9"/>
        <v>47149</v>
      </c>
      <c r="R265" s="785"/>
      <c r="S265" s="786">
        <v>360391</v>
      </c>
      <c r="T265" s="788">
        <v>130287</v>
      </c>
      <c r="U265" s="788">
        <v>490678</v>
      </c>
    </row>
    <row r="266" spans="1:21" x14ac:dyDescent="0.25">
      <c r="A266" s="782">
        <v>92671</v>
      </c>
      <c r="B266" s="783" t="s">
        <v>2882</v>
      </c>
      <c r="C266" s="784">
        <v>2.6000000000000001E-6</v>
      </c>
      <c r="D266" s="784">
        <v>2.9000000000000002E-6</v>
      </c>
      <c r="E266" s="800">
        <v>5279</v>
      </c>
      <c r="F266" s="785">
        <v>3972</v>
      </c>
      <c r="G266" s="785"/>
      <c r="H266" s="786">
        <v>229</v>
      </c>
      <c r="I266" s="787">
        <v>964</v>
      </c>
      <c r="J266" s="786">
        <v>567</v>
      </c>
      <c r="K266" s="785">
        <v>6237</v>
      </c>
      <c r="L266" s="787">
        <f t="shared" si="8"/>
        <v>7997</v>
      </c>
      <c r="M266" s="785"/>
      <c r="N266" s="786">
        <v>112</v>
      </c>
      <c r="O266" s="786">
        <v>0</v>
      </c>
      <c r="P266" s="785">
        <v>0</v>
      </c>
      <c r="Q266" s="787">
        <f t="shared" si="9"/>
        <v>112</v>
      </c>
      <c r="R266" s="785"/>
      <c r="S266" s="786">
        <v>1339</v>
      </c>
      <c r="T266" s="788">
        <v>2205</v>
      </c>
      <c r="U266" s="788">
        <f>3543+1</f>
        <v>3544</v>
      </c>
    </row>
    <row r="267" spans="1:21" x14ac:dyDescent="0.25">
      <c r="A267" s="782">
        <v>92681</v>
      </c>
      <c r="B267" s="783" t="s">
        <v>2883</v>
      </c>
      <c r="C267" s="784">
        <v>1.17E-5</v>
      </c>
      <c r="D267" s="784">
        <v>1.01E-5</v>
      </c>
      <c r="E267" s="800">
        <v>11572</v>
      </c>
      <c r="F267" s="785">
        <v>17874</v>
      </c>
      <c r="G267" s="785"/>
      <c r="H267" s="786">
        <v>1030</v>
      </c>
      <c r="I267" s="787">
        <v>4340</v>
      </c>
      <c r="J267" s="786">
        <v>2553</v>
      </c>
      <c r="K267" s="785">
        <v>13621</v>
      </c>
      <c r="L267" s="787">
        <f t="shared" si="8"/>
        <v>21544</v>
      </c>
      <c r="M267" s="785"/>
      <c r="N267" s="786">
        <v>506</v>
      </c>
      <c r="O267" s="786">
        <v>0</v>
      </c>
      <c r="P267" s="785">
        <v>0</v>
      </c>
      <c r="Q267" s="787">
        <f t="shared" si="9"/>
        <v>506</v>
      </c>
      <c r="R267" s="785"/>
      <c r="S267" s="786">
        <v>6024</v>
      </c>
      <c r="T267" s="788">
        <v>4960</v>
      </c>
      <c r="U267" s="788">
        <v>10984</v>
      </c>
    </row>
    <row r="268" spans="1:21" x14ac:dyDescent="0.25">
      <c r="A268" s="782">
        <v>92701</v>
      </c>
      <c r="B268" s="783" t="s">
        <v>2884</v>
      </c>
      <c r="C268" s="784">
        <v>3.0777000000000001E-3</v>
      </c>
      <c r="D268" s="784">
        <v>2.9588000000000001E-3</v>
      </c>
      <c r="E268" s="800">
        <v>1358591</v>
      </c>
      <c r="F268" s="785">
        <v>4701873</v>
      </c>
      <c r="G268" s="785"/>
      <c r="H268" s="786">
        <v>270871</v>
      </c>
      <c r="I268" s="787">
        <v>1141620</v>
      </c>
      <c r="J268" s="786">
        <v>671493</v>
      </c>
      <c r="K268" s="785">
        <v>48990</v>
      </c>
      <c r="L268" s="787">
        <f t="shared" si="8"/>
        <v>2132974</v>
      </c>
      <c r="M268" s="785"/>
      <c r="N268" s="786">
        <v>133095</v>
      </c>
      <c r="O268" s="786">
        <v>0</v>
      </c>
      <c r="P268" s="785">
        <v>42924</v>
      </c>
      <c r="Q268" s="787">
        <f t="shared" si="9"/>
        <v>176019</v>
      </c>
      <c r="R268" s="785"/>
      <c r="S268" s="786">
        <v>1584535</v>
      </c>
      <c r="T268" s="788">
        <v>-25139</v>
      </c>
      <c r="U268" s="788">
        <f>1559397-1</f>
        <v>1559396</v>
      </c>
    </row>
    <row r="269" spans="1:21" x14ac:dyDescent="0.25">
      <c r="A269" s="782">
        <v>92704</v>
      </c>
      <c r="B269" s="783" t="s">
        <v>2885</v>
      </c>
      <c r="C269" s="784">
        <v>4.1600000000000002E-5</v>
      </c>
      <c r="D269" s="784">
        <v>4.7700000000000001E-5</v>
      </c>
      <c r="E269" s="800">
        <v>18894</v>
      </c>
      <c r="F269" s="785">
        <v>63553</v>
      </c>
      <c r="G269" s="785"/>
      <c r="H269" s="786">
        <v>3661</v>
      </c>
      <c r="I269" s="787">
        <v>15431</v>
      </c>
      <c r="J269" s="786">
        <v>9076</v>
      </c>
      <c r="K269" s="785">
        <v>1560</v>
      </c>
      <c r="L269" s="787">
        <f t="shared" si="8"/>
        <v>29728</v>
      </c>
      <c r="M269" s="785"/>
      <c r="N269" s="786">
        <v>1799</v>
      </c>
      <c r="O269" s="786">
        <v>0</v>
      </c>
      <c r="P269" s="785">
        <v>5674</v>
      </c>
      <c r="Q269" s="787">
        <f t="shared" si="9"/>
        <v>7473</v>
      </c>
      <c r="R269" s="785"/>
      <c r="S269" s="786">
        <v>21418</v>
      </c>
      <c r="T269" s="788">
        <v>-706</v>
      </c>
      <c r="U269" s="788">
        <f>20711+1</f>
        <v>20712</v>
      </c>
    </row>
    <row r="270" spans="1:21" x14ac:dyDescent="0.25">
      <c r="A270" s="782">
        <v>92801</v>
      </c>
      <c r="B270" s="783" t="s">
        <v>2886</v>
      </c>
      <c r="C270" s="784">
        <v>5.0951E-3</v>
      </c>
      <c r="D270" s="784">
        <v>5.1701000000000004E-3</v>
      </c>
      <c r="E270" s="800">
        <v>2417020</v>
      </c>
      <c r="F270" s="785">
        <v>7783901</v>
      </c>
      <c r="G270" s="785"/>
      <c r="H270" s="786">
        <v>448425</v>
      </c>
      <c r="I270" s="787">
        <v>1889940</v>
      </c>
      <c r="J270" s="786">
        <v>1111649</v>
      </c>
      <c r="K270" s="785">
        <v>152907</v>
      </c>
      <c r="L270" s="787">
        <f t="shared" si="8"/>
        <v>3602921</v>
      </c>
      <c r="M270" s="785"/>
      <c r="N270" s="786">
        <v>220338</v>
      </c>
      <c r="O270" s="786">
        <v>0</v>
      </c>
      <c r="P270" s="785">
        <v>0</v>
      </c>
      <c r="Q270" s="787">
        <f t="shared" si="9"/>
        <v>220338</v>
      </c>
      <c r="R270" s="785"/>
      <c r="S270" s="786">
        <v>2623182</v>
      </c>
      <c r="T270" s="788">
        <v>81450</v>
      </c>
      <c r="U270" s="788">
        <f>2704631+1</f>
        <v>2704632</v>
      </c>
    </row>
    <row r="271" spans="1:21" x14ac:dyDescent="0.25">
      <c r="A271" s="782">
        <v>92802</v>
      </c>
      <c r="B271" s="783" t="s">
        <v>2887</v>
      </c>
      <c r="C271" s="784">
        <v>1.2970000000000001E-4</v>
      </c>
      <c r="D271" s="784">
        <v>1.3410000000000001E-4</v>
      </c>
      <c r="E271" s="800">
        <v>55828</v>
      </c>
      <c r="F271" s="785">
        <v>198146</v>
      </c>
      <c r="G271" s="785"/>
      <c r="H271" s="786">
        <v>11415</v>
      </c>
      <c r="I271" s="787">
        <v>48110</v>
      </c>
      <c r="J271" s="786">
        <v>28298</v>
      </c>
      <c r="K271" s="785">
        <v>0</v>
      </c>
      <c r="L271" s="787">
        <f t="shared" si="8"/>
        <v>87823</v>
      </c>
      <c r="M271" s="785"/>
      <c r="N271" s="786">
        <v>5609</v>
      </c>
      <c r="O271" s="786">
        <v>0</v>
      </c>
      <c r="P271" s="785">
        <v>17517</v>
      </c>
      <c r="Q271" s="787">
        <f t="shared" si="9"/>
        <v>23126</v>
      </c>
      <c r="R271" s="785"/>
      <c r="S271" s="786">
        <v>66775</v>
      </c>
      <c r="T271" s="788">
        <v>-6938</v>
      </c>
      <c r="U271" s="788">
        <v>59837</v>
      </c>
    </row>
    <row r="272" spans="1:21" x14ac:dyDescent="0.25">
      <c r="A272" s="782">
        <v>92804</v>
      </c>
      <c r="B272" s="783" t="s">
        <v>2888</v>
      </c>
      <c r="C272" s="784">
        <v>1.36E-4</v>
      </c>
      <c r="D272" s="784">
        <v>1.47E-4</v>
      </c>
      <c r="E272" s="800">
        <v>57777</v>
      </c>
      <c r="F272" s="785">
        <v>207770</v>
      </c>
      <c r="G272" s="785"/>
      <c r="H272" s="786">
        <v>11969</v>
      </c>
      <c r="I272" s="787">
        <v>50447</v>
      </c>
      <c r="J272" s="786">
        <v>29672</v>
      </c>
      <c r="K272" s="785">
        <v>8730</v>
      </c>
      <c r="L272" s="787">
        <f t="shared" si="8"/>
        <v>100818</v>
      </c>
      <c r="M272" s="785"/>
      <c r="N272" s="786">
        <v>5881</v>
      </c>
      <c r="O272" s="786">
        <v>0</v>
      </c>
      <c r="P272" s="785">
        <v>12427</v>
      </c>
      <c r="Q272" s="787">
        <f t="shared" si="9"/>
        <v>18308</v>
      </c>
      <c r="R272" s="785"/>
      <c r="S272" s="786">
        <v>70019</v>
      </c>
      <c r="T272" s="788">
        <v>-172</v>
      </c>
      <c r="U272" s="788">
        <v>69847</v>
      </c>
    </row>
    <row r="273" spans="1:21" x14ac:dyDescent="0.25">
      <c r="A273" s="782">
        <v>92811</v>
      </c>
      <c r="B273" s="783" t="s">
        <v>2889</v>
      </c>
      <c r="C273" s="784">
        <v>1.0036000000000001E-3</v>
      </c>
      <c r="D273" s="784">
        <v>9.8569999999999994E-4</v>
      </c>
      <c r="E273" s="800">
        <v>442635</v>
      </c>
      <c r="F273" s="785">
        <v>1533223</v>
      </c>
      <c r="G273" s="785"/>
      <c r="H273" s="786">
        <v>88328</v>
      </c>
      <c r="I273" s="787">
        <v>372269</v>
      </c>
      <c r="J273" s="786">
        <v>218965</v>
      </c>
      <c r="K273" s="785">
        <v>0</v>
      </c>
      <c r="L273" s="787">
        <f t="shared" si="8"/>
        <v>679562</v>
      </c>
      <c r="M273" s="785"/>
      <c r="N273" s="786">
        <v>43401</v>
      </c>
      <c r="O273" s="786">
        <v>0</v>
      </c>
      <c r="P273" s="785">
        <v>85272</v>
      </c>
      <c r="Q273" s="787">
        <f t="shared" si="9"/>
        <v>128673</v>
      </c>
      <c r="R273" s="785"/>
      <c r="S273" s="786">
        <v>516697</v>
      </c>
      <c r="T273" s="788">
        <v>-36667</v>
      </c>
      <c r="U273" s="788">
        <v>480030</v>
      </c>
    </row>
    <row r="274" spans="1:21" x14ac:dyDescent="0.25">
      <c r="A274" s="782">
        <v>92821</v>
      </c>
      <c r="B274" s="783" t="s">
        <v>2890</v>
      </c>
      <c r="C274" s="784">
        <v>9.9400000000000009E-4</v>
      </c>
      <c r="D274" s="784">
        <v>1.0139999999999999E-3</v>
      </c>
      <c r="E274" s="800">
        <v>481049</v>
      </c>
      <c r="F274" s="785">
        <v>1518557</v>
      </c>
      <c r="G274" s="785"/>
      <c r="H274" s="786">
        <v>87483</v>
      </c>
      <c r="I274" s="787">
        <v>368707</v>
      </c>
      <c r="J274" s="786">
        <v>216871</v>
      </c>
      <c r="K274" s="785">
        <v>24870</v>
      </c>
      <c r="L274" s="787">
        <f t="shared" si="8"/>
        <v>697931</v>
      </c>
      <c r="M274" s="785"/>
      <c r="N274" s="786">
        <v>42986</v>
      </c>
      <c r="O274" s="786">
        <v>0</v>
      </c>
      <c r="P274" s="785">
        <v>0</v>
      </c>
      <c r="Q274" s="787">
        <f t="shared" si="9"/>
        <v>42986</v>
      </c>
      <c r="R274" s="785"/>
      <c r="S274" s="786">
        <v>511755</v>
      </c>
      <c r="T274" s="788">
        <v>10495</v>
      </c>
      <c r="U274" s="788">
        <v>522250</v>
      </c>
    </row>
    <row r="275" spans="1:21" x14ac:dyDescent="0.25">
      <c r="A275" s="782">
        <v>92831</v>
      </c>
      <c r="B275" s="783" t="s">
        <v>2891</v>
      </c>
      <c r="C275" s="784">
        <v>2.1829999999999999E-4</v>
      </c>
      <c r="D275" s="784">
        <v>2.476E-4</v>
      </c>
      <c r="E275" s="800">
        <v>122076</v>
      </c>
      <c r="F275" s="785">
        <v>333502</v>
      </c>
      <c r="G275" s="785"/>
      <c r="H275" s="786">
        <v>19213</v>
      </c>
      <c r="I275" s="787">
        <v>80975</v>
      </c>
      <c r="J275" s="786">
        <v>47629</v>
      </c>
      <c r="K275" s="785">
        <v>19156</v>
      </c>
      <c r="L275" s="787">
        <f t="shared" si="8"/>
        <v>166973</v>
      </c>
      <c r="M275" s="785"/>
      <c r="N275" s="786">
        <v>9440</v>
      </c>
      <c r="O275" s="786">
        <v>0</v>
      </c>
      <c r="P275" s="785">
        <v>2159</v>
      </c>
      <c r="Q275" s="787">
        <f t="shared" si="9"/>
        <v>11599</v>
      </c>
      <c r="R275" s="785"/>
      <c r="S275" s="786">
        <v>112390</v>
      </c>
      <c r="T275" s="788">
        <v>9503</v>
      </c>
      <c r="U275" s="788">
        <f>121894-1</f>
        <v>121893</v>
      </c>
    </row>
    <row r="276" spans="1:21" x14ac:dyDescent="0.25">
      <c r="A276" s="782">
        <v>92841</v>
      </c>
      <c r="B276" s="783" t="s">
        <v>2892</v>
      </c>
      <c r="C276" s="784">
        <v>2.7809999999999998E-4</v>
      </c>
      <c r="D276" s="784">
        <v>2.8160000000000001E-4</v>
      </c>
      <c r="E276" s="800">
        <v>116983</v>
      </c>
      <c r="F276" s="785">
        <v>424860</v>
      </c>
      <c r="G276" s="785"/>
      <c r="H276" s="786">
        <v>24476</v>
      </c>
      <c r="I276" s="787">
        <v>103157</v>
      </c>
      <c r="J276" s="786">
        <v>60676</v>
      </c>
      <c r="K276" s="785">
        <v>5821</v>
      </c>
      <c r="L276" s="787">
        <f t="shared" si="8"/>
        <v>194130</v>
      </c>
      <c r="M276" s="785"/>
      <c r="N276" s="786">
        <v>12026</v>
      </c>
      <c r="O276" s="786">
        <v>0</v>
      </c>
      <c r="P276" s="785">
        <v>13149</v>
      </c>
      <c r="Q276" s="787">
        <f t="shared" si="9"/>
        <v>25175</v>
      </c>
      <c r="R276" s="785"/>
      <c r="S276" s="786">
        <v>143178</v>
      </c>
      <c r="T276" s="788">
        <v>2288</v>
      </c>
      <c r="U276" s="788">
        <v>145466</v>
      </c>
    </row>
    <row r="277" spans="1:21" x14ac:dyDescent="0.25">
      <c r="A277" s="782">
        <v>92851</v>
      </c>
      <c r="B277" s="783" t="s">
        <v>2893</v>
      </c>
      <c r="C277" s="784">
        <v>4.6079999999999998E-4</v>
      </c>
      <c r="D277" s="784">
        <v>4.3909999999999999E-4</v>
      </c>
      <c r="E277" s="800">
        <v>187164</v>
      </c>
      <c r="F277" s="785">
        <v>703975</v>
      </c>
      <c r="G277" s="785"/>
      <c r="H277" s="786">
        <v>40555</v>
      </c>
      <c r="I277" s="787">
        <v>170926</v>
      </c>
      <c r="J277" s="786">
        <v>100537</v>
      </c>
      <c r="K277" s="785">
        <v>0</v>
      </c>
      <c r="L277" s="787">
        <f t="shared" si="8"/>
        <v>312018</v>
      </c>
      <c r="M277" s="785"/>
      <c r="N277" s="786">
        <v>19927</v>
      </c>
      <c r="O277" s="786">
        <v>0</v>
      </c>
      <c r="P277" s="785">
        <v>62664</v>
      </c>
      <c r="Q277" s="787">
        <f t="shared" si="9"/>
        <v>82591</v>
      </c>
      <c r="R277" s="785"/>
      <c r="S277" s="786">
        <v>237240</v>
      </c>
      <c r="T277" s="788">
        <v>-35531</v>
      </c>
      <c r="U277" s="788">
        <v>201709</v>
      </c>
    </row>
    <row r="278" spans="1:21" x14ac:dyDescent="0.25">
      <c r="A278" s="782">
        <v>92861</v>
      </c>
      <c r="B278" s="783" t="s">
        <v>2894</v>
      </c>
      <c r="C278" s="784">
        <v>3.6010000000000003E-4</v>
      </c>
      <c r="D278" s="784">
        <v>3.3629999999999999E-4</v>
      </c>
      <c r="E278" s="800">
        <v>121951</v>
      </c>
      <c r="F278" s="785">
        <v>550133</v>
      </c>
      <c r="G278" s="785"/>
      <c r="H278" s="786">
        <v>31693</v>
      </c>
      <c r="I278" s="787">
        <v>133573</v>
      </c>
      <c r="J278" s="786">
        <v>78567</v>
      </c>
      <c r="K278" s="785">
        <v>0</v>
      </c>
      <c r="L278" s="787">
        <f t="shared" si="8"/>
        <v>243833</v>
      </c>
      <c r="M278" s="785"/>
      <c r="N278" s="786">
        <v>15573</v>
      </c>
      <c r="O278" s="786">
        <v>0</v>
      </c>
      <c r="P278" s="785">
        <v>83092</v>
      </c>
      <c r="Q278" s="787">
        <f t="shared" si="9"/>
        <v>98665</v>
      </c>
      <c r="R278" s="785"/>
      <c r="S278" s="786">
        <v>185395</v>
      </c>
      <c r="T278" s="788">
        <v>-36908</v>
      </c>
      <c r="U278" s="788">
        <f>148488-1</f>
        <v>148487</v>
      </c>
    </row>
    <row r="279" spans="1:21" x14ac:dyDescent="0.25">
      <c r="A279" s="782">
        <v>92901</v>
      </c>
      <c r="B279" s="783" t="s">
        <v>2895</v>
      </c>
      <c r="C279" s="784">
        <v>5.5082999999999998E-3</v>
      </c>
      <c r="D279" s="784">
        <v>5.7581000000000004E-3</v>
      </c>
      <c r="E279" s="800">
        <v>2645958</v>
      </c>
      <c r="F279" s="785">
        <v>8415157</v>
      </c>
      <c r="G279" s="785"/>
      <c r="H279" s="786">
        <v>484791</v>
      </c>
      <c r="I279" s="787">
        <v>2043211</v>
      </c>
      <c r="J279" s="786">
        <v>1201801</v>
      </c>
      <c r="K279" s="785">
        <v>65697</v>
      </c>
      <c r="L279" s="787">
        <f t="shared" si="8"/>
        <v>3795500</v>
      </c>
      <c r="M279" s="785"/>
      <c r="N279" s="786">
        <v>238206</v>
      </c>
      <c r="O279" s="786">
        <v>0</v>
      </c>
      <c r="P279" s="785">
        <v>124949</v>
      </c>
      <c r="Q279" s="787">
        <f t="shared" si="9"/>
        <v>363155</v>
      </c>
      <c r="R279" s="785"/>
      <c r="S279" s="786">
        <v>2835915</v>
      </c>
      <c r="T279" s="788">
        <v>6522</v>
      </c>
      <c r="U279" s="788">
        <f>2842438-1</f>
        <v>2842437</v>
      </c>
    </row>
    <row r="280" spans="1:21" x14ac:dyDescent="0.25">
      <c r="A280" s="782">
        <v>92911</v>
      </c>
      <c r="B280" s="783" t="s">
        <v>2896</v>
      </c>
      <c r="C280" s="784">
        <v>1.9548999999999999E-3</v>
      </c>
      <c r="D280" s="784">
        <v>1.9442999999999999E-3</v>
      </c>
      <c r="E280" s="800">
        <v>924132</v>
      </c>
      <c r="F280" s="785">
        <v>2986546</v>
      </c>
      <c r="G280" s="785"/>
      <c r="H280" s="786">
        <v>172053</v>
      </c>
      <c r="I280" s="787">
        <v>725137</v>
      </c>
      <c r="J280" s="786">
        <v>426520</v>
      </c>
      <c r="K280" s="785">
        <v>28442</v>
      </c>
      <c r="L280" s="787">
        <f t="shared" si="8"/>
        <v>1352152</v>
      </c>
      <c r="M280" s="785"/>
      <c r="N280" s="786">
        <v>84540</v>
      </c>
      <c r="O280" s="786">
        <v>0</v>
      </c>
      <c r="P280" s="785">
        <v>113525</v>
      </c>
      <c r="Q280" s="787">
        <f t="shared" si="9"/>
        <v>198065</v>
      </c>
      <c r="R280" s="785"/>
      <c r="S280" s="786">
        <v>1006469</v>
      </c>
      <c r="T280" s="788">
        <v>-55041</v>
      </c>
      <c r="U280" s="788">
        <v>951428</v>
      </c>
    </row>
    <row r="281" spans="1:21" x14ac:dyDescent="0.25">
      <c r="A281" s="782">
        <v>92913</v>
      </c>
      <c r="B281" s="783" t="s">
        <v>2897</v>
      </c>
      <c r="C281" s="784">
        <v>2.1999999999999999E-5</v>
      </c>
      <c r="D281" s="784">
        <v>2.37E-5</v>
      </c>
      <c r="E281" s="800">
        <v>57760</v>
      </c>
      <c r="F281" s="785">
        <v>33610</v>
      </c>
      <c r="G281" s="785"/>
      <c r="H281" s="786">
        <v>1936</v>
      </c>
      <c r="I281" s="787">
        <v>8160</v>
      </c>
      <c r="J281" s="786">
        <v>4800</v>
      </c>
      <c r="K281" s="785">
        <v>79442</v>
      </c>
      <c r="L281" s="787">
        <f t="shared" si="8"/>
        <v>94338</v>
      </c>
      <c r="M281" s="785"/>
      <c r="N281" s="786">
        <v>951</v>
      </c>
      <c r="O281" s="786">
        <v>0</v>
      </c>
      <c r="P281" s="785">
        <v>2047</v>
      </c>
      <c r="Q281" s="787">
        <f t="shared" si="9"/>
        <v>2998</v>
      </c>
      <c r="R281" s="785"/>
      <c r="S281" s="786">
        <v>11327</v>
      </c>
      <c r="T281" s="788">
        <v>25513</v>
      </c>
      <c r="U281" s="788">
        <v>36840</v>
      </c>
    </row>
    <row r="282" spans="1:21" x14ac:dyDescent="0.25">
      <c r="A282" s="782">
        <v>92914</v>
      </c>
      <c r="B282" s="783" t="s">
        <v>3666</v>
      </c>
      <c r="C282" s="784">
        <v>2.8900000000000001E-5</v>
      </c>
      <c r="D282" s="784">
        <v>0</v>
      </c>
      <c r="E282" s="800">
        <v>10513</v>
      </c>
      <c r="F282" s="785">
        <v>44151</v>
      </c>
      <c r="G282" s="785"/>
      <c r="H282" s="786">
        <v>2544</v>
      </c>
      <c r="I282" s="787">
        <v>10720</v>
      </c>
      <c r="J282" s="786">
        <v>6305</v>
      </c>
      <c r="K282" s="785">
        <v>17173</v>
      </c>
      <c r="L282" s="787">
        <f t="shared" si="8"/>
        <v>36742</v>
      </c>
      <c r="M282" s="785"/>
      <c r="N282" s="786">
        <v>1250</v>
      </c>
      <c r="O282" s="786">
        <v>0</v>
      </c>
      <c r="P282" s="785">
        <v>0</v>
      </c>
      <c r="Q282" s="787">
        <f t="shared" si="9"/>
        <v>1250</v>
      </c>
      <c r="R282" s="785"/>
      <c r="S282" s="786">
        <v>14879</v>
      </c>
      <c r="T282" s="788">
        <v>4293</v>
      </c>
      <c r="U282" s="788">
        <v>19172</v>
      </c>
    </row>
    <row r="283" spans="1:21" x14ac:dyDescent="0.25">
      <c r="A283" s="782">
        <v>92917</v>
      </c>
      <c r="B283" s="783" t="s">
        <v>2898</v>
      </c>
      <c r="C283" s="784">
        <v>1.4800000000000001E-5</v>
      </c>
      <c r="D283" s="784">
        <v>2.0000000000000002E-5</v>
      </c>
      <c r="E283" s="800">
        <v>16082</v>
      </c>
      <c r="F283" s="785">
        <v>22610</v>
      </c>
      <c r="G283" s="785"/>
      <c r="H283" s="786">
        <v>1303</v>
      </c>
      <c r="I283" s="787">
        <v>5490</v>
      </c>
      <c r="J283" s="786">
        <v>3229</v>
      </c>
      <c r="K283" s="785">
        <v>13223</v>
      </c>
      <c r="L283" s="787">
        <f t="shared" si="8"/>
        <v>23245</v>
      </c>
      <c r="M283" s="785"/>
      <c r="N283" s="786">
        <v>640</v>
      </c>
      <c r="O283" s="786">
        <v>0</v>
      </c>
      <c r="P283" s="785">
        <v>0</v>
      </c>
      <c r="Q283" s="787">
        <f t="shared" si="9"/>
        <v>640</v>
      </c>
      <c r="R283" s="785"/>
      <c r="S283" s="786">
        <v>7620</v>
      </c>
      <c r="T283" s="788">
        <v>6352</v>
      </c>
      <c r="U283" s="788">
        <f>13971+1</f>
        <v>13972</v>
      </c>
    </row>
    <row r="284" spans="1:21" x14ac:dyDescent="0.25">
      <c r="A284" s="782">
        <v>92921</v>
      </c>
      <c r="B284" s="783" t="s">
        <v>2899</v>
      </c>
      <c r="C284" s="784">
        <v>7.4400000000000006E-5</v>
      </c>
      <c r="D284" s="784">
        <v>6.2899999999999997E-5</v>
      </c>
      <c r="E284" s="800">
        <v>41073</v>
      </c>
      <c r="F284" s="785">
        <v>113663</v>
      </c>
      <c r="G284" s="785"/>
      <c r="H284" s="786">
        <v>6548</v>
      </c>
      <c r="I284" s="787">
        <v>27597</v>
      </c>
      <c r="J284" s="786">
        <v>16233</v>
      </c>
      <c r="K284" s="785">
        <v>13244</v>
      </c>
      <c r="L284" s="787">
        <f t="shared" si="8"/>
        <v>63622</v>
      </c>
      <c r="M284" s="785"/>
      <c r="N284" s="786">
        <v>3217</v>
      </c>
      <c r="O284" s="786">
        <v>0</v>
      </c>
      <c r="P284" s="785">
        <v>7831</v>
      </c>
      <c r="Q284" s="787">
        <f t="shared" si="9"/>
        <v>11048</v>
      </c>
      <c r="R284" s="785"/>
      <c r="S284" s="786">
        <v>38304</v>
      </c>
      <c r="T284" s="788">
        <v>-2914</v>
      </c>
      <c r="U284" s="788">
        <v>35390</v>
      </c>
    </row>
    <row r="285" spans="1:21" x14ac:dyDescent="0.25">
      <c r="A285" s="782">
        <v>92931</v>
      </c>
      <c r="B285" s="783" t="s">
        <v>2900</v>
      </c>
      <c r="C285" s="784">
        <v>2.3996E-3</v>
      </c>
      <c r="D285" s="784">
        <v>2.5048000000000002E-3</v>
      </c>
      <c r="E285" s="800">
        <v>1109331</v>
      </c>
      <c r="F285" s="785">
        <v>3665924</v>
      </c>
      <c r="G285" s="785"/>
      <c r="H285" s="786">
        <v>211191</v>
      </c>
      <c r="I285" s="787">
        <v>890091</v>
      </c>
      <c r="J285" s="786">
        <v>523545</v>
      </c>
      <c r="K285" s="785">
        <v>7721</v>
      </c>
      <c r="L285" s="787">
        <f t="shared" si="8"/>
        <v>1632548</v>
      </c>
      <c r="M285" s="785"/>
      <c r="N285" s="786">
        <v>103771</v>
      </c>
      <c r="O285" s="786">
        <v>0</v>
      </c>
      <c r="P285" s="785">
        <v>147858</v>
      </c>
      <c r="Q285" s="787">
        <f t="shared" si="9"/>
        <v>251629</v>
      </c>
      <c r="R285" s="785"/>
      <c r="S285" s="786">
        <v>1235420</v>
      </c>
      <c r="T285" s="788">
        <v>-41276</v>
      </c>
      <c r="U285" s="788">
        <v>1194144</v>
      </c>
    </row>
    <row r="286" spans="1:21" x14ac:dyDescent="0.25">
      <c r="A286" s="782">
        <v>92941</v>
      </c>
      <c r="B286" s="783" t="s">
        <v>1423</v>
      </c>
      <c r="C286" s="784">
        <v>1.2300000000000001E-5</v>
      </c>
      <c r="D286" s="784">
        <v>1.84E-5</v>
      </c>
      <c r="E286" s="800">
        <v>8547</v>
      </c>
      <c r="F286" s="785">
        <v>18791</v>
      </c>
      <c r="G286" s="785"/>
      <c r="H286" s="786">
        <v>1083</v>
      </c>
      <c r="I286" s="787">
        <v>4563</v>
      </c>
      <c r="J286" s="786">
        <v>2684</v>
      </c>
      <c r="K286" s="785">
        <v>6612</v>
      </c>
      <c r="L286" s="787">
        <f t="shared" si="8"/>
        <v>14942</v>
      </c>
      <c r="M286" s="785"/>
      <c r="N286" s="786">
        <v>532</v>
      </c>
      <c r="O286" s="786">
        <v>0</v>
      </c>
      <c r="P286" s="785">
        <v>1770</v>
      </c>
      <c r="Q286" s="787">
        <f t="shared" si="9"/>
        <v>2302</v>
      </c>
      <c r="R286" s="785"/>
      <c r="S286" s="786">
        <v>6333</v>
      </c>
      <c r="T286" s="788">
        <v>3162</v>
      </c>
      <c r="U286" s="788">
        <v>9495</v>
      </c>
    </row>
    <row r="287" spans="1:21" x14ac:dyDescent="0.25">
      <c r="A287" s="782">
        <v>93001</v>
      </c>
      <c r="B287" s="783" t="s">
        <v>2901</v>
      </c>
      <c r="C287" s="784">
        <v>2.2227000000000002E-3</v>
      </c>
      <c r="D287" s="784">
        <v>2.2739000000000001E-3</v>
      </c>
      <c r="E287" s="800">
        <v>981066</v>
      </c>
      <c r="F287" s="785">
        <v>3395670</v>
      </c>
      <c r="G287" s="785"/>
      <c r="H287" s="786">
        <v>195622</v>
      </c>
      <c r="I287" s="787">
        <v>824473</v>
      </c>
      <c r="J287" s="786">
        <v>484949</v>
      </c>
      <c r="K287" s="785">
        <v>8733</v>
      </c>
      <c r="L287" s="787">
        <f t="shared" si="8"/>
        <v>1513777</v>
      </c>
      <c r="M287" s="785"/>
      <c r="N287" s="786">
        <v>96121</v>
      </c>
      <c r="O287" s="786">
        <v>0</v>
      </c>
      <c r="P287" s="785">
        <v>123729</v>
      </c>
      <c r="Q287" s="787">
        <f t="shared" si="9"/>
        <v>219850</v>
      </c>
      <c r="R287" s="785"/>
      <c r="S287" s="786">
        <v>1144344</v>
      </c>
      <c r="T287" s="788">
        <v>-57358</v>
      </c>
      <c r="U287" s="788">
        <v>1086986</v>
      </c>
    </row>
    <row r="288" spans="1:21" x14ac:dyDescent="0.25">
      <c r="A288" s="782">
        <v>93009</v>
      </c>
      <c r="B288" s="783" t="s">
        <v>2902</v>
      </c>
      <c r="C288" s="784">
        <v>1.47E-5</v>
      </c>
      <c r="D288" s="784">
        <v>1.5400000000000002E-5</v>
      </c>
      <c r="E288" s="800">
        <v>5348</v>
      </c>
      <c r="F288" s="785">
        <v>22458</v>
      </c>
      <c r="G288" s="785"/>
      <c r="H288" s="786">
        <v>1294</v>
      </c>
      <c r="I288" s="787">
        <v>5453</v>
      </c>
      <c r="J288" s="786">
        <v>3207</v>
      </c>
      <c r="K288" s="785">
        <v>0</v>
      </c>
      <c r="L288" s="787">
        <f t="shared" si="8"/>
        <v>9954</v>
      </c>
      <c r="M288" s="785"/>
      <c r="N288" s="786">
        <v>636</v>
      </c>
      <c r="O288" s="786">
        <v>0</v>
      </c>
      <c r="P288" s="785">
        <v>4280</v>
      </c>
      <c r="Q288" s="787">
        <f t="shared" si="9"/>
        <v>4916</v>
      </c>
      <c r="R288" s="785"/>
      <c r="S288" s="786">
        <v>7568</v>
      </c>
      <c r="T288" s="788">
        <v>-1918</v>
      </c>
      <c r="U288" s="788">
        <v>5650</v>
      </c>
    </row>
    <row r="289" spans="1:21" x14ac:dyDescent="0.25">
      <c r="A289" s="782">
        <v>93011</v>
      </c>
      <c r="B289" s="783" t="s">
        <v>2903</v>
      </c>
      <c r="C289" s="784">
        <v>2.2699999999999999E-4</v>
      </c>
      <c r="D289" s="784">
        <v>2.6160000000000002E-4</v>
      </c>
      <c r="E289" s="800">
        <v>118523</v>
      </c>
      <c r="F289" s="785">
        <v>346793</v>
      </c>
      <c r="G289" s="785"/>
      <c r="H289" s="786">
        <v>19978</v>
      </c>
      <c r="I289" s="787">
        <v>84202</v>
      </c>
      <c r="J289" s="786">
        <v>49527</v>
      </c>
      <c r="K289" s="785">
        <v>1542</v>
      </c>
      <c r="L289" s="787">
        <f t="shared" si="8"/>
        <v>155249</v>
      </c>
      <c r="M289" s="785"/>
      <c r="N289" s="786">
        <v>9817</v>
      </c>
      <c r="O289" s="786">
        <v>0</v>
      </c>
      <c r="P289" s="785">
        <v>15019</v>
      </c>
      <c r="Q289" s="787">
        <f t="shared" si="9"/>
        <v>24836</v>
      </c>
      <c r="R289" s="785"/>
      <c r="S289" s="786">
        <v>116870</v>
      </c>
      <c r="T289" s="788">
        <v>-3863</v>
      </c>
      <c r="U289" s="788">
        <v>113007</v>
      </c>
    </row>
    <row r="290" spans="1:21" x14ac:dyDescent="0.25">
      <c r="A290" s="782">
        <v>93021</v>
      </c>
      <c r="B290" s="783" t="s">
        <v>2904</v>
      </c>
      <c r="C290" s="784">
        <v>3.4199999999999998E-5</v>
      </c>
      <c r="D290" s="784">
        <v>2.8900000000000001E-5</v>
      </c>
      <c r="E290" s="800">
        <v>12994</v>
      </c>
      <c r="F290" s="785">
        <v>52248</v>
      </c>
      <c r="G290" s="785"/>
      <c r="H290" s="786">
        <v>3010</v>
      </c>
      <c r="I290" s="787">
        <v>12686</v>
      </c>
      <c r="J290" s="786">
        <v>7462</v>
      </c>
      <c r="K290" s="785">
        <v>3788</v>
      </c>
      <c r="L290" s="787">
        <f t="shared" si="8"/>
        <v>26946</v>
      </c>
      <c r="M290" s="785"/>
      <c r="N290" s="786">
        <v>1479</v>
      </c>
      <c r="O290" s="786">
        <v>0</v>
      </c>
      <c r="P290" s="785">
        <v>4978</v>
      </c>
      <c r="Q290" s="787">
        <f t="shared" si="9"/>
        <v>6457</v>
      </c>
      <c r="R290" s="785"/>
      <c r="S290" s="786">
        <v>17608</v>
      </c>
      <c r="T290" s="788">
        <v>260</v>
      </c>
      <c r="U290" s="788">
        <v>17868</v>
      </c>
    </row>
    <row r="291" spans="1:21" x14ac:dyDescent="0.25">
      <c r="A291" s="782">
        <v>93027</v>
      </c>
      <c r="B291" s="783" t="s">
        <v>2905</v>
      </c>
      <c r="C291" s="784">
        <v>1.6699999999999999E-5</v>
      </c>
      <c r="D291" s="784">
        <v>1.6699999999999999E-5</v>
      </c>
      <c r="E291" s="800">
        <v>8270</v>
      </c>
      <c r="F291" s="785">
        <v>25513</v>
      </c>
      <c r="G291" s="785"/>
      <c r="H291" s="786">
        <v>1470</v>
      </c>
      <c r="I291" s="787">
        <v>6194</v>
      </c>
      <c r="J291" s="786">
        <v>3644</v>
      </c>
      <c r="K291" s="785">
        <v>1152</v>
      </c>
      <c r="L291" s="787">
        <f t="shared" si="8"/>
        <v>12460</v>
      </c>
      <c r="M291" s="785"/>
      <c r="N291" s="786">
        <v>722</v>
      </c>
      <c r="O291" s="786">
        <v>0</v>
      </c>
      <c r="P291" s="785">
        <v>834</v>
      </c>
      <c r="Q291" s="787">
        <f t="shared" si="9"/>
        <v>1556</v>
      </c>
      <c r="R291" s="785"/>
      <c r="S291" s="786">
        <v>8598</v>
      </c>
      <c r="T291" s="788">
        <v>-308</v>
      </c>
      <c r="U291" s="788">
        <v>8290</v>
      </c>
    </row>
    <row r="292" spans="1:21" x14ac:dyDescent="0.25">
      <c r="A292" s="782">
        <v>93031</v>
      </c>
      <c r="B292" s="783" t="s">
        <v>2906</v>
      </c>
      <c r="C292" s="784">
        <v>2.1699999999999999E-5</v>
      </c>
      <c r="D292" s="784">
        <v>2.2399999999999999E-5</v>
      </c>
      <c r="E292" s="800">
        <v>20397</v>
      </c>
      <c r="F292" s="785">
        <v>33152</v>
      </c>
      <c r="G292" s="785"/>
      <c r="H292" s="786">
        <v>1910</v>
      </c>
      <c r="I292" s="787">
        <v>8050</v>
      </c>
      <c r="J292" s="786">
        <v>4735</v>
      </c>
      <c r="K292" s="785">
        <v>18910</v>
      </c>
      <c r="L292" s="787">
        <f t="shared" si="8"/>
        <v>33605</v>
      </c>
      <c r="M292" s="785"/>
      <c r="N292" s="786">
        <v>938</v>
      </c>
      <c r="O292" s="786">
        <v>0</v>
      </c>
      <c r="P292" s="785">
        <v>221</v>
      </c>
      <c r="Q292" s="787">
        <f t="shared" si="9"/>
        <v>1159</v>
      </c>
      <c r="R292" s="785"/>
      <c r="S292" s="786">
        <v>11172</v>
      </c>
      <c r="T292" s="788">
        <v>5880</v>
      </c>
      <c r="U292" s="788">
        <v>17052</v>
      </c>
    </row>
    <row r="293" spans="1:21" x14ac:dyDescent="0.25">
      <c r="A293" s="782">
        <v>93101</v>
      </c>
      <c r="B293" s="783" t="s">
        <v>2907</v>
      </c>
      <c r="C293" s="784">
        <v>3.5159000000000002E-3</v>
      </c>
      <c r="D293" s="784">
        <v>3.5771000000000002E-3</v>
      </c>
      <c r="E293" s="800">
        <v>1521217</v>
      </c>
      <c r="F293" s="785">
        <v>5371321</v>
      </c>
      <c r="G293" s="785"/>
      <c r="H293" s="786">
        <v>309438</v>
      </c>
      <c r="I293" s="787">
        <v>1304163</v>
      </c>
      <c r="J293" s="786">
        <v>767099</v>
      </c>
      <c r="K293" s="785">
        <v>104257</v>
      </c>
      <c r="L293" s="787">
        <f t="shared" si="8"/>
        <v>2484957</v>
      </c>
      <c r="M293" s="785"/>
      <c r="N293" s="786">
        <v>152045</v>
      </c>
      <c r="O293" s="786">
        <v>0</v>
      </c>
      <c r="P293" s="785">
        <v>115334</v>
      </c>
      <c r="Q293" s="787">
        <f t="shared" si="9"/>
        <v>267379</v>
      </c>
      <c r="R293" s="785"/>
      <c r="S293" s="786">
        <v>1810140</v>
      </c>
      <c r="T293" s="788">
        <v>39451</v>
      </c>
      <c r="U293" s="788">
        <v>1849591</v>
      </c>
    </row>
    <row r="294" spans="1:21" x14ac:dyDescent="0.25">
      <c r="A294" s="782">
        <v>93103</v>
      </c>
      <c r="B294" s="783" t="s">
        <v>2100</v>
      </c>
      <c r="C294" s="784">
        <v>1.7099999999999999E-5</v>
      </c>
      <c r="D294" s="784">
        <v>1.7200000000000001E-5</v>
      </c>
      <c r="E294" s="800">
        <v>5686</v>
      </c>
      <c r="F294" s="785">
        <v>26124</v>
      </c>
      <c r="G294" s="785"/>
      <c r="H294" s="786">
        <v>1505</v>
      </c>
      <c r="I294" s="787">
        <v>6343</v>
      </c>
      <c r="J294" s="786">
        <v>3731</v>
      </c>
      <c r="K294" s="785">
        <v>6718</v>
      </c>
      <c r="L294" s="787">
        <f t="shared" si="8"/>
        <v>18297</v>
      </c>
      <c r="M294" s="785"/>
      <c r="N294" s="786">
        <v>739</v>
      </c>
      <c r="O294" s="786">
        <v>0</v>
      </c>
      <c r="P294" s="785">
        <v>1798</v>
      </c>
      <c r="Q294" s="787">
        <f t="shared" si="9"/>
        <v>2537</v>
      </c>
      <c r="R294" s="785"/>
      <c r="S294" s="786">
        <v>8804</v>
      </c>
      <c r="T294" s="788">
        <v>2085</v>
      </c>
      <c r="U294" s="788">
        <v>10889</v>
      </c>
    </row>
    <row r="295" spans="1:21" x14ac:dyDescent="0.25">
      <c r="A295" s="782">
        <v>93108</v>
      </c>
      <c r="B295" s="783" t="s">
        <v>2908</v>
      </c>
      <c r="C295" s="784">
        <v>2.6624999999999999E-3</v>
      </c>
      <c r="D295" s="784">
        <v>2.5661999999999998E-3</v>
      </c>
      <c r="E295" s="800">
        <v>1189197</v>
      </c>
      <c r="F295" s="785">
        <v>4067562</v>
      </c>
      <c r="G295" s="785"/>
      <c r="H295" s="786">
        <v>234329</v>
      </c>
      <c r="I295" s="787">
        <v>987609</v>
      </c>
      <c r="J295" s="786">
        <v>580904</v>
      </c>
      <c r="K295" s="785">
        <v>274861</v>
      </c>
      <c r="L295" s="787">
        <f t="shared" si="8"/>
        <v>2077703</v>
      </c>
      <c r="M295" s="785"/>
      <c r="N295" s="786">
        <v>115140</v>
      </c>
      <c r="O295" s="786">
        <v>0</v>
      </c>
      <c r="P295" s="785">
        <v>0</v>
      </c>
      <c r="Q295" s="787">
        <f t="shared" si="9"/>
        <v>115140</v>
      </c>
      <c r="R295" s="785"/>
      <c r="S295" s="786">
        <v>1370772</v>
      </c>
      <c r="T295" s="788">
        <v>189775</v>
      </c>
      <c r="U295" s="788">
        <v>1560547</v>
      </c>
    </row>
    <row r="296" spans="1:21" x14ac:dyDescent="0.25">
      <c r="A296" s="782">
        <v>93111</v>
      </c>
      <c r="B296" s="783" t="s">
        <v>2909</v>
      </c>
      <c r="C296" s="784">
        <v>5.8499999999999999E-5</v>
      </c>
      <c r="D296" s="784">
        <v>7.08E-5</v>
      </c>
      <c r="E296" s="800">
        <v>27143</v>
      </c>
      <c r="F296" s="785">
        <v>89372</v>
      </c>
      <c r="G296" s="785"/>
      <c r="H296" s="786">
        <v>5149</v>
      </c>
      <c r="I296" s="787">
        <v>21700</v>
      </c>
      <c r="J296" s="786">
        <v>12764</v>
      </c>
      <c r="K296" s="785">
        <v>0</v>
      </c>
      <c r="L296" s="787">
        <f t="shared" si="8"/>
        <v>39613</v>
      </c>
      <c r="M296" s="785"/>
      <c r="N296" s="786">
        <v>2530</v>
      </c>
      <c r="O296" s="786">
        <v>0</v>
      </c>
      <c r="P296" s="785">
        <v>15463</v>
      </c>
      <c r="Q296" s="787">
        <f t="shared" si="9"/>
        <v>17993</v>
      </c>
      <c r="R296" s="785"/>
      <c r="S296" s="786">
        <v>30118</v>
      </c>
      <c r="T296" s="788">
        <v>-5541</v>
      </c>
      <c r="U296" s="788">
        <f>24578-1</f>
        <v>24577</v>
      </c>
    </row>
    <row r="297" spans="1:21" x14ac:dyDescent="0.25">
      <c r="A297" s="782">
        <v>93121</v>
      </c>
      <c r="B297" s="783" t="s">
        <v>2910</v>
      </c>
      <c r="C297" s="784">
        <v>6.2299999999999996E-5</v>
      </c>
      <c r="D297" s="784">
        <v>5.8900000000000002E-5</v>
      </c>
      <c r="E297" s="800">
        <v>28306</v>
      </c>
      <c r="F297" s="785">
        <v>95177</v>
      </c>
      <c r="G297" s="785"/>
      <c r="H297" s="786">
        <v>5483</v>
      </c>
      <c r="I297" s="787">
        <v>23109</v>
      </c>
      <c r="J297" s="786">
        <v>13593</v>
      </c>
      <c r="K297" s="785">
        <v>2043</v>
      </c>
      <c r="L297" s="787">
        <f t="shared" si="8"/>
        <v>44228</v>
      </c>
      <c r="M297" s="785"/>
      <c r="N297" s="786">
        <v>2694</v>
      </c>
      <c r="O297" s="786">
        <v>0</v>
      </c>
      <c r="P297" s="785">
        <v>9059</v>
      </c>
      <c r="Q297" s="787">
        <f t="shared" si="9"/>
        <v>11753</v>
      </c>
      <c r="R297" s="785"/>
      <c r="S297" s="786">
        <v>32075</v>
      </c>
      <c r="T297" s="788">
        <v>-3552</v>
      </c>
      <c r="U297" s="788">
        <f>28522+1</f>
        <v>28523</v>
      </c>
    </row>
    <row r="298" spans="1:21" x14ac:dyDescent="0.25">
      <c r="A298" s="782">
        <v>93127</v>
      </c>
      <c r="B298" s="783" t="s">
        <v>2911</v>
      </c>
      <c r="C298" s="784">
        <v>6.9E-6</v>
      </c>
      <c r="D298" s="784">
        <v>6.8000000000000001E-6</v>
      </c>
      <c r="E298" s="800">
        <v>3239</v>
      </c>
      <c r="F298" s="785">
        <v>10541</v>
      </c>
      <c r="G298" s="785"/>
      <c r="H298" s="786">
        <v>607</v>
      </c>
      <c r="I298" s="787">
        <v>2560</v>
      </c>
      <c r="J298" s="786">
        <v>1505</v>
      </c>
      <c r="K298" s="785">
        <v>124</v>
      </c>
      <c r="L298" s="787">
        <f t="shared" si="8"/>
        <v>4796</v>
      </c>
      <c r="M298" s="785"/>
      <c r="N298" s="786">
        <v>298</v>
      </c>
      <c r="O298" s="786">
        <v>0</v>
      </c>
      <c r="P298" s="785">
        <v>731</v>
      </c>
      <c r="Q298" s="787">
        <f t="shared" si="9"/>
        <v>1029</v>
      </c>
      <c r="R298" s="785"/>
      <c r="S298" s="786">
        <v>3552</v>
      </c>
      <c r="T298" s="788">
        <v>-369</v>
      </c>
      <c r="U298" s="788">
        <v>3183</v>
      </c>
    </row>
    <row r="299" spans="1:21" x14ac:dyDescent="0.25">
      <c r="A299" s="782">
        <v>93131</v>
      </c>
      <c r="B299" s="783" t="s">
        <v>2912</v>
      </c>
      <c r="C299" s="784">
        <v>2.218E-4</v>
      </c>
      <c r="D299" s="784">
        <v>2.3939999999999999E-4</v>
      </c>
      <c r="E299" s="800">
        <v>95091</v>
      </c>
      <c r="F299" s="785">
        <v>338849</v>
      </c>
      <c r="G299" s="785"/>
      <c r="H299" s="786">
        <v>19521</v>
      </c>
      <c r="I299" s="787">
        <v>82273</v>
      </c>
      <c r="J299" s="786">
        <v>48392</v>
      </c>
      <c r="K299" s="785">
        <v>7888</v>
      </c>
      <c r="L299" s="787">
        <f t="shared" si="8"/>
        <v>158074</v>
      </c>
      <c r="M299" s="785"/>
      <c r="N299" s="786">
        <v>9592</v>
      </c>
      <c r="O299" s="786">
        <v>0</v>
      </c>
      <c r="P299" s="785">
        <v>21906</v>
      </c>
      <c r="Q299" s="787">
        <f t="shared" si="9"/>
        <v>31498</v>
      </c>
      <c r="R299" s="785"/>
      <c r="S299" s="786">
        <v>114192</v>
      </c>
      <c r="T299" s="788">
        <v>-530</v>
      </c>
      <c r="U299" s="788">
        <v>113662</v>
      </c>
    </row>
    <row r="300" spans="1:21" x14ac:dyDescent="0.25">
      <c r="A300" s="782">
        <v>93137</v>
      </c>
      <c r="B300" s="783" t="s">
        <v>2913</v>
      </c>
      <c r="C300" s="784">
        <v>3.3000000000000002E-6</v>
      </c>
      <c r="D300" s="784">
        <v>1.9E-6</v>
      </c>
      <c r="E300" s="800">
        <v>2530</v>
      </c>
      <c r="F300" s="785">
        <v>5041</v>
      </c>
      <c r="G300" s="785"/>
      <c r="H300" s="786">
        <v>290</v>
      </c>
      <c r="I300" s="787">
        <v>1224</v>
      </c>
      <c r="J300" s="786">
        <v>720</v>
      </c>
      <c r="K300" s="785">
        <v>2709</v>
      </c>
      <c r="L300" s="787">
        <f t="shared" si="8"/>
        <v>4943</v>
      </c>
      <c r="M300" s="785"/>
      <c r="N300" s="786">
        <v>143</v>
      </c>
      <c r="O300" s="786">
        <v>0</v>
      </c>
      <c r="P300" s="785">
        <v>0</v>
      </c>
      <c r="Q300" s="787">
        <f t="shared" si="9"/>
        <v>143</v>
      </c>
      <c r="R300" s="785"/>
      <c r="S300" s="786">
        <v>1699</v>
      </c>
      <c r="T300" s="788">
        <v>839</v>
      </c>
      <c r="U300" s="788">
        <v>2538</v>
      </c>
    </row>
    <row r="301" spans="1:21" x14ac:dyDescent="0.25">
      <c r="A301" s="782">
        <v>93141</v>
      </c>
      <c r="B301" s="783" t="s">
        <v>2914</v>
      </c>
      <c r="C301" s="784">
        <v>4.1100000000000003E-5</v>
      </c>
      <c r="D301" s="784">
        <v>4.5500000000000001E-5</v>
      </c>
      <c r="E301" s="800">
        <v>16199</v>
      </c>
      <c r="F301" s="785">
        <v>62789</v>
      </c>
      <c r="G301" s="785"/>
      <c r="H301" s="786">
        <v>3617</v>
      </c>
      <c r="I301" s="787">
        <v>15246</v>
      </c>
      <c r="J301" s="786">
        <v>8967</v>
      </c>
      <c r="K301" s="785">
        <v>2083</v>
      </c>
      <c r="L301" s="787">
        <f t="shared" si="8"/>
        <v>29913</v>
      </c>
      <c r="M301" s="785"/>
      <c r="N301" s="786">
        <v>1777</v>
      </c>
      <c r="O301" s="786">
        <v>0</v>
      </c>
      <c r="P301" s="785">
        <v>7408</v>
      </c>
      <c r="Q301" s="787">
        <f t="shared" si="9"/>
        <v>9185</v>
      </c>
      <c r="R301" s="785"/>
      <c r="S301" s="786">
        <v>21160</v>
      </c>
      <c r="T301" s="788">
        <v>-351</v>
      </c>
      <c r="U301" s="788">
        <v>20809</v>
      </c>
    </row>
    <row r="302" spans="1:21" x14ac:dyDescent="0.25">
      <c r="A302" s="782">
        <v>93151</v>
      </c>
      <c r="B302" s="783" t="s">
        <v>2915</v>
      </c>
      <c r="C302" s="784">
        <v>3.4279999999999998E-4</v>
      </c>
      <c r="D302" s="784">
        <v>3.6539999999999999E-4</v>
      </c>
      <c r="E302" s="800">
        <v>156182</v>
      </c>
      <c r="F302" s="785">
        <v>523703</v>
      </c>
      <c r="G302" s="785"/>
      <c r="H302" s="786">
        <v>30170</v>
      </c>
      <c r="I302" s="787">
        <v>127156</v>
      </c>
      <c r="J302" s="786">
        <v>74792</v>
      </c>
      <c r="K302" s="785">
        <v>3795</v>
      </c>
      <c r="L302" s="787">
        <f t="shared" si="8"/>
        <v>235913</v>
      </c>
      <c r="M302" s="785"/>
      <c r="N302" s="786">
        <v>14824</v>
      </c>
      <c r="O302" s="786">
        <v>0</v>
      </c>
      <c r="P302" s="785">
        <v>19989</v>
      </c>
      <c r="Q302" s="787">
        <f t="shared" si="9"/>
        <v>34813</v>
      </c>
      <c r="R302" s="785"/>
      <c r="S302" s="786">
        <v>176489</v>
      </c>
      <c r="T302" s="788">
        <v>-4355</v>
      </c>
      <c r="U302" s="788">
        <f>172133+1</f>
        <v>172134</v>
      </c>
    </row>
    <row r="303" spans="1:21" x14ac:dyDescent="0.25">
      <c r="A303" s="782">
        <v>93157</v>
      </c>
      <c r="B303" s="783" t="s">
        <v>2916</v>
      </c>
      <c r="C303" s="784">
        <v>3.5999999999999998E-6</v>
      </c>
      <c r="D303" s="784">
        <v>3.8E-6</v>
      </c>
      <c r="E303" s="800">
        <v>6045</v>
      </c>
      <c r="F303" s="785">
        <v>5500</v>
      </c>
      <c r="G303" s="785"/>
      <c r="H303" s="786">
        <v>317</v>
      </c>
      <c r="I303" s="787">
        <v>1336</v>
      </c>
      <c r="J303" s="786">
        <v>785</v>
      </c>
      <c r="K303" s="785">
        <v>6931</v>
      </c>
      <c r="L303" s="787">
        <f t="shared" si="8"/>
        <v>9369</v>
      </c>
      <c r="M303" s="785"/>
      <c r="N303" s="786">
        <v>156</v>
      </c>
      <c r="O303" s="786">
        <v>0</v>
      </c>
      <c r="P303" s="785">
        <v>340</v>
      </c>
      <c r="Q303" s="787">
        <f t="shared" si="9"/>
        <v>496</v>
      </c>
      <c r="R303" s="785"/>
      <c r="S303" s="786">
        <v>1853</v>
      </c>
      <c r="T303" s="788">
        <v>2783</v>
      </c>
      <c r="U303" s="788">
        <f>4637-1</f>
        <v>4636</v>
      </c>
    </row>
    <row r="304" spans="1:21" x14ac:dyDescent="0.25">
      <c r="A304" s="782">
        <v>93161</v>
      </c>
      <c r="B304" s="783" t="s">
        <v>2917</v>
      </c>
      <c r="C304" s="784">
        <v>1.038E-4</v>
      </c>
      <c r="D304" s="784">
        <v>6.2500000000000001E-5</v>
      </c>
      <c r="E304" s="800">
        <v>47956</v>
      </c>
      <c r="F304" s="785">
        <v>158578</v>
      </c>
      <c r="G304" s="785"/>
      <c r="H304" s="786">
        <v>9136</v>
      </c>
      <c r="I304" s="787">
        <v>38503</v>
      </c>
      <c r="J304" s="786">
        <v>22647</v>
      </c>
      <c r="K304" s="785">
        <v>35990</v>
      </c>
      <c r="L304" s="787">
        <f t="shared" si="8"/>
        <v>106276</v>
      </c>
      <c r="M304" s="785"/>
      <c r="N304" s="786">
        <v>4489</v>
      </c>
      <c r="O304" s="786">
        <v>0</v>
      </c>
      <c r="P304" s="785">
        <v>0</v>
      </c>
      <c r="Q304" s="787">
        <f t="shared" si="9"/>
        <v>4489</v>
      </c>
      <c r="R304" s="785"/>
      <c r="S304" s="786">
        <v>53441</v>
      </c>
      <c r="T304" s="788">
        <v>13001</v>
      </c>
      <c r="U304" s="788">
        <v>66442</v>
      </c>
    </row>
    <row r="305" spans="1:21" x14ac:dyDescent="0.25">
      <c r="A305" s="782">
        <v>93171</v>
      </c>
      <c r="B305" s="783" t="s">
        <v>2918</v>
      </c>
      <c r="C305" s="784">
        <v>5.2000000000000002E-6</v>
      </c>
      <c r="D305" s="784">
        <v>5.8000000000000004E-6</v>
      </c>
      <c r="E305" s="800">
        <v>3889</v>
      </c>
      <c r="F305" s="785">
        <v>7944</v>
      </c>
      <c r="G305" s="785"/>
      <c r="H305" s="786">
        <v>458</v>
      </c>
      <c r="I305" s="787">
        <v>1929</v>
      </c>
      <c r="J305" s="786">
        <v>1135</v>
      </c>
      <c r="K305" s="785">
        <v>1960</v>
      </c>
      <c r="L305" s="787">
        <f t="shared" si="8"/>
        <v>5482</v>
      </c>
      <c r="M305" s="785"/>
      <c r="N305" s="786">
        <v>225</v>
      </c>
      <c r="O305" s="786">
        <v>0</v>
      </c>
      <c r="P305" s="785">
        <v>0</v>
      </c>
      <c r="Q305" s="787">
        <f t="shared" si="9"/>
        <v>225</v>
      </c>
      <c r="R305" s="785"/>
      <c r="S305" s="786">
        <v>2677</v>
      </c>
      <c r="T305" s="788">
        <v>791</v>
      </c>
      <c r="U305" s="788">
        <v>3468</v>
      </c>
    </row>
    <row r="306" spans="1:21" x14ac:dyDescent="0.25">
      <c r="A306" s="782">
        <v>93181</v>
      </c>
      <c r="B306" s="783" t="s">
        <v>2919</v>
      </c>
      <c r="C306" s="784">
        <v>1.13E-5</v>
      </c>
      <c r="D306" s="784">
        <v>1.1E-5</v>
      </c>
      <c r="E306" s="800">
        <v>5393</v>
      </c>
      <c r="F306" s="785">
        <v>17263</v>
      </c>
      <c r="G306" s="785"/>
      <c r="H306" s="786">
        <v>995</v>
      </c>
      <c r="I306" s="787">
        <v>4191</v>
      </c>
      <c r="J306" s="786">
        <v>2465</v>
      </c>
      <c r="K306" s="785">
        <v>772</v>
      </c>
      <c r="L306" s="787">
        <f t="shared" si="8"/>
        <v>8423</v>
      </c>
      <c r="M306" s="785"/>
      <c r="N306" s="786">
        <v>489</v>
      </c>
      <c r="O306" s="786">
        <v>0</v>
      </c>
      <c r="P306" s="785">
        <v>28</v>
      </c>
      <c r="Q306" s="787">
        <f t="shared" si="9"/>
        <v>517</v>
      </c>
      <c r="R306" s="785"/>
      <c r="S306" s="786">
        <v>5818</v>
      </c>
      <c r="T306" s="788">
        <v>412</v>
      </c>
      <c r="U306" s="788">
        <v>6230</v>
      </c>
    </row>
    <row r="307" spans="1:21" x14ac:dyDescent="0.25">
      <c r="A307" s="782">
        <v>93191</v>
      </c>
      <c r="B307" s="783" t="s">
        <v>2920</v>
      </c>
      <c r="C307" s="784">
        <v>2.4600000000000002E-5</v>
      </c>
      <c r="D307" s="784">
        <v>3.3000000000000003E-5</v>
      </c>
      <c r="E307" s="800">
        <v>16089</v>
      </c>
      <c r="F307" s="785">
        <v>37582</v>
      </c>
      <c r="G307" s="785"/>
      <c r="H307" s="786">
        <v>2165</v>
      </c>
      <c r="I307" s="787">
        <v>9125</v>
      </c>
      <c r="J307" s="786">
        <v>5367</v>
      </c>
      <c r="K307" s="785">
        <v>1713</v>
      </c>
      <c r="L307" s="787">
        <f t="shared" si="8"/>
        <v>18370</v>
      </c>
      <c r="M307" s="785"/>
      <c r="N307" s="786">
        <v>1064</v>
      </c>
      <c r="O307" s="786">
        <v>0</v>
      </c>
      <c r="P307" s="785">
        <v>2443</v>
      </c>
      <c r="Q307" s="787">
        <f t="shared" si="9"/>
        <v>3507</v>
      </c>
      <c r="R307" s="785"/>
      <c r="S307" s="786">
        <v>12665</v>
      </c>
      <c r="T307" s="788">
        <v>-169</v>
      </c>
      <c r="U307" s="788">
        <v>12496</v>
      </c>
    </row>
    <row r="308" spans="1:21" x14ac:dyDescent="0.25">
      <c r="A308" s="782">
        <v>93201</v>
      </c>
      <c r="B308" s="783" t="s">
        <v>2921</v>
      </c>
      <c r="C308" s="784">
        <v>1.5517E-2</v>
      </c>
      <c r="D308" s="784">
        <v>1.5819699999999999E-2</v>
      </c>
      <c r="E308" s="800">
        <v>7119270</v>
      </c>
      <c r="F308" s="785">
        <v>23705678</v>
      </c>
      <c r="G308" s="785"/>
      <c r="H308" s="786">
        <v>1365667</v>
      </c>
      <c r="I308" s="787">
        <v>5755768</v>
      </c>
      <c r="J308" s="786">
        <v>3385499</v>
      </c>
      <c r="K308" s="785">
        <v>809545</v>
      </c>
      <c r="L308" s="787">
        <f t="shared" si="8"/>
        <v>11316479</v>
      </c>
      <c r="M308" s="785"/>
      <c r="N308" s="786">
        <v>671033</v>
      </c>
      <c r="O308" s="786">
        <v>0</v>
      </c>
      <c r="P308" s="785">
        <v>206420</v>
      </c>
      <c r="Q308" s="787">
        <f t="shared" si="9"/>
        <v>877453</v>
      </c>
      <c r="R308" s="785"/>
      <c r="S308" s="786">
        <v>7988834</v>
      </c>
      <c r="T308" s="788">
        <v>397964</v>
      </c>
      <c r="U308" s="788">
        <f>8386799-1</f>
        <v>8386798</v>
      </c>
    </row>
    <row r="309" spans="1:21" x14ac:dyDescent="0.25">
      <c r="A309" s="782">
        <v>93202</v>
      </c>
      <c r="B309" s="783" t="s">
        <v>2922</v>
      </c>
      <c r="C309" s="784">
        <v>0</v>
      </c>
      <c r="D309" s="784">
        <v>0</v>
      </c>
      <c r="E309" s="800" t="e">
        <v>#N/A</v>
      </c>
      <c r="F309" s="785">
        <v>0</v>
      </c>
      <c r="G309" s="785"/>
      <c r="H309" s="786">
        <v>0</v>
      </c>
      <c r="I309" s="787">
        <v>0</v>
      </c>
      <c r="J309" s="786">
        <v>0</v>
      </c>
      <c r="K309" s="785">
        <v>0</v>
      </c>
      <c r="L309" s="787">
        <f t="shared" si="8"/>
        <v>0</v>
      </c>
      <c r="M309" s="785"/>
      <c r="N309" s="786">
        <v>0</v>
      </c>
      <c r="O309" s="786">
        <v>0</v>
      </c>
      <c r="P309" s="785">
        <v>212519</v>
      </c>
      <c r="Q309" s="787">
        <f t="shared" si="9"/>
        <v>212519</v>
      </c>
      <c r="R309" s="785"/>
      <c r="S309" s="786">
        <v>0</v>
      </c>
      <c r="T309" s="788">
        <v>-109544</v>
      </c>
      <c r="U309" s="788">
        <v>-109544</v>
      </c>
    </row>
    <row r="310" spans="1:21" x14ac:dyDescent="0.25">
      <c r="A310" s="782">
        <v>93204</v>
      </c>
      <c r="B310" s="783" t="s">
        <v>2923</v>
      </c>
      <c r="C310" s="784">
        <v>3.0279999999999999E-4</v>
      </c>
      <c r="D310" s="784">
        <v>2.9480000000000001E-4</v>
      </c>
      <c r="E310" s="800">
        <v>157546</v>
      </c>
      <c r="F310" s="785">
        <v>462595</v>
      </c>
      <c r="G310" s="785"/>
      <c r="H310" s="786">
        <v>26650</v>
      </c>
      <c r="I310" s="787">
        <v>112319</v>
      </c>
      <c r="J310" s="786">
        <v>66065</v>
      </c>
      <c r="K310" s="785">
        <v>24167</v>
      </c>
      <c r="L310" s="787">
        <f t="shared" si="8"/>
        <v>229201</v>
      </c>
      <c r="M310" s="785"/>
      <c r="N310" s="786">
        <v>13095</v>
      </c>
      <c r="O310" s="786">
        <v>0</v>
      </c>
      <c r="P310" s="785">
        <v>9452</v>
      </c>
      <c r="Q310" s="787">
        <f t="shared" si="9"/>
        <v>22547</v>
      </c>
      <c r="R310" s="785"/>
      <c r="S310" s="786">
        <v>155895</v>
      </c>
      <c r="T310" s="788">
        <v>782</v>
      </c>
      <c r="U310" s="788">
        <v>156677</v>
      </c>
    </row>
    <row r="311" spans="1:21" x14ac:dyDescent="0.25">
      <c r="A311" s="782">
        <v>93209</v>
      </c>
      <c r="B311" s="783" t="s">
        <v>2924</v>
      </c>
      <c r="C311" s="784">
        <v>4.6693999999999998E-3</v>
      </c>
      <c r="D311" s="784">
        <v>4.5113999999999996E-3</v>
      </c>
      <c r="E311" s="800">
        <v>2094525</v>
      </c>
      <c r="F311" s="785">
        <v>7133550</v>
      </c>
      <c r="G311" s="785"/>
      <c r="H311" s="786">
        <v>410959</v>
      </c>
      <c r="I311" s="787">
        <v>1732035</v>
      </c>
      <c r="J311" s="786">
        <v>1018770</v>
      </c>
      <c r="K311" s="785">
        <v>838336</v>
      </c>
      <c r="L311" s="787">
        <f t="shared" si="8"/>
        <v>4000100</v>
      </c>
      <c r="M311" s="785"/>
      <c r="N311" s="786">
        <v>201928</v>
      </c>
      <c r="O311" s="786">
        <v>0</v>
      </c>
      <c r="P311" s="785">
        <v>0</v>
      </c>
      <c r="Q311" s="787">
        <f t="shared" si="9"/>
        <v>201928</v>
      </c>
      <c r="R311" s="785"/>
      <c r="S311" s="786">
        <v>2404013</v>
      </c>
      <c r="T311" s="788">
        <v>551077</v>
      </c>
      <c r="U311" s="788">
        <v>2955090</v>
      </c>
    </row>
    <row r="312" spans="1:21" x14ac:dyDescent="0.25">
      <c r="A312" s="782">
        <v>93211</v>
      </c>
      <c r="B312" s="783" t="s">
        <v>2925</v>
      </c>
      <c r="C312" s="784">
        <v>2.0374099999999999E-2</v>
      </c>
      <c r="D312" s="784">
        <v>2.0456800000000001E-2</v>
      </c>
      <c r="E312" s="800">
        <v>9330077</v>
      </c>
      <c r="F312" s="785">
        <v>31125981</v>
      </c>
      <c r="G312" s="785"/>
      <c r="H312" s="786">
        <v>1793145</v>
      </c>
      <c r="I312" s="787">
        <v>7557426</v>
      </c>
      <c r="J312" s="786">
        <v>4445221</v>
      </c>
      <c r="K312" s="785">
        <v>0</v>
      </c>
      <c r="L312" s="787">
        <f t="shared" si="8"/>
        <v>13795792</v>
      </c>
      <c r="M312" s="785"/>
      <c r="N312" s="786">
        <v>881078</v>
      </c>
      <c r="O312" s="786">
        <v>0</v>
      </c>
      <c r="P312" s="785">
        <v>991023</v>
      </c>
      <c r="Q312" s="787">
        <f t="shared" si="9"/>
        <v>1872101</v>
      </c>
      <c r="R312" s="785"/>
      <c r="S312" s="786">
        <v>10489483</v>
      </c>
      <c r="T312" s="788">
        <v>-507236</v>
      </c>
      <c r="U312" s="788">
        <v>9982247</v>
      </c>
    </row>
    <row r="313" spans="1:21" x14ac:dyDescent="0.25">
      <c r="A313" s="782">
        <v>93212</v>
      </c>
      <c r="B313" s="783" t="s">
        <v>2926</v>
      </c>
      <c r="C313" s="784">
        <v>2.2130000000000001E-4</v>
      </c>
      <c r="D313" s="784">
        <v>2.052E-4</v>
      </c>
      <c r="E313" s="800">
        <v>193584</v>
      </c>
      <c r="F313" s="785">
        <v>338085</v>
      </c>
      <c r="G313" s="785"/>
      <c r="H313" s="786">
        <v>19477</v>
      </c>
      <c r="I313" s="787">
        <v>82087</v>
      </c>
      <c r="J313" s="786">
        <v>48283</v>
      </c>
      <c r="K313" s="785">
        <v>158429</v>
      </c>
      <c r="L313" s="787">
        <f t="shared" si="8"/>
        <v>308276</v>
      </c>
      <c r="M313" s="785"/>
      <c r="N313" s="786">
        <v>9570</v>
      </c>
      <c r="O313" s="786">
        <v>0</v>
      </c>
      <c r="P313" s="785">
        <v>0</v>
      </c>
      <c r="Q313" s="787">
        <f t="shared" si="9"/>
        <v>9570</v>
      </c>
      <c r="R313" s="785"/>
      <c r="S313" s="786">
        <v>113935</v>
      </c>
      <c r="T313" s="788">
        <v>53448</v>
      </c>
      <c r="U313" s="788">
        <v>167383</v>
      </c>
    </row>
    <row r="314" spans="1:21" x14ac:dyDescent="0.25">
      <c r="A314" s="782">
        <v>93219</v>
      </c>
      <c r="B314" s="783" t="s">
        <v>2927</v>
      </c>
      <c r="C314" s="784">
        <v>2.6289999999999999E-4</v>
      </c>
      <c r="D314" s="784">
        <v>2.286E-4</v>
      </c>
      <c r="E314" s="800">
        <v>120179</v>
      </c>
      <c r="F314" s="785">
        <v>401638</v>
      </c>
      <c r="G314" s="785"/>
      <c r="H314" s="786">
        <v>23138</v>
      </c>
      <c r="I314" s="787">
        <v>97518</v>
      </c>
      <c r="J314" s="786">
        <v>57360</v>
      </c>
      <c r="K314" s="785">
        <v>22706</v>
      </c>
      <c r="L314" s="787">
        <f t="shared" si="8"/>
        <v>200722</v>
      </c>
      <c r="M314" s="785"/>
      <c r="N314" s="786">
        <v>11369</v>
      </c>
      <c r="O314" s="786">
        <v>0</v>
      </c>
      <c r="P314" s="785">
        <v>9094</v>
      </c>
      <c r="Q314" s="787">
        <f t="shared" si="9"/>
        <v>20463</v>
      </c>
      <c r="R314" s="785"/>
      <c r="S314" s="786">
        <v>135352</v>
      </c>
      <c r="T314" s="788">
        <v>1456</v>
      </c>
      <c r="U314" s="788">
        <f>136809-1</f>
        <v>136808</v>
      </c>
    </row>
    <row r="315" spans="1:21" x14ac:dyDescent="0.25">
      <c r="A315" s="782">
        <v>93301</v>
      </c>
      <c r="B315" s="783" t="s">
        <v>2928</v>
      </c>
      <c r="C315" s="784">
        <v>2.5243000000000002E-3</v>
      </c>
      <c r="D315" s="784">
        <v>2.5330999999999999E-3</v>
      </c>
      <c r="E315" s="800">
        <v>1153746</v>
      </c>
      <c r="F315" s="785">
        <v>3856431</v>
      </c>
      <c r="G315" s="785"/>
      <c r="H315" s="786">
        <v>222166</v>
      </c>
      <c r="I315" s="787">
        <v>936346</v>
      </c>
      <c r="J315" s="786">
        <v>550752</v>
      </c>
      <c r="K315" s="785">
        <v>47371</v>
      </c>
      <c r="L315" s="787">
        <f t="shared" si="8"/>
        <v>1756635</v>
      </c>
      <c r="M315" s="785"/>
      <c r="N315" s="786">
        <v>109163</v>
      </c>
      <c r="O315" s="786">
        <v>0</v>
      </c>
      <c r="P315" s="785">
        <v>61692</v>
      </c>
      <c r="Q315" s="787">
        <f t="shared" si="9"/>
        <v>170855</v>
      </c>
      <c r="R315" s="785"/>
      <c r="S315" s="786">
        <v>1299621</v>
      </c>
      <c r="T315" s="788">
        <v>-19789</v>
      </c>
      <c r="U315" s="788">
        <f>1279831+1</f>
        <v>1279832</v>
      </c>
    </row>
    <row r="316" spans="1:21" x14ac:dyDescent="0.25">
      <c r="A316" s="782">
        <v>93304</v>
      </c>
      <c r="B316" s="783" t="s">
        <v>2929</v>
      </c>
      <c r="C316" s="784">
        <v>3.0300000000000001E-5</v>
      </c>
      <c r="D316" s="784">
        <v>3.4400000000000003E-5</v>
      </c>
      <c r="E316" s="800">
        <v>18289</v>
      </c>
      <c r="F316" s="785">
        <v>46290</v>
      </c>
      <c r="G316" s="785"/>
      <c r="H316" s="786">
        <v>2667</v>
      </c>
      <c r="I316" s="787">
        <v>11239</v>
      </c>
      <c r="J316" s="786">
        <v>6611</v>
      </c>
      <c r="K316" s="785">
        <v>9418</v>
      </c>
      <c r="L316" s="787">
        <f t="shared" si="8"/>
        <v>29935</v>
      </c>
      <c r="M316" s="785"/>
      <c r="N316" s="786">
        <v>1310</v>
      </c>
      <c r="O316" s="786">
        <v>0</v>
      </c>
      <c r="P316" s="785">
        <v>0</v>
      </c>
      <c r="Q316" s="787">
        <f t="shared" si="9"/>
        <v>1310</v>
      </c>
      <c r="R316" s="785"/>
      <c r="S316" s="786">
        <v>15600</v>
      </c>
      <c r="T316" s="788">
        <v>5129</v>
      </c>
      <c r="U316" s="788">
        <v>20729</v>
      </c>
    </row>
    <row r="317" spans="1:21" x14ac:dyDescent="0.25">
      <c r="A317" s="782">
        <v>93305</v>
      </c>
      <c r="B317" s="783" t="s">
        <v>2930</v>
      </c>
      <c r="C317" s="784">
        <v>4.6999999999999997E-5</v>
      </c>
      <c r="D317" s="784">
        <v>4.9400000000000001E-5</v>
      </c>
      <c r="E317" s="800">
        <v>19565</v>
      </c>
      <c r="F317" s="785">
        <v>71803</v>
      </c>
      <c r="G317" s="785"/>
      <c r="H317" s="786">
        <v>4137</v>
      </c>
      <c r="I317" s="787">
        <v>17434</v>
      </c>
      <c r="J317" s="786">
        <v>10254</v>
      </c>
      <c r="K317" s="785">
        <v>0</v>
      </c>
      <c r="L317" s="787">
        <f t="shared" si="8"/>
        <v>31825</v>
      </c>
      <c r="M317" s="785"/>
      <c r="N317" s="786">
        <v>2033</v>
      </c>
      <c r="O317" s="786">
        <v>0</v>
      </c>
      <c r="P317" s="785">
        <v>5631</v>
      </c>
      <c r="Q317" s="787">
        <f t="shared" si="9"/>
        <v>7664</v>
      </c>
      <c r="R317" s="785"/>
      <c r="S317" s="786">
        <v>24198</v>
      </c>
      <c r="T317" s="788">
        <v>-1929</v>
      </c>
      <c r="U317" s="788">
        <v>22269</v>
      </c>
    </row>
    <row r="318" spans="1:21" x14ac:dyDescent="0.25">
      <c r="A318" s="782">
        <v>93309</v>
      </c>
      <c r="B318" s="783" t="s">
        <v>2931</v>
      </c>
      <c r="C318" s="784">
        <v>1.63E-4</v>
      </c>
      <c r="D318" s="784">
        <v>1.716E-4</v>
      </c>
      <c r="E318" s="800">
        <v>89051</v>
      </c>
      <c r="F318" s="785">
        <v>249019</v>
      </c>
      <c r="G318" s="785"/>
      <c r="H318" s="786">
        <v>14346</v>
      </c>
      <c r="I318" s="787">
        <v>60462</v>
      </c>
      <c r="J318" s="786">
        <v>35563</v>
      </c>
      <c r="K318" s="785">
        <v>22457</v>
      </c>
      <c r="L318" s="787">
        <f t="shared" si="8"/>
        <v>132828</v>
      </c>
      <c r="M318" s="785"/>
      <c r="N318" s="786">
        <v>7049</v>
      </c>
      <c r="O318" s="786">
        <v>0</v>
      </c>
      <c r="P318" s="785">
        <v>981</v>
      </c>
      <c r="Q318" s="787">
        <f t="shared" si="9"/>
        <v>8030</v>
      </c>
      <c r="R318" s="785"/>
      <c r="S318" s="786">
        <v>83920</v>
      </c>
      <c r="T318" s="788">
        <v>7147</v>
      </c>
      <c r="U318" s="788">
        <v>91067</v>
      </c>
    </row>
    <row r="319" spans="1:21" x14ac:dyDescent="0.25">
      <c r="A319" s="782">
        <v>93311</v>
      </c>
      <c r="B319" s="783" t="s">
        <v>2932</v>
      </c>
      <c r="C319" s="784">
        <v>1.1665E-3</v>
      </c>
      <c r="D319" s="784">
        <v>1.1567000000000001E-3</v>
      </c>
      <c r="E319" s="800">
        <v>529432</v>
      </c>
      <c r="F319" s="785">
        <v>1782089</v>
      </c>
      <c r="G319" s="785"/>
      <c r="H319" s="786">
        <v>102665</v>
      </c>
      <c r="I319" s="787">
        <v>432693</v>
      </c>
      <c r="J319" s="786">
        <v>254507</v>
      </c>
      <c r="K319" s="785">
        <v>1699</v>
      </c>
      <c r="L319" s="787">
        <f t="shared" si="8"/>
        <v>791564</v>
      </c>
      <c r="M319" s="785"/>
      <c r="N319" s="786">
        <v>50445</v>
      </c>
      <c r="O319" s="786">
        <v>0</v>
      </c>
      <c r="P319" s="785">
        <v>83745</v>
      </c>
      <c r="Q319" s="787">
        <f t="shared" si="9"/>
        <v>134190</v>
      </c>
      <c r="R319" s="785"/>
      <c r="S319" s="786">
        <v>600566</v>
      </c>
      <c r="T319" s="788">
        <v>-37677</v>
      </c>
      <c r="U319" s="788">
        <v>562889</v>
      </c>
    </row>
    <row r="320" spans="1:21" x14ac:dyDescent="0.25">
      <c r="A320" s="782">
        <v>93317</v>
      </c>
      <c r="B320" s="783" t="s">
        <v>2933</v>
      </c>
      <c r="C320" s="784">
        <v>5.0099999999999998E-5</v>
      </c>
      <c r="D320" s="784">
        <v>4.8099999999999997E-5</v>
      </c>
      <c r="E320" s="800">
        <v>21779</v>
      </c>
      <c r="F320" s="785">
        <v>76539</v>
      </c>
      <c r="G320" s="785"/>
      <c r="H320" s="786">
        <v>4409</v>
      </c>
      <c r="I320" s="787">
        <v>18583</v>
      </c>
      <c r="J320" s="786">
        <v>10931</v>
      </c>
      <c r="K320" s="785">
        <v>805</v>
      </c>
      <c r="L320" s="787">
        <f t="shared" si="8"/>
        <v>34728</v>
      </c>
      <c r="M320" s="785"/>
      <c r="N320" s="786">
        <v>2167</v>
      </c>
      <c r="O320" s="786">
        <v>0</v>
      </c>
      <c r="P320" s="785">
        <v>277</v>
      </c>
      <c r="Q320" s="787">
        <f t="shared" si="9"/>
        <v>2444</v>
      </c>
      <c r="R320" s="785"/>
      <c r="S320" s="786">
        <v>25794</v>
      </c>
      <c r="T320" s="788">
        <v>-23</v>
      </c>
      <c r="U320" s="788">
        <f>25770+1</f>
        <v>25771</v>
      </c>
    </row>
    <row r="321" spans="1:21" x14ac:dyDescent="0.25">
      <c r="A321" s="782">
        <v>93321</v>
      </c>
      <c r="B321" s="783" t="s">
        <v>2934</v>
      </c>
      <c r="C321" s="784">
        <v>7.3600000000000002E-3</v>
      </c>
      <c r="D321" s="784">
        <v>7.4706E-3</v>
      </c>
      <c r="E321" s="800">
        <v>3205902</v>
      </c>
      <c r="F321" s="785">
        <v>11244041</v>
      </c>
      <c r="G321" s="785"/>
      <c r="H321" s="786">
        <v>647761</v>
      </c>
      <c r="I321" s="787">
        <v>2730067</v>
      </c>
      <c r="J321" s="786">
        <v>1605805</v>
      </c>
      <c r="K321" s="785">
        <v>0</v>
      </c>
      <c r="L321" s="787">
        <f t="shared" si="8"/>
        <v>4983633</v>
      </c>
      <c r="M321" s="785"/>
      <c r="N321" s="786">
        <v>318283</v>
      </c>
      <c r="O321" s="786">
        <v>0</v>
      </c>
      <c r="P321" s="785">
        <v>681688</v>
      </c>
      <c r="Q321" s="787">
        <f t="shared" si="9"/>
        <v>999971</v>
      </c>
      <c r="R321" s="785"/>
      <c r="S321" s="786">
        <v>3789252</v>
      </c>
      <c r="T321" s="788">
        <v>-330030</v>
      </c>
      <c r="U321" s="788">
        <f>3459221+1</f>
        <v>3459222</v>
      </c>
    </row>
    <row r="322" spans="1:21" x14ac:dyDescent="0.25">
      <c r="A322" s="782">
        <v>93323</v>
      </c>
      <c r="B322" s="783" t="s">
        <v>2935</v>
      </c>
      <c r="C322" s="784">
        <v>2.19E-5</v>
      </c>
      <c r="D322" s="784">
        <v>1.0200000000000001E-5</v>
      </c>
      <c r="E322" s="800">
        <v>8923</v>
      </c>
      <c r="F322" s="785">
        <v>33457</v>
      </c>
      <c r="G322" s="785"/>
      <c r="H322" s="786">
        <v>1927</v>
      </c>
      <c r="I322" s="787">
        <v>8123</v>
      </c>
      <c r="J322" s="786">
        <v>4778</v>
      </c>
      <c r="K322" s="785">
        <v>8607</v>
      </c>
      <c r="L322" s="787">
        <f t="shared" si="8"/>
        <v>23435</v>
      </c>
      <c r="M322" s="785"/>
      <c r="N322" s="786">
        <v>947</v>
      </c>
      <c r="O322" s="786">
        <v>0</v>
      </c>
      <c r="P322" s="785">
        <v>1100</v>
      </c>
      <c r="Q322" s="787">
        <f t="shared" si="9"/>
        <v>2047</v>
      </c>
      <c r="R322" s="785"/>
      <c r="S322" s="786">
        <v>11275</v>
      </c>
      <c r="T322" s="788">
        <v>2519</v>
      </c>
      <c r="U322" s="788">
        <v>13794</v>
      </c>
    </row>
    <row r="323" spans="1:21" x14ac:dyDescent="0.25">
      <c r="A323" s="782">
        <v>93331</v>
      </c>
      <c r="B323" s="783" t="s">
        <v>2936</v>
      </c>
      <c r="C323" s="784">
        <v>1.208E-4</v>
      </c>
      <c r="D323" s="784">
        <v>1.3090000000000001E-4</v>
      </c>
      <c r="E323" s="800">
        <v>56936</v>
      </c>
      <c r="F323" s="785">
        <v>184549</v>
      </c>
      <c r="G323" s="785"/>
      <c r="H323" s="786">
        <v>10632</v>
      </c>
      <c r="I323" s="787">
        <v>44809</v>
      </c>
      <c r="J323" s="786">
        <v>26356</v>
      </c>
      <c r="K323" s="785">
        <v>2512</v>
      </c>
      <c r="L323" s="787">
        <f t="shared" si="8"/>
        <v>84309</v>
      </c>
      <c r="M323" s="785"/>
      <c r="N323" s="786">
        <v>5224</v>
      </c>
      <c r="O323" s="786">
        <v>0</v>
      </c>
      <c r="P323" s="785">
        <v>11531</v>
      </c>
      <c r="Q323" s="787">
        <f t="shared" si="9"/>
        <v>16755</v>
      </c>
      <c r="R323" s="785"/>
      <c r="S323" s="786">
        <v>62193</v>
      </c>
      <c r="T323" s="788">
        <v>-2506</v>
      </c>
      <c r="U323" s="788">
        <v>59687</v>
      </c>
    </row>
    <row r="324" spans="1:21" x14ac:dyDescent="0.25">
      <c r="A324" s="782">
        <v>93333</v>
      </c>
      <c r="B324" s="783" t="s">
        <v>2937</v>
      </c>
      <c r="C324" s="784">
        <v>1.796E-4</v>
      </c>
      <c r="D324" s="784">
        <v>1.9990000000000001E-4</v>
      </c>
      <c r="E324" s="800">
        <v>190543</v>
      </c>
      <c r="F324" s="785">
        <v>274379</v>
      </c>
      <c r="G324" s="785"/>
      <c r="H324" s="786">
        <v>15807</v>
      </c>
      <c r="I324" s="787">
        <v>66619</v>
      </c>
      <c r="J324" s="786">
        <v>39185</v>
      </c>
      <c r="K324" s="785">
        <v>194737</v>
      </c>
      <c r="L324" s="787">
        <f t="shared" si="8"/>
        <v>316348</v>
      </c>
      <c r="M324" s="785"/>
      <c r="N324" s="786">
        <v>7767</v>
      </c>
      <c r="O324" s="786">
        <v>0</v>
      </c>
      <c r="P324" s="785">
        <v>0</v>
      </c>
      <c r="Q324" s="787">
        <f t="shared" si="9"/>
        <v>7767</v>
      </c>
      <c r="R324" s="785"/>
      <c r="S324" s="786">
        <v>92466</v>
      </c>
      <c r="T324" s="788">
        <v>74695</v>
      </c>
      <c r="U324" s="788">
        <v>167161</v>
      </c>
    </row>
    <row r="325" spans="1:21" x14ac:dyDescent="0.25">
      <c r="A325" s="782">
        <v>93341</v>
      </c>
      <c r="B325" s="783" t="s">
        <v>2938</v>
      </c>
      <c r="C325" s="784">
        <v>2.34E-5</v>
      </c>
      <c r="D325" s="784">
        <v>2.73E-5</v>
      </c>
      <c r="E325" s="800">
        <v>12933</v>
      </c>
      <c r="F325" s="785">
        <v>35749</v>
      </c>
      <c r="G325" s="785"/>
      <c r="H325" s="786">
        <v>2059</v>
      </c>
      <c r="I325" s="787">
        <v>8680</v>
      </c>
      <c r="J325" s="786">
        <v>5105</v>
      </c>
      <c r="K325" s="785">
        <v>1866</v>
      </c>
      <c r="L325" s="787">
        <f t="shared" si="8"/>
        <v>17710</v>
      </c>
      <c r="M325" s="785"/>
      <c r="N325" s="786">
        <v>1012</v>
      </c>
      <c r="O325" s="786">
        <v>0</v>
      </c>
      <c r="P325" s="785">
        <v>863</v>
      </c>
      <c r="Q325" s="787">
        <f t="shared" si="9"/>
        <v>1875</v>
      </c>
      <c r="R325" s="785"/>
      <c r="S325" s="786">
        <v>12047</v>
      </c>
      <c r="T325" s="788">
        <v>708</v>
      </c>
      <c r="U325" s="788">
        <v>12755</v>
      </c>
    </row>
    <row r="326" spans="1:21" x14ac:dyDescent="0.25">
      <c r="A326" s="782">
        <v>93351</v>
      </c>
      <c r="B326" s="783" t="s">
        <v>2939</v>
      </c>
      <c r="C326" s="784">
        <v>3.4E-5</v>
      </c>
      <c r="D326" s="784">
        <v>1.5999999999999999E-5</v>
      </c>
      <c r="E326" s="800">
        <v>16319</v>
      </c>
      <c r="F326" s="785">
        <v>51943</v>
      </c>
      <c r="G326" s="785"/>
      <c r="H326" s="786">
        <v>2992</v>
      </c>
      <c r="I326" s="787">
        <v>12611</v>
      </c>
      <c r="J326" s="786">
        <v>7418</v>
      </c>
      <c r="K326" s="785">
        <v>18867</v>
      </c>
      <c r="L326" s="787">
        <f t="shared" si="8"/>
        <v>41888</v>
      </c>
      <c r="M326" s="785"/>
      <c r="N326" s="786">
        <v>1470</v>
      </c>
      <c r="O326" s="786">
        <v>0</v>
      </c>
      <c r="P326" s="785">
        <v>4169</v>
      </c>
      <c r="Q326" s="787">
        <f t="shared" si="9"/>
        <v>5639</v>
      </c>
      <c r="R326" s="785"/>
      <c r="S326" s="786">
        <v>17505</v>
      </c>
      <c r="T326" s="788">
        <v>2906</v>
      </c>
      <c r="U326" s="788">
        <f>20410+1</f>
        <v>20411</v>
      </c>
    </row>
    <row r="327" spans="1:21" x14ac:dyDescent="0.25">
      <c r="A327" s="782">
        <v>93401</v>
      </c>
      <c r="B327" s="783" t="s">
        <v>2940</v>
      </c>
      <c r="C327" s="784">
        <v>1.3834900000000001E-2</v>
      </c>
      <c r="D327" s="784">
        <v>1.37997E-2</v>
      </c>
      <c r="E327" s="800">
        <v>6356857</v>
      </c>
      <c r="F327" s="785">
        <v>21135895</v>
      </c>
      <c r="G327" s="785"/>
      <c r="H327" s="786">
        <v>1217623</v>
      </c>
      <c r="I327" s="787">
        <v>5131821</v>
      </c>
      <c r="J327" s="786">
        <v>3018498</v>
      </c>
      <c r="K327" s="785">
        <v>99926</v>
      </c>
      <c r="L327" s="787">
        <f t="shared" ref="L327:L390" si="10">H327+I327+J327+K327</f>
        <v>9467868</v>
      </c>
      <c r="M327" s="785"/>
      <c r="N327" s="786">
        <v>598290</v>
      </c>
      <c r="O327" s="786">
        <v>0</v>
      </c>
      <c r="P327" s="785">
        <v>186001</v>
      </c>
      <c r="Q327" s="787">
        <f t="shared" ref="Q327:Q390" si="11">N327+O327+P327</f>
        <v>784291</v>
      </c>
      <c r="R327" s="785"/>
      <c r="S327" s="786">
        <v>7122815</v>
      </c>
      <c r="T327" s="788">
        <v>-76616</v>
      </c>
      <c r="U327" s="788">
        <v>7046199</v>
      </c>
    </row>
    <row r="328" spans="1:21" x14ac:dyDescent="0.25">
      <c r="A328" s="782">
        <v>93402</v>
      </c>
      <c r="B328" s="783" t="s">
        <v>2941</v>
      </c>
      <c r="C328" s="784">
        <v>9.8800000000000003E-5</v>
      </c>
      <c r="D328" s="784">
        <v>9.2999999999999997E-5</v>
      </c>
      <c r="E328" s="800">
        <v>38604</v>
      </c>
      <c r="F328" s="785">
        <v>150939</v>
      </c>
      <c r="G328" s="785"/>
      <c r="H328" s="786">
        <v>8695</v>
      </c>
      <c r="I328" s="787">
        <v>36648</v>
      </c>
      <c r="J328" s="786">
        <v>21556</v>
      </c>
      <c r="K328" s="785">
        <v>5545</v>
      </c>
      <c r="L328" s="787">
        <f t="shared" si="10"/>
        <v>72444</v>
      </c>
      <c r="M328" s="785"/>
      <c r="N328" s="786">
        <v>4273</v>
      </c>
      <c r="O328" s="786">
        <v>0</v>
      </c>
      <c r="P328" s="785">
        <v>3446</v>
      </c>
      <c r="Q328" s="787">
        <f t="shared" si="11"/>
        <v>7719</v>
      </c>
      <c r="R328" s="785"/>
      <c r="S328" s="786">
        <v>50867</v>
      </c>
      <c r="T328" s="788">
        <v>3029</v>
      </c>
      <c r="U328" s="788">
        <f>53895+1</f>
        <v>53896</v>
      </c>
    </row>
    <row r="329" spans="1:21" x14ac:dyDescent="0.25">
      <c r="A329" s="782">
        <v>93406</v>
      </c>
      <c r="B329" s="783" t="s">
        <v>2942</v>
      </c>
      <c r="C329" s="784">
        <v>6.5059999999999998E-4</v>
      </c>
      <c r="D329" s="784">
        <v>7.1170000000000001E-4</v>
      </c>
      <c r="E329" s="800">
        <v>289720</v>
      </c>
      <c r="F329" s="785">
        <v>993937</v>
      </c>
      <c r="G329" s="785"/>
      <c r="H329" s="786">
        <v>57260</v>
      </c>
      <c r="I329" s="787">
        <v>241329</v>
      </c>
      <c r="J329" s="786">
        <v>141948</v>
      </c>
      <c r="K329" s="785">
        <v>26056</v>
      </c>
      <c r="L329" s="787">
        <f t="shared" si="10"/>
        <v>466593</v>
      </c>
      <c r="M329" s="785"/>
      <c r="N329" s="786">
        <v>28135</v>
      </c>
      <c r="O329" s="786">
        <v>0</v>
      </c>
      <c r="P329" s="785">
        <v>48133</v>
      </c>
      <c r="Q329" s="787">
        <f t="shared" si="11"/>
        <v>76268</v>
      </c>
      <c r="R329" s="785"/>
      <c r="S329" s="786">
        <v>334958</v>
      </c>
      <c r="T329" s="788">
        <v>7011</v>
      </c>
      <c r="U329" s="788">
        <f>341968+1</f>
        <v>341969</v>
      </c>
    </row>
    <row r="330" spans="1:21" x14ac:dyDescent="0.25">
      <c r="A330" s="782">
        <v>93408</v>
      </c>
      <c r="B330" s="783" t="s">
        <v>2943</v>
      </c>
      <c r="C330" s="784">
        <v>0</v>
      </c>
      <c r="D330" s="784">
        <v>1.8967999999999999E-3</v>
      </c>
      <c r="E330" s="800">
        <v>73962</v>
      </c>
      <c r="F330" s="785">
        <v>0</v>
      </c>
      <c r="G330" s="785"/>
      <c r="H330" s="786">
        <v>0</v>
      </c>
      <c r="I330" s="787">
        <v>0</v>
      </c>
      <c r="J330" s="786">
        <v>0</v>
      </c>
      <c r="K330" s="785">
        <v>173575</v>
      </c>
      <c r="L330" s="787">
        <f t="shared" si="10"/>
        <v>173575</v>
      </c>
      <c r="M330" s="785"/>
      <c r="N330" s="786">
        <v>0</v>
      </c>
      <c r="O330" s="786">
        <v>0</v>
      </c>
      <c r="P330" s="785">
        <v>1605024</v>
      </c>
      <c r="Q330" s="787">
        <f t="shared" si="11"/>
        <v>1605024</v>
      </c>
      <c r="R330" s="785"/>
      <c r="S330" s="786">
        <v>0</v>
      </c>
      <c r="T330" s="788">
        <v>-292149</v>
      </c>
      <c r="U330" s="788">
        <v>-292149</v>
      </c>
    </row>
    <row r="331" spans="1:21" x14ac:dyDescent="0.25">
      <c r="A331" s="782">
        <v>93411</v>
      </c>
      <c r="B331" s="783" t="s">
        <v>2944</v>
      </c>
      <c r="C331" s="784">
        <v>1.7454999999999998E-2</v>
      </c>
      <c r="D331" s="784">
        <v>1.73309E-2</v>
      </c>
      <c r="E331" s="800">
        <v>8222694</v>
      </c>
      <c r="F331" s="785">
        <v>26666405</v>
      </c>
      <c r="G331" s="785"/>
      <c r="H331" s="786">
        <v>1536232</v>
      </c>
      <c r="I331" s="787">
        <v>6474635</v>
      </c>
      <c r="J331" s="786">
        <v>3808332</v>
      </c>
      <c r="K331" s="785">
        <v>250711</v>
      </c>
      <c r="L331" s="787">
        <f t="shared" si="10"/>
        <v>12069910</v>
      </c>
      <c r="M331" s="785"/>
      <c r="N331" s="786">
        <v>754841</v>
      </c>
      <c r="O331" s="786">
        <v>0</v>
      </c>
      <c r="P331" s="785">
        <v>594754</v>
      </c>
      <c r="Q331" s="787">
        <f t="shared" si="11"/>
        <v>1349595</v>
      </c>
      <c r="R331" s="785"/>
      <c r="S331" s="786">
        <v>8986602</v>
      </c>
      <c r="T331" s="788">
        <v>-306468</v>
      </c>
      <c r="U331" s="788">
        <v>8680134</v>
      </c>
    </row>
    <row r="332" spans="1:21" x14ac:dyDescent="0.25">
      <c r="A332" s="782">
        <v>93413</v>
      </c>
      <c r="B332" s="783" t="s">
        <v>2945</v>
      </c>
      <c r="C332" s="784">
        <v>7.7070000000000003E-4</v>
      </c>
      <c r="D332" s="784">
        <v>8.0130000000000002E-4</v>
      </c>
      <c r="E332" s="800">
        <v>378796</v>
      </c>
      <c r="F332" s="785">
        <v>1177416</v>
      </c>
      <c r="G332" s="785"/>
      <c r="H332" s="786">
        <v>67830</v>
      </c>
      <c r="I332" s="787">
        <v>285878</v>
      </c>
      <c r="J332" s="786">
        <v>168151</v>
      </c>
      <c r="K332" s="785">
        <v>0</v>
      </c>
      <c r="L332" s="787">
        <f t="shared" si="10"/>
        <v>521859</v>
      </c>
      <c r="M332" s="785"/>
      <c r="N332" s="786">
        <v>33329</v>
      </c>
      <c r="O332" s="786">
        <v>0</v>
      </c>
      <c r="P332" s="785">
        <v>35372</v>
      </c>
      <c r="Q332" s="787">
        <f t="shared" si="11"/>
        <v>68701</v>
      </c>
      <c r="R332" s="785"/>
      <c r="S332" s="786">
        <v>396790</v>
      </c>
      <c r="T332" s="788">
        <v>-17507</v>
      </c>
      <c r="U332" s="788">
        <v>379283</v>
      </c>
    </row>
    <row r="333" spans="1:21" x14ac:dyDescent="0.25">
      <c r="A333" s="782">
        <v>93417</v>
      </c>
      <c r="B333" s="783" t="s">
        <v>2946</v>
      </c>
      <c r="C333" s="784">
        <v>3.4430000000000002E-4</v>
      </c>
      <c r="D333" s="784">
        <v>4.1130000000000002E-4</v>
      </c>
      <c r="E333" s="800">
        <v>172878</v>
      </c>
      <c r="F333" s="785">
        <v>525995</v>
      </c>
      <c r="G333" s="785"/>
      <c r="H333" s="786">
        <v>30302</v>
      </c>
      <c r="I333" s="787">
        <v>127712</v>
      </c>
      <c r="J333" s="786">
        <v>75119</v>
      </c>
      <c r="K333" s="785">
        <v>15432</v>
      </c>
      <c r="L333" s="787">
        <f t="shared" si="10"/>
        <v>248565</v>
      </c>
      <c r="M333" s="785"/>
      <c r="N333" s="786">
        <v>14889</v>
      </c>
      <c r="O333" s="786">
        <v>0</v>
      </c>
      <c r="P333" s="785">
        <v>33069</v>
      </c>
      <c r="Q333" s="787">
        <f t="shared" si="11"/>
        <v>47958</v>
      </c>
      <c r="R333" s="785"/>
      <c r="S333" s="786">
        <v>177261</v>
      </c>
      <c r="T333" s="788">
        <v>5883</v>
      </c>
      <c r="U333" s="788">
        <v>183144</v>
      </c>
    </row>
    <row r="334" spans="1:21" x14ac:dyDescent="0.25">
      <c r="A334" s="782">
        <v>93421</v>
      </c>
      <c r="B334" s="783" t="s">
        <v>2947</v>
      </c>
      <c r="C334" s="784">
        <v>2.1294999999999999E-3</v>
      </c>
      <c r="D334" s="784">
        <v>2.1646E-3</v>
      </c>
      <c r="E334" s="800">
        <v>893357</v>
      </c>
      <c r="F334" s="785">
        <v>3253286</v>
      </c>
      <c r="G334" s="785"/>
      <c r="H334" s="786">
        <v>187419</v>
      </c>
      <c r="I334" s="787">
        <v>789902</v>
      </c>
      <c r="J334" s="786">
        <v>464614</v>
      </c>
      <c r="K334" s="785">
        <v>0</v>
      </c>
      <c r="L334" s="787">
        <f t="shared" si="10"/>
        <v>1441935</v>
      </c>
      <c r="M334" s="785"/>
      <c r="N334" s="786">
        <v>92090</v>
      </c>
      <c r="O334" s="786">
        <v>0</v>
      </c>
      <c r="P334" s="785">
        <v>273225</v>
      </c>
      <c r="Q334" s="787">
        <f t="shared" si="11"/>
        <v>365315</v>
      </c>
      <c r="R334" s="785"/>
      <c r="S334" s="786">
        <v>1096360</v>
      </c>
      <c r="T334" s="788">
        <v>-126565</v>
      </c>
      <c r="U334" s="788">
        <v>969795</v>
      </c>
    </row>
    <row r="335" spans="1:21" x14ac:dyDescent="0.25">
      <c r="A335" s="782">
        <v>93431</v>
      </c>
      <c r="B335" s="783" t="s">
        <v>2948</v>
      </c>
      <c r="C335" s="784">
        <v>1.2689999999999999E-4</v>
      </c>
      <c r="D335" s="784">
        <v>1.127E-4</v>
      </c>
      <c r="E335" s="800">
        <v>61080</v>
      </c>
      <c r="F335" s="785">
        <v>193868</v>
      </c>
      <c r="G335" s="785"/>
      <c r="H335" s="786">
        <v>11169</v>
      </c>
      <c r="I335" s="787">
        <v>47071</v>
      </c>
      <c r="J335" s="786">
        <v>27687</v>
      </c>
      <c r="K335" s="785">
        <v>12612</v>
      </c>
      <c r="L335" s="787">
        <f t="shared" si="10"/>
        <v>98539</v>
      </c>
      <c r="M335" s="785"/>
      <c r="N335" s="786">
        <v>5488</v>
      </c>
      <c r="O335" s="786">
        <v>0</v>
      </c>
      <c r="P335" s="785">
        <v>5397</v>
      </c>
      <c r="Q335" s="787">
        <f t="shared" si="11"/>
        <v>10885</v>
      </c>
      <c r="R335" s="785"/>
      <c r="S335" s="786">
        <v>65334</v>
      </c>
      <c r="T335" s="788">
        <v>1734</v>
      </c>
      <c r="U335" s="788">
        <v>67068</v>
      </c>
    </row>
    <row r="336" spans="1:21" x14ac:dyDescent="0.25">
      <c r="A336" s="782">
        <v>93441</v>
      </c>
      <c r="B336" s="783" t="s">
        <v>2949</v>
      </c>
      <c r="C336" s="784">
        <v>1.54E-4</v>
      </c>
      <c r="D336" s="784">
        <v>1.4970000000000001E-4</v>
      </c>
      <c r="E336" s="800">
        <v>77933</v>
      </c>
      <c r="F336" s="785">
        <v>235269</v>
      </c>
      <c r="G336" s="785"/>
      <c r="H336" s="786">
        <v>13554</v>
      </c>
      <c r="I336" s="787">
        <v>57124</v>
      </c>
      <c r="J336" s="786">
        <v>33600</v>
      </c>
      <c r="K336" s="785">
        <v>30786</v>
      </c>
      <c r="L336" s="787">
        <f t="shared" si="10"/>
        <v>135064</v>
      </c>
      <c r="M336" s="785"/>
      <c r="N336" s="786">
        <v>6660</v>
      </c>
      <c r="O336" s="786">
        <v>0</v>
      </c>
      <c r="P336" s="785">
        <v>0</v>
      </c>
      <c r="Q336" s="787">
        <f t="shared" si="11"/>
        <v>6660</v>
      </c>
      <c r="R336" s="785"/>
      <c r="S336" s="786">
        <v>79286</v>
      </c>
      <c r="T336" s="788">
        <v>14822</v>
      </c>
      <c r="U336" s="788">
        <v>94108</v>
      </c>
    </row>
    <row r="337" spans="1:21" x14ac:dyDescent="0.25">
      <c r="A337" s="782">
        <v>93442</v>
      </c>
      <c r="B337" s="783" t="s">
        <v>2950</v>
      </c>
      <c r="C337" s="784">
        <v>1.505E-4</v>
      </c>
      <c r="D337" s="784">
        <v>1.3540000000000001E-4</v>
      </c>
      <c r="E337" s="800">
        <v>57507</v>
      </c>
      <c r="F337" s="785">
        <v>229922</v>
      </c>
      <c r="G337" s="785"/>
      <c r="H337" s="786">
        <v>13246</v>
      </c>
      <c r="I337" s="787">
        <v>55826</v>
      </c>
      <c r="J337" s="786">
        <v>32836</v>
      </c>
      <c r="K337" s="785">
        <v>5191</v>
      </c>
      <c r="L337" s="787">
        <f t="shared" si="10"/>
        <v>107099</v>
      </c>
      <c r="M337" s="785"/>
      <c r="N337" s="786">
        <v>6508</v>
      </c>
      <c r="O337" s="786">
        <v>0</v>
      </c>
      <c r="P337" s="785">
        <v>20988</v>
      </c>
      <c r="Q337" s="787">
        <f t="shared" si="11"/>
        <v>27496</v>
      </c>
      <c r="R337" s="785"/>
      <c r="S337" s="786">
        <v>77484</v>
      </c>
      <c r="T337" s="788">
        <v>-6353</v>
      </c>
      <c r="U337" s="788">
        <v>71131</v>
      </c>
    </row>
    <row r="338" spans="1:21" x14ac:dyDescent="0.25">
      <c r="A338" s="782">
        <v>93451</v>
      </c>
      <c r="B338" s="783" t="s">
        <v>2951</v>
      </c>
      <c r="C338" s="784">
        <v>7.0900000000000002E-5</v>
      </c>
      <c r="D338" s="784">
        <v>7.6899999999999999E-5</v>
      </c>
      <c r="E338" s="800">
        <v>41775</v>
      </c>
      <c r="F338" s="785">
        <v>108316</v>
      </c>
      <c r="G338" s="785"/>
      <c r="H338" s="786">
        <v>6240</v>
      </c>
      <c r="I338" s="787">
        <v>26299</v>
      </c>
      <c r="J338" s="786">
        <v>15469</v>
      </c>
      <c r="K338" s="785">
        <v>16242</v>
      </c>
      <c r="L338" s="787">
        <f t="shared" si="10"/>
        <v>64250</v>
      </c>
      <c r="M338" s="785"/>
      <c r="N338" s="786">
        <v>3066</v>
      </c>
      <c r="O338" s="786">
        <v>0</v>
      </c>
      <c r="P338" s="785">
        <v>1492</v>
      </c>
      <c r="Q338" s="787">
        <f t="shared" si="11"/>
        <v>4558</v>
      </c>
      <c r="R338" s="785"/>
      <c r="S338" s="786">
        <v>36502</v>
      </c>
      <c r="T338" s="788">
        <v>5181</v>
      </c>
      <c r="U338" s="788">
        <f>41684-1</f>
        <v>41683</v>
      </c>
    </row>
    <row r="339" spans="1:21" x14ac:dyDescent="0.25">
      <c r="A339" s="782">
        <v>93461</v>
      </c>
      <c r="B339" s="783" t="s">
        <v>2952</v>
      </c>
      <c r="C339" s="784">
        <v>1.66E-5</v>
      </c>
      <c r="D339" s="784">
        <v>1.7200000000000001E-5</v>
      </c>
      <c r="E339" s="800">
        <v>8264</v>
      </c>
      <c r="F339" s="785">
        <v>25360</v>
      </c>
      <c r="G339" s="785"/>
      <c r="H339" s="786">
        <v>1461</v>
      </c>
      <c r="I339" s="787">
        <v>6157</v>
      </c>
      <c r="J339" s="786">
        <v>3622</v>
      </c>
      <c r="K339" s="785">
        <v>580</v>
      </c>
      <c r="L339" s="787">
        <f t="shared" si="10"/>
        <v>11820</v>
      </c>
      <c r="M339" s="785"/>
      <c r="N339" s="786">
        <v>718</v>
      </c>
      <c r="O339" s="786">
        <v>0</v>
      </c>
      <c r="P339" s="785">
        <v>0</v>
      </c>
      <c r="Q339" s="787">
        <f t="shared" si="11"/>
        <v>718</v>
      </c>
      <c r="R339" s="785"/>
      <c r="S339" s="786">
        <v>8546</v>
      </c>
      <c r="T339" s="788">
        <v>254</v>
      </c>
      <c r="U339" s="788">
        <f>8801-1</f>
        <v>8800</v>
      </c>
    </row>
    <row r="340" spans="1:21" x14ac:dyDescent="0.25">
      <c r="A340" s="782">
        <v>93471</v>
      </c>
      <c r="B340" s="783" t="s">
        <v>2953</v>
      </c>
      <c r="C340" s="784">
        <v>1.31E-5</v>
      </c>
      <c r="D340" s="784">
        <v>1.1800000000000001E-5</v>
      </c>
      <c r="E340" s="800">
        <v>8324</v>
      </c>
      <c r="F340" s="785">
        <v>20013</v>
      </c>
      <c r="G340" s="785"/>
      <c r="H340" s="786">
        <v>1153</v>
      </c>
      <c r="I340" s="787">
        <v>4859</v>
      </c>
      <c r="J340" s="786">
        <v>2858</v>
      </c>
      <c r="K340" s="785">
        <v>4280</v>
      </c>
      <c r="L340" s="787">
        <f t="shared" si="10"/>
        <v>13150</v>
      </c>
      <c r="M340" s="785"/>
      <c r="N340" s="786">
        <v>567</v>
      </c>
      <c r="O340" s="786">
        <v>0</v>
      </c>
      <c r="P340" s="785">
        <v>63</v>
      </c>
      <c r="Q340" s="787">
        <f t="shared" si="11"/>
        <v>630</v>
      </c>
      <c r="R340" s="785"/>
      <c r="S340" s="786">
        <v>6744</v>
      </c>
      <c r="T340" s="788">
        <v>1243</v>
      </c>
      <c r="U340" s="788">
        <v>7987</v>
      </c>
    </row>
    <row r="341" spans="1:21" x14ac:dyDescent="0.25">
      <c r="A341" s="782">
        <v>93501</v>
      </c>
      <c r="B341" s="783" t="s">
        <v>2954</v>
      </c>
      <c r="C341" s="784">
        <v>3.6113999999999999E-3</v>
      </c>
      <c r="D341" s="784">
        <v>3.4039000000000001E-3</v>
      </c>
      <c r="E341" s="800">
        <v>1661033</v>
      </c>
      <c r="F341" s="785">
        <v>5517219</v>
      </c>
      <c r="G341" s="785"/>
      <c r="H341" s="786">
        <v>317843</v>
      </c>
      <c r="I341" s="787">
        <v>1339587</v>
      </c>
      <c r="J341" s="786">
        <v>787935</v>
      </c>
      <c r="K341" s="785">
        <v>233815</v>
      </c>
      <c r="L341" s="787">
        <f t="shared" si="10"/>
        <v>2679180</v>
      </c>
      <c r="M341" s="785"/>
      <c r="N341" s="786">
        <v>156175</v>
      </c>
      <c r="O341" s="786">
        <v>0</v>
      </c>
      <c r="P341" s="785">
        <v>57589</v>
      </c>
      <c r="Q341" s="787">
        <f t="shared" si="11"/>
        <v>213764</v>
      </c>
      <c r="R341" s="785"/>
      <c r="S341" s="786">
        <v>1859308</v>
      </c>
      <c r="T341" s="788">
        <v>88331</v>
      </c>
      <c r="U341" s="788">
        <v>1947639</v>
      </c>
    </row>
    <row r="342" spans="1:21" x14ac:dyDescent="0.25">
      <c r="A342" s="782">
        <v>93511</v>
      </c>
      <c r="B342" s="783" t="s">
        <v>2955</v>
      </c>
      <c r="C342" s="784">
        <v>8.8300000000000005E-5</v>
      </c>
      <c r="D342" s="784">
        <v>9.8999999999999994E-5</v>
      </c>
      <c r="E342" s="800">
        <v>45050</v>
      </c>
      <c r="F342" s="785">
        <v>134898</v>
      </c>
      <c r="G342" s="785"/>
      <c r="H342" s="786">
        <v>7771</v>
      </c>
      <c r="I342" s="787">
        <v>32753</v>
      </c>
      <c r="J342" s="786">
        <v>19265</v>
      </c>
      <c r="K342" s="785">
        <v>2589</v>
      </c>
      <c r="L342" s="787">
        <f t="shared" si="10"/>
        <v>62378</v>
      </c>
      <c r="M342" s="785"/>
      <c r="N342" s="786">
        <v>3819</v>
      </c>
      <c r="O342" s="786">
        <v>0</v>
      </c>
      <c r="P342" s="785">
        <v>13801</v>
      </c>
      <c r="Q342" s="787">
        <f t="shared" si="11"/>
        <v>17620</v>
      </c>
      <c r="R342" s="785"/>
      <c r="S342" s="786">
        <v>45461</v>
      </c>
      <c r="T342" s="788">
        <v>-2683</v>
      </c>
      <c r="U342" s="788">
        <v>42778</v>
      </c>
    </row>
    <row r="343" spans="1:21" x14ac:dyDescent="0.25">
      <c r="A343" s="782">
        <v>93517</v>
      </c>
      <c r="B343" s="783" t="s">
        <v>2956</v>
      </c>
      <c r="C343" s="784">
        <v>6.0000000000000002E-6</v>
      </c>
      <c r="D343" s="784">
        <v>6.4999999999999996E-6</v>
      </c>
      <c r="E343" s="800">
        <v>4387</v>
      </c>
      <c r="F343" s="785">
        <v>9166</v>
      </c>
      <c r="G343" s="785"/>
      <c r="H343" s="786">
        <v>528</v>
      </c>
      <c r="I343" s="787">
        <v>2226</v>
      </c>
      <c r="J343" s="786">
        <v>1309</v>
      </c>
      <c r="K343" s="785">
        <v>3133</v>
      </c>
      <c r="L343" s="787">
        <f t="shared" si="10"/>
        <v>7196</v>
      </c>
      <c r="M343" s="785"/>
      <c r="N343" s="786">
        <v>259</v>
      </c>
      <c r="O343" s="786">
        <v>0</v>
      </c>
      <c r="P343" s="785">
        <v>503</v>
      </c>
      <c r="Q343" s="787">
        <f t="shared" si="11"/>
        <v>762</v>
      </c>
      <c r="R343" s="785"/>
      <c r="S343" s="786">
        <v>3089</v>
      </c>
      <c r="T343" s="788">
        <v>771</v>
      </c>
      <c r="U343" s="788">
        <v>3860</v>
      </c>
    </row>
    <row r="344" spans="1:21" x14ac:dyDescent="0.25">
      <c r="A344" s="782">
        <v>93521</v>
      </c>
      <c r="B344" s="783" t="s">
        <v>2957</v>
      </c>
      <c r="C344" s="784">
        <v>4.5649999999999998E-4</v>
      </c>
      <c r="D344" s="784">
        <v>5.6389999999999999E-4</v>
      </c>
      <c r="E344" s="800">
        <v>213305</v>
      </c>
      <c r="F344" s="785">
        <v>697406</v>
      </c>
      <c r="G344" s="785"/>
      <c r="H344" s="786">
        <v>40177</v>
      </c>
      <c r="I344" s="787">
        <v>169331</v>
      </c>
      <c r="J344" s="786">
        <v>99599</v>
      </c>
      <c r="K344" s="785">
        <v>7159</v>
      </c>
      <c r="L344" s="787">
        <f t="shared" si="10"/>
        <v>316266</v>
      </c>
      <c r="M344" s="785"/>
      <c r="N344" s="786">
        <v>19741</v>
      </c>
      <c r="O344" s="786">
        <v>0</v>
      </c>
      <c r="P344" s="785">
        <v>74583</v>
      </c>
      <c r="Q344" s="787">
        <f t="shared" si="11"/>
        <v>94324</v>
      </c>
      <c r="R344" s="785"/>
      <c r="S344" s="786">
        <v>235026</v>
      </c>
      <c r="T344" s="788">
        <v>-19847</v>
      </c>
      <c r="U344" s="788">
        <f>215180-1</f>
        <v>215179</v>
      </c>
    </row>
    <row r="345" spans="1:21" x14ac:dyDescent="0.25">
      <c r="A345" s="782">
        <v>93527</v>
      </c>
      <c r="B345" s="783" t="s">
        <v>2958</v>
      </c>
      <c r="C345" s="784">
        <v>1.2099999999999999E-5</v>
      </c>
      <c r="D345" s="784">
        <v>5.4E-6</v>
      </c>
      <c r="E345" s="800">
        <v>9591</v>
      </c>
      <c r="F345" s="785">
        <v>18485</v>
      </c>
      <c r="G345" s="785"/>
      <c r="H345" s="786">
        <v>1065</v>
      </c>
      <c r="I345" s="787">
        <v>4488</v>
      </c>
      <c r="J345" s="786">
        <v>2640</v>
      </c>
      <c r="K345" s="785">
        <v>15016</v>
      </c>
      <c r="L345" s="787">
        <f t="shared" si="10"/>
        <v>23209</v>
      </c>
      <c r="M345" s="785"/>
      <c r="N345" s="786">
        <v>523</v>
      </c>
      <c r="O345" s="786">
        <v>0</v>
      </c>
      <c r="P345" s="785">
        <v>0</v>
      </c>
      <c r="Q345" s="787">
        <f t="shared" si="11"/>
        <v>523</v>
      </c>
      <c r="R345" s="785"/>
      <c r="S345" s="786">
        <v>6230</v>
      </c>
      <c r="T345" s="788">
        <v>5872</v>
      </c>
      <c r="U345" s="788">
        <f>12101+1</f>
        <v>12102</v>
      </c>
    </row>
    <row r="346" spans="1:21" x14ac:dyDescent="0.25">
      <c r="A346" s="782">
        <v>93531</v>
      </c>
      <c r="B346" s="783" t="s">
        <v>2959</v>
      </c>
      <c r="C346" s="784">
        <v>1.7E-5</v>
      </c>
      <c r="D346" s="784">
        <v>2.4000000000000001E-5</v>
      </c>
      <c r="E346" s="800">
        <v>11624</v>
      </c>
      <c r="F346" s="785">
        <v>25971</v>
      </c>
      <c r="G346" s="785"/>
      <c r="H346" s="786">
        <v>1496</v>
      </c>
      <c r="I346" s="787">
        <v>6306</v>
      </c>
      <c r="J346" s="786">
        <v>3709</v>
      </c>
      <c r="K346" s="785">
        <v>791</v>
      </c>
      <c r="L346" s="787">
        <f t="shared" si="10"/>
        <v>12302</v>
      </c>
      <c r="M346" s="785"/>
      <c r="N346" s="786">
        <v>735</v>
      </c>
      <c r="O346" s="786">
        <v>0</v>
      </c>
      <c r="P346" s="785">
        <v>2743</v>
      </c>
      <c r="Q346" s="787">
        <f t="shared" si="11"/>
        <v>3478</v>
      </c>
      <c r="R346" s="785"/>
      <c r="S346" s="786">
        <v>8752</v>
      </c>
      <c r="T346" s="788">
        <v>-1210</v>
      </c>
      <c r="U346" s="788">
        <v>7542</v>
      </c>
    </row>
    <row r="347" spans="1:21" x14ac:dyDescent="0.25">
      <c r="A347" s="782">
        <v>93537</v>
      </c>
      <c r="B347" s="783" t="s">
        <v>2960</v>
      </c>
      <c r="C347" s="784">
        <v>1.1199999999999999E-5</v>
      </c>
      <c r="D347" s="784">
        <v>1.17E-5</v>
      </c>
      <c r="E347" s="800">
        <v>4064</v>
      </c>
      <c r="F347" s="785">
        <v>17110</v>
      </c>
      <c r="G347" s="785"/>
      <c r="H347" s="786">
        <v>986</v>
      </c>
      <c r="I347" s="787">
        <v>4154</v>
      </c>
      <c r="J347" s="786">
        <v>2444</v>
      </c>
      <c r="K347" s="785">
        <v>0</v>
      </c>
      <c r="L347" s="787">
        <f t="shared" si="10"/>
        <v>7584</v>
      </c>
      <c r="M347" s="785"/>
      <c r="N347" s="786">
        <v>484</v>
      </c>
      <c r="O347" s="786">
        <v>0</v>
      </c>
      <c r="P347" s="785">
        <v>1898</v>
      </c>
      <c r="Q347" s="787">
        <f t="shared" si="11"/>
        <v>2382</v>
      </c>
      <c r="R347" s="785"/>
      <c r="S347" s="786">
        <v>5766</v>
      </c>
      <c r="T347" s="788">
        <v>-575</v>
      </c>
      <c r="U347" s="788">
        <v>5191</v>
      </c>
    </row>
    <row r="348" spans="1:21" x14ac:dyDescent="0.25">
      <c r="A348" s="782">
        <v>93541</v>
      </c>
      <c r="B348" s="783" t="s">
        <v>2961</v>
      </c>
      <c r="C348" s="784">
        <v>1.0560000000000001E-4</v>
      </c>
      <c r="D348" s="784">
        <v>1.061E-4</v>
      </c>
      <c r="E348" s="800">
        <v>49276</v>
      </c>
      <c r="F348" s="785">
        <v>161328</v>
      </c>
      <c r="G348" s="785"/>
      <c r="H348" s="786">
        <v>9294</v>
      </c>
      <c r="I348" s="787">
        <v>39171</v>
      </c>
      <c r="J348" s="786">
        <v>23040</v>
      </c>
      <c r="K348" s="785">
        <v>4560</v>
      </c>
      <c r="L348" s="787">
        <f t="shared" si="10"/>
        <v>76065</v>
      </c>
      <c r="M348" s="785"/>
      <c r="N348" s="786">
        <v>4567</v>
      </c>
      <c r="O348" s="786">
        <v>0</v>
      </c>
      <c r="P348" s="785">
        <v>781</v>
      </c>
      <c r="Q348" s="787">
        <f t="shared" si="11"/>
        <v>5348</v>
      </c>
      <c r="R348" s="785"/>
      <c r="S348" s="786">
        <v>54368</v>
      </c>
      <c r="T348" s="788">
        <v>4003</v>
      </c>
      <c r="U348" s="788">
        <f>58370+1</f>
        <v>58371</v>
      </c>
    </row>
    <row r="349" spans="1:21" x14ac:dyDescent="0.25">
      <c r="A349" s="782">
        <v>93601</v>
      </c>
      <c r="B349" s="783" t="s">
        <v>2962</v>
      </c>
      <c r="C349" s="784">
        <v>1.0721400000000001E-2</v>
      </c>
      <c r="D349" s="784">
        <v>1.1139899999999999E-2</v>
      </c>
      <c r="E349" s="800">
        <v>5038240</v>
      </c>
      <c r="F349" s="785">
        <v>16379329</v>
      </c>
      <c r="G349" s="785"/>
      <c r="H349" s="786">
        <v>943601</v>
      </c>
      <c r="I349" s="787">
        <v>3976921</v>
      </c>
      <c r="J349" s="786">
        <v>2339195</v>
      </c>
      <c r="K349" s="785">
        <v>65732</v>
      </c>
      <c r="L349" s="787">
        <f t="shared" si="10"/>
        <v>7325449</v>
      </c>
      <c r="M349" s="785"/>
      <c r="N349" s="786">
        <v>463647</v>
      </c>
      <c r="O349" s="786">
        <v>0</v>
      </c>
      <c r="P349" s="785">
        <v>282932</v>
      </c>
      <c r="Q349" s="787">
        <f t="shared" si="11"/>
        <v>746579</v>
      </c>
      <c r="R349" s="785"/>
      <c r="S349" s="786">
        <v>5519848</v>
      </c>
      <c r="T349" s="788">
        <v>-87424</v>
      </c>
      <c r="U349" s="788">
        <f>5432425-1</f>
        <v>5432424</v>
      </c>
    </row>
    <row r="350" spans="1:21" x14ac:dyDescent="0.25">
      <c r="A350" s="782">
        <v>93602</v>
      </c>
      <c r="B350" s="783" t="s">
        <v>2963</v>
      </c>
      <c r="C350" s="784">
        <v>1.7540000000000001E-4</v>
      </c>
      <c r="D350" s="784">
        <v>1.7200000000000001E-4</v>
      </c>
      <c r="E350" s="800">
        <v>82188</v>
      </c>
      <c r="F350" s="785">
        <v>267963</v>
      </c>
      <c r="G350" s="785"/>
      <c r="H350" s="786">
        <v>15437</v>
      </c>
      <c r="I350" s="787">
        <v>65062</v>
      </c>
      <c r="J350" s="786">
        <v>38269</v>
      </c>
      <c r="K350" s="785">
        <v>4381</v>
      </c>
      <c r="L350" s="787">
        <f t="shared" si="10"/>
        <v>123149</v>
      </c>
      <c r="M350" s="785"/>
      <c r="N350" s="786">
        <v>7585</v>
      </c>
      <c r="O350" s="786">
        <v>0</v>
      </c>
      <c r="P350" s="785">
        <v>10262</v>
      </c>
      <c r="Q350" s="787">
        <f t="shared" si="11"/>
        <v>17847</v>
      </c>
      <c r="R350" s="785"/>
      <c r="S350" s="786">
        <v>90304</v>
      </c>
      <c r="T350" s="788">
        <v>-2871</v>
      </c>
      <c r="U350" s="788">
        <v>87433</v>
      </c>
    </row>
    <row r="351" spans="1:21" x14ac:dyDescent="0.25">
      <c r="A351" s="782">
        <v>93609</v>
      </c>
      <c r="B351" s="783" t="s">
        <v>2964</v>
      </c>
      <c r="C351" s="784">
        <v>3.7629999999999999E-3</v>
      </c>
      <c r="D351" s="784">
        <v>3.0569E-3</v>
      </c>
      <c r="E351" s="800">
        <v>1743934</v>
      </c>
      <c r="F351" s="785">
        <v>5748822</v>
      </c>
      <c r="G351" s="785"/>
      <c r="H351" s="786">
        <v>331185</v>
      </c>
      <c r="I351" s="787">
        <v>1395821</v>
      </c>
      <c r="J351" s="786">
        <v>821011</v>
      </c>
      <c r="K351" s="785">
        <v>823315</v>
      </c>
      <c r="L351" s="787">
        <f t="shared" si="10"/>
        <v>3371332</v>
      </c>
      <c r="M351" s="785"/>
      <c r="N351" s="786">
        <v>162731</v>
      </c>
      <c r="O351" s="786">
        <v>0</v>
      </c>
      <c r="P351" s="785">
        <v>0</v>
      </c>
      <c r="Q351" s="787">
        <f t="shared" si="11"/>
        <v>162731</v>
      </c>
      <c r="R351" s="785"/>
      <c r="S351" s="786">
        <v>1937358</v>
      </c>
      <c r="T351" s="788">
        <v>360052</v>
      </c>
      <c r="U351" s="788">
        <v>2297410</v>
      </c>
    </row>
    <row r="352" spans="1:21" x14ac:dyDescent="0.25">
      <c r="A352" s="782">
        <v>93610</v>
      </c>
      <c r="B352" s="783" t="s">
        <v>2965</v>
      </c>
      <c r="C352" s="784">
        <v>1.33E-5</v>
      </c>
      <c r="D352" s="784">
        <v>6.4999999999999996E-6</v>
      </c>
      <c r="E352" s="800">
        <v>5846</v>
      </c>
      <c r="F352" s="785">
        <v>20319</v>
      </c>
      <c r="G352" s="785"/>
      <c r="H352" s="786">
        <v>1171</v>
      </c>
      <c r="I352" s="787">
        <v>4933</v>
      </c>
      <c r="J352" s="786">
        <v>2902</v>
      </c>
      <c r="K352" s="785">
        <v>6303</v>
      </c>
      <c r="L352" s="787">
        <f t="shared" si="10"/>
        <v>15309</v>
      </c>
      <c r="M352" s="785"/>
      <c r="N352" s="786">
        <v>575</v>
      </c>
      <c r="O352" s="786">
        <v>0</v>
      </c>
      <c r="P352" s="785">
        <v>3373</v>
      </c>
      <c r="Q352" s="787">
        <f t="shared" si="11"/>
        <v>3948</v>
      </c>
      <c r="R352" s="785"/>
      <c r="S352" s="786">
        <v>6847</v>
      </c>
      <c r="T352" s="788">
        <v>1242</v>
      </c>
      <c r="U352" s="788">
        <f>8090-1</f>
        <v>8089</v>
      </c>
    </row>
    <row r="353" spans="1:21" x14ac:dyDescent="0.25">
      <c r="A353" s="782">
        <v>93611</v>
      </c>
      <c r="B353" s="783" t="s">
        <v>2966</v>
      </c>
      <c r="C353" s="784">
        <v>6.9544000000000003E-3</v>
      </c>
      <c r="D353" s="784">
        <v>6.9325000000000003E-3</v>
      </c>
      <c r="E353" s="800">
        <v>3250733</v>
      </c>
      <c r="F353" s="785">
        <v>10624397</v>
      </c>
      <c r="G353" s="785"/>
      <c r="H353" s="786">
        <v>612064</v>
      </c>
      <c r="I353" s="787">
        <v>2579617</v>
      </c>
      <c r="J353" s="786">
        <v>1517311</v>
      </c>
      <c r="K353" s="785">
        <v>61146</v>
      </c>
      <c r="L353" s="787">
        <f t="shared" si="10"/>
        <v>4770138</v>
      </c>
      <c r="M353" s="785"/>
      <c r="N353" s="786">
        <v>300743</v>
      </c>
      <c r="O353" s="786">
        <v>0</v>
      </c>
      <c r="P353" s="785">
        <v>153061</v>
      </c>
      <c r="Q353" s="787">
        <f t="shared" si="11"/>
        <v>453804</v>
      </c>
      <c r="R353" s="785"/>
      <c r="S353" s="786">
        <v>3580431</v>
      </c>
      <c r="T353" s="788">
        <v>-98066</v>
      </c>
      <c r="U353" s="788">
        <v>3482365</v>
      </c>
    </row>
    <row r="354" spans="1:21" x14ac:dyDescent="0.25">
      <c r="A354" s="782">
        <v>93617</v>
      </c>
      <c r="B354" s="783" t="s">
        <v>2967</v>
      </c>
      <c r="C354" s="784">
        <v>8.2799999999999993E-5</v>
      </c>
      <c r="D354" s="784">
        <v>9.5000000000000005E-5</v>
      </c>
      <c r="E354" s="800">
        <v>49100</v>
      </c>
      <c r="F354" s="785">
        <v>126495</v>
      </c>
      <c r="G354" s="785"/>
      <c r="H354" s="786">
        <v>7287</v>
      </c>
      <c r="I354" s="787">
        <v>30714</v>
      </c>
      <c r="J354" s="786">
        <v>18065</v>
      </c>
      <c r="K354" s="785">
        <v>19622</v>
      </c>
      <c r="L354" s="787">
        <f t="shared" si="10"/>
        <v>75688</v>
      </c>
      <c r="M354" s="785"/>
      <c r="N354" s="786">
        <v>3581</v>
      </c>
      <c r="O354" s="786">
        <v>0</v>
      </c>
      <c r="P354" s="785">
        <v>0</v>
      </c>
      <c r="Q354" s="787">
        <f t="shared" si="11"/>
        <v>3581</v>
      </c>
      <c r="R354" s="785"/>
      <c r="S354" s="786">
        <v>42629</v>
      </c>
      <c r="T354" s="788">
        <v>10180</v>
      </c>
      <c r="U354" s="788">
        <v>52809</v>
      </c>
    </row>
    <row r="355" spans="1:21" x14ac:dyDescent="0.25">
      <c r="A355" s="782">
        <v>93618</v>
      </c>
      <c r="B355" s="783" t="s">
        <v>2968</v>
      </c>
      <c r="C355" s="784">
        <v>1.11E-5</v>
      </c>
      <c r="D355" s="784">
        <v>1.17E-5</v>
      </c>
      <c r="E355" s="800">
        <v>23982</v>
      </c>
      <c r="F355" s="785">
        <v>16958</v>
      </c>
      <c r="G355" s="785"/>
      <c r="H355" s="786">
        <v>977</v>
      </c>
      <c r="I355" s="787">
        <v>4117</v>
      </c>
      <c r="J355" s="786">
        <v>2422</v>
      </c>
      <c r="K355" s="785">
        <v>33625</v>
      </c>
      <c r="L355" s="787">
        <f t="shared" si="10"/>
        <v>41141</v>
      </c>
      <c r="M355" s="785"/>
      <c r="N355" s="786">
        <v>480</v>
      </c>
      <c r="O355" s="786">
        <v>0</v>
      </c>
      <c r="P355" s="785">
        <v>0</v>
      </c>
      <c r="Q355" s="787">
        <f t="shared" si="11"/>
        <v>480</v>
      </c>
      <c r="R355" s="785"/>
      <c r="S355" s="786">
        <v>5715</v>
      </c>
      <c r="T355" s="788">
        <v>12182</v>
      </c>
      <c r="U355" s="788">
        <v>17897</v>
      </c>
    </row>
    <row r="356" spans="1:21" x14ac:dyDescent="0.25">
      <c r="A356" s="782">
        <v>93621</v>
      </c>
      <c r="B356" s="783" t="s">
        <v>2969</v>
      </c>
      <c r="C356" s="784">
        <v>9.5719999999999996E-4</v>
      </c>
      <c r="D356" s="784">
        <v>8.5320000000000003E-4</v>
      </c>
      <c r="E356" s="800">
        <v>412639</v>
      </c>
      <c r="F356" s="785">
        <v>1462336</v>
      </c>
      <c r="G356" s="785"/>
      <c r="H356" s="786">
        <v>84244</v>
      </c>
      <c r="I356" s="787">
        <v>355057</v>
      </c>
      <c r="J356" s="786">
        <v>208842</v>
      </c>
      <c r="K356" s="785">
        <v>48292</v>
      </c>
      <c r="L356" s="787">
        <f t="shared" si="10"/>
        <v>696435</v>
      </c>
      <c r="M356" s="785"/>
      <c r="N356" s="786">
        <v>41394</v>
      </c>
      <c r="O356" s="786">
        <v>0</v>
      </c>
      <c r="P356" s="785">
        <v>79767</v>
      </c>
      <c r="Q356" s="787">
        <f t="shared" si="11"/>
        <v>121161</v>
      </c>
      <c r="R356" s="785"/>
      <c r="S356" s="786">
        <v>492809</v>
      </c>
      <c r="T356" s="788">
        <v>-26570</v>
      </c>
      <c r="U356" s="788">
        <f>466238+1</f>
        <v>466239</v>
      </c>
    </row>
    <row r="357" spans="1:21" x14ac:dyDescent="0.25">
      <c r="A357" s="782">
        <v>93623</v>
      </c>
      <c r="B357" s="783" t="s">
        <v>2970</v>
      </c>
      <c r="C357" s="784">
        <v>1.2799999999999999E-5</v>
      </c>
      <c r="D357" s="784">
        <v>1.2500000000000001E-5</v>
      </c>
      <c r="E357" s="800">
        <v>8720</v>
      </c>
      <c r="F357" s="785">
        <v>19555</v>
      </c>
      <c r="G357" s="785"/>
      <c r="H357" s="786">
        <v>1127</v>
      </c>
      <c r="I357" s="787">
        <v>4748</v>
      </c>
      <c r="J357" s="786">
        <v>2793</v>
      </c>
      <c r="K357" s="785">
        <v>5501</v>
      </c>
      <c r="L357" s="787">
        <f t="shared" si="10"/>
        <v>14169</v>
      </c>
      <c r="M357" s="785"/>
      <c r="N357" s="786">
        <v>554</v>
      </c>
      <c r="O357" s="786">
        <v>0</v>
      </c>
      <c r="P357" s="785">
        <v>1</v>
      </c>
      <c r="Q357" s="787">
        <f t="shared" si="11"/>
        <v>555</v>
      </c>
      <c r="R357" s="785"/>
      <c r="S357" s="786">
        <v>6590</v>
      </c>
      <c r="T357" s="788">
        <v>1908</v>
      </c>
      <c r="U357" s="788">
        <v>8498</v>
      </c>
    </row>
    <row r="358" spans="1:21" x14ac:dyDescent="0.25">
      <c r="A358" s="782">
        <v>93631</v>
      </c>
      <c r="B358" s="783" t="s">
        <v>2971</v>
      </c>
      <c r="C358" s="784">
        <v>2.252E-4</v>
      </c>
      <c r="D358" s="784">
        <v>2.3440000000000001E-4</v>
      </c>
      <c r="E358" s="800">
        <v>100501</v>
      </c>
      <c r="F358" s="785">
        <v>344043</v>
      </c>
      <c r="G358" s="785"/>
      <c r="H358" s="786">
        <v>19820</v>
      </c>
      <c r="I358" s="787">
        <v>83534</v>
      </c>
      <c r="J358" s="786">
        <v>49134</v>
      </c>
      <c r="K358" s="785">
        <v>435</v>
      </c>
      <c r="L358" s="787">
        <f t="shared" si="10"/>
        <v>152923</v>
      </c>
      <c r="M358" s="785"/>
      <c r="N358" s="786">
        <v>9739</v>
      </c>
      <c r="O358" s="786">
        <v>0</v>
      </c>
      <c r="P358" s="785">
        <v>20459</v>
      </c>
      <c r="Q358" s="787">
        <f t="shared" si="11"/>
        <v>30198</v>
      </c>
      <c r="R358" s="785"/>
      <c r="S358" s="786">
        <v>115943</v>
      </c>
      <c r="T358" s="788">
        <v>-7001</v>
      </c>
      <c r="U358" s="788">
        <v>108942</v>
      </c>
    </row>
    <row r="359" spans="1:21" x14ac:dyDescent="0.25">
      <c r="A359" s="782">
        <v>93641</v>
      </c>
      <c r="B359" s="783" t="s">
        <v>2972</v>
      </c>
      <c r="C359" s="784">
        <v>4.0450000000000002E-4</v>
      </c>
      <c r="D359" s="784">
        <v>4.3550000000000001E-4</v>
      </c>
      <c r="E359" s="800">
        <v>197852</v>
      </c>
      <c r="F359" s="785">
        <v>617964</v>
      </c>
      <c r="G359" s="785"/>
      <c r="H359" s="786">
        <v>35600</v>
      </c>
      <c r="I359" s="787">
        <v>150042</v>
      </c>
      <c r="J359" s="786">
        <v>88254</v>
      </c>
      <c r="K359" s="785">
        <v>14033</v>
      </c>
      <c r="L359" s="787">
        <f t="shared" si="10"/>
        <v>287929</v>
      </c>
      <c r="M359" s="785"/>
      <c r="N359" s="786">
        <v>17493</v>
      </c>
      <c r="O359" s="786">
        <v>0</v>
      </c>
      <c r="P359" s="785">
        <v>11062</v>
      </c>
      <c r="Q359" s="787">
        <f t="shared" si="11"/>
        <v>28555</v>
      </c>
      <c r="R359" s="785"/>
      <c r="S359" s="786">
        <v>208254</v>
      </c>
      <c r="T359" s="788">
        <v>4772</v>
      </c>
      <c r="U359" s="788">
        <v>213026</v>
      </c>
    </row>
    <row r="360" spans="1:21" x14ac:dyDescent="0.25">
      <c r="A360" s="782">
        <v>93647</v>
      </c>
      <c r="B360" s="783" t="s">
        <v>2973</v>
      </c>
      <c r="C360" s="784">
        <v>6.0000000000000002E-6</v>
      </c>
      <c r="D360" s="784">
        <v>6.1E-6</v>
      </c>
      <c r="E360" s="800">
        <v>9062</v>
      </c>
      <c r="F360" s="785">
        <v>9166</v>
      </c>
      <c r="G360" s="785"/>
      <c r="H360" s="786">
        <v>528</v>
      </c>
      <c r="I360" s="787">
        <v>2226</v>
      </c>
      <c r="J360" s="786">
        <v>1309</v>
      </c>
      <c r="K360" s="785">
        <v>12039</v>
      </c>
      <c r="L360" s="787">
        <f t="shared" si="10"/>
        <v>16102</v>
      </c>
      <c r="M360" s="785"/>
      <c r="N360" s="786">
        <v>259</v>
      </c>
      <c r="O360" s="786">
        <v>0</v>
      </c>
      <c r="P360" s="785">
        <v>0</v>
      </c>
      <c r="Q360" s="787">
        <f t="shared" si="11"/>
        <v>259</v>
      </c>
      <c r="R360" s="785"/>
      <c r="S360" s="786">
        <v>3089</v>
      </c>
      <c r="T360" s="788">
        <v>4642</v>
      </c>
      <c r="U360" s="788">
        <v>7731</v>
      </c>
    </row>
    <row r="361" spans="1:21" x14ac:dyDescent="0.25">
      <c r="A361" s="782">
        <v>93651</v>
      </c>
      <c r="B361" s="783" t="s">
        <v>2974</v>
      </c>
      <c r="C361" s="784">
        <v>4.3800000000000002E-4</v>
      </c>
      <c r="D361" s="784">
        <v>4.282E-4</v>
      </c>
      <c r="E361" s="800">
        <v>185953</v>
      </c>
      <c r="F361" s="785">
        <v>669143</v>
      </c>
      <c r="G361" s="785"/>
      <c r="H361" s="786">
        <v>38549</v>
      </c>
      <c r="I361" s="787">
        <v>162468</v>
      </c>
      <c r="J361" s="786">
        <v>95563</v>
      </c>
      <c r="K361" s="785">
        <v>5830</v>
      </c>
      <c r="L361" s="787">
        <f t="shared" si="10"/>
        <v>302410</v>
      </c>
      <c r="M361" s="785"/>
      <c r="N361" s="786">
        <v>18941</v>
      </c>
      <c r="O361" s="786">
        <v>0</v>
      </c>
      <c r="P361" s="785">
        <v>13910</v>
      </c>
      <c r="Q361" s="787">
        <f t="shared" si="11"/>
        <v>32851</v>
      </c>
      <c r="R361" s="785"/>
      <c r="S361" s="786">
        <v>225502</v>
      </c>
      <c r="T361" s="788">
        <v>-1521</v>
      </c>
      <c r="U361" s="788">
        <f>223980+1</f>
        <v>223981</v>
      </c>
    </row>
    <row r="362" spans="1:21" x14ac:dyDescent="0.25">
      <c r="A362" s="782">
        <v>93661</v>
      </c>
      <c r="B362" s="783" t="s">
        <v>2975</v>
      </c>
      <c r="C362" s="784">
        <v>1.3410000000000001E-4</v>
      </c>
      <c r="D362" s="784">
        <v>1.3420000000000001E-4</v>
      </c>
      <c r="E362" s="800">
        <v>66084</v>
      </c>
      <c r="F362" s="785">
        <v>204868</v>
      </c>
      <c r="G362" s="785"/>
      <c r="H362" s="786">
        <v>11802</v>
      </c>
      <c r="I362" s="787">
        <v>49742</v>
      </c>
      <c r="J362" s="786">
        <v>29258</v>
      </c>
      <c r="K362" s="785">
        <v>11769</v>
      </c>
      <c r="L362" s="787">
        <f t="shared" si="10"/>
        <v>102571</v>
      </c>
      <c r="M362" s="785"/>
      <c r="N362" s="786">
        <v>5799</v>
      </c>
      <c r="O362" s="786">
        <v>0</v>
      </c>
      <c r="P362" s="785">
        <v>0</v>
      </c>
      <c r="Q362" s="787">
        <f t="shared" si="11"/>
        <v>5799</v>
      </c>
      <c r="R362" s="785"/>
      <c r="S362" s="786">
        <v>69041</v>
      </c>
      <c r="T362" s="788">
        <v>4842</v>
      </c>
      <c r="U362" s="788">
        <v>73883</v>
      </c>
    </row>
    <row r="363" spans="1:21" x14ac:dyDescent="0.25">
      <c r="A363" s="782">
        <v>93671</v>
      </c>
      <c r="B363" s="783" t="s">
        <v>2976</v>
      </c>
      <c r="C363" s="784">
        <v>3.5530000000000002E-4</v>
      </c>
      <c r="D363" s="784">
        <v>3.6900000000000002E-4</v>
      </c>
      <c r="E363" s="800">
        <v>172672</v>
      </c>
      <c r="F363" s="785">
        <v>542800</v>
      </c>
      <c r="G363" s="785"/>
      <c r="H363" s="786">
        <v>31270</v>
      </c>
      <c r="I363" s="787">
        <v>131793</v>
      </c>
      <c r="J363" s="786">
        <v>77519</v>
      </c>
      <c r="K363" s="785">
        <v>38666</v>
      </c>
      <c r="L363" s="787">
        <f t="shared" si="10"/>
        <v>279248</v>
      </c>
      <c r="M363" s="785"/>
      <c r="N363" s="786">
        <v>15365</v>
      </c>
      <c r="O363" s="786">
        <v>0</v>
      </c>
      <c r="P363" s="785">
        <v>2899</v>
      </c>
      <c r="Q363" s="787">
        <f t="shared" si="11"/>
        <v>18264</v>
      </c>
      <c r="R363" s="785"/>
      <c r="S363" s="786">
        <v>182924</v>
      </c>
      <c r="T363" s="788">
        <v>28467</v>
      </c>
      <c r="U363" s="788">
        <v>211391</v>
      </c>
    </row>
    <row r="364" spans="1:21" x14ac:dyDescent="0.25">
      <c r="A364" s="782">
        <v>93677</v>
      </c>
      <c r="B364" s="783" t="s">
        <v>1495</v>
      </c>
      <c r="C364" s="784">
        <v>0</v>
      </c>
      <c r="D364" s="784">
        <v>0</v>
      </c>
      <c r="E364" s="800" t="e">
        <v>#N/A</v>
      </c>
      <c r="F364" s="785">
        <v>0</v>
      </c>
      <c r="G364" s="785"/>
      <c r="H364" s="786">
        <v>0</v>
      </c>
      <c r="I364" s="787">
        <v>0</v>
      </c>
      <c r="J364" s="786">
        <v>0</v>
      </c>
      <c r="K364" s="785">
        <v>0</v>
      </c>
      <c r="L364" s="787">
        <f t="shared" si="10"/>
        <v>0</v>
      </c>
      <c r="M364" s="785"/>
      <c r="N364" s="786">
        <v>0</v>
      </c>
      <c r="O364" s="786">
        <v>0</v>
      </c>
      <c r="P364" s="785">
        <v>718</v>
      </c>
      <c r="Q364" s="787">
        <f t="shared" si="11"/>
        <v>718</v>
      </c>
      <c r="R364" s="785"/>
      <c r="S364" s="786">
        <v>0</v>
      </c>
      <c r="T364" s="788">
        <v>-725</v>
      </c>
      <c r="U364" s="788">
        <v>-725</v>
      </c>
    </row>
    <row r="365" spans="1:21" x14ac:dyDescent="0.25">
      <c r="A365" s="782">
        <v>93681</v>
      </c>
      <c r="B365" s="783" t="s">
        <v>2977</v>
      </c>
      <c r="C365" s="784">
        <v>1.1179999999999999E-4</v>
      </c>
      <c r="D365" s="784">
        <v>1.1010000000000001E-4</v>
      </c>
      <c r="E365" s="800">
        <v>48115</v>
      </c>
      <c r="F365" s="785">
        <v>170799</v>
      </c>
      <c r="G365" s="785"/>
      <c r="H365" s="786">
        <v>9840</v>
      </c>
      <c r="I365" s="787">
        <v>41470</v>
      </c>
      <c r="J365" s="786">
        <v>24393</v>
      </c>
      <c r="K365" s="785">
        <v>264</v>
      </c>
      <c r="L365" s="787">
        <f t="shared" si="10"/>
        <v>75967</v>
      </c>
      <c r="M365" s="785"/>
      <c r="N365" s="786">
        <v>4835</v>
      </c>
      <c r="O365" s="786">
        <v>0</v>
      </c>
      <c r="P365" s="785">
        <v>12629</v>
      </c>
      <c r="Q365" s="787">
        <f t="shared" si="11"/>
        <v>17464</v>
      </c>
      <c r="R365" s="785"/>
      <c r="S365" s="786">
        <v>57560</v>
      </c>
      <c r="T365" s="788">
        <v>-6498</v>
      </c>
      <c r="U365" s="788">
        <f>51061+1</f>
        <v>51062</v>
      </c>
    </row>
    <row r="366" spans="1:21" x14ac:dyDescent="0.25">
      <c r="A366" s="782">
        <v>93691</v>
      </c>
      <c r="B366" s="783" t="s">
        <v>2978</v>
      </c>
      <c r="C366" s="784">
        <v>1.0858E-3</v>
      </c>
      <c r="D366" s="784">
        <v>1.1251E-3</v>
      </c>
      <c r="E366" s="800">
        <v>464182</v>
      </c>
      <c r="F366" s="785">
        <v>1658802</v>
      </c>
      <c r="G366" s="785"/>
      <c r="H366" s="786">
        <v>95562</v>
      </c>
      <c r="I366" s="787">
        <v>402759</v>
      </c>
      <c r="J366" s="786">
        <v>236900</v>
      </c>
      <c r="K366" s="785">
        <v>0</v>
      </c>
      <c r="L366" s="787">
        <f t="shared" si="10"/>
        <v>735221</v>
      </c>
      <c r="M366" s="785"/>
      <c r="N366" s="786">
        <v>46955</v>
      </c>
      <c r="O366" s="786">
        <v>0</v>
      </c>
      <c r="P366" s="785">
        <v>115438</v>
      </c>
      <c r="Q366" s="787">
        <f t="shared" si="11"/>
        <v>162393</v>
      </c>
      <c r="R366" s="785"/>
      <c r="S366" s="786">
        <v>559018</v>
      </c>
      <c r="T366" s="788">
        <v>-42411</v>
      </c>
      <c r="U366" s="788">
        <v>516607</v>
      </c>
    </row>
    <row r="367" spans="1:21" x14ac:dyDescent="0.25">
      <c r="A367" s="782">
        <v>93701</v>
      </c>
      <c r="B367" s="783" t="s">
        <v>3667</v>
      </c>
      <c r="C367" s="784">
        <v>4.5800000000000002E-4</v>
      </c>
      <c r="D367" s="784">
        <v>4.6200000000000001E-4</v>
      </c>
      <c r="E367" s="800">
        <v>201820</v>
      </c>
      <c r="F367" s="785">
        <v>699697</v>
      </c>
      <c r="G367" s="785"/>
      <c r="H367" s="786">
        <v>40309</v>
      </c>
      <c r="I367" s="787">
        <v>169888</v>
      </c>
      <c r="J367" s="786">
        <v>99926</v>
      </c>
      <c r="K367" s="785">
        <v>7923</v>
      </c>
      <c r="L367" s="787">
        <f t="shared" si="10"/>
        <v>318046</v>
      </c>
      <c r="M367" s="785"/>
      <c r="N367" s="786">
        <v>19806</v>
      </c>
      <c r="O367" s="786">
        <v>0</v>
      </c>
      <c r="P367" s="785">
        <v>17631</v>
      </c>
      <c r="Q367" s="787">
        <f t="shared" si="11"/>
        <v>37437</v>
      </c>
      <c r="R367" s="785"/>
      <c r="S367" s="786">
        <v>235799</v>
      </c>
      <c r="T367" s="788">
        <v>566</v>
      </c>
      <c r="U367" s="788">
        <v>236365</v>
      </c>
    </row>
    <row r="368" spans="1:21" x14ac:dyDescent="0.25">
      <c r="A368" s="782">
        <v>93704</v>
      </c>
      <c r="B368" s="783" t="s">
        <v>2980</v>
      </c>
      <c r="C368" s="784">
        <v>3.0000000000000001E-6</v>
      </c>
      <c r="D368" s="784">
        <v>3.3000000000000002E-6</v>
      </c>
      <c r="E368" s="800">
        <v>1962</v>
      </c>
      <c r="F368" s="785">
        <v>4583</v>
      </c>
      <c r="G368" s="785"/>
      <c r="H368" s="786">
        <v>264</v>
      </c>
      <c r="I368" s="787">
        <v>1113</v>
      </c>
      <c r="J368" s="786">
        <v>655</v>
      </c>
      <c r="K368" s="785">
        <v>578</v>
      </c>
      <c r="L368" s="787">
        <f t="shared" si="10"/>
        <v>2610</v>
      </c>
      <c r="M368" s="785"/>
      <c r="N368" s="786">
        <v>130</v>
      </c>
      <c r="O368" s="786">
        <v>0</v>
      </c>
      <c r="P368" s="785">
        <v>49</v>
      </c>
      <c r="Q368" s="787">
        <f t="shared" si="11"/>
        <v>179</v>
      </c>
      <c r="R368" s="785"/>
      <c r="S368" s="786">
        <v>1545</v>
      </c>
      <c r="T368" s="788">
        <v>136</v>
      </c>
      <c r="U368" s="788">
        <v>1681</v>
      </c>
    </row>
    <row r="369" spans="1:21" x14ac:dyDescent="0.25">
      <c r="A369" s="782">
        <v>93801</v>
      </c>
      <c r="B369" s="783" t="s">
        <v>2981</v>
      </c>
      <c r="C369" s="784">
        <v>4.7889999999999999E-4</v>
      </c>
      <c r="D369" s="784">
        <v>5.4180000000000005E-4</v>
      </c>
      <c r="E369" s="800">
        <v>205984</v>
      </c>
      <c r="F369" s="785">
        <v>731627</v>
      </c>
      <c r="G369" s="785"/>
      <c r="H369" s="786">
        <v>42148</v>
      </c>
      <c r="I369" s="787">
        <v>177639</v>
      </c>
      <c r="J369" s="786">
        <v>104486</v>
      </c>
      <c r="K369" s="785">
        <v>113630</v>
      </c>
      <c r="L369" s="787">
        <f t="shared" si="10"/>
        <v>437903</v>
      </c>
      <c r="M369" s="785"/>
      <c r="N369" s="786">
        <v>20710</v>
      </c>
      <c r="O369" s="786">
        <v>0</v>
      </c>
      <c r="P369" s="785">
        <v>54734</v>
      </c>
      <c r="Q369" s="787">
        <f t="shared" si="11"/>
        <v>75444</v>
      </c>
      <c r="R369" s="785"/>
      <c r="S369" s="786">
        <v>246559</v>
      </c>
      <c r="T369" s="788">
        <v>28052</v>
      </c>
      <c r="U369" s="788">
        <v>274611</v>
      </c>
    </row>
    <row r="370" spans="1:21" x14ac:dyDescent="0.25">
      <c r="A370" s="782">
        <v>93803</v>
      </c>
      <c r="B370" s="783" t="s">
        <v>2982</v>
      </c>
      <c r="C370" s="784">
        <v>1.1900000000000001E-4</v>
      </c>
      <c r="D370" s="784">
        <v>1.4469999999999999E-4</v>
      </c>
      <c r="E370" s="800">
        <v>50573</v>
      </c>
      <c r="F370" s="785">
        <v>181799</v>
      </c>
      <c r="G370" s="785"/>
      <c r="H370" s="786">
        <v>10473</v>
      </c>
      <c r="I370" s="787">
        <v>44141</v>
      </c>
      <c r="J370" s="786">
        <v>25963</v>
      </c>
      <c r="K370" s="785">
        <v>0</v>
      </c>
      <c r="L370" s="787">
        <f t="shared" si="10"/>
        <v>80577</v>
      </c>
      <c r="M370" s="785"/>
      <c r="N370" s="786">
        <v>5146</v>
      </c>
      <c r="O370" s="786">
        <v>0</v>
      </c>
      <c r="P370" s="785">
        <v>42594</v>
      </c>
      <c r="Q370" s="787">
        <f t="shared" si="11"/>
        <v>47740</v>
      </c>
      <c r="R370" s="785"/>
      <c r="S370" s="786">
        <v>61266</v>
      </c>
      <c r="T370" s="788">
        <v>-17510</v>
      </c>
      <c r="U370" s="788">
        <v>43756</v>
      </c>
    </row>
    <row r="371" spans="1:21" x14ac:dyDescent="0.25">
      <c r="A371" s="782">
        <v>93806</v>
      </c>
      <c r="B371" s="783" t="s">
        <v>2983</v>
      </c>
      <c r="C371" s="784">
        <v>9.3900000000000006E-5</v>
      </c>
      <c r="D371" s="784">
        <v>7.3700000000000002E-5</v>
      </c>
      <c r="E371" s="800">
        <v>41336</v>
      </c>
      <c r="F371" s="785">
        <v>143453</v>
      </c>
      <c r="G371" s="785"/>
      <c r="H371" s="786">
        <v>8264</v>
      </c>
      <c r="I371" s="787">
        <v>34831</v>
      </c>
      <c r="J371" s="786">
        <v>20487</v>
      </c>
      <c r="K371" s="785">
        <v>13283</v>
      </c>
      <c r="L371" s="787">
        <f t="shared" si="10"/>
        <v>76865</v>
      </c>
      <c r="M371" s="785"/>
      <c r="N371" s="786">
        <v>4061</v>
      </c>
      <c r="O371" s="786">
        <v>0</v>
      </c>
      <c r="P371" s="785">
        <v>10049</v>
      </c>
      <c r="Q371" s="787">
        <f t="shared" si="11"/>
        <v>14110</v>
      </c>
      <c r="R371" s="785"/>
      <c r="S371" s="786">
        <v>48344</v>
      </c>
      <c r="T371" s="788">
        <v>-6121</v>
      </c>
      <c r="U371" s="788">
        <v>42223</v>
      </c>
    </row>
    <row r="372" spans="1:21" x14ac:dyDescent="0.25">
      <c r="A372" s="782">
        <v>93821</v>
      </c>
      <c r="B372" s="783" t="s">
        <v>2984</v>
      </c>
      <c r="C372" s="784">
        <v>2.9899999999999998E-5</v>
      </c>
      <c r="D372" s="784">
        <v>5.7200000000000001E-5</v>
      </c>
      <c r="E372" s="800">
        <v>36177</v>
      </c>
      <c r="F372" s="785">
        <v>45679</v>
      </c>
      <c r="G372" s="785"/>
      <c r="H372" s="786">
        <v>2632</v>
      </c>
      <c r="I372" s="787">
        <v>11090</v>
      </c>
      <c r="J372" s="786">
        <v>6524</v>
      </c>
      <c r="K372" s="785">
        <v>18424</v>
      </c>
      <c r="L372" s="787">
        <f t="shared" si="10"/>
        <v>38670</v>
      </c>
      <c r="M372" s="785"/>
      <c r="N372" s="786">
        <v>1293</v>
      </c>
      <c r="O372" s="786">
        <v>0</v>
      </c>
      <c r="P372" s="785">
        <v>343</v>
      </c>
      <c r="Q372" s="787">
        <f t="shared" si="11"/>
        <v>1636</v>
      </c>
      <c r="R372" s="785"/>
      <c r="S372" s="786">
        <v>15394</v>
      </c>
      <c r="T372" s="788">
        <v>7633</v>
      </c>
      <c r="U372" s="788">
        <f>23026+1</f>
        <v>23027</v>
      </c>
    </row>
    <row r="373" spans="1:21" x14ac:dyDescent="0.25">
      <c r="A373" s="782">
        <v>93901</v>
      </c>
      <c r="B373" s="783" t="s">
        <v>2985</v>
      </c>
      <c r="C373" s="784">
        <v>1.7974E-3</v>
      </c>
      <c r="D373" s="784">
        <v>1.8059E-3</v>
      </c>
      <c r="E373" s="800">
        <v>887170</v>
      </c>
      <c r="F373" s="785">
        <v>2745929</v>
      </c>
      <c r="G373" s="785"/>
      <c r="H373" s="786">
        <v>158191</v>
      </c>
      <c r="I373" s="787">
        <v>666715</v>
      </c>
      <c r="J373" s="786">
        <v>392157</v>
      </c>
      <c r="K373" s="785">
        <v>89069</v>
      </c>
      <c r="L373" s="787">
        <f t="shared" si="10"/>
        <v>1306132</v>
      </c>
      <c r="M373" s="785"/>
      <c r="N373" s="786">
        <v>77729</v>
      </c>
      <c r="O373" s="786">
        <v>0</v>
      </c>
      <c r="P373" s="785">
        <v>0</v>
      </c>
      <c r="Q373" s="787">
        <f t="shared" si="11"/>
        <v>77729</v>
      </c>
      <c r="R373" s="785"/>
      <c r="S373" s="786">
        <v>925381</v>
      </c>
      <c r="T373" s="788">
        <v>32657</v>
      </c>
      <c r="U373" s="788">
        <v>958038</v>
      </c>
    </row>
    <row r="374" spans="1:21" x14ac:dyDescent="0.25">
      <c r="A374" s="782">
        <v>93904</v>
      </c>
      <c r="B374" s="783" t="s">
        <v>2986</v>
      </c>
      <c r="C374" s="784">
        <v>3.0000000000000001E-5</v>
      </c>
      <c r="D374" s="784">
        <v>2.4700000000000001E-5</v>
      </c>
      <c r="E374" s="800">
        <v>17302</v>
      </c>
      <c r="F374" s="785">
        <v>45832</v>
      </c>
      <c r="G374" s="785"/>
      <c r="H374" s="786">
        <v>2640</v>
      </c>
      <c r="I374" s="787">
        <v>11128</v>
      </c>
      <c r="J374" s="786">
        <v>6545</v>
      </c>
      <c r="K374" s="785">
        <v>9710</v>
      </c>
      <c r="L374" s="787">
        <f t="shared" si="10"/>
        <v>30023</v>
      </c>
      <c r="M374" s="785"/>
      <c r="N374" s="786">
        <v>1297</v>
      </c>
      <c r="O374" s="786">
        <v>0</v>
      </c>
      <c r="P374" s="785">
        <v>28</v>
      </c>
      <c r="Q374" s="787">
        <f t="shared" si="11"/>
        <v>1325</v>
      </c>
      <c r="R374" s="785"/>
      <c r="S374" s="786">
        <v>15445</v>
      </c>
      <c r="T374" s="788">
        <v>3144</v>
      </c>
      <c r="U374" s="788">
        <v>18589</v>
      </c>
    </row>
    <row r="375" spans="1:21" x14ac:dyDescent="0.25">
      <c r="A375" s="782">
        <v>93906</v>
      </c>
      <c r="B375" s="783" t="s">
        <v>2987</v>
      </c>
      <c r="C375" s="784">
        <v>3.3882000000000001E-3</v>
      </c>
      <c r="D375" s="784">
        <v>3.4513E-3</v>
      </c>
      <c r="E375" s="800">
        <v>1486051</v>
      </c>
      <c r="F375" s="785">
        <v>5176231</v>
      </c>
      <c r="G375" s="785"/>
      <c r="H375" s="786">
        <v>298199</v>
      </c>
      <c r="I375" s="787">
        <v>1256796</v>
      </c>
      <c r="J375" s="786">
        <v>739237</v>
      </c>
      <c r="K375" s="785">
        <v>14983</v>
      </c>
      <c r="L375" s="787">
        <f t="shared" si="10"/>
        <v>2309215</v>
      </c>
      <c r="M375" s="785"/>
      <c r="N375" s="786">
        <v>146523</v>
      </c>
      <c r="O375" s="786">
        <v>0</v>
      </c>
      <c r="P375" s="785">
        <v>222323</v>
      </c>
      <c r="Q375" s="787">
        <f t="shared" si="11"/>
        <v>368846</v>
      </c>
      <c r="R375" s="785"/>
      <c r="S375" s="786">
        <v>1744394</v>
      </c>
      <c r="T375" s="788">
        <v>-70525</v>
      </c>
      <c r="U375" s="788">
        <v>1673869</v>
      </c>
    </row>
    <row r="376" spans="1:21" x14ac:dyDescent="0.25">
      <c r="A376" s="782">
        <v>93908</v>
      </c>
      <c r="B376" s="783" t="s">
        <v>3668</v>
      </c>
      <c r="C376" s="784">
        <v>5.1219999999999998E-4</v>
      </c>
      <c r="D376" s="784">
        <v>5.0239999999999996E-4</v>
      </c>
      <c r="E376" s="800">
        <v>237114</v>
      </c>
      <c r="F376" s="785">
        <v>782500</v>
      </c>
      <c r="G376" s="785"/>
      <c r="H376" s="786">
        <v>45079</v>
      </c>
      <c r="I376" s="787">
        <v>189992</v>
      </c>
      <c r="J376" s="786">
        <v>111752</v>
      </c>
      <c r="K376" s="785">
        <v>12340</v>
      </c>
      <c r="L376" s="787">
        <f t="shared" si="10"/>
        <v>359163</v>
      </c>
      <c r="M376" s="785"/>
      <c r="N376" s="786">
        <v>22150</v>
      </c>
      <c r="O376" s="786">
        <v>0</v>
      </c>
      <c r="P376" s="785">
        <v>16479</v>
      </c>
      <c r="Q376" s="787">
        <f t="shared" si="11"/>
        <v>38629</v>
      </c>
      <c r="R376" s="785"/>
      <c r="S376" s="786">
        <v>263703</v>
      </c>
      <c r="T376" s="788">
        <v>-2302</v>
      </c>
      <c r="U376" s="788">
        <v>261401</v>
      </c>
    </row>
    <row r="377" spans="1:21" x14ac:dyDescent="0.25">
      <c r="A377" s="782">
        <v>93910</v>
      </c>
      <c r="B377" s="783" t="s">
        <v>2989</v>
      </c>
      <c r="C377" s="784">
        <v>2.786E-4</v>
      </c>
      <c r="D377" s="784">
        <v>2.9129999999999998E-4</v>
      </c>
      <c r="E377" s="800">
        <v>117578</v>
      </c>
      <c r="F377" s="785">
        <v>425624</v>
      </c>
      <c r="G377" s="785"/>
      <c r="H377" s="786">
        <v>24520</v>
      </c>
      <c r="I377" s="787">
        <v>103342</v>
      </c>
      <c r="J377" s="786">
        <v>60785</v>
      </c>
      <c r="K377" s="785">
        <v>0</v>
      </c>
      <c r="L377" s="787">
        <f t="shared" si="10"/>
        <v>188647</v>
      </c>
      <c r="M377" s="785"/>
      <c r="N377" s="786">
        <v>12048</v>
      </c>
      <c r="O377" s="786">
        <v>0</v>
      </c>
      <c r="P377" s="785">
        <v>34002</v>
      </c>
      <c r="Q377" s="787">
        <f t="shared" si="11"/>
        <v>46050</v>
      </c>
      <c r="R377" s="785"/>
      <c r="S377" s="786">
        <v>143436</v>
      </c>
      <c r="T377" s="788">
        <v>-14513</v>
      </c>
      <c r="U377" s="788">
        <v>128923</v>
      </c>
    </row>
    <row r="378" spans="1:21" x14ac:dyDescent="0.25">
      <c r="A378" s="782">
        <v>93911</v>
      </c>
      <c r="B378" s="783" t="s">
        <v>2990</v>
      </c>
      <c r="C378" s="784">
        <v>6.3429999999999997E-4</v>
      </c>
      <c r="D378" s="784">
        <v>6.9890000000000002E-4</v>
      </c>
      <c r="E378" s="800">
        <v>301989</v>
      </c>
      <c r="F378" s="785">
        <v>969035</v>
      </c>
      <c r="G378" s="785"/>
      <c r="H378" s="786">
        <v>55825</v>
      </c>
      <c r="I378" s="787">
        <v>235283</v>
      </c>
      <c r="J378" s="786">
        <v>138392</v>
      </c>
      <c r="K378" s="785">
        <v>13175</v>
      </c>
      <c r="L378" s="787">
        <f t="shared" si="10"/>
        <v>442675</v>
      </c>
      <c r="M378" s="785"/>
      <c r="N378" s="786">
        <v>27430</v>
      </c>
      <c r="O378" s="786">
        <v>0</v>
      </c>
      <c r="P378" s="785">
        <v>54353</v>
      </c>
      <c r="Q378" s="787">
        <f t="shared" si="11"/>
        <v>81783</v>
      </c>
      <c r="R378" s="785"/>
      <c r="S378" s="786">
        <v>326566</v>
      </c>
      <c r="T378" s="788">
        <v>-6922</v>
      </c>
      <c r="U378" s="788">
        <v>319644</v>
      </c>
    </row>
    <row r="379" spans="1:21" x14ac:dyDescent="0.25">
      <c r="A379" s="782">
        <v>93913</v>
      </c>
      <c r="B379" s="783" t="s">
        <v>2991</v>
      </c>
      <c r="C379" s="784">
        <v>5.8799999999999999E-5</v>
      </c>
      <c r="D379" s="784">
        <v>6.2600000000000004E-5</v>
      </c>
      <c r="E379" s="800">
        <v>29910</v>
      </c>
      <c r="F379" s="785">
        <v>89830</v>
      </c>
      <c r="G379" s="785"/>
      <c r="H379" s="786">
        <v>5175</v>
      </c>
      <c r="I379" s="787">
        <v>21810</v>
      </c>
      <c r="J379" s="786">
        <v>12829</v>
      </c>
      <c r="K379" s="785">
        <v>2902</v>
      </c>
      <c r="L379" s="787">
        <f t="shared" si="10"/>
        <v>42716</v>
      </c>
      <c r="M379" s="785"/>
      <c r="N379" s="786">
        <v>2543</v>
      </c>
      <c r="O379" s="786">
        <v>0</v>
      </c>
      <c r="P379" s="785">
        <v>1064</v>
      </c>
      <c r="Q379" s="787">
        <f t="shared" si="11"/>
        <v>3607</v>
      </c>
      <c r="R379" s="785"/>
      <c r="S379" s="786">
        <v>30273</v>
      </c>
      <c r="T379" s="788">
        <v>476</v>
      </c>
      <c r="U379" s="788">
        <v>30749</v>
      </c>
    </row>
    <row r="380" spans="1:21" x14ac:dyDescent="0.25">
      <c r="A380" s="782">
        <v>93914</v>
      </c>
      <c r="B380" s="783" t="s">
        <v>2992</v>
      </c>
      <c r="C380" s="784">
        <v>8.1000000000000004E-6</v>
      </c>
      <c r="D380" s="784">
        <v>9.0999999999999993E-6</v>
      </c>
      <c r="E380" s="800">
        <v>6536</v>
      </c>
      <c r="F380" s="785">
        <v>12375</v>
      </c>
      <c r="G380" s="785"/>
      <c r="H380" s="786">
        <v>713</v>
      </c>
      <c r="I380" s="787">
        <v>3005</v>
      </c>
      <c r="J380" s="786">
        <v>1767</v>
      </c>
      <c r="K380" s="785">
        <v>3568</v>
      </c>
      <c r="L380" s="787">
        <f t="shared" si="10"/>
        <v>9053</v>
      </c>
      <c r="M380" s="785"/>
      <c r="N380" s="786">
        <v>350</v>
      </c>
      <c r="O380" s="786">
        <v>0</v>
      </c>
      <c r="P380" s="785">
        <v>0</v>
      </c>
      <c r="Q380" s="787">
        <f t="shared" si="11"/>
        <v>350</v>
      </c>
      <c r="R380" s="785"/>
      <c r="S380" s="786">
        <v>4170</v>
      </c>
      <c r="T380" s="788">
        <v>1520</v>
      </c>
      <c r="U380" s="788">
        <v>5690</v>
      </c>
    </row>
    <row r="381" spans="1:21" x14ac:dyDescent="0.25">
      <c r="A381" s="782">
        <v>93921</v>
      </c>
      <c r="B381" s="783" t="s">
        <v>2993</v>
      </c>
      <c r="C381" s="784">
        <v>2.9020000000000001E-4</v>
      </c>
      <c r="D381" s="784">
        <v>2.7139999999999998E-4</v>
      </c>
      <c r="E381" s="800">
        <v>126884</v>
      </c>
      <c r="F381" s="785">
        <v>443345</v>
      </c>
      <c r="G381" s="785"/>
      <c r="H381" s="786">
        <v>25541</v>
      </c>
      <c r="I381" s="787">
        <v>107645</v>
      </c>
      <c r="J381" s="786">
        <v>63316</v>
      </c>
      <c r="K381" s="785">
        <v>16222</v>
      </c>
      <c r="L381" s="787">
        <f t="shared" si="10"/>
        <v>212724</v>
      </c>
      <c r="M381" s="785"/>
      <c r="N381" s="786">
        <v>12550</v>
      </c>
      <c r="O381" s="786">
        <v>0</v>
      </c>
      <c r="P381" s="785">
        <v>5036</v>
      </c>
      <c r="Q381" s="787">
        <f t="shared" si="11"/>
        <v>17586</v>
      </c>
      <c r="R381" s="785"/>
      <c r="S381" s="786">
        <v>149408</v>
      </c>
      <c r="T381" s="788">
        <v>6326</v>
      </c>
      <c r="U381" s="788">
        <v>155734</v>
      </c>
    </row>
    <row r="382" spans="1:21" x14ac:dyDescent="0.25">
      <c r="A382" s="782">
        <v>93931</v>
      </c>
      <c r="B382" s="783" t="s">
        <v>2994</v>
      </c>
      <c r="C382" s="784">
        <v>5.0029999999999996E-4</v>
      </c>
      <c r="D382" s="784">
        <v>5.2260000000000002E-4</v>
      </c>
      <c r="E382" s="800">
        <v>212623</v>
      </c>
      <c r="F382" s="785">
        <v>764320</v>
      </c>
      <c r="G382" s="785"/>
      <c r="H382" s="786">
        <v>44032</v>
      </c>
      <c r="I382" s="787">
        <v>185578</v>
      </c>
      <c r="J382" s="786">
        <v>109155</v>
      </c>
      <c r="K382" s="785">
        <v>107572</v>
      </c>
      <c r="L382" s="787">
        <f t="shared" si="10"/>
        <v>446337</v>
      </c>
      <c r="M382" s="785"/>
      <c r="N382" s="786">
        <v>21635</v>
      </c>
      <c r="O382" s="786">
        <v>0</v>
      </c>
      <c r="P382" s="785">
        <v>39017</v>
      </c>
      <c r="Q382" s="787">
        <f t="shared" si="11"/>
        <v>60652</v>
      </c>
      <c r="R382" s="785"/>
      <c r="S382" s="786">
        <v>257576</v>
      </c>
      <c r="T382" s="788">
        <v>79129</v>
      </c>
      <c r="U382" s="788">
        <v>336705</v>
      </c>
    </row>
    <row r="383" spans="1:21" x14ac:dyDescent="0.25">
      <c r="A383" s="782">
        <v>94001</v>
      </c>
      <c r="B383" s="783" t="s">
        <v>2995</v>
      </c>
      <c r="C383" s="784">
        <v>9.209E-4</v>
      </c>
      <c r="D383" s="784">
        <v>9.0240000000000003E-4</v>
      </c>
      <c r="E383" s="800">
        <v>430503</v>
      </c>
      <c r="F383" s="785">
        <v>1406880</v>
      </c>
      <c r="G383" s="785"/>
      <c r="H383" s="786">
        <v>81049</v>
      </c>
      <c r="I383" s="787">
        <v>341592</v>
      </c>
      <c r="J383" s="786">
        <v>200922</v>
      </c>
      <c r="K383" s="785">
        <v>45532</v>
      </c>
      <c r="L383" s="787">
        <f t="shared" si="10"/>
        <v>669095</v>
      </c>
      <c r="M383" s="785"/>
      <c r="N383" s="786">
        <v>39824</v>
      </c>
      <c r="O383" s="786">
        <v>0</v>
      </c>
      <c r="P383" s="785">
        <v>27168</v>
      </c>
      <c r="Q383" s="787">
        <f t="shared" si="11"/>
        <v>66992</v>
      </c>
      <c r="R383" s="785"/>
      <c r="S383" s="786">
        <v>474120</v>
      </c>
      <c r="T383" s="788">
        <v>-12411</v>
      </c>
      <c r="U383" s="788">
        <v>461709</v>
      </c>
    </row>
    <row r="384" spans="1:21" x14ac:dyDescent="0.25">
      <c r="A384" s="782">
        <v>94002</v>
      </c>
      <c r="B384" s="783" t="s">
        <v>2996</v>
      </c>
      <c r="C384" s="784">
        <v>7.0999999999999998E-6</v>
      </c>
      <c r="D384" s="784">
        <v>7.6000000000000001E-6</v>
      </c>
      <c r="E384" s="800">
        <v>4693</v>
      </c>
      <c r="F384" s="785">
        <v>10847</v>
      </c>
      <c r="G384" s="785"/>
      <c r="H384" s="786">
        <v>625</v>
      </c>
      <c r="I384" s="787">
        <v>2633</v>
      </c>
      <c r="J384" s="786">
        <v>1549</v>
      </c>
      <c r="K384" s="785">
        <v>1428</v>
      </c>
      <c r="L384" s="787">
        <f t="shared" si="10"/>
        <v>6235</v>
      </c>
      <c r="M384" s="785"/>
      <c r="N384" s="786">
        <v>307</v>
      </c>
      <c r="O384" s="786">
        <v>0</v>
      </c>
      <c r="P384" s="785">
        <v>214</v>
      </c>
      <c r="Q384" s="787">
        <f t="shared" si="11"/>
        <v>521</v>
      </c>
      <c r="R384" s="785"/>
      <c r="S384" s="786">
        <v>3655</v>
      </c>
      <c r="T384" s="788">
        <v>237</v>
      </c>
      <c r="U384" s="788">
        <v>3892</v>
      </c>
    </row>
    <row r="385" spans="1:21" x14ac:dyDescent="0.25">
      <c r="A385" s="782">
        <v>94004</v>
      </c>
      <c r="B385" s="783" t="s">
        <v>2997</v>
      </c>
      <c r="C385" s="784">
        <v>7.3000000000000004E-6</v>
      </c>
      <c r="D385" s="784">
        <v>2.7999999999999999E-6</v>
      </c>
      <c r="E385" s="800">
        <v>4145</v>
      </c>
      <c r="F385" s="785">
        <v>11152</v>
      </c>
      <c r="G385" s="785"/>
      <c r="H385" s="786">
        <v>642</v>
      </c>
      <c r="I385" s="787">
        <v>2708</v>
      </c>
      <c r="J385" s="786">
        <v>1593</v>
      </c>
      <c r="K385" s="785">
        <v>4768</v>
      </c>
      <c r="L385" s="787">
        <f t="shared" si="10"/>
        <v>9711</v>
      </c>
      <c r="M385" s="785"/>
      <c r="N385" s="786">
        <v>316</v>
      </c>
      <c r="O385" s="786">
        <v>0</v>
      </c>
      <c r="P385" s="785">
        <v>626</v>
      </c>
      <c r="Q385" s="787">
        <f t="shared" si="11"/>
        <v>942</v>
      </c>
      <c r="R385" s="785"/>
      <c r="S385" s="786">
        <v>3758</v>
      </c>
      <c r="T385" s="788">
        <v>706</v>
      </c>
      <c r="U385" s="788">
        <v>4464</v>
      </c>
    </row>
    <row r="386" spans="1:21" x14ac:dyDescent="0.25">
      <c r="A386" s="782">
        <v>94005</v>
      </c>
      <c r="B386" s="783" t="s">
        <v>2998</v>
      </c>
      <c r="C386" s="784">
        <v>0</v>
      </c>
      <c r="D386" s="784">
        <v>5.4999999999999999E-6</v>
      </c>
      <c r="E386" s="800">
        <v>560</v>
      </c>
      <c r="F386" s="785">
        <v>0</v>
      </c>
      <c r="G386" s="785"/>
      <c r="H386" s="786">
        <v>0</v>
      </c>
      <c r="I386" s="787">
        <v>0</v>
      </c>
      <c r="J386" s="786">
        <v>0</v>
      </c>
      <c r="K386" s="785">
        <v>0</v>
      </c>
      <c r="L386" s="787">
        <f t="shared" si="10"/>
        <v>0</v>
      </c>
      <c r="M386" s="785"/>
      <c r="N386" s="786">
        <v>0</v>
      </c>
      <c r="O386" s="786">
        <v>0</v>
      </c>
      <c r="P386" s="785">
        <v>5864</v>
      </c>
      <c r="Q386" s="787">
        <f t="shared" si="11"/>
        <v>5864</v>
      </c>
      <c r="R386" s="785"/>
      <c r="S386" s="786">
        <v>0</v>
      </c>
      <c r="T386" s="788">
        <v>-1984</v>
      </c>
      <c r="U386" s="788">
        <v>-1984</v>
      </c>
    </row>
    <row r="387" spans="1:21" x14ac:dyDescent="0.25">
      <c r="A387" s="782">
        <v>94011</v>
      </c>
      <c r="B387" s="783" t="s">
        <v>2999</v>
      </c>
      <c r="C387" s="784">
        <v>2.3600000000000001E-5</v>
      </c>
      <c r="D387" s="784">
        <v>2.5599999999999999E-5</v>
      </c>
      <c r="E387" s="800">
        <v>9233</v>
      </c>
      <c r="F387" s="785">
        <v>36054</v>
      </c>
      <c r="G387" s="785"/>
      <c r="H387" s="786">
        <v>2077</v>
      </c>
      <c r="I387" s="787">
        <v>8754</v>
      </c>
      <c r="J387" s="786">
        <v>5149</v>
      </c>
      <c r="K387" s="785">
        <v>3216</v>
      </c>
      <c r="L387" s="787">
        <f t="shared" si="10"/>
        <v>19196</v>
      </c>
      <c r="M387" s="785"/>
      <c r="N387" s="786">
        <v>1021</v>
      </c>
      <c r="O387" s="786">
        <v>0</v>
      </c>
      <c r="P387" s="785">
        <v>3156</v>
      </c>
      <c r="Q387" s="787">
        <f t="shared" si="11"/>
        <v>4177</v>
      </c>
      <c r="R387" s="785"/>
      <c r="S387" s="786">
        <v>12150</v>
      </c>
      <c r="T387" s="788">
        <v>-16</v>
      </c>
      <c r="U387" s="788">
        <v>12134</v>
      </c>
    </row>
    <row r="388" spans="1:21" x14ac:dyDescent="0.25">
      <c r="A388" s="782">
        <v>94021</v>
      </c>
      <c r="B388" s="783" t="s">
        <v>3000</v>
      </c>
      <c r="C388" s="784">
        <v>9.3399999999999993E-5</v>
      </c>
      <c r="D388" s="784">
        <v>8.1699999999999994E-5</v>
      </c>
      <c r="E388" s="800">
        <v>47346</v>
      </c>
      <c r="F388" s="785">
        <v>142689</v>
      </c>
      <c r="G388" s="785"/>
      <c r="H388" s="786">
        <v>8220</v>
      </c>
      <c r="I388" s="787">
        <v>34645</v>
      </c>
      <c r="J388" s="786">
        <v>20378</v>
      </c>
      <c r="K388" s="785">
        <v>20025</v>
      </c>
      <c r="L388" s="787">
        <f t="shared" si="10"/>
        <v>83268</v>
      </c>
      <c r="M388" s="785"/>
      <c r="N388" s="786">
        <v>4039</v>
      </c>
      <c r="O388" s="786">
        <v>0</v>
      </c>
      <c r="P388" s="785">
        <v>0</v>
      </c>
      <c r="Q388" s="787">
        <f t="shared" si="11"/>
        <v>4039</v>
      </c>
      <c r="R388" s="785"/>
      <c r="S388" s="786">
        <v>48086</v>
      </c>
      <c r="T388" s="788">
        <v>8567</v>
      </c>
      <c r="U388" s="788">
        <v>56653</v>
      </c>
    </row>
    <row r="389" spans="1:21" x14ac:dyDescent="0.25">
      <c r="A389" s="782">
        <v>94031</v>
      </c>
      <c r="B389" s="783" t="s">
        <v>3001</v>
      </c>
      <c r="C389" s="784">
        <v>5.4E-6</v>
      </c>
      <c r="D389" s="784">
        <v>8.1000000000000004E-6</v>
      </c>
      <c r="E389" s="800">
        <v>6800</v>
      </c>
      <c r="F389" s="785">
        <v>8250</v>
      </c>
      <c r="G389" s="785"/>
      <c r="H389" s="786">
        <v>475</v>
      </c>
      <c r="I389" s="787">
        <v>2003</v>
      </c>
      <c r="J389" s="786">
        <v>1178</v>
      </c>
      <c r="K389" s="785">
        <v>7232</v>
      </c>
      <c r="L389" s="787">
        <f t="shared" si="10"/>
        <v>10888</v>
      </c>
      <c r="M389" s="785"/>
      <c r="N389" s="786">
        <v>234</v>
      </c>
      <c r="O389" s="786">
        <v>0</v>
      </c>
      <c r="P389" s="785">
        <v>41</v>
      </c>
      <c r="Q389" s="787">
        <f t="shared" si="11"/>
        <v>275</v>
      </c>
      <c r="R389" s="785"/>
      <c r="S389" s="786">
        <v>2780</v>
      </c>
      <c r="T389" s="788">
        <v>2829</v>
      </c>
      <c r="U389" s="788">
        <v>5609</v>
      </c>
    </row>
    <row r="390" spans="1:21" x14ac:dyDescent="0.25">
      <c r="A390" s="782">
        <v>94101</v>
      </c>
      <c r="B390" s="783" t="s">
        <v>3002</v>
      </c>
      <c r="C390" s="784">
        <v>1.8321799999999999E-2</v>
      </c>
      <c r="D390" s="784">
        <v>1.85028E-2</v>
      </c>
      <c r="E390" s="800">
        <v>8515875</v>
      </c>
      <c r="F390" s="785">
        <v>27990635</v>
      </c>
      <c r="G390" s="785"/>
      <c r="H390" s="786">
        <v>1612520</v>
      </c>
      <c r="I390" s="787">
        <v>6796161</v>
      </c>
      <c r="J390" s="786">
        <v>3997450</v>
      </c>
      <c r="K390" s="785">
        <v>271577</v>
      </c>
      <c r="L390" s="787">
        <f t="shared" si="10"/>
        <v>12677708</v>
      </c>
      <c r="M390" s="785"/>
      <c r="N390" s="786">
        <v>792326</v>
      </c>
      <c r="O390" s="786">
        <v>0</v>
      </c>
      <c r="P390" s="785">
        <v>721969</v>
      </c>
      <c r="Q390" s="787">
        <f t="shared" si="11"/>
        <v>1514295</v>
      </c>
      <c r="R390" s="785"/>
      <c r="S390" s="786">
        <v>9432869</v>
      </c>
      <c r="T390" s="788">
        <v>-270678</v>
      </c>
      <c r="U390" s="788">
        <v>9162191</v>
      </c>
    </row>
    <row r="391" spans="1:21" x14ac:dyDescent="0.25">
      <c r="A391" s="782">
        <v>94102</v>
      </c>
      <c r="B391" s="783" t="s">
        <v>3003</v>
      </c>
      <c r="C391" s="784">
        <v>2.965E-4</v>
      </c>
      <c r="D391" s="784">
        <v>2.7569999999999998E-4</v>
      </c>
      <c r="E391" s="800">
        <v>104557</v>
      </c>
      <c r="F391" s="785">
        <v>452970</v>
      </c>
      <c r="G391" s="785"/>
      <c r="H391" s="786">
        <v>26095</v>
      </c>
      <c r="I391" s="787">
        <v>109981</v>
      </c>
      <c r="J391" s="786">
        <v>64690</v>
      </c>
      <c r="K391" s="785">
        <v>2570</v>
      </c>
      <c r="L391" s="787">
        <f t="shared" ref="L391:L454" si="12">H391+I391+J391+K391</f>
        <v>203336</v>
      </c>
      <c r="M391" s="785"/>
      <c r="N391" s="786">
        <v>12822</v>
      </c>
      <c r="O391" s="786">
        <v>0</v>
      </c>
      <c r="P391" s="785">
        <v>36856</v>
      </c>
      <c r="Q391" s="787">
        <f t="shared" ref="Q391:Q454" si="13">N391+O391+P391</f>
        <v>49678</v>
      </c>
      <c r="R391" s="785"/>
      <c r="S391" s="786">
        <v>152651</v>
      </c>
      <c r="T391" s="788">
        <v>-11311</v>
      </c>
      <c r="U391" s="788">
        <v>141340</v>
      </c>
    </row>
    <row r="392" spans="1:21" x14ac:dyDescent="0.25">
      <c r="A392" s="782">
        <v>94108</v>
      </c>
      <c r="B392" s="783" t="s">
        <v>3004</v>
      </c>
      <c r="C392" s="784">
        <v>3.1389999999999999E-4</v>
      </c>
      <c r="D392" s="784">
        <v>3.1809999999999998E-4</v>
      </c>
      <c r="E392" s="800">
        <v>112936</v>
      </c>
      <c r="F392" s="785">
        <v>479552</v>
      </c>
      <c r="G392" s="785"/>
      <c r="H392" s="786">
        <v>27627</v>
      </c>
      <c r="I392" s="787">
        <v>116436</v>
      </c>
      <c r="J392" s="786">
        <v>68487</v>
      </c>
      <c r="K392" s="785">
        <v>0</v>
      </c>
      <c r="L392" s="787">
        <f t="shared" si="12"/>
        <v>212550</v>
      </c>
      <c r="M392" s="785"/>
      <c r="N392" s="786">
        <v>13575</v>
      </c>
      <c r="O392" s="786">
        <v>0</v>
      </c>
      <c r="P392" s="785">
        <v>108607</v>
      </c>
      <c r="Q392" s="787">
        <f t="shared" si="13"/>
        <v>122182</v>
      </c>
      <c r="R392" s="785"/>
      <c r="S392" s="786">
        <v>161610</v>
      </c>
      <c r="T392" s="788">
        <v>-47459</v>
      </c>
      <c r="U392" s="788">
        <v>114151</v>
      </c>
    </row>
    <row r="393" spans="1:21" x14ac:dyDescent="0.25">
      <c r="A393" s="782">
        <v>94109</v>
      </c>
      <c r="B393" s="783" t="s">
        <v>3005</v>
      </c>
      <c r="C393" s="784">
        <v>9.09E-5</v>
      </c>
      <c r="D393" s="784">
        <v>1.0399999999999999E-4</v>
      </c>
      <c r="E393" s="800">
        <v>31710</v>
      </c>
      <c r="F393" s="785">
        <v>138870</v>
      </c>
      <c r="G393" s="785"/>
      <c r="H393" s="786">
        <v>8000</v>
      </c>
      <c r="I393" s="787">
        <v>33718</v>
      </c>
      <c r="J393" s="786">
        <v>19833</v>
      </c>
      <c r="K393" s="785">
        <v>796</v>
      </c>
      <c r="L393" s="787">
        <f t="shared" si="12"/>
        <v>62347</v>
      </c>
      <c r="M393" s="785"/>
      <c r="N393" s="786">
        <v>3931</v>
      </c>
      <c r="O393" s="786">
        <v>0</v>
      </c>
      <c r="P393" s="785">
        <v>41294</v>
      </c>
      <c r="Q393" s="787">
        <f t="shared" si="13"/>
        <v>45225</v>
      </c>
      <c r="R393" s="785"/>
      <c r="S393" s="786">
        <v>46799</v>
      </c>
      <c r="T393" s="788">
        <v>-12890</v>
      </c>
      <c r="U393" s="788">
        <v>33909</v>
      </c>
    </row>
    <row r="394" spans="1:21" x14ac:dyDescent="0.25">
      <c r="A394" s="782">
        <v>94111</v>
      </c>
      <c r="B394" s="783" t="s">
        <v>3006</v>
      </c>
      <c r="C394" s="784">
        <v>2.5682300000000002E-2</v>
      </c>
      <c r="D394" s="784">
        <v>2.5623300000000002E-2</v>
      </c>
      <c r="E394" s="800">
        <v>11270051</v>
      </c>
      <c r="F394" s="785">
        <v>39235440</v>
      </c>
      <c r="G394" s="785"/>
      <c r="H394" s="786">
        <v>2260325</v>
      </c>
      <c r="I394" s="787">
        <v>9526412</v>
      </c>
      <c r="J394" s="786">
        <v>5603364</v>
      </c>
      <c r="K394" s="785">
        <v>7528</v>
      </c>
      <c r="L394" s="787">
        <f t="shared" si="12"/>
        <v>17397629</v>
      </c>
      <c r="M394" s="785"/>
      <c r="N394" s="786">
        <v>1110631</v>
      </c>
      <c r="O394" s="786">
        <v>0</v>
      </c>
      <c r="P394" s="785">
        <v>1491627</v>
      </c>
      <c r="Q394" s="787">
        <f t="shared" si="13"/>
        <v>2602258</v>
      </c>
      <c r="R394" s="785"/>
      <c r="S394" s="786">
        <v>13222378</v>
      </c>
      <c r="T394" s="788">
        <v>-524586</v>
      </c>
      <c r="U394" s="788">
        <v>12697792</v>
      </c>
    </row>
    <row r="395" spans="1:21" x14ac:dyDescent="0.25">
      <c r="A395" s="782">
        <v>94112</v>
      </c>
      <c r="B395" s="783" t="s">
        <v>3007</v>
      </c>
      <c r="C395" s="784">
        <v>1.6699999999999999E-4</v>
      </c>
      <c r="D395" s="784">
        <v>1.6530000000000001E-4</v>
      </c>
      <c r="E395" s="800">
        <v>68640</v>
      </c>
      <c r="F395" s="785">
        <v>255130</v>
      </c>
      <c r="G395" s="785"/>
      <c r="H395" s="786">
        <v>14698</v>
      </c>
      <c r="I395" s="787">
        <v>61946</v>
      </c>
      <c r="J395" s="786">
        <v>36436</v>
      </c>
      <c r="K395" s="785">
        <v>0</v>
      </c>
      <c r="L395" s="787">
        <f t="shared" si="12"/>
        <v>113080</v>
      </c>
      <c r="M395" s="785"/>
      <c r="N395" s="786">
        <v>7222</v>
      </c>
      <c r="O395" s="786">
        <v>0</v>
      </c>
      <c r="P395" s="785">
        <v>18973</v>
      </c>
      <c r="Q395" s="787">
        <f t="shared" si="13"/>
        <v>26195</v>
      </c>
      <c r="R395" s="785"/>
      <c r="S395" s="786">
        <v>85979</v>
      </c>
      <c r="T395" s="788">
        <v>-8534</v>
      </c>
      <c r="U395" s="788">
        <v>77445</v>
      </c>
    </row>
    <row r="396" spans="1:21" x14ac:dyDescent="0.25">
      <c r="A396" s="782">
        <v>94117</v>
      </c>
      <c r="B396" s="783" t="s">
        <v>3008</v>
      </c>
      <c r="C396" s="784">
        <v>3.9809999999999997E-4</v>
      </c>
      <c r="D396" s="784">
        <v>4.0709999999999997E-4</v>
      </c>
      <c r="E396" s="800">
        <v>179744</v>
      </c>
      <c r="F396" s="785">
        <v>608187</v>
      </c>
      <c r="G396" s="785"/>
      <c r="H396" s="786">
        <v>35037</v>
      </c>
      <c r="I396" s="787">
        <v>147669</v>
      </c>
      <c r="J396" s="786">
        <v>86857</v>
      </c>
      <c r="K396" s="785">
        <v>8133</v>
      </c>
      <c r="L396" s="787">
        <f t="shared" si="12"/>
        <v>277696</v>
      </c>
      <c r="M396" s="785"/>
      <c r="N396" s="786">
        <v>17216</v>
      </c>
      <c r="O396" s="786">
        <v>0</v>
      </c>
      <c r="P396" s="785">
        <v>15587</v>
      </c>
      <c r="Q396" s="787">
        <f t="shared" si="13"/>
        <v>32803</v>
      </c>
      <c r="R396" s="785"/>
      <c r="S396" s="786">
        <v>204959</v>
      </c>
      <c r="T396" s="788">
        <v>-79</v>
      </c>
      <c r="U396" s="788">
        <v>204880</v>
      </c>
    </row>
    <row r="397" spans="1:21" x14ac:dyDescent="0.25">
      <c r="A397" s="782">
        <v>94118</v>
      </c>
      <c r="B397" s="783" t="s">
        <v>3009</v>
      </c>
      <c r="C397" s="784">
        <v>1.494E-4</v>
      </c>
      <c r="D397" s="784">
        <v>1.63E-4</v>
      </c>
      <c r="E397" s="800">
        <v>57233</v>
      </c>
      <c r="F397" s="785">
        <v>228242</v>
      </c>
      <c r="G397" s="785"/>
      <c r="H397" s="786">
        <v>13149</v>
      </c>
      <c r="I397" s="787">
        <v>55417</v>
      </c>
      <c r="J397" s="786">
        <v>32596</v>
      </c>
      <c r="K397" s="785">
        <v>0</v>
      </c>
      <c r="L397" s="787">
        <f t="shared" si="12"/>
        <v>101162</v>
      </c>
      <c r="M397" s="785"/>
      <c r="N397" s="786">
        <v>6461</v>
      </c>
      <c r="O397" s="786">
        <v>0</v>
      </c>
      <c r="P397" s="785">
        <v>56599</v>
      </c>
      <c r="Q397" s="787">
        <f t="shared" si="13"/>
        <v>63060</v>
      </c>
      <c r="R397" s="785"/>
      <c r="S397" s="786">
        <v>76918</v>
      </c>
      <c r="T397" s="788">
        <v>-24768</v>
      </c>
      <c r="U397" s="788">
        <v>52150</v>
      </c>
    </row>
    <row r="398" spans="1:21" x14ac:dyDescent="0.25">
      <c r="A398" s="782">
        <v>94121</v>
      </c>
      <c r="B398" s="783" t="s">
        <v>3010</v>
      </c>
      <c r="C398" s="784">
        <v>1.1246000000000001E-2</v>
      </c>
      <c r="D398" s="784">
        <v>1.12823E-2</v>
      </c>
      <c r="E398" s="800">
        <v>5240634</v>
      </c>
      <c r="F398" s="785">
        <v>17180773</v>
      </c>
      <c r="G398" s="785"/>
      <c r="H398" s="786">
        <v>989772</v>
      </c>
      <c r="I398" s="787">
        <v>4171512</v>
      </c>
      <c r="J398" s="786">
        <v>2453652</v>
      </c>
      <c r="K398" s="785">
        <v>65556</v>
      </c>
      <c r="L398" s="787">
        <f t="shared" si="12"/>
        <v>7680492</v>
      </c>
      <c r="M398" s="785"/>
      <c r="N398" s="786">
        <v>486333</v>
      </c>
      <c r="O398" s="786">
        <v>0</v>
      </c>
      <c r="P398" s="785">
        <v>276825</v>
      </c>
      <c r="Q398" s="787">
        <f t="shared" si="13"/>
        <v>763158</v>
      </c>
      <c r="R398" s="785"/>
      <c r="S398" s="786">
        <v>5789936</v>
      </c>
      <c r="T398" s="788">
        <v>-128084</v>
      </c>
      <c r="U398" s="788">
        <v>5661852</v>
      </c>
    </row>
    <row r="399" spans="1:21" x14ac:dyDescent="0.25">
      <c r="A399" s="782">
        <v>94127</v>
      </c>
      <c r="B399" s="783" t="s">
        <v>3011</v>
      </c>
      <c r="C399" s="784">
        <v>1.7310000000000001E-4</v>
      </c>
      <c r="D399" s="784">
        <v>1.528E-4</v>
      </c>
      <c r="E399" s="800">
        <v>70093</v>
      </c>
      <c r="F399" s="785">
        <v>264449</v>
      </c>
      <c r="G399" s="785"/>
      <c r="H399" s="786">
        <v>15235</v>
      </c>
      <c r="I399" s="787">
        <v>64208</v>
      </c>
      <c r="J399" s="786">
        <v>37767</v>
      </c>
      <c r="K399" s="785">
        <v>8697</v>
      </c>
      <c r="L399" s="787">
        <f t="shared" si="12"/>
        <v>125907</v>
      </c>
      <c r="M399" s="785"/>
      <c r="N399" s="786">
        <v>7486</v>
      </c>
      <c r="O399" s="786">
        <v>0</v>
      </c>
      <c r="P399" s="785">
        <v>398</v>
      </c>
      <c r="Q399" s="787">
        <f t="shared" si="13"/>
        <v>7884</v>
      </c>
      <c r="R399" s="785"/>
      <c r="S399" s="786">
        <v>89119</v>
      </c>
      <c r="T399" s="788">
        <v>2605</v>
      </c>
      <c r="U399" s="788">
        <v>91724</v>
      </c>
    </row>
    <row r="400" spans="1:21" x14ac:dyDescent="0.25">
      <c r="A400" s="782">
        <v>94131</v>
      </c>
      <c r="B400" s="783" t="s">
        <v>3012</v>
      </c>
      <c r="C400" s="784">
        <v>1.7479999999999999E-4</v>
      </c>
      <c r="D400" s="784">
        <v>2.0049999999999999E-4</v>
      </c>
      <c r="E400" s="800">
        <v>91156</v>
      </c>
      <c r="F400" s="785">
        <v>267046</v>
      </c>
      <c r="G400" s="785"/>
      <c r="H400" s="786">
        <v>15384</v>
      </c>
      <c r="I400" s="787">
        <v>64840</v>
      </c>
      <c r="J400" s="786">
        <v>38138</v>
      </c>
      <c r="K400" s="785">
        <v>3004</v>
      </c>
      <c r="L400" s="787">
        <f t="shared" si="12"/>
        <v>121366</v>
      </c>
      <c r="M400" s="785"/>
      <c r="N400" s="786">
        <v>7559</v>
      </c>
      <c r="O400" s="786">
        <v>0</v>
      </c>
      <c r="P400" s="785">
        <v>9062</v>
      </c>
      <c r="Q400" s="787">
        <f t="shared" si="13"/>
        <v>16621</v>
      </c>
      <c r="R400" s="785"/>
      <c r="S400" s="786">
        <v>89995</v>
      </c>
      <c r="T400" s="788">
        <v>-1148</v>
      </c>
      <c r="U400" s="788">
        <v>88847</v>
      </c>
    </row>
    <row r="401" spans="1:21" x14ac:dyDescent="0.25">
      <c r="A401" s="782">
        <v>94151</v>
      </c>
      <c r="B401" s="783" t="s">
        <v>3013</v>
      </c>
      <c r="C401" s="784">
        <v>4.1590000000000003E-4</v>
      </c>
      <c r="D401" s="784">
        <v>4.2870000000000001E-4</v>
      </c>
      <c r="E401" s="800">
        <v>171244</v>
      </c>
      <c r="F401" s="785">
        <v>635380</v>
      </c>
      <c r="G401" s="785"/>
      <c r="H401" s="786">
        <v>36604</v>
      </c>
      <c r="I401" s="787">
        <v>154271</v>
      </c>
      <c r="J401" s="786">
        <v>90741</v>
      </c>
      <c r="K401" s="785">
        <v>0</v>
      </c>
      <c r="L401" s="787">
        <f t="shared" si="12"/>
        <v>281616</v>
      </c>
      <c r="M401" s="785"/>
      <c r="N401" s="786">
        <v>17986</v>
      </c>
      <c r="O401" s="786">
        <v>0</v>
      </c>
      <c r="P401" s="785">
        <v>36672</v>
      </c>
      <c r="Q401" s="787">
        <f t="shared" si="13"/>
        <v>54658</v>
      </c>
      <c r="R401" s="785"/>
      <c r="S401" s="786">
        <v>214124</v>
      </c>
      <c r="T401" s="788">
        <v>-12878</v>
      </c>
      <c r="U401" s="788">
        <v>201246</v>
      </c>
    </row>
    <row r="402" spans="1:21" x14ac:dyDescent="0.25">
      <c r="A402" s="782">
        <v>94157</v>
      </c>
      <c r="B402" s="783" t="s">
        <v>3014</v>
      </c>
      <c r="C402" s="784">
        <v>8.8999999999999995E-6</v>
      </c>
      <c r="D402" s="784">
        <v>9.3999999999999998E-6</v>
      </c>
      <c r="E402" s="800">
        <v>5186</v>
      </c>
      <c r="F402" s="785">
        <v>13597</v>
      </c>
      <c r="G402" s="785"/>
      <c r="H402" s="786">
        <v>783</v>
      </c>
      <c r="I402" s="787">
        <v>3302</v>
      </c>
      <c r="J402" s="786">
        <v>1942</v>
      </c>
      <c r="K402" s="785">
        <v>3748</v>
      </c>
      <c r="L402" s="787">
        <f t="shared" si="12"/>
        <v>9775</v>
      </c>
      <c r="M402" s="785"/>
      <c r="N402" s="786">
        <v>385</v>
      </c>
      <c r="O402" s="786">
        <v>0</v>
      </c>
      <c r="P402" s="785">
        <v>0</v>
      </c>
      <c r="Q402" s="787">
        <f t="shared" si="13"/>
        <v>385</v>
      </c>
      <c r="R402" s="785"/>
      <c r="S402" s="786">
        <v>4582</v>
      </c>
      <c r="T402" s="788">
        <v>2084</v>
      </c>
      <c r="U402" s="788">
        <v>6666</v>
      </c>
    </row>
    <row r="403" spans="1:21" x14ac:dyDescent="0.25">
      <c r="A403" s="782">
        <v>94161</v>
      </c>
      <c r="B403" s="783" t="s">
        <v>3015</v>
      </c>
      <c r="C403" s="784">
        <v>5.1900000000000001E-5</v>
      </c>
      <c r="D403" s="784">
        <v>5.7899999999999998E-5</v>
      </c>
      <c r="E403" s="800">
        <v>24925</v>
      </c>
      <c r="F403" s="785">
        <v>79289</v>
      </c>
      <c r="G403" s="785"/>
      <c r="H403" s="786">
        <v>4568</v>
      </c>
      <c r="I403" s="787">
        <v>19252</v>
      </c>
      <c r="J403" s="786">
        <v>11324</v>
      </c>
      <c r="K403" s="785">
        <v>5455</v>
      </c>
      <c r="L403" s="787">
        <f t="shared" si="12"/>
        <v>40599</v>
      </c>
      <c r="M403" s="785"/>
      <c r="N403" s="786">
        <v>2244</v>
      </c>
      <c r="O403" s="786">
        <v>0</v>
      </c>
      <c r="P403" s="785">
        <v>3144</v>
      </c>
      <c r="Q403" s="787">
        <f t="shared" si="13"/>
        <v>5388</v>
      </c>
      <c r="R403" s="785"/>
      <c r="S403" s="786">
        <v>26720</v>
      </c>
      <c r="T403" s="788">
        <v>2302</v>
      </c>
      <c r="U403" s="788">
        <v>29022</v>
      </c>
    </row>
    <row r="404" spans="1:21" x14ac:dyDescent="0.25">
      <c r="A404" s="782">
        <v>94168</v>
      </c>
      <c r="B404" s="783" t="s">
        <v>3016</v>
      </c>
      <c r="C404" s="784">
        <v>2.5899999999999999E-5</v>
      </c>
      <c r="D404" s="784">
        <v>3.4E-5</v>
      </c>
      <c r="E404" s="800">
        <v>14686</v>
      </c>
      <c r="F404" s="785">
        <v>39568</v>
      </c>
      <c r="G404" s="785"/>
      <c r="H404" s="786">
        <v>2279</v>
      </c>
      <c r="I404" s="787">
        <v>9607</v>
      </c>
      <c r="J404" s="786">
        <v>5651</v>
      </c>
      <c r="K404" s="785">
        <v>0</v>
      </c>
      <c r="L404" s="787">
        <f t="shared" si="12"/>
        <v>17537</v>
      </c>
      <c r="M404" s="785"/>
      <c r="N404" s="786">
        <v>1120</v>
      </c>
      <c r="O404" s="786">
        <v>0</v>
      </c>
      <c r="P404" s="785">
        <v>11664</v>
      </c>
      <c r="Q404" s="787">
        <f t="shared" si="13"/>
        <v>12784</v>
      </c>
      <c r="R404" s="785"/>
      <c r="S404" s="786">
        <v>13334</v>
      </c>
      <c r="T404" s="788">
        <v>-5442</v>
      </c>
      <c r="U404" s="788">
        <v>7892</v>
      </c>
    </row>
    <row r="405" spans="1:21" x14ac:dyDescent="0.25">
      <c r="A405" s="782">
        <v>94171</v>
      </c>
      <c r="B405" s="783" t="s">
        <v>3017</v>
      </c>
      <c r="C405" s="784">
        <v>6.9800000000000003E-5</v>
      </c>
      <c r="D405" s="784">
        <v>5.5000000000000002E-5</v>
      </c>
      <c r="E405" s="800">
        <v>26828</v>
      </c>
      <c r="F405" s="785">
        <v>106635</v>
      </c>
      <c r="G405" s="785"/>
      <c r="H405" s="786">
        <v>6143</v>
      </c>
      <c r="I405" s="787">
        <v>25891</v>
      </c>
      <c r="J405" s="786">
        <v>15229</v>
      </c>
      <c r="K405" s="785">
        <v>10026</v>
      </c>
      <c r="L405" s="787">
        <f t="shared" si="12"/>
        <v>57289</v>
      </c>
      <c r="M405" s="785"/>
      <c r="N405" s="786">
        <v>3019</v>
      </c>
      <c r="O405" s="786">
        <v>0</v>
      </c>
      <c r="P405" s="785">
        <v>862</v>
      </c>
      <c r="Q405" s="787">
        <f t="shared" si="13"/>
        <v>3881</v>
      </c>
      <c r="R405" s="785"/>
      <c r="S405" s="786">
        <v>35936</v>
      </c>
      <c r="T405" s="788">
        <v>2780</v>
      </c>
      <c r="U405" s="788">
        <v>38716</v>
      </c>
    </row>
    <row r="406" spans="1:21" x14ac:dyDescent="0.25">
      <c r="A406" s="782">
        <v>94172</v>
      </c>
      <c r="B406" s="783" t="s">
        <v>3018</v>
      </c>
      <c r="C406" s="784">
        <v>2.6289999999999999E-4</v>
      </c>
      <c r="D406" s="784">
        <v>2.6699999999999998E-4</v>
      </c>
      <c r="E406" s="800">
        <v>91553</v>
      </c>
      <c r="F406" s="785">
        <v>401638</v>
      </c>
      <c r="G406" s="785"/>
      <c r="H406" s="786">
        <v>23138</v>
      </c>
      <c r="I406" s="787">
        <v>97518</v>
      </c>
      <c r="J406" s="786">
        <v>57360</v>
      </c>
      <c r="K406" s="785">
        <v>0</v>
      </c>
      <c r="L406" s="787">
        <f t="shared" si="12"/>
        <v>178016</v>
      </c>
      <c r="M406" s="785"/>
      <c r="N406" s="786">
        <v>11369</v>
      </c>
      <c r="O406" s="786">
        <v>0</v>
      </c>
      <c r="P406" s="785">
        <v>90059</v>
      </c>
      <c r="Q406" s="787">
        <f t="shared" si="13"/>
        <v>101428</v>
      </c>
      <c r="R406" s="785"/>
      <c r="S406" s="786">
        <v>135352</v>
      </c>
      <c r="T406" s="788">
        <v>-41178</v>
      </c>
      <c r="U406" s="788">
        <v>94174</v>
      </c>
    </row>
    <row r="407" spans="1:21" x14ac:dyDescent="0.25">
      <c r="A407" s="782">
        <v>94201</v>
      </c>
      <c r="B407" s="783" t="s">
        <v>3019</v>
      </c>
      <c r="C407" s="784">
        <v>3.3658999999999998E-3</v>
      </c>
      <c r="D407" s="784">
        <v>3.4813000000000001E-3</v>
      </c>
      <c r="E407" s="800">
        <v>1556105</v>
      </c>
      <c r="F407" s="785">
        <v>5142163</v>
      </c>
      <c r="G407" s="785"/>
      <c r="H407" s="786">
        <v>296236</v>
      </c>
      <c r="I407" s="787">
        <v>1248524</v>
      </c>
      <c r="J407" s="786">
        <v>734372</v>
      </c>
      <c r="K407" s="785">
        <v>37947</v>
      </c>
      <c r="L407" s="787">
        <f t="shared" si="12"/>
        <v>2317079</v>
      </c>
      <c r="M407" s="785"/>
      <c r="N407" s="786">
        <v>145558</v>
      </c>
      <c r="O407" s="786">
        <v>0</v>
      </c>
      <c r="P407" s="785">
        <v>70514</v>
      </c>
      <c r="Q407" s="787">
        <f t="shared" si="13"/>
        <v>216072</v>
      </c>
      <c r="R407" s="785"/>
      <c r="S407" s="786">
        <v>1732913</v>
      </c>
      <c r="T407" s="788">
        <v>-942</v>
      </c>
      <c r="U407" s="788">
        <v>1731971</v>
      </c>
    </row>
    <row r="408" spans="1:21" x14ac:dyDescent="0.25">
      <c r="A408" s="782">
        <v>94204</v>
      </c>
      <c r="B408" s="783" t="s">
        <v>3020</v>
      </c>
      <c r="C408" s="784">
        <v>2.5899999999999999E-5</v>
      </c>
      <c r="D408" s="784">
        <v>2.4899999999999999E-5</v>
      </c>
      <c r="E408" s="800">
        <v>17428</v>
      </c>
      <c r="F408" s="785">
        <v>39568</v>
      </c>
      <c r="G408" s="785"/>
      <c r="H408" s="786">
        <v>2279</v>
      </c>
      <c r="I408" s="787">
        <v>9607</v>
      </c>
      <c r="J408" s="786">
        <v>5651</v>
      </c>
      <c r="K408" s="785">
        <v>12190</v>
      </c>
      <c r="L408" s="787">
        <f t="shared" si="12"/>
        <v>29727</v>
      </c>
      <c r="M408" s="785"/>
      <c r="N408" s="786">
        <v>1120</v>
      </c>
      <c r="O408" s="786">
        <v>0</v>
      </c>
      <c r="P408" s="785">
        <v>0</v>
      </c>
      <c r="Q408" s="787">
        <f t="shared" si="13"/>
        <v>1120</v>
      </c>
      <c r="R408" s="785"/>
      <c r="S408" s="786">
        <v>13334</v>
      </c>
      <c r="T408" s="788">
        <v>4996</v>
      </c>
      <c r="U408" s="788">
        <v>18330</v>
      </c>
    </row>
    <row r="409" spans="1:21" x14ac:dyDescent="0.25">
      <c r="A409" s="782">
        <v>94205</v>
      </c>
      <c r="B409" s="783" t="s">
        <v>3021</v>
      </c>
      <c r="C409" s="784">
        <v>2.0699999999999998E-5</v>
      </c>
      <c r="D409" s="784">
        <v>2.6100000000000001E-5</v>
      </c>
      <c r="E409" s="800">
        <v>11902</v>
      </c>
      <c r="F409" s="785">
        <v>31624</v>
      </c>
      <c r="G409" s="785"/>
      <c r="H409" s="786">
        <v>1822</v>
      </c>
      <c r="I409" s="787">
        <v>7678</v>
      </c>
      <c r="J409" s="786">
        <v>4516</v>
      </c>
      <c r="K409" s="785">
        <v>1652</v>
      </c>
      <c r="L409" s="787">
        <f t="shared" si="12"/>
        <v>15668</v>
      </c>
      <c r="M409" s="785"/>
      <c r="N409" s="786">
        <v>895</v>
      </c>
      <c r="O409" s="786">
        <v>0</v>
      </c>
      <c r="P409" s="785">
        <v>5048</v>
      </c>
      <c r="Q409" s="787">
        <f t="shared" si="13"/>
        <v>5943</v>
      </c>
      <c r="R409" s="785"/>
      <c r="S409" s="786">
        <v>10657</v>
      </c>
      <c r="T409" s="788">
        <v>-3026</v>
      </c>
      <c r="U409" s="788">
        <v>7631</v>
      </c>
    </row>
    <row r="410" spans="1:21" x14ac:dyDescent="0.25">
      <c r="A410" s="782">
        <v>94209</v>
      </c>
      <c r="B410" s="783" t="s">
        <v>3022</v>
      </c>
      <c r="C410" s="784">
        <v>3.4190000000000002E-4</v>
      </c>
      <c r="D410" s="784">
        <v>3.2909999999999998E-4</v>
      </c>
      <c r="E410" s="800">
        <v>157003</v>
      </c>
      <c r="F410" s="785">
        <v>522328</v>
      </c>
      <c r="G410" s="785"/>
      <c r="H410" s="786">
        <v>30091</v>
      </c>
      <c r="I410" s="787">
        <v>126822</v>
      </c>
      <c r="J410" s="786">
        <v>74596</v>
      </c>
      <c r="K410" s="785">
        <v>23431</v>
      </c>
      <c r="L410" s="787">
        <f t="shared" si="12"/>
        <v>254940</v>
      </c>
      <c r="M410" s="785"/>
      <c r="N410" s="786">
        <v>14785</v>
      </c>
      <c r="O410" s="786">
        <v>0</v>
      </c>
      <c r="P410" s="785">
        <v>7196</v>
      </c>
      <c r="Q410" s="787">
        <f t="shared" si="13"/>
        <v>21981</v>
      </c>
      <c r="R410" s="785"/>
      <c r="S410" s="786">
        <v>176025</v>
      </c>
      <c r="T410" s="788">
        <v>9128</v>
      </c>
      <c r="U410" s="788">
        <v>185153</v>
      </c>
    </row>
    <row r="411" spans="1:21" x14ac:dyDescent="0.25">
      <c r="A411" s="782">
        <v>94211</v>
      </c>
      <c r="B411" s="783" t="s">
        <v>3023</v>
      </c>
      <c r="C411" s="784">
        <v>1.3660000000000001E-4</v>
      </c>
      <c r="D411" s="784">
        <v>1.2400000000000001E-4</v>
      </c>
      <c r="E411" s="800">
        <v>61663</v>
      </c>
      <c r="F411" s="785">
        <v>208687</v>
      </c>
      <c r="G411" s="785"/>
      <c r="H411" s="786">
        <v>12022</v>
      </c>
      <c r="I411" s="787">
        <v>50669</v>
      </c>
      <c r="J411" s="786">
        <v>29803</v>
      </c>
      <c r="K411" s="785">
        <v>7857</v>
      </c>
      <c r="L411" s="787">
        <f t="shared" si="12"/>
        <v>100351</v>
      </c>
      <c r="M411" s="785"/>
      <c r="N411" s="786">
        <v>5907</v>
      </c>
      <c r="O411" s="786">
        <v>0</v>
      </c>
      <c r="P411" s="785">
        <v>17326</v>
      </c>
      <c r="Q411" s="787">
        <f t="shared" si="13"/>
        <v>23233</v>
      </c>
      <c r="R411" s="785"/>
      <c r="S411" s="786">
        <v>70328</v>
      </c>
      <c r="T411" s="788">
        <v>-11553</v>
      </c>
      <c r="U411" s="788">
        <v>58775</v>
      </c>
    </row>
    <row r="412" spans="1:21" x14ac:dyDescent="0.25">
      <c r="A412" s="782">
        <v>94221</v>
      </c>
      <c r="B412" s="783" t="s">
        <v>3024</v>
      </c>
      <c r="C412" s="784">
        <v>1.0436E-3</v>
      </c>
      <c r="D412" s="784">
        <v>1.0705999999999999E-3</v>
      </c>
      <c r="E412" s="800">
        <v>459328</v>
      </c>
      <c r="F412" s="785">
        <v>1594332</v>
      </c>
      <c r="G412" s="785"/>
      <c r="H412" s="786">
        <v>91848</v>
      </c>
      <c r="I412" s="787">
        <v>387106</v>
      </c>
      <c r="J412" s="786">
        <v>227693</v>
      </c>
      <c r="K412" s="785">
        <v>63725</v>
      </c>
      <c r="L412" s="787">
        <f t="shared" si="12"/>
        <v>770372</v>
      </c>
      <c r="M412" s="785"/>
      <c r="N412" s="786">
        <v>45130</v>
      </c>
      <c r="O412" s="786">
        <v>0</v>
      </c>
      <c r="P412" s="785">
        <v>120971</v>
      </c>
      <c r="Q412" s="787">
        <f t="shared" si="13"/>
        <v>166101</v>
      </c>
      <c r="R412" s="785"/>
      <c r="S412" s="786">
        <v>537291</v>
      </c>
      <c r="T412" s="788">
        <v>-24799</v>
      </c>
      <c r="U412" s="788">
        <v>512492</v>
      </c>
    </row>
    <row r="413" spans="1:21" x14ac:dyDescent="0.25">
      <c r="A413" s="782">
        <v>94231</v>
      </c>
      <c r="B413" s="783" t="s">
        <v>3025</v>
      </c>
      <c r="C413" s="784">
        <v>2.2609999999999999E-4</v>
      </c>
      <c r="D413" s="784">
        <v>2.1269999999999999E-4</v>
      </c>
      <c r="E413" s="800">
        <v>101171</v>
      </c>
      <c r="F413" s="785">
        <v>345418</v>
      </c>
      <c r="G413" s="785"/>
      <c r="H413" s="786">
        <v>19899</v>
      </c>
      <c r="I413" s="787">
        <v>83868</v>
      </c>
      <c r="J413" s="786">
        <v>49330</v>
      </c>
      <c r="K413" s="785">
        <v>8354</v>
      </c>
      <c r="L413" s="787">
        <f t="shared" si="12"/>
        <v>161451</v>
      </c>
      <c r="M413" s="785"/>
      <c r="N413" s="786">
        <v>9778</v>
      </c>
      <c r="O413" s="786">
        <v>0</v>
      </c>
      <c r="P413" s="785">
        <v>6714</v>
      </c>
      <c r="Q413" s="787">
        <f t="shared" si="13"/>
        <v>16492</v>
      </c>
      <c r="R413" s="785"/>
      <c r="S413" s="786">
        <v>116406</v>
      </c>
      <c r="T413" s="788">
        <v>-2799</v>
      </c>
      <c r="U413" s="788">
        <v>113607</v>
      </c>
    </row>
    <row r="414" spans="1:21" x14ac:dyDescent="0.25">
      <c r="A414" s="782">
        <v>94241</v>
      </c>
      <c r="B414" s="783" t="s">
        <v>3026</v>
      </c>
      <c r="C414" s="784">
        <v>1.2669999999999999E-4</v>
      </c>
      <c r="D414" s="784">
        <v>8.4099999999999998E-5</v>
      </c>
      <c r="E414" s="800">
        <v>53317</v>
      </c>
      <c r="F414" s="785">
        <v>193563</v>
      </c>
      <c r="G414" s="785"/>
      <c r="H414" s="786">
        <v>11151</v>
      </c>
      <c r="I414" s="787">
        <v>46997</v>
      </c>
      <c r="J414" s="786">
        <v>27643</v>
      </c>
      <c r="K414" s="785">
        <v>26711</v>
      </c>
      <c r="L414" s="787">
        <f t="shared" si="12"/>
        <v>112502</v>
      </c>
      <c r="M414" s="785"/>
      <c r="N414" s="786">
        <v>5479</v>
      </c>
      <c r="O414" s="786">
        <v>0</v>
      </c>
      <c r="P414" s="785">
        <v>856</v>
      </c>
      <c r="Q414" s="787">
        <f t="shared" si="13"/>
        <v>6335</v>
      </c>
      <c r="R414" s="785"/>
      <c r="S414" s="786">
        <v>65231</v>
      </c>
      <c r="T414" s="788">
        <v>6835</v>
      </c>
      <c r="U414" s="788">
        <v>72066</v>
      </c>
    </row>
    <row r="415" spans="1:21" x14ac:dyDescent="0.25">
      <c r="A415" s="782">
        <v>94251</v>
      </c>
      <c r="B415" s="783" t="s">
        <v>3027</v>
      </c>
      <c r="C415" s="784">
        <v>1.95E-5</v>
      </c>
      <c r="D415" s="784">
        <v>1.4E-5</v>
      </c>
      <c r="E415" s="800">
        <v>8455</v>
      </c>
      <c r="F415" s="785">
        <v>29791</v>
      </c>
      <c r="G415" s="785"/>
      <c r="H415" s="786">
        <v>1716</v>
      </c>
      <c r="I415" s="787">
        <v>7233</v>
      </c>
      <c r="J415" s="786">
        <v>4255</v>
      </c>
      <c r="K415" s="785">
        <v>3290</v>
      </c>
      <c r="L415" s="787">
        <f t="shared" si="12"/>
        <v>16494</v>
      </c>
      <c r="M415" s="785"/>
      <c r="N415" s="786">
        <v>843</v>
      </c>
      <c r="O415" s="786">
        <v>0</v>
      </c>
      <c r="P415" s="785">
        <v>6508</v>
      </c>
      <c r="Q415" s="787">
        <f t="shared" si="13"/>
        <v>7351</v>
      </c>
      <c r="R415" s="785"/>
      <c r="S415" s="786">
        <v>10039</v>
      </c>
      <c r="T415" s="788">
        <v>-2297</v>
      </c>
      <c r="U415" s="788">
        <v>7742</v>
      </c>
    </row>
    <row r="416" spans="1:21" x14ac:dyDescent="0.25">
      <c r="A416" s="782">
        <v>94261</v>
      </c>
      <c r="B416" s="783" t="s">
        <v>3028</v>
      </c>
      <c r="C416" s="784">
        <v>3.9199999999999997E-5</v>
      </c>
      <c r="D416" s="784">
        <v>2.9499999999999999E-5</v>
      </c>
      <c r="E416" s="800">
        <v>18726</v>
      </c>
      <c r="F416" s="785">
        <v>59887</v>
      </c>
      <c r="G416" s="785"/>
      <c r="H416" s="786">
        <v>3450</v>
      </c>
      <c r="I416" s="787">
        <v>14541</v>
      </c>
      <c r="J416" s="786">
        <v>8553</v>
      </c>
      <c r="K416" s="785">
        <v>15518</v>
      </c>
      <c r="L416" s="787">
        <f t="shared" si="12"/>
        <v>42062</v>
      </c>
      <c r="M416" s="785"/>
      <c r="N416" s="786">
        <v>1695</v>
      </c>
      <c r="O416" s="786">
        <v>0</v>
      </c>
      <c r="P416" s="785">
        <v>0</v>
      </c>
      <c r="Q416" s="787">
        <f t="shared" si="13"/>
        <v>1695</v>
      </c>
      <c r="R416" s="785"/>
      <c r="S416" s="786">
        <v>20182</v>
      </c>
      <c r="T416" s="788">
        <v>5508</v>
      </c>
      <c r="U416" s="788">
        <v>25690</v>
      </c>
    </row>
    <row r="417" spans="1:21" x14ac:dyDescent="0.25">
      <c r="A417" s="782">
        <v>94301</v>
      </c>
      <c r="B417" s="783" t="s">
        <v>3029</v>
      </c>
      <c r="C417" s="784">
        <v>6.2988999999999996E-3</v>
      </c>
      <c r="D417" s="784">
        <v>6.0746999999999997E-3</v>
      </c>
      <c r="E417" s="800">
        <v>2799560</v>
      </c>
      <c r="F417" s="785">
        <v>9622974</v>
      </c>
      <c r="G417" s="785"/>
      <c r="H417" s="786">
        <v>554372</v>
      </c>
      <c r="I417" s="787">
        <v>2336470</v>
      </c>
      <c r="J417" s="786">
        <v>1374294</v>
      </c>
      <c r="K417" s="785">
        <v>85982</v>
      </c>
      <c r="L417" s="787">
        <f t="shared" si="12"/>
        <v>4351118</v>
      </c>
      <c r="M417" s="785"/>
      <c r="N417" s="786">
        <v>272396</v>
      </c>
      <c r="O417" s="786">
        <v>0</v>
      </c>
      <c r="P417" s="785">
        <v>117980</v>
      </c>
      <c r="Q417" s="787">
        <f t="shared" si="13"/>
        <v>390376</v>
      </c>
      <c r="R417" s="785"/>
      <c r="S417" s="786">
        <v>3242951</v>
      </c>
      <c r="T417" s="788">
        <v>-22710</v>
      </c>
      <c r="U417" s="788">
        <v>3220241</v>
      </c>
    </row>
    <row r="418" spans="1:21" x14ac:dyDescent="0.25">
      <c r="A418" s="782">
        <v>94311</v>
      </c>
      <c r="B418" s="783" t="s">
        <v>3030</v>
      </c>
      <c r="C418" s="784">
        <v>7.8540000000000001E-4</v>
      </c>
      <c r="D418" s="784">
        <v>7.4399999999999998E-4</v>
      </c>
      <c r="E418" s="800">
        <v>355079</v>
      </c>
      <c r="F418" s="785">
        <v>1199874</v>
      </c>
      <c r="G418" s="785"/>
      <c r="H418" s="786">
        <v>69124</v>
      </c>
      <c r="I418" s="787">
        <v>291331</v>
      </c>
      <c r="J418" s="786">
        <v>171359</v>
      </c>
      <c r="K418" s="785">
        <v>26150</v>
      </c>
      <c r="L418" s="787">
        <f t="shared" si="12"/>
        <v>557964</v>
      </c>
      <c r="M418" s="785"/>
      <c r="N418" s="786">
        <v>33965</v>
      </c>
      <c r="O418" s="786">
        <v>0</v>
      </c>
      <c r="P418" s="785">
        <v>52115</v>
      </c>
      <c r="Q418" s="787">
        <f t="shared" si="13"/>
        <v>86080</v>
      </c>
      <c r="R418" s="785"/>
      <c r="S418" s="786">
        <v>404358</v>
      </c>
      <c r="T418" s="788">
        <v>-13365</v>
      </c>
      <c r="U418" s="788">
        <v>390993</v>
      </c>
    </row>
    <row r="419" spans="1:21" x14ac:dyDescent="0.25">
      <c r="A419" s="782">
        <v>94313</v>
      </c>
      <c r="B419" s="783" t="s">
        <v>3031</v>
      </c>
      <c r="C419" s="784">
        <v>1.8700000000000001E-5</v>
      </c>
      <c r="D419" s="784">
        <v>2.0299999999999999E-5</v>
      </c>
      <c r="E419" s="800">
        <v>12663</v>
      </c>
      <c r="F419" s="785">
        <v>28568</v>
      </c>
      <c r="G419" s="785"/>
      <c r="H419" s="786">
        <v>1646</v>
      </c>
      <c r="I419" s="787">
        <v>6936</v>
      </c>
      <c r="J419" s="786">
        <v>4080</v>
      </c>
      <c r="K419" s="785">
        <v>7421</v>
      </c>
      <c r="L419" s="787">
        <f t="shared" si="12"/>
        <v>20083</v>
      </c>
      <c r="M419" s="785"/>
      <c r="N419" s="786">
        <v>809</v>
      </c>
      <c r="O419" s="786">
        <v>0</v>
      </c>
      <c r="P419" s="785">
        <v>0</v>
      </c>
      <c r="Q419" s="787">
        <f t="shared" si="13"/>
        <v>809</v>
      </c>
      <c r="R419" s="785"/>
      <c r="S419" s="786">
        <v>9628</v>
      </c>
      <c r="T419" s="788">
        <v>3124</v>
      </c>
      <c r="U419" s="788">
        <v>12752</v>
      </c>
    </row>
    <row r="420" spans="1:21" x14ac:dyDescent="0.25">
      <c r="A420" s="782">
        <v>94317</v>
      </c>
      <c r="B420" s="783" t="s">
        <v>3032</v>
      </c>
      <c r="C420" s="784">
        <v>1.2E-5</v>
      </c>
      <c r="D420" s="784">
        <v>1.2099999999999999E-5</v>
      </c>
      <c r="E420" s="800">
        <v>9618</v>
      </c>
      <c r="F420" s="785">
        <v>18333</v>
      </c>
      <c r="G420" s="785"/>
      <c r="H420" s="786">
        <v>1056</v>
      </c>
      <c r="I420" s="787">
        <v>4451</v>
      </c>
      <c r="J420" s="786">
        <v>2618</v>
      </c>
      <c r="K420" s="785">
        <v>7663</v>
      </c>
      <c r="L420" s="787">
        <f t="shared" si="12"/>
        <v>15788</v>
      </c>
      <c r="M420" s="785"/>
      <c r="N420" s="786">
        <v>519</v>
      </c>
      <c r="O420" s="786">
        <v>0</v>
      </c>
      <c r="P420" s="785">
        <v>0</v>
      </c>
      <c r="Q420" s="787">
        <f t="shared" si="13"/>
        <v>519</v>
      </c>
      <c r="R420" s="785"/>
      <c r="S420" s="786">
        <v>6178</v>
      </c>
      <c r="T420" s="788">
        <v>3130</v>
      </c>
      <c r="U420" s="788">
        <v>9308</v>
      </c>
    </row>
    <row r="421" spans="1:21" x14ac:dyDescent="0.25">
      <c r="A421" s="782">
        <v>94321</v>
      </c>
      <c r="B421" s="783" t="s">
        <v>3033</v>
      </c>
      <c r="C421" s="784">
        <v>2.7760000000000003E-4</v>
      </c>
      <c r="D421" s="784">
        <v>2.7070000000000002E-4</v>
      </c>
      <c r="E421" s="800">
        <v>115395</v>
      </c>
      <c r="F421" s="785">
        <v>424096</v>
      </c>
      <c r="G421" s="785"/>
      <c r="H421" s="786">
        <v>24432</v>
      </c>
      <c r="I421" s="787">
        <v>102971</v>
      </c>
      <c r="J421" s="786">
        <v>60567</v>
      </c>
      <c r="K421" s="785">
        <v>1692</v>
      </c>
      <c r="L421" s="787">
        <f t="shared" si="12"/>
        <v>189662</v>
      </c>
      <c r="M421" s="785"/>
      <c r="N421" s="786">
        <v>12005</v>
      </c>
      <c r="O421" s="786">
        <v>0</v>
      </c>
      <c r="P421" s="785">
        <v>19924</v>
      </c>
      <c r="Q421" s="787">
        <f t="shared" si="13"/>
        <v>31929</v>
      </c>
      <c r="R421" s="785"/>
      <c r="S421" s="786">
        <v>142921</v>
      </c>
      <c r="T421" s="788">
        <v>-5646</v>
      </c>
      <c r="U421" s="788">
        <v>137275</v>
      </c>
    </row>
    <row r="422" spans="1:21" x14ac:dyDescent="0.25">
      <c r="A422" s="782">
        <v>94331</v>
      </c>
      <c r="B422" s="783" t="s">
        <v>3034</v>
      </c>
      <c r="C422" s="784">
        <v>1.3569999999999999E-4</v>
      </c>
      <c r="D422" s="784">
        <v>1.517E-4</v>
      </c>
      <c r="E422" s="800">
        <v>68284</v>
      </c>
      <c r="F422" s="785">
        <v>207312</v>
      </c>
      <c r="G422" s="785"/>
      <c r="H422" s="786">
        <v>11943</v>
      </c>
      <c r="I422" s="787">
        <v>50336</v>
      </c>
      <c r="J422" s="786">
        <v>29607</v>
      </c>
      <c r="K422" s="785">
        <v>7715</v>
      </c>
      <c r="L422" s="787">
        <f t="shared" si="12"/>
        <v>99601</v>
      </c>
      <c r="M422" s="785"/>
      <c r="N422" s="786">
        <v>5868</v>
      </c>
      <c r="O422" s="786">
        <v>0</v>
      </c>
      <c r="P422" s="785">
        <v>10557</v>
      </c>
      <c r="Q422" s="787">
        <f t="shared" si="13"/>
        <v>16425</v>
      </c>
      <c r="R422" s="785"/>
      <c r="S422" s="786">
        <v>69864</v>
      </c>
      <c r="T422" s="788">
        <v>2981</v>
      </c>
      <c r="U422" s="788">
        <v>72845</v>
      </c>
    </row>
    <row r="423" spans="1:21" x14ac:dyDescent="0.25">
      <c r="A423" s="782">
        <v>94341</v>
      </c>
      <c r="B423" s="783" t="s">
        <v>3035</v>
      </c>
      <c r="C423" s="784">
        <v>9.4699999999999998E-5</v>
      </c>
      <c r="D423" s="784">
        <v>8.1000000000000004E-5</v>
      </c>
      <c r="E423" s="800">
        <v>38534</v>
      </c>
      <c r="F423" s="785">
        <v>144675</v>
      </c>
      <c r="G423" s="785"/>
      <c r="H423" s="786">
        <v>8335</v>
      </c>
      <c r="I423" s="787">
        <v>35127</v>
      </c>
      <c r="J423" s="786">
        <v>20662</v>
      </c>
      <c r="K423" s="785">
        <v>5564</v>
      </c>
      <c r="L423" s="787">
        <f t="shared" si="12"/>
        <v>69688</v>
      </c>
      <c r="M423" s="785"/>
      <c r="N423" s="786">
        <v>4095</v>
      </c>
      <c r="O423" s="786">
        <v>0</v>
      </c>
      <c r="P423" s="785">
        <v>5713</v>
      </c>
      <c r="Q423" s="787">
        <f t="shared" si="13"/>
        <v>9808</v>
      </c>
      <c r="R423" s="785"/>
      <c r="S423" s="786">
        <v>48756</v>
      </c>
      <c r="T423" s="788">
        <v>-1783</v>
      </c>
      <c r="U423" s="788">
        <v>46973</v>
      </c>
    </row>
    <row r="424" spans="1:21" x14ac:dyDescent="0.25">
      <c r="A424" s="782">
        <v>94347</v>
      </c>
      <c r="B424" s="783" t="s">
        <v>3036</v>
      </c>
      <c r="C424" s="784">
        <v>1.22E-5</v>
      </c>
      <c r="D424" s="784">
        <v>1.2300000000000001E-5</v>
      </c>
      <c r="E424" s="800">
        <v>8691</v>
      </c>
      <c r="F424" s="785">
        <v>18638</v>
      </c>
      <c r="G424" s="785"/>
      <c r="H424" s="786">
        <v>1074</v>
      </c>
      <c r="I424" s="787">
        <v>4526</v>
      </c>
      <c r="J424" s="786">
        <v>2662</v>
      </c>
      <c r="K424" s="785">
        <v>4271</v>
      </c>
      <c r="L424" s="787">
        <f t="shared" si="12"/>
        <v>12533</v>
      </c>
      <c r="M424" s="785"/>
      <c r="N424" s="786">
        <v>528</v>
      </c>
      <c r="O424" s="786">
        <v>0</v>
      </c>
      <c r="P424" s="785">
        <v>0</v>
      </c>
      <c r="Q424" s="787">
        <f t="shared" si="13"/>
        <v>528</v>
      </c>
      <c r="R424" s="785"/>
      <c r="S424" s="786">
        <v>6281</v>
      </c>
      <c r="T424" s="788">
        <v>1892</v>
      </c>
      <c r="U424" s="788">
        <v>8173</v>
      </c>
    </row>
    <row r="425" spans="1:21" x14ac:dyDescent="0.25">
      <c r="A425" s="782">
        <v>94351</v>
      </c>
      <c r="B425" s="783" t="s">
        <v>3037</v>
      </c>
      <c r="C425" s="784">
        <v>2.433E-4</v>
      </c>
      <c r="D425" s="784">
        <v>2.377E-4</v>
      </c>
      <c r="E425" s="800">
        <v>104639</v>
      </c>
      <c r="F425" s="785">
        <v>371695</v>
      </c>
      <c r="G425" s="785"/>
      <c r="H425" s="786">
        <v>21413</v>
      </c>
      <c r="I425" s="787">
        <v>90248</v>
      </c>
      <c r="J425" s="786">
        <v>53083</v>
      </c>
      <c r="K425" s="785">
        <v>1592</v>
      </c>
      <c r="L425" s="787">
        <f t="shared" si="12"/>
        <v>166336</v>
      </c>
      <c r="M425" s="785"/>
      <c r="N425" s="786">
        <v>10522</v>
      </c>
      <c r="O425" s="786">
        <v>0</v>
      </c>
      <c r="P425" s="785">
        <v>4723</v>
      </c>
      <c r="Q425" s="787">
        <f t="shared" si="13"/>
        <v>15245</v>
      </c>
      <c r="R425" s="785"/>
      <c r="S425" s="786">
        <v>125262</v>
      </c>
      <c r="T425" s="788">
        <v>-1683</v>
      </c>
      <c r="U425" s="788">
        <v>123579</v>
      </c>
    </row>
    <row r="426" spans="1:21" x14ac:dyDescent="0.25">
      <c r="A426" s="782">
        <v>94401</v>
      </c>
      <c r="B426" s="783" t="s">
        <v>3669</v>
      </c>
      <c r="C426" s="784">
        <v>3.2718000000000001E-3</v>
      </c>
      <c r="D426" s="784">
        <v>3.4548999999999999E-3</v>
      </c>
      <c r="E426" s="800">
        <v>1551159</v>
      </c>
      <c r="F426" s="785">
        <v>4998404</v>
      </c>
      <c r="G426" s="785"/>
      <c r="H426" s="786">
        <v>287954</v>
      </c>
      <c r="I426" s="787">
        <v>1213619</v>
      </c>
      <c r="J426" s="786">
        <v>713841</v>
      </c>
      <c r="K426" s="785">
        <v>20795</v>
      </c>
      <c r="L426" s="787">
        <f t="shared" si="12"/>
        <v>2236209</v>
      </c>
      <c r="M426" s="785"/>
      <c r="N426" s="786">
        <v>141489</v>
      </c>
      <c r="O426" s="786">
        <v>0</v>
      </c>
      <c r="P426" s="785">
        <v>83776</v>
      </c>
      <c r="Q426" s="787">
        <f t="shared" si="13"/>
        <v>225265</v>
      </c>
      <c r="R426" s="785"/>
      <c r="S426" s="786">
        <v>1684467</v>
      </c>
      <c r="T426" s="788">
        <v>-11283</v>
      </c>
      <c r="U426" s="788">
        <v>1673184</v>
      </c>
    </row>
    <row r="427" spans="1:21" x14ac:dyDescent="0.25">
      <c r="A427" s="782">
        <v>94402</v>
      </c>
      <c r="B427" s="783" t="s">
        <v>3038</v>
      </c>
      <c r="C427" s="784">
        <v>0</v>
      </c>
      <c r="D427" s="784">
        <v>0</v>
      </c>
      <c r="E427" s="800" t="e">
        <v>#N/A</v>
      </c>
      <c r="F427" s="785">
        <v>0</v>
      </c>
      <c r="G427" s="785"/>
      <c r="H427" s="786">
        <v>0</v>
      </c>
      <c r="I427" s="787">
        <v>0</v>
      </c>
      <c r="J427" s="786">
        <v>0</v>
      </c>
      <c r="K427" s="785">
        <v>0</v>
      </c>
      <c r="L427" s="787">
        <f t="shared" si="12"/>
        <v>0</v>
      </c>
      <c r="M427" s="785"/>
      <c r="N427" s="786">
        <v>0</v>
      </c>
      <c r="O427" s="786">
        <v>0</v>
      </c>
      <c r="P427" s="785">
        <v>1774367</v>
      </c>
      <c r="Q427" s="787">
        <f t="shared" si="13"/>
        <v>1774367</v>
      </c>
      <c r="R427" s="785"/>
      <c r="S427" s="786">
        <v>0</v>
      </c>
      <c r="T427" s="788">
        <v>-1007431</v>
      </c>
      <c r="U427" s="788">
        <v>-1007431</v>
      </c>
    </row>
    <row r="428" spans="1:21" x14ac:dyDescent="0.25">
      <c r="A428" s="782">
        <v>94403</v>
      </c>
      <c r="B428" s="783" t="s">
        <v>3670</v>
      </c>
      <c r="C428" s="784">
        <v>2.2099999999999998E-5</v>
      </c>
      <c r="D428" s="784">
        <v>0</v>
      </c>
      <c r="E428" s="800">
        <v>9904</v>
      </c>
      <c r="F428" s="785">
        <v>33763</v>
      </c>
      <c r="G428" s="785"/>
      <c r="H428" s="786">
        <v>1945</v>
      </c>
      <c r="I428" s="787">
        <v>8198</v>
      </c>
      <c r="J428" s="786">
        <v>4822</v>
      </c>
      <c r="K428" s="785">
        <v>14624</v>
      </c>
      <c r="L428" s="787">
        <f t="shared" si="12"/>
        <v>29589</v>
      </c>
      <c r="M428" s="785"/>
      <c r="N428" s="786">
        <v>956</v>
      </c>
      <c r="O428" s="786">
        <v>0</v>
      </c>
      <c r="P428" s="785">
        <v>0</v>
      </c>
      <c r="Q428" s="787">
        <f t="shared" si="13"/>
        <v>956</v>
      </c>
      <c r="R428" s="785"/>
      <c r="S428" s="786">
        <v>11378</v>
      </c>
      <c r="T428" s="788">
        <v>3656</v>
      </c>
      <c r="U428" s="788">
        <v>15034</v>
      </c>
    </row>
    <row r="429" spans="1:21" x14ac:dyDescent="0.25">
      <c r="A429" s="782">
        <v>94408</v>
      </c>
      <c r="B429" s="783" t="s">
        <v>3039</v>
      </c>
      <c r="C429" s="784">
        <v>4.2400000000000001E-5</v>
      </c>
      <c r="D429" s="784">
        <v>4.0099999999999999E-5</v>
      </c>
      <c r="E429" s="800">
        <v>14750</v>
      </c>
      <c r="F429" s="785">
        <v>64775</v>
      </c>
      <c r="G429" s="785"/>
      <c r="H429" s="786">
        <v>3732</v>
      </c>
      <c r="I429" s="787">
        <v>15728</v>
      </c>
      <c r="J429" s="786">
        <v>9251</v>
      </c>
      <c r="K429" s="785">
        <v>7577</v>
      </c>
      <c r="L429" s="787">
        <f t="shared" si="12"/>
        <v>36288</v>
      </c>
      <c r="M429" s="785"/>
      <c r="N429" s="786">
        <v>1834</v>
      </c>
      <c r="O429" s="786">
        <v>0</v>
      </c>
      <c r="P429" s="785">
        <v>4064</v>
      </c>
      <c r="Q429" s="787">
        <f t="shared" si="13"/>
        <v>5898</v>
      </c>
      <c r="R429" s="785"/>
      <c r="S429" s="786">
        <v>21829</v>
      </c>
      <c r="T429" s="788">
        <v>382</v>
      </c>
      <c r="U429" s="788">
        <v>22211</v>
      </c>
    </row>
    <row r="430" spans="1:21" x14ac:dyDescent="0.25">
      <c r="A430" s="782">
        <v>94411</v>
      </c>
      <c r="B430" s="783" t="s">
        <v>3040</v>
      </c>
      <c r="C430" s="784">
        <v>1.2672E-3</v>
      </c>
      <c r="D430" s="784">
        <v>1.1592E-3</v>
      </c>
      <c r="E430" s="800">
        <v>555106</v>
      </c>
      <c r="F430" s="785">
        <v>1935931</v>
      </c>
      <c r="G430" s="785"/>
      <c r="H430" s="786">
        <v>111528</v>
      </c>
      <c r="I430" s="787">
        <v>470046</v>
      </c>
      <c r="J430" s="786">
        <v>276478</v>
      </c>
      <c r="K430" s="785">
        <v>63511</v>
      </c>
      <c r="L430" s="787">
        <f t="shared" si="12"/>
        <v>921563</v>
      </c>
      <c r="M430" s="785"/>
      <c r="N430" s="786">
        <v>54800</v>
      </c>
      <c r="O430" s="786">
        <v>0</v>
      </c>
      <c r="P430" s="785">
        <v>4125</v>
      </c>
      <c r="Q430" s="787">
        <f t="shared" si="13"/>
        <v>58925</v>
      </c>
      <c r="R430" s="785"/>
      <c r="S430" s="786">
        <v>652410</v>
      </c>
      <c r="T430" s="788">
        <v>18114</v>
      </c>
      <c r="U430" s="788">
        <v>670524</v>
      </c>
    </row>
    <row r="431" spans="1:21" x14ac:dyDescent="0.25">
      <c r="A431" s="782">
        <v>94412</v>
      </c>
      <c r="B431" s="783" t="s">
        <v>3041</v>
      </c>
      <c r="C431" s="784">
        <v>1.5099999999999999E-5</v>
      </c>
      <c r="D431" s="784">
        <v>1.63E-5</v>
      </c>
      <c r="E431" s="800">
        <v>13059</v>
      </c>
      <c r="F431" s="785">
        <v>23069</v>
      </c>
      <c r="G431" s="785"/>
      <c r="H431" s="786">
        <v>1329</v>
      </c>
      <c r="I431" s="787">
        <v>5602</v>
      </c>
      <c r="J431" s="786">
        <v>3295</v>
      </c>
      <c r="K431" s="785">
        <v>12533</v>
      </c>
      <c r="L431" s="787">
        <f t="shared" si="12"/>
        <v>22759</v>
      </c>
      <c r="M431" s="785"/>
      <c r="N431" s="786">
        <v>653</v>
      </c>
      <c r="O431" s="786">
        <v>0</v>
      </c>
      <c r="P431" s="785">
        <v>0</v>
      </c>
      <c r="Q431" s="787">
        <f t="shared" si="13"/>
        <v>653</v>
      </c>
      <c r="R431" s="785"/>
      <c r="S431" s="786">
        <v>7774</v>
      </c>
      <c r="T431" s="788">
        <v>5893</v>
      </c>
      <c r="U431" s="788">
        <v>13667</v>
      </c>
    </row>
    <row r="432" spans="1:21" x14ac:dyDescent="0.25">
      <c r="A432" s="782">
        <v>94421</v>
      </c>
      <c r="B432" s="783" t="s">
        <v>3042</v>
      </c>
      <c r="C432" s="784">
        <v>1.6679999999999999E-4</v>
      </c>
      <c r="D432" s="784">
        <v>1.6899999999999999E-4</v>
      </c>
      <c r="E432" s="800">
        <v>80768</v>
      </c>
      <c r="F432" s="785">
        <v>254824</v>
      </c>
      <c r="G432" s="785"/>
      <c r="H432" s="786">
        <v>14680</v>
      </c>
      <c r="I432" s="787">
        <v>61871</v>
      </c>
      <c r="J432" s="786">
        <v>36392</v>
      </c>
      <c r="K432" s="785">
        <v>4157</v>
      </c>
      <c r="L432" s="787">
        <f t="shared" si="12"/>
        <v>117100</v>
      </c>
      <c r="M432" s="785"/>
      <c r="N432" s="786">
        <v>7213</v>
      </c>
      <c r="O432" s="786">
        <v>0</v>
      </c>
      <c r="P432" s="785">
        <v>6763</v>
      </c>
      <c r="Q432" s="787">
        <f t="shared" si="13"/>
        <v>13976</v>
      </c>
      <c r="R432" s="785"/>
      <c r="S432" s="786">
        <v>85876</v>
      </c>
      <c r="T432" s="788">
        <v>-3870</v>
      </c>
      <c r="U432" s="788">
        <v>82006</v>
      </c>
    </row>
    <row r="433" spans="1:21" x14ac:dyDescent="0.25">
      <c r="A433" s="782">
        <v>94427</v>
      </c>
      <c r="B433" s="783" t="s">
        <v>3043</v>
      </c>
      <c r="C433" s="784">
        <v>1.5699999999999999E-5</v>
      </c>
      <c r="D433" s="784">
        <v>1.29E-5</v>
      </c>
      <c r="E433" s="800">
        <v>9340</v>
      </c>
      <c r="F433" s="785">
        <v>23985</v>
      </c>
      <c r="G433" s="785"/>
      <c r="H433" s="786">
        <v>1382</v>
      </c>
      <c r="I433" s="787">
        <v>5824</v>
      </c>
      <c r="J433" s="786">
        <v>3425</v>
      </c>
      <c r="K433" s="785">
        <v>4090</v>
      </c>
      <c r="L433" s="787">
        <f t="shared" si="12"/>
        <v>14721</v>
      </c>
      <c r="M433" s="785"/>
      <c r="N433" s="786">
        <v>679</v>
      </c>
      <c r="O433" s="786">
        <v>0</v>
      </c>
      <c r="P433" s="785">
        <v>478</v>
      </c>
      <c r="Q433" s="787">
        <f t="shared" si="13"/>
        <v>1157</v>
      </c>
      <c r="R433" s="785"/>
      <c r="S433" s="786">
        <v>8083</v>
      </c>
      <c r="T433" s="788">
        <v>943</v>
      </c>
      <c r="U433" s="788">
        <v>9026</v>
      </c>
    </row>
    <row r="434" spans="1:21" x14ac:dyDescent="0.25">
      <c r="A434" s="782">
        <v>94428</v>
      </c>
      <c r="B434" s="783" t="s">
        <v>3044</v>
      </c>
      <c r="C434" s="784">
        <v>6.5199999999999999E-5</v>
      </c>
      <c r="D434" s="784">
        <v>7.4400000000000006E-5</v>
      </c>
      <c r="E434" s="800">
        <v>33460</v>
      </c>
      <c r="F434" s="785">
        <v>99608</v>
      </c>
      <c r="G434" s="785"/>
      <c r="H434" s="786">
        <v>5738</v>
      </c>
      <c r="I434" s="787">
        <v>24185</v>
      </c>
      <c r="J434" s="786">
        <v>14225</v>
      </c>
      <c r="K434" s="785">
        <v>2315</v>
      </c>
      <c r="L434" s="787">
        <f t="shared" si="12"/>
        <v>46463</v>
      </c>
      <c r="M434" s="785"/>
      <c r="N434" s="786">
        <v>2820</v>
      </c>
      <c r="O434" s="786">
        <v>0</v>
      </c>
      <c r="P434" s="785">
        <v>3346</v>
      </c>
      <c r="Q434" s="787">
        <f t="shared" si="13"/>
        <v>6166</v>
      </c>
      <c r="R434" s="785"/>
      <c r="S434" s="786">
        <v>33568</v>
      </c>
      <c r="T434" s="788">
        <v>366</v>
      </c>
      <c r="U434" s="788">
        <v>33934</v>
      </c>
    </row>
    <row r="435" spans="1:21" x14ac:dyDescent="0.25">
      <c r="A435" s="782">
        <v>94431</v>
      </c>
      <c r="B435" s="783" t="s">
        <v>3045</v>
      </c>
      <c r="C435" s="784">
        <v>4.2440000000000002E-4</v>
      </c>
      <c r="D435" s="784">
        <v>3.7589999999999998E-4</v>
      </c>
      <c r="E435" s="800">
        <v>293286</v>
      </c>
      <c r="F435" s="785">
        <v>648366</v>
      </c>
      <c r="G435" s="785"/>
      <c r="H435" s="786">
        <v>37352</v>
      </c>
      <c r="I435" s="787">
        <v>157424</v>
      </c>
      <c r="J435" s="786">
        <v>92596</v>
      </c>
      <c r="K435" s="785">
        <v>210809</v>
      </c>
      <c r="L435" s="787">
        <f t="shared" si="12"/>
        <v>498181</v>
      </c>
      <c r="M435" s="785"/>
      <c r="N435" s="786">
        <v>18353</v>
      </c>
      <c r="O435" s="786">
        <v>0</v>
      </c>
      <c r="P435" s="785">
        <v>611</v>
      </c>
      <c r="Q435" s="787">
        <f t="shared" si="13"/>
        <v>18964</v>
      </c>
      <c r="R435" s="785"/>
      <c r="S435" s="786">
        <v>218500</v>
      </c>
      <c r="T435" s="788">
        <v>68328</v>
      </c>
      <c r="U435" s="788">
        <v>286828</v>
      </c>
    </row>
    <row r="436" spans="1:21" x14ac:dyDescent="0.25">
      <c r="A436" s="782">
        <v>94437</v>
      </c>
      <c r="B436" s="783" t="s">
        <v>3046</v>
      </c>
      <c r="C436" s="784">
        <v>1.5299999999999999E-5</v>
      </c>
      <c r="D436" s="784">
        <v>1.34E-5</v>
      </c>
      <c r="E436" s="800">
        <v>12848</v>
      </c>
      <c r="F436" s="785">
        <v>23374</v>
      </c>
      <c r="G436" s="785"/>
      <c r="H436" s="786">
        <v>1347</v>
      </c>
      <c r="I436" s="787">
        <v>5675</v>
      </c>
      <c r="J436" s="786">
        <v>3338</v>
      </c>
      <c r="K436" s="785">
        <v>13868</v>
      </c>
      <c r="L436" s="787">
        <f t="shared" si="12"/>
        <v>24228</v>
      </c>
      <c r="M436" s="785"/>
      <c r="N436" s="786">
        <v>662</v>
      </c>
      <c r="O436" s="786">
        <v>0</v>
      </c>
      <c r="P436" s="785">
        <v>0</v>
      </c>
      <c r="Q436" s="787">
        <f t="shared" si="13"/>
        <v>662</v>
      </c>
      <c r="R436" s="785"/>
      <c r="S436" s="786">
        <v>7877</v>
      </c>
      <c r="T436" s="788">
        <v>5640</v>
      </c>
      <c r="U436" s="788">
        <v>13517</v>
      </c>
    </row>
    <row r="437" spans="1:21" x14ac:dyDescent="0.25">
      <c r="A437" s="782">
        <v>94501</v>
      </c>
      <c r="B437" s="783" t="s">
        <v>3047</v>
      </c>
      <c r="C437" s="784">
        <v>5.6991000000000003E-3</v>
      </c>
      <c r="D437" s="784">
        <v>5.8474E-3</v>
      </c>
      <c r="E437" s="800">
        <v>2726192</v>
      </c>
      <c r="F437" s="785">
        <v>8706646</v>
      </c>
      <c r="G437" s="785"/>
      <c r="H437" s="786">
        <v>501583</v>
      </c>
      <c r="I437" s="787">
        <v>2113984</v>
      </c>
      <c r="J437" s="786">
        <v>1243430</v>
      </c>
      <c r="K437" s="785">
        <v>145440</v>
      </c>
      <c r="L437" s="787">
        <f t="shared" si="12"/>
        <v>4004437</v>
      </c>
      <c r="M437" s="785"/>
      <c r="N437" s="786">
        <v>246458</v>
      </c>
      <c r="O437" s="786">
        <v>0</v>
      </c>
      <c r="P437" s="785">
        <v>11569</v>
      </c>
      <c r="Q437" s="787">
        <f t="shared" si="13"/>
        <v>258027</v>
      </c>
      <c r="R437" s="785"/>
      <c r="S437" s="786">
        <v>2934147</v>
      </c>
      <c r="T437" s="788">
        <v>99795</v>
      </c>
      <c r="U437" s="788">
        <v>3033942</v>
      </c>
    </row>
    <row r="438" spans="1:21" x14ac:dyDescent="0.25">
      <c r="A438" s="782">
        <v>94511</v>
      </c>
      <c r="B438" s="783" t="s">
        <v>3048</v>
      </c>
      <c r="C438" s="784">
        <v>1.8538999999999999E-3</v>
      </c>
      <c r="D438" s="784">
        <v>1.7432000000000001E-3</v>
      </c>
      <c r="E438" s="800">
        <v>773013</v>
      </c>
      <c r="F438" s="785">
        <v>2832246</v>
      </c>
      <c r="G438" s="785"/>
      <c r="H438" s="786">
        <v>163164</v>
      </c>
      <c r="I438" s="787">
        <v>687673</v>
      </c>
      <c r="J438" s="786">
        <v>404484</v>
      </c>
      <c r="K438" s="785">
        <v>155537</v>
      </c>
      <c r="L438" s="787">
        <f t="shared" si="12"/>
        <v>1410858</v>
      </c>
      <c r="M438" s="785"/>
      <c r="N438" s="786">
        <v>80172</v>
      </c>
      <c r="O438" s="786">
        <v>0</v>
      </c>
      <c r="P438" s="785">
        <v>31633</v>
      </c>
      <c r="Q438" s="787">
        <f t="shared" si="13"/>
        <v>111805</v>
      </c>
      <c r="R438" s="785"/>
      <c r="S438" s="786">
        <v>954469</v>
      </c>
      <c r="T438" s="788">
        <v>72914</v>
      </c>
      <c r="U438" s="788">
        <v>1027383</v>
      </c>
    </row>
    <row r="439" spans="1:21" x14ac:dyDescent="0.25">
      <c r="A439" s="782">
        <v>94512</v>
      </c>
      <c r="B439" s="783" t="s">
        <v>3049</v>
      </c>
      <c r="C439" s="784">
        <v>0</v>
      </c>
      <c r="D439" s="784">
        <v>0</v>
      </c>
      <c r="E439" s="800" t="e">
        <v>#N/A</v>
      </c>
      <c r="F439" s="785">
        <v>0</v>
      </c>
      <c r="G439" s="785"/>
      <c r="H439" s="786">
        <v>0</v>
      </c>
      <c r="I439" s="787">
        <v>0</v>
      </c>
      <c r="J439" s="786">
        <v>0</v>
      </c>
      <c r="K439" s="785">
        <v>0</v>
      </c>
      <c r="L439" s="787">
        <f t="shared" si="12"/>
        <v>0</v>
      </c>
      <c r="M439" s="785"/>
      <c r="N439" s="786">
        <v>0</v>
      </c>
      <c r="O439" s="786">
        <v>0</v>
      </c>
      <c r="P439" s="785">
        <v>138579</v>
      </c>
      <c r="Q439" s="787">
        <f t="shared" si="13"/>
        <v>138579</v>
      </c>
      <c r="R439" s="785"/>
      <c r="S439" s="786">
        <v>0</v>
      </c>
      <c r="T439" s="788">
        <v>-78713</v>
      </c>
      <c r="U439" s="788">
        <v>-78713</v>
      </c>
    </row>
    <row r="440" spans="1:21" x14ac:dyDescent="0.25">
      <c r="A440" s="782">
        <v>94517</v>
      </c>
      <c r="B440" s="783" t="s">
        <v>3050</v>
      </c>
      <c r="C440" s="784">
        <v>4.7599999999999998E-5</v>
      </c>
      <c r="D440" s="784">
        <v>4.9599999999999999E-5</v>
      </c>
      <c r="E440" s="800">
        <v>31750</v>
      </c>
      <c r="F440" s="785">
        <v>72720</v>
      </c>
      <c r="G440" s="785"/>
      <c r="H440" s="786">
        <v>4189</v>
      </c>
      <c r="I440" s="787">
        <v>17656</v>
      </c>
      <c r="J440" s="786">
        <v>10385</v>
      </c>
      <c r="K440" s="785">
        <v>18702</v>
      </c>
      <c r="L440" s="787">
        <f t="shared" si="12"/>
        <v>50932</v>
      </c>
      <c r="M440" s="785"/>
      <c r="N440" s="786">
        <v>2058</v>
      </c>
      <c r="O440" s="786">
        <v>0</v>
      </c>
      <c r="P440" s="785">
        <v>0</v>
      </c>
      <c r="Q440" s="787">
        <f t="shared" si="13"/>
        <v>2058</v>
      </c>
      <c r="R440" s="785"/>
      <c r="S440" s="786">
        <v>24507</v>
      </c>
      <c r="T440" s="788">
        <v>9021</v>
      </c>
      <c r="U440" s="788">
        <v>33528</v>
      </c>
    </row>
    <row r="441" spans="1:21" x14ac:dyDescent="0.25">
      <c r="A441" s="782">
        <v>94521</v>
      </c>
      <c r="B441" s="783" t="s">
        <v>3051</v>
      </c>
      <c r="C441" s="784">
        <v>1.517E-4</v>
      </c>
      <c r="D441" s="784">
        <v>1.2410000000000001E-4</v>
      </c>
      <c r="E441" s="800">
        <v>61289</v>
      </c>
      <c r="F441" s="785">
        <v>231756</v>
      </c>
      <c r="G441" s="785"/>
      <c r="H441" s="786">
        <v>13351</v>
      </c>
      <c r="I441" s="787">
        <v>56271</v>
      </c>
      <c r="J441" s="786">
        <v>33098</v>
      </c>
      <c r="K441" s="785">
        <v>15354</v>
      </c>
      <c r="L441" s="787">
        <f t="shared" si="12"/>
        <v>118074</v>
      </c>
      <c r="M441" s="785"/>
      <c r="N441" s="786">
        <v>6560</v>
      </c>
      <c r="O441" s="786">
        <v>0</v>
      </c>
      <c r="P441" s="785">
        <v>13856</v>
      </c>
      <c r="Q441" s="787">
        <f t="shared" si="13"/>
        <v>20416</v>
      </c>
      <c r="R441" s="785"/>
      <c r="S441" s="786">
        <v>78102</v>
      </c>
      <c r="T441" s="788">
        <v>429</v>
      </c>
      <c r="U441" s="788">
        <v>78531</v>
      </c>
    </row>
    <row r="442" spans="1:21" x14ac:dyDescent="0.25">
      <c r="A442" s="782">
        <v>94527</v>
      </c>
      <c r="B442" s="783" t="s">
        <v>3052</v>
      </c>
      <c r="C442" s="784">
        <v>5.4E-6</v>
      </c>
      <c r="D442" s="784">
        <v>6.3999999999999997E-6</v>
      </c>
      <c r="E442" s="800">
        <v>2382</v>
      </c>
      <c r="F442" s="785">
        <v>8250</v>
      </c>
      <c r="G442" s="785"/>
      <c r="H442" s="786">
        <v>475</v>
      </c>
      <c r="I442" s="787">
        <v>2003</v>
      </c>
      <c r="J442" s="786">
        <v>1178</v>
      </c>
      <c r="K442" s="785">
        <v>308</v>
      </c>
      <c r="L442" s="787">
        <f t="shared" si="12"/>
        <v>3964</v>
      </c>
      <c r="M442" s="785"/>
      <c r="N442" s="786">
        <v>234</v>
      </c>
      <c r="O442" s="786">
        <v>0</v>
      </c>
      <c r="P442" s="785">
        <v>3369</v>
      </c>
      <c r="Q442" s="787">
        <f t="shared" si="13"/>
        <v>3603</v>
      </c>
      <c r="R442" s="785"/>
      <c r="S442" s="786">
        <v>2780</v>
      </c>
      <c r="T442" s="788">
        <v>-953</v>
      </c>
      <c r="U442" s="788">
        <v>1827</v>
      </c>
    </row>
    <row r="443" spans="1:21" x14ac:dyDescent="0.25">
      <c r="A443" s="782">
        <v>94531</v>
      </c>
      <c r="B443" s="783" t="s">
        <v>3053</v>
      </c>
      <c r="C443" s="784">
        <v>1.5E-5</v>
      </c>
      <c r="D443" s="784">
        <v>1.5500000000000001E-5</v>
      </c>
      <c r="E443" s="800">
        <v>11396</v>
      </c>
      <c r="F443" s="785">
        <v>22916</v>
      </c>
      <c r="G443" s="785"/>
      <c r="H443" s="786">
        <v>1320</v>
      </c>
      <c r="I443" s="787">
        <v>5564</v>
      </c>
      <c r="J443" s="786">
        <v>3273</v>
      </c>
      <c r="K443" s="785">
        <v>6665</v>
      </c>
      <c r="L443" s="787">
        <f t="shared" si="12"/>
        <v>16822</v>
      </c>
      <c r="M443" s="785"/>
      <c r="N443" s="786">
        <v>649</v>
      </c>
      <c r="O443" s="786">
        <v>0</v>
      </c>
      <c r="P443" s="785">
        <v>0</v>
      </c>
      <c r="Q443" s="787">
        <f t="shared" si="13"/>
        <v>649</v>
      </c>
      <c r="R443" s="785"/>
      <c r="S443" s="786">
        <v>7723</v>
      </c>
      <c r="T443" s="788">
        <v>2681</v>
      </c>
      <c r="U443" s="788">
        <v>10404</v>
      </c>
    </row>
    <row r="444" spans="1:21" x14ac:dyDescent="0.25">
      <c r="A444" s="782">
        <v>94532</v>
      </c>
      <c r="B444" s="783" t="s">
        <v>3054</v>
      </c>
      <c r="C444" s="784">
        <v>8.7800000000000006E-5</v>
      </c>
      <c r="D444" s="784">
        <v>9.4099999999999997E-5</v>
      </c>
      <c r="E444" s="800">
        <v>45014</v>
      </c>
      <c r="F444" s="785">
        <v>134134</v>
      </c>
      <c r="G444" s="785"/>
      <c r="H444" s="786">
        <v>7727</v>
      </c>
      <c r="I444" s="787">
        <v>32568</v>
      </c>
      <c r="J444" s="786">
        <v>19156</v>
      </c>
      <c r="K444" s="785">
        <v>0</v>
      </c>
      <c r="L444" s="787">
        <f t="shared" si="12"/>
        <v>59451</v>
      </c>
      <c r="M444" s="785"/>
      <c r="N444" s="786">
        <v>3797</v>
      </c>
      <c r="O444" s="786">
        <v>0</v>
      </c>
      <c r="P444" s="785">
        <v>10367</v>
      </c>
      <c r="Q444" s="787">
        <f t="shared" si="13"/>
        <v>14164</v>
      </c>
      <c r="R444" s="785"/>
      <c r="S444" s="786">
        <v>45203</v>
      </c>
      <c r="T444" s="788">
        <v>-5525</v>
      </c>
      <c r="U444" s="788">
        <v>39678</v>
      </c>
    </row>
    <row r="445" spans="1:21" x14ac:dyDescent="0.25">
      <c r="A445" s="782">
        <v>94541</v>
      </c>
      <c r="B445" s="783" t="s">
        <v>3055</v>
      </c>
      <c r="C445" s="784">
        <v>2.9300000000000002E-4</v>
      </c>
      <c r="D445" s="784">
        <v>2.9839999999999999E-4</v>
      </c>
      <c r="E445" s="800">
        <v>124372</v>
      </c>
      <c r="F445" s="785">
        <v>447623</v>
      </c>
      <c r="G445" s="785"/>
      <c r="H445" s="786">
        <v>25787</v>
      </c>
      <c r="I445" s="787">
        <v>108683</v>
      </c>
      <c r="J445" s="786">
        <v>63927</v>
      </c>
      <c r="K445" s="785">
        <v>0</v>
      </c>
      <c r="L445" s="787">
        <f t="shared" si="12"/>
        <v>198397</v>
      </c>
      <c r="M445" s="785"/>
      <c r="N445" s="786">
        <v>12671</v>
      </c>
      <c r="O445" s="786">
        <v>0</v>
      </c>
      <c r="P445" s="785">
        <v>27614</v>
      </c>
      <c r="Q445" s="787">
        <f t="shared" si="13"/>
        <v>40285</v>
      </c>
      <c r="R445" s="785"/>
      <c r="S445" s="786">
        <v>150849</v>
      </c>
      <c r="T445" s="788">
        <v>-10625</v>
      </c>
      <c r="U445" s="788">
        <v>140224</v>
      </c>
    </row>
    <row r="446" spans="1:21" x14ac:dyDescent="0.25">
      <c r="A446" s="782">
        <v>94547</v>
      </c>
      <c r="B446" s="783" t="s">
        <v>3056</v>
      </c>
      <c r="C446" s="784">
        <v>1.08E-5</v>
      </c>
      <c r="D446" s="784">
        <v>1.24E-5</v>
      </c>
      <c r="E446" s="800">
        <v>8019</v>
      </c>
      <c r="F446" s="785">
        <v>16499</v>
      </c>
      <c r="G446" s="785"/>
      <c r="H446" s="786">
        <v>951</v>
      </c>
      <c r="I446" s="787">
        <v>4006</v>
      </c>
      <c r="J446" s="786">
        <v>2356</v>
      </c>
      <c r="K446" s="785">
        <v>2853</v>
      </c>
      <c r="L446" s="787">
        <f t="shared" si="12"/>
        <v>10166</v>
      </c>
      <c r="M446" s="785"/>
      <c r="N446" s="786">
        <v>467</v>
      </c>
      <c r="O446" s="786">
        <v>0</v>
      </c>
      <c r="P446" s="785">
        <v>0</v>
      </c>
      <c r="Q446" s="787">
        <f t="shared" si="13"/>
        <v>467</v>
      </c>
      <c r="R446" s="785"/>
      <c r="S446" s="786">
        <v>5560</v>
      </c>
      <c r="T446" s="788">
        <v>1000</v>
      </c>
      <c r="U446" s="788">
        <v>6560</v>
      </c>
    </row>
    <row r="447" spans="1:21" x14ac:dyDescent="0.25">
      <c r="A447" s="782">
        <v>94551</v>
      </c>
      <c r="B447" s="783" t="s">
        <v>3057</v>
      </c>
      <c r="C447" s="784">
        <v>4.1900000000000002E-5</v>
      </c>
      <c r="D447" s="784">
        <v>4.5899999999999998E-5</v>
      </c>
      <c r="E447" s="800">
        <v>24929</v>
      </c>
      <c r="F447" s="785">
        <v>64012</v>
      </c>
      <c r="G447" s="785"/>
      <c r="H447" s="786">
        <v>3688</v>
      </c>
      <c r="I447" s="787">
        <v>15543</v>
      </c>
      <c r="J447" s="786">
        <v>9142</v>
      </c>
      <c r="K447" s="785">
        <v>11600</v>
      </c>
      <c r="L447" s="787">
        <f t="shared" si="12"/>
        <v>39973</v>
      </c>
      <c r="M447" s="785"/>
      <c r="N447" s="786">
        <v>1812</v>
      </c>
      <c r="O447" s="786">
        <v>0</v>
      </c>
      <c r="P447" s="785">
        <v>1576</v>
      </c>
      <c r="Q447" s="787">
        <f t="shared" si="13"/>
        <v>3388</v>
      </c>
      <c r="R447" s="785"/>
      <c r="S447" s="786">
        <v>21572</v>
      </c>
      <c r="T447" s="788">
        <v>4116</v>
      </c>
      <c r="U447" s="788">
        <v>25688</v>
      </c>
    </row>
    <row r="448" spans="1:21" x14ac:dyDescent="0.25">
      <c r="A448" s="782">
        <v>94601</v>
      </c>
      <c r="B448" s="783" t="s">
        <v>3058</v>
      </c>
      <c r="C448" s="784">
        <v>1.0602999999999999E-3</v>
      </c>
      <c r="D448" s="784">
        <v>1.0011E-3</v>
      </c>
      <c r="E448" s="800">
        <v>501425</v>
      </c>
      <c r="F448" s="785">
        <v>1619845</v>
      </c>
      <c r="G448" s="785"/>
      <c r="H448" s="786">
        <v>93318</v>
      </c>
      <c r="I448" s="787">
        <v>393300</v>
      </c>
      <c r="J448" s="786">
        <v>231336</v>
      </c>
      <c r="K448" s="785">
        <v>77480</v>
      </c>
      <c r="L448" s="787">
        <f t="shared" si="12"/>
        <v>795434</v>
      </c>
      <c r="M448" s="785"/>
      <c r="N448" s="786">
        <v>45853</v>
      </c>
      <c r="O448" s="786">
        <v>0</v>
      </c>
      <c r="P448" s="785">
        <v>2182</v>
      </c>
      <c r="Q448" s="787">
        <f t="shared" si="13"/>
        <v>48035</v>
      </c>
      <c r="R448" s="785"/>
      <c r="S448" s="786">
        <v>545889</v>
      </c>
      <c r="T448" s="788">
        <v>21640</v>
      </c>
      <c r="U448" s="788">
        <v>567529</v>
      </c>
    </row>
    <row r="449" spans="1:21" x14ac:dyDescent="0.25">
      <c r="A449" s="782">
        <v>94604</v>
      </c>
      <c r="B449" s="783" t="s">
        <v>3059</v>
      </c>
      <c r="C449" s="784">
        <v>2.62E-5</v>
      </c>
      <c r="D449" s="784">
        <v>2.65E-5</v>
      </c>
      <c r="E449" s="800">
        <v>14408</v>
      </c>
      <c r="F449" s="785">
        <v>40026</v>
      </c>
      <c r="G449" s="785"/>
      <c r="H449" s="786">
        <v>2306</v>
      </c>
      <c r="I449" s="787">
        <v>9718</v>
      </c>
      <c r="J449" s="786">
        <v>5716</v>
      </c>
      <c r="K449" s="785">
        <v>2471</v>
      </c>
      <c r="L449" s="787">
        <f t="shared" si="12"/>
        <v>20211</v>
      </c>
      <c r="M449" s="785"/>
      <c r="N449" s="786">
        <v>1133</v>
      </c>
      <c r="O449" s="786">
        <v>0</v>
      </c>
      <c r="P449" s="785">
        <v>26</v>
      </c>
      <c r="Q449" s="787">
        <f t="shared" si="13"/>
        <v>1159</v>
      </c>
      <c r="R449" s="785"/>
      <c r="S449" s="786">
        <v>13489</v>
      </c>
      <c r="T449" s="788">
        <v>697</v>
      </c>
      <c r="U449" s="788">
        <v>14186</v>
      </c>
    </row>
    <row r="450" spans="1:21" x14ac:dyDescent="0.25">
      <c r="A450" s="782">
        <v>94606</v>
      </c>
      <c r="B450" s="783" t="s">
        <v>3060</v>
      </c>
      <c r="C450" s="784">
        <v>2.3550000000000001E-4</v>
      </c>
      <c r="D450" s="784">
        <v>2.6229999999999998E-4</v>
      </c>
      <c r="E450" s="800">
        <v>106916</v>
      </c>
      <c r="F450" s="785">
        <v>359779</v>
      </c>
      <c r="G450" s="785"/>
      <c r="H450" s="786">
        <v>20727</v>
      </c>
      <c r="I450" s="787">
        <v>87355</v>
      </c>
      <c r="J450" s="786">
        <v>51381</v>
      </c>
      <c r="K450" s="785">
        <v>0</v>
      </c>
      <c r="L450" s="787">
        <f t="shared" si="12"/>
        <v>159463</v>
      </c>
      <c r="M450" s="785"/>
      <c r="N450" s="786">
        <v>10184</v>
      </c>
      <c r="O450" s="786">
        <v>0</v>
      </c>
      <c r="P450" s="785">
        <v>51703</v>
      </c>
      <c r="Q450" s="787">
        <f t="shared" si="13"/>
        <v>61887</v>
      </c>
      <c r="R450" s="785"/>
      <c r="S450" s="786">
        <v>121246</v>
      </c>
      <c r="T450" s="788">
        <v>-24169</v>
      </c>
      <c r="U450" s="788">
        <v>97077</v>
      </c>
    </row>
    <row r="451" spans="1:21" x14ac:dyDescent="0.25">
      <c r="A451" s="782">
        <v>94611</v>
      </c>
      <c r="B451" s="783" t="s">
        <v>3061</v>
      </c>
      <c r="C451" s="784">
        <v>3.6850000000000001E-4</v>
      </c>
      <c r="D451" s="784">
        <v>4.4450000000000002E-4</v>
      </c>
      <c r="E451" s="800">
        <v>191641</v>
      </c>
      <c r="F451" s="785">
        <v>562966</v>
      </c>
      <c r="G451" s="785"/>
      <c r="H451" s="786">
        <v>32432</v>
      </c>
      <c r="I451" s="787">
        <v>136689</v>
      </c>
      <c r="J451" s="786">
        <v>80399</v>
      </c>
      <c r="K451" s="785">
        <v>2567</v>
      </c>
      <c r="L451" s="787">
        <f t="shared" si="12"/>
        <v>252087</v>
      </c>
      <c r="M451" s="785"/>
      <c r="N451" s="786">
        <v>15936</v>
      </c>
      <c r="O451" s="786">
        <v>0</v>
      </c>
      <c r="P451" s="785">
        <v>35426</v>
      </c>
      <c r="Q451" s="787">
        <f t="shared" si="13"/>
        <v>51362</v>
      </c>
      <c r="R451" s="785"/>
      <c r="S451" s="786">
        <v>189720</v>
      </c>
      <c r="T451" s="788">
        <v>-9323</v>
      </c>
      <c r="U451" s="788">
        <v>180397</v>
      </c>
    </row>
    <row r="452" spans="1:21" x14ac:dyDescent="0.25">
      <c r="A452" s="782">
        <v>94621</v>
      </c>
      <c r="B452" s="783" t="s">
        <v>3062</v>
      </c>
      <c r="C452" s="784">
        <v>9.7600000000000001E-5</v>
      </c>
      <c r="D452" s="784">
        <v>1.3119999999999999E-4</v>
      </c>
      <c r="E452" s="800">
        <v>66541</v>
      </c>
      <c r="F452" s="785">
        <v>149106</v>
      </c>
      <c r="G452" s="785"/>
      <c r="H452" s="786">
        <v>8590</v>
      </c>
      <c r="I452" s="787">
        <v>36203</v>
      </c>
      <c r="J452" s="786">
        <v>21294</v>
      </c>
      <c r="K452" s="785">
        <v>6585</v>
      </c>
      <c r="L452" s="787">
        <f t="shared" si="12"/>
        <v>72672</v>
      </c>
      <c r="M452" s="785"/>
      <c r="N452" s="786">
        <v>4221</v>
      </c>
      <c r="O452" s="786">
        <v>0</v>
      </c>
      <c r="P452" s="785">
        <v>18055</v>
      </c>
      <c r="Q452" s="787">
        <f t="shared" si="13"/>
        <v>22276</v>
      </c>
      <c r="R452" s="785"/>
      <c r="S452" s="786">
        <v>50249</v>
      </c>
      <c r="T452" s="788">
        <v>-1288</v>
      </c>
      <c r="U452" s="788">
        <v>48961</v>
      </c>
    </row>
    <row r="453" spans="1:21" x14ac:dyDescent="0.25">
      <c r="A453" s="782">
        <v>94631</v>
      </c>
      <c r="B453" s="783" t="s">
        <v>3063</v>
      </c>
      <c r="C453" s="784">
        <v>3.9100000000000002E-5</v>
      </c>
      <c r="D453" s="784">
        <v>3.9799999999999998E-5</v>
      </c>
      <c r="E453" s="800">
        <v>22453</v>
      </c>
      <c r="F453" s="785">
        <v>59734</v>
      </c>
      <c r="G453" s="785"/>
      <c r="H453" s="786">
        <v>3441</v>
      </c>
      <c r="I453" s="787">
        <v>14504</v>
      </c>
      <c r="J453" s="786">
        <v>8531</v>
      </c>
      <c r="K453" s="785">
        <v>6569</v>
      </c>
      <c r="L453" s="787">
        <f t="shared" si="12"/>
        <v>33045</v>
      </c>
      <c r="M453" s="785"/>
      <c r="N453" s="786">
        <v>1691</v>
      </c>
      <c r="O453" s="786">
        <v>0</v>
      </c>
      <c r="P453" s="785">
        <v>0</v>
      </c>
      <c r="Q453" s="787">
        <f t="shared" si="13"/>
        <v>1691</v>
      </c>
      <c r="R453" s="785"/>
      <c r="S453" s="786">
        <v>20130</v>
      </c>
      <c r="T453" s="788">
        <v>2517</v>
      </c>
      <c r="U453" s="788">
        <v>22647</v>
      </c>
    </row>
    <row r="454" spans="1:21" x14ac:dyDescent="0.25">
      <c r="A454" s="782">
        <v>94641</v>
      </c>
      <c r="B454" s="783" t="s">
        <v>3064</v>
      </c>
      <c r="C454" s="784">
        <v>3.8999999999999999E-6</v>
      </c>
      <c r="D454" s="784">
        <v>4.6999999999999999E-6</v>
      </c>
      <c r="E454" s="800">
        <v>5004</v>
      </c>
      <c r="F454" s="785">
        <v>5958</v>
      </c>
      <c r="G454" s="785"/>
      <c r="H454" s="786">
        <v>343</v>
      </c>
      <c r="I454" s="787">
        <v>1446</v>
      </c>
      <c r="J454" s="786">
        <v>851</v>
      </c>
      <c r="K454" s="785">
        <v>5156</v>
      </c>
      <c r="L454" s="787">
        <f t="shared" si="12"/>
        <v>7796</v>
      </c>
      <c r="M454" s="785"/>
      <c r="N454" s="786">
        <v>169</v>
      </c>
      <c r="O454" s="786">
        <v>0</v>
      </c>
      <c r="P454" s="785">
        <v>0</v>
      </c>
      <c r="Q454" s="787">
        <f t="shared" si="13"/>
        <v>169</v>
      </c>
      <c r="R454" s="785"/>
      <c r="S454" s="786">
        <v>2008</v>
      </c>
      <c r="T454" s="788">
        <v>2187</v>
      </c>
      <c r="U454" s="788">
        <v>4195</v>
      </c>
    </row>
    <row r="455" spans="1:21" x14ac:dyDescent="0.25">
      <c r="A455" s="782">
        <v>94701</v>
      </c>
      <c r="B455" s="783" t="s">
        <v>3065</v>
      </c>
      <c r="C455" s="784">
        <v>2.5446000000000002E-3</v>
      </c>
      <c r="D455" s="784">
        <v>2.5636000000000001E-3</v>
      </c>
      <c r="E455" s="800">
        <v>1148600</v>
      </c>
      <c r="F455" s="785">
        <v>3887444</v>
      </c>
      <c r="G455" s="785"/>
      <c r="H455" s="786">
        <v>223953</v>
      </c>
      <c r="I455" s="787">
        <v>943877</v>
      </c>
      <c r="J455" s="786">
        <v>555181</v>
      </c>
      <c r="K455" s="785">
        <v>45251</v>
      </c>
      <c r="L455" s="787">
        <f t="shared" ref="L455:L518" si="14">H455+I455+J455+K455</f>
        <v>1768262</v>
      </c>
      <c r="M455" s="785"/>
      <c r="N455" s="786">
        <v>110041</v>
      </c>
      <c r="O455" s="786">
        <v>0</v>
      </c>
      <c r="P455" s="785">
        <v>103182</v>
      </c>
      <c r="Q455" s="787">
        <f t="shared" ref="Q455:Q518" si="15">N455+O455+P455</f>
        <v>213223</v>
      </c>
      <c r="R455" s="785"/>
      <c r="S455" s="786">
        <v>1310072</v>
      </c>
      <c r="T455" s="788">
        <v>-2731</v>
      </c>
      <c r="U455" s="788">
        <v>1307341</v>
      </c>
    </row>
    <row r="456" spans="1:21" x14ac:dyDescent="0.25">
      <c r="A456" s="782">
        <v>94704</v>
      </c>
      <c r="B456" s="783" t="s">
        <v>3066</v>
      </c>
      <c r="C456" s="784">
        <v>9.5000000000000005E-6</v>
      </c>
      <c r="D456" s="784">
        <v>1.04E-5</v>
      </c>
      <c r="E456" s="800">
        <v>5070</v>
      </c>
      <c r="F456" s="785">
        <v>14513</v>
      </c>
      <c r="G456" s="785"/>
      <c r="H456" s="786">
        <v>836</v>
      </c>
      <c r="I456" s="787">
        <v>3524</v>
      </c>
      <c r="J456" s="786">
        <v>2073</v>
      </c>
      <c r="K456" s="785">
        <v>77</v>
      </c>
      <c r="L456" s="787">
        <f t="shared" si="14"/>
        <v>6510</v>
      </c>
      <c r="M456" s="785"/>
      <c r="N456" s="786">
        <v>411</v>
      </c>
      <c r="O456" s="786">
        <v>0</v>
      </c>
      <c r="P456" s="785">
        <v>100</v>
      </c>
      <c r="Q456" s="787">
        <f t="shared" si="15"/>
        <v>511</v>
      </c>
      <c r="R456" s="785"/>
      <c r="S456" s="786">
        <v>4891</v>
      </c>
      <c r="T456" s="788">
        <v>38</v>
      </c>
      <c r="U456" s="788">
        <v>4929</v>
      </c>
    </row>
    <row r="457" spans="1:21" x14ac:dyDescent="0.25">
      <c r="A457" s="782">
        <v>94711</v>
      </c>
      <c r="B457" s="783" t="s">
        <v>3067</v>
      </c>
      <c r="C457" s="784">
        <v>3.3599999999999998E-4</v>
      </c>
      <c r="D457" s="784">
        <v>3.5110000000000002E-4</v>
      </c>
      <c r="E457" s="800">
        <v>165327</v>
      </c>
      <c r="F457" s="785">
        <v>513315</v>
      </c>
      <c r="G457" s="785"/>
      <c r="H457" s="786">
        <v>29572</v>
      </c>
      <c r="I457" s="787">
        <v>124633</v>
      </c>
      <c r="J457" s="786">
        <v>73308</v>
      </c>
      <c r="K457" s="785">
        <v>9113</v>
      </c>
      <c r="L457" s="787">
        <f t="shared" si="14"/>
        <v>236626</v>
      </c>
      <c r="M457" s="785"/>
      <c r="N457" s="786">
        <v>14530</v>
      </c>
      <c r="O457" s="786">
        <v>0</v>
      </c>
      <c r="P457" s="785">
        <v>6693</v>
      </c>
      <c r="Q457" s="787">
        <f t="shared" si="15"/>
        <v>21223</v>
      </c>
      <c r="R457" s="785"/>
      <c r="S457" s="786">
        <v>172988</v>
      </c>
      <c r="T457" s="788">
        <v>1163</v>
      </c>
      <c r="U457" s="788">
        <v>174151</v>
      </c>
    </row>
    <row r="458" spans="1:21" x14ac:dyDescent="0.25">
      <c r="A458" s="782">
        <v>94801</v>
      </c>
      <c r="B458" s="783" t="s">
        <v>3068</v>
      </c>
      <c r="C458" s="784">
        <v>7.2440000000000004E-4</v>
      </c>
      <c r="D458" s="784">
        <v>7.6539999999999996E-4</v>
      </c>
      <c r="E458" s="800">
        <v>342416</v>
      </c>
      <c r="F458" s="785">
        <v>1106683</v>
      </c>
      <c r="G458" s="785"/>
      <c r="H458" s="786">
        <v>63755</v>
      </c>
      <c r="I458" s="787">
        <v>268704</v>
      </c>
      <c r="J458" s="786">
        <v>158050</v>
      </c>
      <c r="K458" s="785">
        <v>40380</v>
      </c>
      <c r="L458" s="787">
        <f t="shared" si="14"/>
        <v>530889</v>
      </c>
      <c r="M458" s="785"/>
      <c r="N458" s="786">
        <v>31327</v>
      </c>
      <c r="O458" s="786">
        <v>0</v>
      </c>
      <c r="P458" s="785">
        <v>19605</v>
      </c>
      <c r="Q458" s="787">
        <f t="shared" si="15"/>
        <v>50932</v>
      </c>
      <c r="R458" s="785"/>
      <c r="S458" s="786">
        <v>372953</v>
      </c>
      <c r="T458" s="788">
        <v>17711</v>
      </c>
      <c r="U458" s="788">
        <v>390664</v>
      </c>
    </row>
    <row r="459" spans="1:21" x14ac:dyDescent="0.25">
      <c r="A459" s="782">
        <v>94804</v>
      </c>
      <c r="B459" s="783" t="s">
        <v>3069</v>
      </c>
      <c r="C459" s="784">
        <v>3.8E-6</v>
      </c>
      <c r="D459" s="784">
        <v>3.8E-6</v>
      </c>
      <c r="E459" s="800">
        <v>2740</v>
      </c>
      <c r="F459" s="785">
        <v>5805</v>
      </c>
      <c r="G459" s="785"/>
      <c r="H459" s="786">
        <v>334</v>
      </c>
      <c r="I459" s="787">
        <v>1409</v>
      </c>
      <c r="J459" s="786">
        <v>829</v>
      </c>
      <c r="K459" s="785">
        <v>2556</v>
      </c>
      <c r="L459" s="787">
        <f t="shared" si="14"/>
        <v>5128</v>
      </c>
      <c r="M459" s="785"/>
      <c r="N459" s="786">
        <v>164</v>
      </c>
      <c r="O459" s="786">
        <v>0</v>
      </c>
      <c r="P459" s="785">
        <v>218</v>
      </c>
      <c r="Q459" s="787">
        <f t="shared" si="15"/>
        <v>382</v>
      </c>
      <c r="R459" s="785"/>
      <c r="S459" s="786">
        <v>1956</v>
      </c>
      <c r="T459" s="788">
        <v>1879</v>
      </c>
      <c r="U459" s="788">
        <v>3835</v>
      </c>
    </row>
    <row r="460" spans="1:21" x14ac:dyDescent="0.25">
      <c r="A460" s="782">
        <v>94812</v>
      </c>
      <c r="B460" s="783" t="s">
        <v>3070</v>
      </c>
      <c r="C460" s="784">
        <v>3.3000000000000003E-5</v>
      </c>
      <c r="D460" s="784">
        <v>3.3500000000000001E-5</v>
      </c>
      <c r="E460" s="800">
        <v>19658</v>
      </c>
      <c r="F460" s="785">
        <v>50415</v>
      </c>
      <c r="G460" s="785"/>
      <c r="H460" s="786">
        <v>2904</v>
      </c>
      <c r="I460" s="787">
        <v>12241</v>
      </c>
      <c r="J460" s="786">
        <v>7200</v>
      </c>
      <c r="K460" s="785">
        <v>10442</v>
      </c>
      <c r="L460" s="787">
        <f t="shared" si="14"/>
        <v>32787</v>
      </c>
      <c r="M460" s="785"/>
      <c r="N460" s="786">
        <v>1427</v>
      </c>
      <c r="O460" s="786">
        <v>0</v>
      </c>
      <c r="P460" s="785">
        <v>0</v>
      </c>
      <c r="Q460" s="787">
        <f t="shared" si="15"/>
        <v>1427</v>
      </c>
      <c r="R460" s="785"/>
      <c r="S460" s="786">
        <v>16990</v>
      </c>
      <c r="T460" s="788">
        <v>4040</v>
      </c>
      <c r="U460" s="788">
        <v>21030</v>
      </c>
    </row>
    <row r="461" spans="1:21" x14ac:dyDescent="0.25">
      <c r="A461" s="782">
        <v>94901</v>
      </c>
      <c r="B461" s="783" t="s">
        <v>3071</v>
      </c>
      <c r="C461" s="784">
        <v>6.7841999999999998E-3</v>
      </c>
      <c r="D461" s="784">
        <v>7.0014999999999999E-3</v>
      </c>
      <c r="E461" s="800">
        <v>3201093</v>
      </c>
      <c r="F461" s="785">
        <v>10364378</v>
      </c>
      <c r="G461" s="785"/>
      <c r="H461" s="786">
        <v>597084</v>
      </c>
      <c r="I461" s="787">
        <v>2516484</v>
      </c>
      <c r="J461" s="786">
        <v>1480177</v>
      </c>
      <c r="K461" s="785">
        <v>16760</v>
      </c>
      <c r="L461" s="787">
        <f t="shared" si="14"/>
        <v>4610505</v>
      </c>
      <c r="M461" s="785"/>
      <c r="N461" s="786">
        <v>293383</v>
      </c>
      <c r="O461" s="786">
        <v>0</v>
      </c>
      <c r="P461" s="785">
        <v>129476</v>
      </c>
      <c r="Q461" s="787">
        <f t="shared" si="15"/>
        <v>422859</v>
      </c>
      <c r="R461" s="785"/>
      <c r="S461" s="786">
        <v>3492805</v>
      </c>
      <c r="T461" s="788">
        <v>-36324</v>
      </c>
      <c r="U461" s="788">
        <v>3456481</v>
      </c>
    </row>
    <row r="462" spans="1:21" x14ac:dyDescent="0.25">
      <c r="A462" s="782">
        <v>94908</v>
      </c>
      <c r="B462" s="783" t="s">
        <v>3072</v>
      </c>
      <c r="C462" s="784">
        <v>7.7000000000000008E-6</v>
      </c>
      <c r="D462" s="784">
        <v>3.9799999999999998E-5</v>
      </c>
      <c r="E462" s="800">
        <v>7868</v>
      </c>
      <c r="F462" s="785">
        <v>11763</v>
      </c>
      <c r="G462" s="785"/>
      <c r="H462" s="786">
        <v>678</v>
      </c>
      <c r="I462" s="787">
        <v>2857</v>
      </c>
      <c r="J462" s="786">
        <v>1680</v>
      </c>
      <c r="K462" s="785">
        <v>0</v>
      </c>
      <c r="L462" s="787">
        <f t="shared" si="14"/>
        <v>5215</v>
      </c>
      <c r="M462" s="785"/>
      <c r="N462" s="786">
        <v>333</v>
      </c>
      <c r="O462" s="786">
        <v>0</v>
      </c>
      <c r="P462" s="785">
        <v>21664</v>
      </c>
      <c r="Q462" s="787">
        <f t="shared" si="15"/>
        <v>21997</v>
      </c>
      <c r="R462" s="785"/>
      <c r="S462" s="786">
        <v>3964</v>
      </c>
      <c r="T462" s="788">
        <v>-6783</v>
      </c>
      <c r="U462" s="788">
        <v>-2819</v>
      </c>
    </row>
    <row r="463" spans="1:21" x14ac:dyDescent="0.25">
      <c r="A463" s="782">
        <v>94911</v>
      </c>
      <c r="B463" s="783" t="s">
        <v>3073</v>
      </c>
      <c r="C463" s="784">
        <v>2.8311E-3</v>
      </c>
      <c r="D463" s="784">
        <v>2.7745999999999999E-3</v>
      </c>
      <c r="E463" s="800">
        <v>1295988</v>
      </c>
      <c r="F463" s="785">
        <v>4325137</v>
      </c>
      <c r="G463" s="785"/>
      <c r="H463" s="786">
        <v>249168</v>
      </c>
      <c r="I463" s="787">
        <v>1050149</v>
      </c>
      <c r="J463" s="786">
        <v>617689</v>
      </c>
      <c r="K463" s="785">
        <v>39747</v>
      </c>
      <c r="L463" s="787">
        <f t="shared" si="14"/>
        <v>1956753</v>
      </c>
      <c r="M463" s="785"/>
      <c r="N463" s="786">
        <v>122431</v>
      </c>
      <c r="O463" s="786">
        <v>0</v>
      </c>
      <c r="P463" s="785">
        <v>40147</v>
      </c>
      <c r="Q463" s="787">
        <f t="shared" si="15"/>
        <v>162578</v>
      </c>
      <c r="R463" s="785"/>
      <c r="S463" s="786">
        <v>1457575</v>
      </c>
      <c r="T463" s="788">
        <v>-7457</v>
      </c>
      <c r="U463" s="788">
        <v>1450118</v>
      </c>
    </row>
    <row r="464" spans="1:21" x14ac:dyDescent="0.25">
      <c r="A464" s="782">
        <v>94917</v>
      </c>
      <c r="B464" s="783" t="s">
        <v>3074</v>
      </c>
      <c r="C464" s="784">
        <v>3.5099999999999999E-5</v>
      </c>
      <c r="D464" s="784">
        <v>3.7400000000000001E-5</v>
      </c>
      <c r="E464" s="800">
        <v>27131</v>
      </c>
      <c r="F464" s="785">
        <v>53623</v>
      </c>
      <c r="G464" s="785"/>
      <c r="H464" s="786">
        <v>3089</v>
      </c>
      <c r="I464" s="787">
        <v>13020</v>
      </c>
      <c r="J464" s="786">
        <v>7658</v>
      </c>
      <c r="K464" s="785">
        <v>16574</v>
      </c>
      <c r="L464" s="787">
        <f t="shared" si="14"/>
        <v>40341</v>
      </c>
      <c r="M464" s="785"/>
      <c r="N464" s="786">
        <v>1518</v>
      </c>
      <c r="O464" s="786">
        <v>0</v>
      </c>
      <c r="P464" s="785">
        <v>0</v>
      </c>
      <c r="Q464" s="787">
        <f t="shared" si="15"/>
        <v>1518</v>
      </c>
      <c r="R464" s="785"/>
      <c r="S464" s="786">
        <v>18071</v>
      </c>
      <c r="T464" s="788">
        <v>7114</v>
      </c>
      <c r="U464" s="788">
        <v>25185</v>
      </c>
    </row>
    <row r="465" spans="1:21" x14ac:dyDescent="0.25">
      <c r="A465" s="782">
        <v>94921</v>
      </c>
      <c r="B465" s="783" t="s">
        <v>3075</v>
      </c>
      <c r="C465" s="784">
        <v>3.9515000000000002E-3</v>
      </c>
      <c r="D465" s="784">
        <v>3.7063E-3</v>
      </c>
      <c r="E465" s="800">
        <v>1632572</v>
      </c>
      <c r="F465" s="785">
        <v>6036797</v>
      </c>
      <c r="G465" s="785"/>
      <c r="H465" s="786">
        <v>347775</v>
      </c>
      <c r="I465" s="787">
        <v>1465741</v>
      </c>
      <c r="J465" s="786">
        <v>862138</v>
      </c>
      <c r="K465" s="785">
        <v>19200</v>
      </c>
      <c r="L465" s="787">
        <f t="shared" si="14"/>
        <v>2694854</v>
      </c>
      <c r="M465" s="785"/>
      <c r="N465" s="786">
        <v>170883</v>
      </c>
      <c r="O465" s="786">
        <v>0</v>
      </c>
      <c r="P465" s="785">
        <v>350239</v>
      </c>
      <c r="Q465" s="787">
        <f t="shared" si="15"/>
        <v>521122</v>
      </c>
      <c r="R465" s="785"/>
      <c r="S465" s="786">
        <v>2034406</v>
      </c>
      <c r="T465" s="788">
        <v>-150626</v>
      </c>
      <c r="U465" s="788">
        <v>1883780</v>
      </c>
    </row>
    <row r="466" spans="1:21" x14ac:dyDescent="0.25">
      <c r="A466" s="782">
        <v>94923</v>
      </c>
      <c r="B466" s="783" t="s">
        <v>3076</v>
      </c>
      <c r="C466" s="784">
        <v>3.0700000000000001E-5</v>
      </c>
      <c r="D466" s="784">
        <v>2.4499999999999999E-5</v>
      </c>
      <c r="E466" s="800">
        <v>14810</v>
      </c>
      <c r="F466" s="785">
        <v>46901</v>
      </c>
      <c r="G466" s="785"/>
      <c r="H466" s="786">
        <v>2702</v>
      </c>
      <c r="I466" s="787">
        <v>11387</v>
      </c>
      <c r="J466" s="786">
        <v>6698</v>
      </c>
      <c r="K466" s="785">
        <v>5727</v>
      </c>
      <c r="L466" s="787">
        <f t="shared" si="14"/>
        <v>26514</v>
      </c>
      <c r="M466" s="785"/>
      <c r="N466" s="786">
        <v>1328</v>
      </c>
      <c r="O466" s="786">
        <v>0</v>
      </c>
      <c r="P466" s="785">
        <v>86</v>
      </c>
      <c r="Q466" s="787">
        <f t="shared" si="15"/>
        <v>1414</v>
      </c>
      <c r="R466" s="785"/>
      <c r="S466" s="786">
        <v>15806</v>
      </c>
      <c r="T466" s="788">
        <v>1556</v>
      </c>
      <c r="U466" s="788">
        <v>17362</v>
      </c>
    </row>
    <row r="467" spans="1:21" x14ac:dyDescent="0.25">
      <c r="A467" s="782">
        <v>94927</v>
      </c>
      <c r="B467" s="783" t="s">
        <v>3077</v>
      </c>
      <c r="C467" s="784">
        <v>3.0599999999999998E-5</v>
      </c>
      <c r="D467" s="784">
        <v>3.3899999999999997E-5</v>
      </c>
      <c r="E467" s="800">
        <v>17353</v>
      </c>
      <c r="F467" s="785">
        <v>46748</v>
      </c>
      <c r="G467" s="785"/>
      <c r="H467" s="786">
        <v>2693</v>
      </c>
      <c r="I467" s="787">
        <v>11350</v>
      </c>
      <c r="J467" s="786">
        <v>6676</v>
      </c>
      <c r="K467" s="785">
        <v>2683</v>
      </c>
      <c r="L467" s="787">
        <f t="shared" si="14"/>
        <v>23402</v>
      </c>
      <c r="M467" s="785"/>
      <c r="N467" s="786">
        <v>1323</v>
      </c>
      <c r="O467" s="786">
        <v>0</v>
      </c>
      <c r="P467" s="785">
        <v>26</v>
      </c>
      <c r="Q467" s="787">
        <f t="shared" si="15"/>
        <v>1349</v>
      </c>
      <c r="R467" s="785"/>
      <c r="S467" s="786">
        <v>15754</v>
      </c>
      <c r="T467" s="788">
        <v>911</v>
      </c>
      <c r="U467" s="788">
        <v>16665</v>
      </c>
    </row>
    <row r="468" spans="1:21" x14ac:dyDescent="0.25">
      <c r="A468" s="782">
        <v>94931</v>
      </c>
      <c r="B468" s="783" t="s">
        <v>3078</v>
      </c>
      <c r="C468" s="784">
        <v>2.163E-4</v>
      </c>
      <c r="D468" s="784">
        <v>2.1130000000000001E-4</v>
      </c>
      <c r="E468" s="800">
        <v>96302</v>
      </c>
      <c r="F468" s="785">
        <v>330446</v>
      </c>
      <c r="G468" s="785"/>
      <c r="H468" s="786">
        <v>19037</v>
      </c>
      <c r="I468" s="787">
        <v>80233</v>
      </c>
      <c r="J468" s="786">
        <v>47192</v>
      </c>
      <c r="K468" s="785">
        <v>954</v>
      </c>
      <c r="L468" s="787">
        <f t="shared" si="14"/>
        <v>147416</v>
      </c>
      <c r="M468" s="785"/>
      <c r="N468" s="786">
        <v>9354</v>
      </c>
      <c r="O468" s="786">
        <v>0</v>
      </c>
      <c r="P468" s="785">
        <v>15740</v>
      </c>
      <c r="Q468" s="787">
        <f t="shared" si="15"/>
        <v>25094</v>
      </c>
      <c r="R468" s="785"/>
      <c r="S468" s="786">
        <v>111361</v>
      </c>
      <c r="T468" s="788">
        <v>-7901</v>
      </c>
      <c r="U468" s="788">
        <v>103460</v>
      </c>
    </row>
    <row r="469" spans="1:21" x14ac:dyDescent="0.25">
      <c r="A469" s="782">
        <v>94941</v>
      </c>
      <c r="B469" s="783" t="s">
        <v>3079</v>
      </c>
      <c r="C469" s="784">
        <v>5.7879999999999997E-4</v>
      </c>
      <c r="D469" s="784">
        <v>5.2959999999999997E-4</v>
      </c>
      <c r="E469" s="800">
        <v>242954</v>
      </c>
      <c r="F469" s="785">
        <v>884246</v>
      </c>
      <c r="G469" s="785"/>
      <c r="H469" s="786">
        <v>50941</v>
      </c>
      <c r="I469" s="787">
        <v>214696</v>
      </c>
      <c r="J469" s="786">
        <v>126283</v>
      </c>
      <c r="K469" s="785">
        <v>68775</v>
      </c>
      <c r="L469" s="787">
        <f t="shared" si="14"/>
        <v>460695</v>
      </c>
      <c r="M469" s="785"/>
      <c r="N469" s="786">
        <v>25030</v>
      </c>
      <c r="O469" s="786">
        <v>0</v>
      </c>
      <c r="P469" s="785">
        <v>0</v>
      </c>
      <c r="Q469" s="787">
        <f t="shared" si="15"/>
        <v>25030</v>
      </c>
      <c r="R469" s="785"/>
      <c r="S469" s="786">
        <v>297992</v>
      </c>
      <c r="T469" s="788">
        <v>46151</v>
      </c>
      <c r="U469" s="788">
        <v>344143</v>
      </c>
    </row>
    <row r="470" spans="1:21" x14ac:dyDescent="0.25">
      <c r="A470" s="782">
        <v>95001</v>
      </c>
      <c r="B470" s="783" t="s">
        <v>3080</v>
      </c>
      <c r="C470" s="784">
        <v>2.4867000000000001E-3</v>
      </c>
      <c r="D470" s="784">
        <v>2.3779000000000001E-3</v>
      </c>
      <c r="E470" s="800">
        <v>1196131</v>
      </c>
      <c r="F470" s="785">
        <v>3798989</v>
      </c>
      <c r="G470" s="785"/>
      <c r="H470" s="786">
        <v>218857</v>
      </c>
      <c r="I470" s="787">
        <v>922399</v>
      </c>
      <c r="J470" s="786">
        <v>542548</v>
      </c>
      <c r="K470" s="785">
        <v>176888</v>
      </c>
      <c r="L470" s="787">
        <f t="shared" si="14"/>
        <v>1860692</v>
      </c>
      <c r="M470" s="785"/>
      <c r="N470" s="786">
        <v>107537</v>
      </c>
      <c r="O470" s="786">
        <v>0</v>
      </c>
      <c r="P470" s="785">
        <v>3991</v>
      </c>
      <c r="Q470" s="787">
        <f t="shared" si="15"/>
        <v>111528</v>
      </c>
      <c r="R470" s="785"/>
      <c r="S470" s="786">
        <v>1280263</v>
      </c>
      <c r="T470" s="788">
        <v>51652</v>
      </c>
      <c r="U470" s="788">
        <v>1331915</v>
      </c>
    </row>
    <row r="471" spans="1:21" x14ac:dyDescent="0.25">
      <c r="A471" s="782">
        <v>95002</v>
      </c>
      <c r="B471" s="783" t="s">
        <v>3081</v>
      </c>
      <c r="C471" s="784">
        <v>1.907E-4</v>
      </c>
      <c r="D471" s="784">
        <v>2.0120000000000001E-4</v>
      </c>
      <c r="E471" s="800">
        <v>100854</v>
      </c>
      <c r="F471" s="785">
        <v>291337</v>
      </c>
      <c r="G471" s="785"/>
      <c r="H471" s="786">
        <v>16784</v>
      </c>
      <c r="I471" s="787">
        <v>70737</v>
      </c>
      <c r="J471" s="786">
        <v>41607</v>
      </c>
      <c r="K471" s="785">
        <v>15647</v>
      </c>
      <c r="L471" s="787">
        <f t="shared" si="14"/>
        <v>144775</v>
      </c>
      <c r="M471" s="785"/>
      <c r="N471" s="786">
        <v>8247</v>
      </c>
      <c r="O471" s="786">
        <v>0</v>
      </c>
      <c r="P471" s="785">
        <v>0</v>
      </c>
      <c r="Q471" s="787">
        <f t="shared" si="15"/>
        <v>8247</v>
      </c>
      <c r="R471" s="785"/>
      <c r="S471" s="786">
        <v>98181</v>
      </c>
      <c r="T471" s="788">
        <v>6293</v>
      </c>
      <c r="U471" s="788">
        <v>104474</v>
      </c>
    </row>
    <row r="472" spans="1:21" x14ac:dyDescent="0.25">
      <c r="A472" s="782">
        <v>95005</v>
      </c>
      <c r="B472" s="783" t="s">
        <v>3082</v>
      </c>
      <c r="C472" s="784">
        <v>2.2949999999999999E-4</v>
      </c>
      <c r="D472" s="784">
        <v>2.3829999999999999E-4</v>
      </c>
      <c r="E472" s="800">
        <v>111067</v>
      </c>
      <c r="F472" s="785">
        <v>350612</v>
      </c>
      <c r="G472" s="785"/>
      <c r="H472" s="786">
        <v>20199</v>
      </c>
      <c r="I472" s="787">
        <v>85129</v>
      </c>
      <c r="J472" s="786">
        <v>50072</v>
      </c>
      <c r="K472" s="785">
        <v>13727</v>
      </c>
      <c r="L472" s="787">
        <f t="shared" si="14"/>
        <v>169127</v>
      </c>
      <c r="M472" s="785"/>
      <c r="N472" s="786">
        <v>9925</v>
      </c>
      <c r="O472" s="786">
        <v>0</v>
      </c>
      <c r="P472" s="785">
        <v>1630</v>
      </c>
      <c r="Q472" s="787">
        <f t="shared" si="15"/>
        <v>11555</v>
      </c>
      <c r="R472" s="785"/>
      <c r="S472" s="786">
        <v>118157</v>
      </c>
      <c r="T472" s="788">
        <v>9042</v>
      </c>
      <c r="U472" s="788">
        <v>127199</v>
      </c>
    </row>
    <row r="473" spans="1:21" x14ac:dyDescent="0.25">
      <c r="A473" s="782">
        <v>95008</v>
      </c>
      <c r="B473" s="783" t="s">
        <v>3083</v>
      </c>
      <c r="C473" s="784">
        <v>1.1519999999999999E-4</v>
      </c>
      <c r="D473" s="784">
        <v>1.169E-4</v>
      </c>
      <c r="E473" s="800">
        <v>62834</v>
      </c>
      <c r="F473" s="785">
        <v>175994</v>
      </c>
      <c r="G473" s="785"/>
      <c r="H473" s="786">
        <v>10139</v>
      </c>
      <c r="I473" s="787">
        <v>42731</v>
      </c>
      <c r="J473" s="786">
        <v>25134</v>
      </c>
      <c r="K473" s="785">
        <v>19189</v>
      </c>
      <c r="L473" s="787">
        <f t="shared" si="14"/>
        <v>97193</v>
      </c>
      <c r="M473" s="785"/>
      <c r="N473" s="786">
        <v>4982</v>
      </c>
      <c r="O473" s="786">
        <v>0</v>
      </c>
      <c r="P473" s="785">
        <v>6239</v>
      </c>
      <c r="Q473" s="787">
        <f t="shared" si="15"/>
        <v>11221</v>
      </c>
      <c r="R473" s="785"/>
      <c r="S473" s="786">
        <v>59310</v>
      </c>
      <c r="T473" s="788">
        <v>9098</v>
      </c>
      <c r="U473" s="788">
        <v>68408</v>
      </c>
    </row>
    <row r="474" spans="1:21" x14ac:dyDescent="0.25">
      <c r="A474" s="782">
        <v>95009</v>
      </c>
      <c r="B474" s="783" t="s">
        <v>3671</v>
      </c>
      <c r="C474" s="784">
        <v>4.2208999999999997E-3</v>
      </c>
      <c r="D474" s="784">
        <v>3.9902000000000002E-3</v>
      </c>
      <c r="E474" s="800">
        <v>1917856</v>
      </c>
      <c r="F474" s="785">
        <v>6448366</v>
      </c>
      <c r="G474" s="785"/>
      <c r="H474" s="786">
        <v>371486</v>
      </c>
      <c r="I474" s="787">
        <v>1565671</v>
      </c>
      <c r="J474" s="786">
        <v>920916</v>
      </c>
      <c r="K474" s="785">
        <v>897451</v>
      </c>
      <c r="L474" s="787">
        <f t="shared" si="14"/>
        <v>3755524</v>
      </c>
      <c r="M474" s="785"/>
      <c r="N474" s="786">
        <v>182533</v>
      </c>
      <c r="O474" s="786">
        <v>0</v>
      </c>
      <c r="P474" s="785">
        <v>0</v>
      </c>
      <c r="Q474" s="787">
        <f t="shared" si="15"/>
        <v>182533</v>
      </c>
      <c r="R474" s="785"/>
      <c r="S474" s="786">
        <v>2173105</v>
      </c>
      <c r="T474" s="788">
        <v>582135</v>
      </c>
      <c r="U474" s="788">
        <v>2755240</v>
      </c>
    </row>
    <row r="475" spans="1:21" x14ac:dyDescent="0.25">
      <c r="A475" s="782">
        <v>95011</v>
      </c>
      <c r="B475" s="783" t="s">
        <v>3085</v>
      </c>
      <c r="C475" s="784">
        <v>1.8000000000000001E-4</v>
      </c>
      <c r="D475" s="784">
        <v>1.707E-4</v>
      </c>
      <c r="E475" s="800">
        <v>78934</v>
      </c>
      <c r="F475" s="785">
        <v>274990</v>
      </c>
      <c r="G475" s="785"/>
      <c r="H475" s="786">
        <v>15842</v>
      </c>
      <c r="I475" s="787">
        <v>66768</v>
      </c>
      <c r="J475" s="786">
        <v>39272</v>
      </c>
      <c r="K475" s="785">
        <v>3275</v>
      </c>
      <c r="L475" s="787">
        <f t="shared" si="14"/>
        <v>125157</v>
      </c>
      <c r="M475" s="785"/>
      <c r="N475" s="786">
        <v>7784</v>
      </c>
      <c r="O475" s="786">
        <v>0</v>
      </c>
      <c r="P475" s="785">
        <v>8909</v>
      </c>
      <c r="Q475" s="787">
        <f t="shared" si="15"/>
        <v>16693</v>
      </c>
      <c r="R475" s="785"/>
      <c r="S475" s="786">
        <v>92672</v>
      </c>
      <c r="T475" s="788">
        <v>-3840</v>
      </c>
      <c r="U475" s="788">
        <v>88832</v>
      </c>
    </row>
    <row r="476" spans="1:21" x14ac:dyDescent="0.25">
      <c r="A476" s="782">
        <v>95017</v>
      </c>
      <c r="B476" s="783" t="s">
        <v>3086</v>
      </c>
      <c r="C476" s="784">
        <v>3.8800000000000001E-5</v>
      </c>
      <c r="D476" s="784">
        <v>3.5800000000000003E-5</v>
      </c>
      <c r="E476" s="800">
        <v>15330</v>
      </c>
      <c r="F476" s="785">
        <v>59276</v>
      </c>
      <c r="G476" s="785"/>
      <c r="H476" s="786">
        <v>3415</v>
      </c>
      <c r="I476" s="787">
        <v>14392</v>
      </c>
      <c r="J476" s="786">
        <v>8465</v>
      </c>
      <c r="K476" s="785">
        <v>13339</v>
      </c>
      <c r="L476" s="787">
        <f t="shared" si="14"/>
        <v>39611</v>
      </c>
      <c r="M476" s="785"/>
      <c r="N476" s="786">
        <v>1678</v>
      </c>
      <c r="O476" s="786">
        <v>0</v>
      </c>
      <c r="P476" s="785">
        <v>0</v>
      </c>
      <c r="Q476" s="787">
        <f t="shared" si="15"/>
        <v>1678</v>
      </c>
      <c r="R476" s="785"/>
      <c r="S476" s="786">
        <v>19976</v>
      </c>
      <c r="T476" s="788">
        <v>7635</v>
      </c>
      <c r="U476" s="788">
        <v>27611</v>
      </c>
    </row>
    <row r="477" spans="1:21" x14ac:dyDescent="0.25">
      <c r="A477" s="782">
        <v>95101</v>
      </c>
      <c r="B477" s="783" t="s">
        <v>3087</v>
      </c>
      <c r="C477" s="784">
        <v>8.3750999999999999E-3</v>
      </c>
      <c r="D477" s="784">
        <v>8.0955999999999997E-3</v>
      </c>
      <c r="E477" s="800">
        <v>3555097</v>
      </c>
      <c r="F477" s="785">
        <v>12794833</v>
      </c>
      <c r="G477" s="785"/>
      <c r="H477" s="786">
        <v>737101</v>
      </c>
      <c r="I477" s="787">
        <v>3106601</v>
      </c>
      <c r="J477" s="786">
        <v>1827279</v>
      </c>
      <c r="K477" s="785">
        <v>39562</v>
      </c>
      <c r="L477" s="787">
        <f t="shared" si="14"/>
        <v>5710543</v>
      </c>
      <c r="M477" s="785"/>
      <c r="N477" s="786">
        <v>362181</v>
      </c>
      <c r="O477" s="786">
        <v>0</v>
      </c>
      <c r="P477" s="785">
        <v>114122</v>
      </c>
      <c r="Q477" s="787">
        <f t="shared" si="15"/>
        <v>476303</v>
      </c>
      <c r="R477" s="785"/>
      <c r="S477" s="786">
        <v>4311870</v>
      </c>
      <c r="T477" s="788">
        <v>1978</v>
      </c>
      <c r="U477" s="788">
        <v>4313848</v>
      </c>
    </row>
    <row r="478" spans="1:21" x14ac:dyDescent="0.25">
      <c r="A478" s="782">
        <v>95103</v>
      </c>
      <c r="B478" s="783" t="s">
        <v>3088</v>
      </c>
      <c r="C478" s="784">
        <v>4.9100000000000001E-5</v>
      </c>
      <c r="D478" s="784">
        <v>6.02E-5</v>
      </c>
      <c r="E478" s="800">
        <v>33036</v>
      </c>
      <c r="F478" s="785">
        <v>75011</v>
      </c>
      <c r="G478" s="785"/>
      <c r="H478" s="786">
        <v>4321</v>
      </c>
      <c r="I478" s="787">
        <v>18213</v>
      </c>
      <c r="J478" s="786">
        <v>10713</v>
      </c>
      <c r="K478" s="785">
        <v>24203</v>
      </c>
      <c r="L478" s="787">
        <f t="shared" si="14"/>
        <v>57450</v>
      </c>
      <c r="M478" s="785"/>
      <c r="N478" s="786">
        <v>2123</v>
      </c>
      <c r="O478" s="786">
        <v>0</v>
      </c>
      <c r="P478" s="785">
        <v>0</v>
      </c>
      <c r="Q478" s="787">
        <f t="shared" si="15"/>
        <v>2123</v>
      </c>
      <c r="R478" s="785"/>
      <c r="S478" s="786">
        <v>25279</v>
      </c>
      <c r="T478" s="788">
        <v>18053</v>
      </c>
      <c r="U478" s="788">
        <v>43332</v>
      </c>
    </row>
    <row r="479" spans="1:21" x14ac:dyDescent="0.25">
      <c r="A479" s="782">
        <v>95104</v>
      </c>
      <c r="B479" s="783" t="s">
        <v>3089</v>
      </c>
      <c r="C479" s="784">
        <v>1.02E-4</v>
      </c>
      <c r="D479" s="784">
        <v>1.011E-4</v>
      </c>
      <c r="E479" s="800">
        <v>55856</v>
      </c>
      <c r="F479" s="785">
        <v>155828</v>
      </c>
      <c r="G479" s="785"/>
      <c r="H479" s="786">
        <v>8977</v>
      </c>
      <c r="I479" s="787">
        <v>37835</v>
      </c>
      <c r="J479" s="786">
        <v>22254</v>
      </c>
      <c r="K479" s="785">
        <v>19729</v>
      </c>
      <c r="L479" s="787">
        <f t="shared" si="14"/>
        <v>88795</v>
      </c>
      <c r="M479" s="785"/>
      <c r="N479" s="786">
        <v>4411</v>
      </c>
      <c r="O479" s="786">
        <v>0</v>
      </c>
      <c r="P479" s="785">
        <v>0</v>
      </c>
      <c r="Q479" s="787">
        <f t="shared" si="15"/>
        <v>4411</v>
      </c>
      <c r="R479" s="785"/>
      <c r="S479" s="786">
        <v>52514</v>
      </c>
      <c r="T479" s="788">
        <v>8399</v>
      </c>
      <c r="U479" s="788">
        <v>60913</v>
      </c>
    </row>
    <row r="480" spans="1:21" x14ac:dyDescent="0.25">
      <c r="A480" s="782">
        <v>95105</v>
      </c>
      <c r="B480" s="783" t="s">
        <v>3090</v>
      </c>
      <c r="C480" s="784">
        <v>6.1099999999999994E-5</v>
      </c>
      <c r="D480" s="784">
        <v>6.3700000000000003E-5</v>
      </c>
      <c r="E480" s="800">
        <v>33363</v>
      </c>
      <c r="F480" s="785">
        <v>93344</v>
      </c>
      <c r="G480" s="785"/>
      <c r="H480" s="786">
        <v>5377</v>
      </c>
      <c r="I480" s="787">
        <v>22664</v>
      </c>
      <c r="J480" s="786">
        <v>13331</v>
      </c>
      <c r="K480" s="785">
        <v>8129</v>
      </c>
      <c r="L480" s="787">
        <f t="shared" si="14"/>
        <v>49501</v>
      </c>
      <c r="M480" s="785"/>
      <c r="N480" s="786">
        <v>2642</v>
      </c>
      <c r="O480" s="786">
        <v>0</v>
      </c>
      <c r="P480" s="785">
        <v>0</v>
      </c>
      <c r="Q480" s="787">
        <f t="shared" si="15"/>
        <v>2642</v>
      </c>
      <c r="R480" s="785"/>
      <c r="S480" s="786">
        <v>31457</v>
      </c>
      <c r="T480" s="788">
        <v>4018</v>
      </c>
      <c r="U480" s="788">
        <v>35475</v>
      </c>
    </row>
    <row r="481" spans="1:21" x14ac:dyDescent="0.25">
      <c r="A481" s="782">
        <v>95106</v>
      </c>
      <c r="B481" s="783" t="s">
        <v>3091</v>
      </c>
      <c r="C481" s="784">
        <v>1.2099999999999999E-5</v>
      </c>
      <c r="D481" s="784">
        <v>1.3900000000000001E-5</v>
      </c>
      <c r="E481" s="800">
        <v>5272</v>
      </c>
      <c r="F481" s="785">
        <v>18485</v>
      </c>
      <c r="G481" s="785"/>
      <c r="H481" s="786">
        <v>1065</v>
      </c>
      <c r="I481" s="787">
        <v>4488</v>
      </c>
      <c r="J481" s="786">
        <v>2640</v>
      </c>
      <c r="K481" s="785">
        <v>4918</v>
      </c>
      <c r="L481" s="787">
        <f t="shared" si="14"/>
        <v>13111</v>
      </c>
      <c r="M481" s="785"/>
      <c r="N481" s="786">
        <v>523</v>
      </c>
      <c r="O481" s="786">
        <v>0</v>
      </c>
      <c r="P481" s="785">
        <v>1433</v>
      </c>
      <c r="Q481" s="787">
        <f t="shared" si="15"/>
        <v>1956</v>
      </c>
      <c r="R481" s="785"/>
      <c r="S481" s="786">
        <v>6230</v>
      </c>
      <c r="T481" s="788">
        <v>2234</v>
      </c>
      <c r="U481" s="788">
        <v>8464</v>
      </c>
    </row>
    <row r="482" spans="1:21" x14ac:dyDescent="0.25">
      <c r="A482" s="782">
        <v>95110</v>
      </c>
      <c r="B482" s="783" t="s">
        <v>3092</v>
      </c>
      <c r="C482" s="784">
        <v>4.2902000000000001E-3</v>
      </c>
      <c r="D482" s="784">
        <v>4.4609000000000003E-3</v>
      </c>
      <c r="E482" s="800">
        <v>1965505</v>
      </c>
      <c r="F482" s="785">
        <v>6554237</v>
      </c>
      <c r="G482" s="785"/>
      <c r="H482" s="786">
        <v>377585</v>
      </c>
      <c r="I482" s="787">
        <v>1591377</v>
      </c>
      <c r="J482" s="786">
        <v>936036</v>
      </c>
      <c r="K482" s="785">
        <v>0</v>
      </c>
      <c r="L482" s="787">
        <f t="shared" si="14"/>
        <v>2904998</v>
      </c>
      <c r="M482" s="785"/>
      <c r="N482" s="786">
        <v>185530</v>
      </c>
      <c r="O482" s="786">
        <v>0</v>
      </c>
      <c r="P482" s="785">
        <v>1097124</v>
      </c>
      <c r="Q482" s="787">
        <f t="shared" si="15"/>
        <v>1282654</v>
      </c>
      <c r="R482" s="785"/>
      <c r="S482" s="786">
        <v>2208784</v>
      </c>
      <c r="T482" s="788">
        <v>-636198</v>
      </c>
      <c r="U482" s="788">
        <v>1572586</v>
      </c>
    </row>
    <row r="483" spans="1:21" x14ac:dyDescent="0.25">
      <c r="A483" s="782">
        <v>95111</v>
      </c>
      <c r="B483" s="783" t="s">
        <v>3093</v>
      </c>
      <c r="C483" s="784">
        <v>1.0778999999999999E-3</v>
      </c>
      <c r="D483" s="784">
        <v>1.0709000000000001E-3</v>
      </c>
      <c r="E483" s="800">
        <v>470003</v>
      </c>
      <c r="F483" s="785">
        <v>1646733</v>
      </c>
      <c r="G483" s="785"/>
      <c r="H483" s="786">
        <v>94867</v>
      </c>
      <c r="I483" s="787">
        <v>399829</v>
      </c>
      <c r="J483" s="786">
        <v>235176</v>
      </c>
      <c r="K483" s="785">
        <v>0</v>
      </c>
      <c r="L483" s="787">
        <f t="shared" si="14"/>
        <v>729872</v>
      </c>
      <c r="M483" s="785"/>
      <c r="N483" s="786">
        <v>46614</v>
      </c>
      <c r="O483" s="786">
        <v>0</v>
      </c>
      <c r="P483" s="785">
        <v>120462</v>
      </c>
      <c r="Q483" s="787">
        <f t="shared" si="15"/>
        <v>167076</v>
      </c>
      <c r="R483" s="785"/>
      <c r="S483" s="786">
        <v>554950</v>
      </c>
      <c r="T483" s="788">
        <v>-59518</v>
      </c>
      <c r="U483" s="788">
        <v>495432</v>
      </c>
    </row>
    <row r="484" spans="1:21" x14ac:dyDescent="0.25">
      <c r="A484" s="782">
        <v>95113</v>
      </c>
      <c r="B484" s="783" t="s">
        <v>3094</v>
      </c>
      <c r="C484" s="784">
        <v>4.6699999999999997E-5</v>
      </c>
      <c r="D484" s="784">
        <v>4.7500000000000003E-5</v>
      </c>
      <c r="E484" s="800">
        <v>66187</v>
      </c>
      <c r="F484" s="785">
        <v>71345</v>
      </c>
      <c r="G484" s="785"/>
      <c r="H484" s="786">
        <v>4110</v>
      </c>
      <c r="I484" s="787">
        <v>17322</v>
      </c>
      <c r="J484" s="786">
        <v>10189</v>
      </c>
      <c r="K484" s="785">
        <v>82563</v>
      </c>
      <c r="L484" s="787">
        <f t="shared" si="14"/>
        <v>114184</v>
      </c>
      <c r="M484" s="785"/>
      <c r="N484" s="786">
        <v>2020</v>
      </c>
      <c r="O484" s="786">
        <v>0</v>
      </c>
      <c r="P484" s="785">
        <v>0</v>
      </c>
      <c r="Q484" s="787">
        <f t="shared" si="15"/>
        <v>2020</v>
      </c>
      <c r="R484" s="785"/>
      <c r="S484" s="786">
        <v>24043</v>
      </c>
      <c r="T484" s="788">
        <v>31359</v>
      </c>
      <c r="U484" s="788">
        <v>55402</v>
      </c>
    </row>
    <row r="485" spans="1:21" x14ac:dyDescent="0.25">
      <c r="A485" s="782">
        <v>95121</v>
      </c>
      <c r="B485" s="783" t="s">
        <v>3095</v>
      </c>
      <c r="C485" s="784">
        <v>4.9770000000000001E-4</v>
      </c>
      <c r="D485" s="784">
        <v>4.9580000000000002E-4</v>
      </c>
      <c r="E485" s="800">
        <v>224754</v>
      </c>
      <c r="F485" s="785">
        <v>760348</v>
      </c>
      <c r="G485" s="785"/>
      <c r="H485" s="786">
        <v>43803</v>
      </c>
      <c r="I485" s="787">
        <v>184613</v>
      </c>
      <c r="J485" s="786">
        <v>108588</v>
      </c>
      <c r="K485" s="785">
        <v>12640</v>
      </c>
      <c r="L485" s="787">
        <f t="shared" si="14"/>
        <v>349644</v>
      </c>
      <c r="M485" s="785"/>
      <c r="N485" s="786">
        <v>21523</v>
      </c>
      <c r="O485" s="786">
        <v>0</v>
      </c>
      <c r="P485" s="785">
        <v>14371</v>
      </c>
      <c r="Q485" s="787">
        <f t="shared" si="15"/>
        <v>35894</v>
      </c>
      <c r="R485" s="785"/>
      <c r="S485" s="786">
        <v>256238</v>
      </c>
      <c r="T485" s="788">
        <v>-7628</v>
      </c>
      <c r="U485" s="788">
        <v>248610</v>
      </c>
    </row>
    <row r="486" spans="1:21" x14ac:dyDescent="0.25">
      <c r="A486" s="782">
        <v>95122</v>
      </c>
      <c r="B486" s="783" t="s">
        <v>3096</v>
      </c>
      <c r="C486" s="784">
        <v>6.4999999999999996E-6</v>
      </c>
      <c r="D486" s="784">
        <v>2.7999999999999999E-6</v>
      </c>
      <c r="E486" s="800">
        <v>3103</v>
      </c>
      <c r="F486" s="785">
        <v>9930</v>
      </c>
      <c r="G486" s="785"/>
      <c r="H486" s="786">
        <v>572</v>
      </c>
      <c r="I486" s="787">
        <v>2411</v>
      </c>
      <c r="J486" s="786">
        <v>1418</v>
      </c>
      <c r="K486" s="785">
        <v>3675</v>
      </c>
      <c r="L486" s="787">
        <f t="shared" si="14"/>
        <v>8076</v>
      </c>
      <c r="M486" s="785"/>
      <c r="N486" s="786">
        <v>281</v>
      </c>
      <c r="O486" s="786">
        <v>0</v>
      </c>
      <c r="P486" s="785">
        <v>0</v>
      </c>
      <c r="Q486" s="787">
        <f t="shared" si="15"/>
        <v>281</v>
      </c>
      <c r="R486" s="785"/>
      <c r="S486" s="786">
        <v>3346</v>
      </c>
      <c r="T486" s="788">
        <v>1103</v>
      </c>
      <c r="U486" s="788">
        <v>4449</v>
      </c>
    </row>
    <row r="487" spans="1:21" x14ac:dyDescent="0.25">
      <c r="A487" s="782">
        <v>95123</v>
      </c>
      <c r="B487" s="783" t="s">
        <v>3097</v>
      </c>
      <c r="C487" s="784">
        <v>5.7399999999999999E-5</v>
      </c>
      <c r="D487" s="784">
        <v>5.6700000000000003E-5</v>
      </c>
      <c r="E487" s="800">
        <v>29191</v>
      </c>
      <c r="F487" s="785">
        <v>87691</v>
      </c>
      <c r="G487" s="785"/>
      <c r="H487" s="786">
        <v>5052</v>
      </c>
      <c r="I487" s="787">
        <v>21291</v>
      </c>
      <c r="J487" s="786">
        <v>12524</v>
      </c>
      <c r="K487" s="785">
        <v>8811</v>
      </c>
      <c r="L487" s="787">
        <f t="shared" si="14"/>
        <v>47678</v>
      </c>
      <c r="M487" s="785"/>
      <c r="N487" s="786">
        <v>2482</v>
      </c>
      <c r="O487" s="786">
        <v>0</v>
      </c>
      <c r="P487" s="785">
        <v>1459</v>
      </c>
      <c r="Q487" s="787">
        <f t="shared" si="15"/>
        <v>3941</v>
      </c>
      <c r="R487" s="785"/>
      <c r="S487" s="786">
        <v>29552</v>
      </c>
      <c r="T487" s="788">
        <v>1830</v>
      </c>
      <c r="U487" s="788">
        <v>31382</v>
      </c>
    </row>
    <row r="488" spans="1:21" x14ac:dyDescent="0.25">
      <c r="A488" s="782">
        <v>95131</v>
      </c>
      <c r="B488" s="783" t="s">
        <v>3098</v>
      </c>
      <c r="C488" s="784">
        <v>1.6682999999999999E-3</v>
      </c>
      <c r="D488" s="784">
        <v>1.5451E-3</v>
      </c>
      <c r="E488" s="800">
        <v>749707</v>
      </c>
      <c r="F488" s="785">
        <v>2548700</v>
      </c>
      <c r="G488" s="785"/>
      <c r="H488" s="786">
        <v>146829</v>
      </c>
      <c r="I488" s="787">
        <v>618827</v>
      </c>
      <c r="J488" s="786">
        <v>363990</v>
      </c>
      <c r="K488" s="785">
        <v>105945</v>
      </c>
      <c r="L488" s="787">
        <f t="shared" si="14"/>
        <v>1235591</v>
      </c>
      <c r="M488" s="785"/>
      <c r="N488" s="786">
        <v>72146</v>
      </c>
      <c r="O488" s="786">
        <v>0</v>
      </c>
      <c r="P488" s="785">
        <v>846</v>
      </c>
      <c r="Q488" s="787">
        <f t="shared" si="15"/>
        <v>72992</v>
      </c>
      <c r="R488" s="785"/>
      <c r="S488" s="786">
        <v>858914</v>
      </c>
      <c r="T488" s="788">
        <v>33842</v>
      </c>
      <c r="U488" s="788">
        <v>892756</v>
      </c>
    </row>
    <row r="489" spans="1:21" x14ac:dyDescent="0.25">
      <c r="A489" s="782">
        <v>95141</v>
      </c>
      <c r="B489" s="783" t="s">
        <v>3099</v>
      </c>
      <c r="C489" s="784">
        <v>3.2220000000000003E-4</v>
      </c>
      <c r="D489" s="784">
        <v>3.1819999999999998E-4</v>
      </c>
      <c r="E489" s="800">
        <v>131053</v>
      </c>
      <c r="F489" s="785">
        <v>492232</v>
      </c>
      <c r="G489" s="785"/>
      <c r="H489" s="786">
        <v>28357</v>
      </c>
      <c r="I489" s="787">
        <v>119515</v>
      </c>
      <c r="J489" s="786">
        <v>70298</v>
      </c>
      <c r="K489" s="785">
        <v>1251</v>
      </c>
      <c r="L489" s="787">
        <f t="shared" si="14"/>
        <v>219421</v>
      </c>
      <c r="M489" s="785"/>
      <c r="N489" s="786">
        <v>13934</v>
      </c>
      <c r="O489" s="786">
        <v>0</v>
      </c>
      <c r="P489" s="785">
        <v>29129</v>
      </c>
      <c r="Q489" s="787">
        <f t="shared" si="15"/>
        <v>43063</v>
      </c>
      <c r="R489" s="785"/>
      <c r="S489" s="786">
        <v>165883</v>
      </c>
      <c r="T489" s="788">
        <v>-11233</v>
      </c>
      <c r="U489" s="788">
        <v>154650</v>
      </c>
    </row>
    <row r="490" spans="1:21" x14ac:dyDescent="0.25">
      <c r="A490" s="782">
        <v>95151</v>
      </c>
      <c r="B490" s="783" t="s">
        <v>3100</v>
      </c>
      <c r="C490" s="784">
        <v>1.092E-4</v>
      </c>
      <c r="D490" s="784">
        <v>1.158E-4</v>
      </c>
      <c r="E490" s="800">
        <v>46663</v>
      </c>
      <c r="F490" s="785">
        <v>166827</v>
      </c>
      <c r="G490" s="785"/>
      <c r="H490" s="786">
        <v>9611</v>
      </c>
      <c r="I490" s="787">
        <v>40506</v>
      </c>
      <c r="J490" s="786">
        <v>23825</v>
      </c>
      <c r="K490" s="785">
        <v>364</v>
      </c>
      <c r="L490" s="787">
        <f t="shared" si="14"/>
        <v>74306</v>
      </c>
      <c r="M490" s="785"/>
      <c r="N490" s="786">
        <v>4722</v>
      </c>
      <c r="O490" s="786">
        <v>0</v>
      </c>
      <c r="P490" s="785">
        <v>10802</v>
      </c>
      <c r="Q490" s="787">
        <f t="shared" si="15"/>
        <v>15524</v>
      </c>
      <c r="R490" s="785"/>
      <c r="S490" s="786">
        <v>56221</v>
      </c>
      <c r="T490" s="788">
        <v>-3332</v>
      </c>
      <c r="U490" s="788">
        <v>52889</v>
      </c>
    </row>
    <row r="491" spans="1:21" x14ac:dyDescent="0.25">
      <c r="A491" s="782">
        <v>95161</v>
      </c>
      <c r="B491" s="783" t="s">
        <v>3101</v>
      </c>
      <c r="C491" s="784">
        <v>6.8100000000000002E-5</v>
      </c>
      <c r="D491" s="784">
        <v>7.4800000000000002E-5</v>
      </c>
      <c r="E491" s="800">
        <v>38087</v>
      </c>
      <c r="F491" s="785">
        <v>104038</v>
      </c>
      <c r="G491" s="785"/>
      <c r="H491" s="786">
        <v>5994</v>
      </c>
      <c r="I491" s="787">
        <v>25261</v>
      </c>
      <c r="J491" s="786">
        <v>14858</v>
      </c>
      <c r="K491" s="785">
        <v>5468</v>
      </c>
      <c r="L491" s="787">
        <f t="shared" si="14"/>
        <v>51581</v>
      </c>
      <c r="M491" s="785"/>
      <c r="N491" s="786">
        <v>2945</v>
      </c>
      <c r="O491" s="786">
        <v>0</v>
      </c>
      <c r="P491" s="785">
        <v>1353</v>
      </c>
      <c r="Q491" s="787">
        <f t="shared" si="15"/>
        <v>4298</v>
      </c>
      <c r="R491" s="785"/>
      <c r="S491" s="786">
        <v>35061</v>
      </c>
      <c r="T491" s="788">
        <v>1287</v>
      </c>
      <c r="U491" s="788">
        <v>36348</v>
      </c>
    </row>
    <row r="492" spans="1:21" x14ac:dyDescent="0.25">
      <c r="A492" s="782">
        <v>95171</v>
      </c>
      <c r="B492" s="783" t="s">
        <v>3102</v>
      </c>
      <c r="C492" s="784">
        <v>1.0459999999999999E-4</v>
      </c>
      <c r="D492" s="784">
        <v>1.2300000000000001E-4</v>
      </c>
      <c r="E492" s="800">
        <v>53917</v>
      </c>
      <c r="F492" s="785">
        <v>159800</v>
      </c>
      <c r="G492" s="785"/>
      <c r="H492" s="786">
        <v>9206</v>
      </c>
      <c r="I492" s="787">
        <v>38799</v>
      </c>
      <c r="J492" s="786">
        <v>22822</v>
      </c>
      <c r="K492" s="785">
        <v>6705</v>
      </c>
      <c r="L492" s="787">
        <f t="shared" si="14"/>
        <v>77532</v>
      </c>
      <c r="M492" s="785"/>
      <c r="N492" s="786">
        <v>4523</v>
      </c>
      <c r="O492" s="786">
        <v>0</v>
      </c>
      <c r="P492" s="785">
        <v>14987</v>
      </c>
      <c r="Q492" s="787">
        <f t="shared" si="15"/>
        <v>19510</v>
      </c>
      <c r="R492" s="785"/>
      <c r="S492" s="786">
        <v>53853</v>
      </c>
      <c r="T492" s="788">
        <v>-3646</v>
      </c>
      <c r="U492" s="788">
        <v>50207</v>
      </c>
    </row>
    <row r="493" spans="1:21" x14ac:dyDescent="0.25">
      <c r="A493" s="782">
        <v>95181</v>
      </c>
      <c r="B493" s="783" t="s">
        <v>3103</v>
      </c>
      <c r="C493" s="784">
        <v>7.7100000000000004E-5</v>
      </c>
      <c r="D493" s="784">
        <v>7.7899999999999996E-5</v>
      </c>
      <c r="E493" s="800">
        <v>30099</v>
      </c>
      <c r="F493" s="785">
        <v>117787</v>
      </c>
      <c r="G493" s="785"/>
      <c r="H493" s="786">
        <v>6786</v>
      </c>
      <c r="I493" s="787">
        <v>28599</v>
      </c>
      <c r="J493" s="786">
        <v>16822</v>
      </c>
      <c r="K493" s="785">
        <v>1069</v>
      </c>
      <c r="L493" s="787">
        <f t="shared" si="14"/>
        <v>53276</v>
      </c>
      <c r="M493" s="785"/>
      <c r="N493" s="786">
        <v>3334</v>
      </c>
      <c r="O493" s="786">
        <v>0</v>
      </c>
      <c r="P493" s="785">
        <v>9474</v>
      </c>
      <c r="Q493" s="787">
        <f t="shared" si="15"/>
        <v>12808</v>
      </c>
      <c r="R493" s="785"/>
      <c r="S493" s="786">
        <v>39694</v>
      </c>
      <c r="T493" s="788">
        <v>-2444</v>
      </c>
      <c r="U493" s="788">
        <v>37250</v>
      </c>
    </row>
    <row r="494" spans="1:21" x14ac:dyDescent="0.25">
      <c r="A494" s="782">
        <v>95191</v>
      </c>
      <c r="B494" s="783" t="s">
        <v>3104</v>
      </c>
      <c r="C494" s="784">
        <v>5.3999999999999998E-5</v>
      </c>
      <c r="D494" s="784">
        <v>5.3999999999999998E-5</v>
      </c>
      <c r="E494" s="800">
        <v>31311</v>
      </c>
      <c r="F494" s="785">
        <v>82497</v>
      </c>
      <c r="G494" s="785"/>
      <c r="H494" s="786">
        <v>4753</v>
      </c>
      <c r="I494" s="787">
        <v>20031</v>
      </c>
      <c r="J494" s="786">
        <v>11782</v>
      </c>
      <c r="K494" s="785">
        <v>12522</v>
      </c>
      <c r="L494" s="787">
        <f t="shared" si="14"/>
        <v>49088</v>
      </c>
      <c r="M494" s="785"/>
      <c r="N494" s="786">
        <v>2335</v>
      </c>
      <c r="O494" s="786">
        <v>0</v>
      </c>
      <c r="P494" s="785">
        <v>5293</v>
      </c>
      <c r="Q494" s="787">
        <f t="shared" si="15"/>
        <v>7628</v>
      </c>
      <c r="R494" s="785"/>
      <c r="S494" s="786">
        <v>27802</v>
      </c>
      <c r="T494" s="788">
        <v>4438</v>
      </c>
      <c r="U494" s="788">
        <v>32240</v>
      </c>
    </row>
    <row r="495" spans="1:21" x14ac:dyDescent="0.25">
      <c r="A495" s="782">
        <v>95201</v>
      </c>
      <c r="B495" s="783" t="s">
        <v>3105</v>
      </c>
      <c r="C495" s="784">
        <v>7.0969999999999996E-4</v>
      </c>
      <c r="D495" s="784">
        <v>6.8329999999999997E-4</v>
      </c>
      <c r="E495" s="800">
        <v>303949</v>
      </c>
      <c r="F495" s="785">
        <v>1084225</v>
      </c>
      <c r="G495" s="785"/>
      <c r="H495" s="786">
        <v>62461</v>
      </c>
      <c r="I495" s="787">
        <v>263252</v>
      </c>
      <c r="J495" s="786">
        <v>154842</v>
      </c>
      <c r="K495" s="785">
        <v>6474</v>
      </c>
      <c r="L495" s="787">
        <f t="shared" si="14"/>
        <v>487029</v>
      </c>
      <c r="M495" s="785"/>
      <c r="N495" s="786">
        <v>30691</v>
      </c>
      <c r="O495" s="786">
        <v>0</v>
      </c>
      <c r="P495" s="785">
        <v>21158</v>
      </c>
      <c r="Q495" s="787">
        <f t="shared" si="15"/>
        <v>51849</v>
      </c>
      <c r="R495" s="785"/>
      <c r="S495" s="786">
        <v>365385</v>
      </c>
      <c r="T495" s="788">
        <v>-9663</v>
      </c>
      <c r="U495" s="788">
        <v>355722</v>
      </c>
    </row>
    <row r="496" spans="1:21" x14ac:dyDescent="0.25">
      <c r="A496" s="782">
        <v>95204</v>
      </c>
      <c r="B496" s="783" t="s">
        <v>3106</v>
      </c>
      <c r="C496" s="784">
        <v>1.26E-5</v>
      </c>
      <c r="D496" s="784">
        <v>1.1600000000000001E-5</v>
      </c>
      <c r="E496" s="800">
        <v>7226</v>
      </c>
      <c r="F496" s="785">
        <v>19249</v>
      </c>
      <c r="G496" s="785"/>
      <c r="H496" s="786">
        <v>1109</v>
      </c>
      <c r="I496" s="787">
        <v>4674</v>
      </c>
      <c r="J496" s="786">
        <v>2749</v>
      </c>
      <c r="K496" s="785">
        <v>1824</v>
      </c>
      <c r="L496" s="787">
        <f t="shared" si="14"/>
        <v>10356</v>
      </c>
      <c r="M496" s="785"/>
      <c r="N496" s="786">
        <v>545</v>
      </c>
      <c r="O496" s="786">
        <v>0</v>
      </c>
      <c r="P496" s="785">
        <v>1143</v>
      </c>
      <c r="Q496" s="787">
        <f t="shared" si="15"/>
        <v>1688</v>
      </c>
      <c r="R496" s="785"/>
      <c r="S496" s="786">
        <v>6487</v>
      </c>
      <c r="T496" s="788">
        <v>-195</v>
      </c>
      <c r="U496" s="788">
        <v>6292</v>
      </c>
    </row>
    <row r="497" spans="1:21" x14ac:dyDescent="0.25">
      <c r="A497" s="782">
        <v>95205</v>
      </c>
      <c r="B497" s="783" t="s">
        <v>3107</v>
      </c>
      <c r="C497" s="784">
        <v>4.5000000000000001E-6</v>
      </c>
      <c r="D497" s="784">
        <v>4.7999999999999998E-6</v>
      </c>
      <c r="E497" s="800">
        <v>2455</v>
      </c>
      <c r="F497" s="785">
        <v>6875</v>
      </c>
      <c r="G497" s="785"/>
      <c r="H497" s="786">
        <v>396</v>
      </c>
      <c r="I497" s="787">
        <v>1669</v>
      </c>
      <c r="J497" s="786">
        <v>982</v>
      </c>
      <c r="K497" s="785">
        <v>605</v>
      </c>
      <c r="L497" s="787">
        <f t="shared" si="14"/>
        <v>3652</v>
      </c>
      <c r="M497" s="785"/>
      <c r="N497" s="786">
        <v>195</v>
      </c>
      <c r="O497" s="786">
        <v>0</v>
      </c>
      <c r="P497" s="785">
        <v>0</v>
      </c>
      <c r="Q497" s="787">
        <f t="shared" si="15"/>
        <v>195</v>
      </c>
      <c r="R497" s="785"/>
      <c r="S497" s="786">
        <v>2317</v>
      </c>
      <c r="T497" s="788">
        <v>311</v>
      </c>
      <c r="U497" s="788">
        <v>2628</v>
      </c>
    </row>
    <row r="498" spans="1:21" x14ac:dyDescent="0.25">
      <c r="A498" s="782">
        <v>95211</v>
      </c>
      <c r="B498" s="783" t="s">
        <v>3108</v>
      </c>
      <c r="C498" s="784">
        <v>8.3999999999999992E-6</v>
      </c>
      <c r="D498" s="784">
        <v>9.2E-6</v>
      </c>
      <c r="E498" s="800">
        <v>4222</v>
      </c>
      <c r="F498" s="785">
        <v>12833</v>
      </c>
      <c r="G498" s="785"/>
      <c r="H498" s="786">
        <v>739</v>
      </c>
      <c r="I498" s="787">
        <v>3115</v>
      </c>
      <c r="J498" s="786">
        <v>1833</v>
      </c>
      <c r="K498" s="785">
        <v>1455</v>
      </c>
      <c r="L498" s="787">
        <f t="shared" si="14"/>
        <v>7142</v>
      </c>
      <c r="M498" s="785"/>
      <c r="N498" s="786">
        <v>363</v>
      </c>
      <c r="O498" s="786">
        <v>0</v>
      </c>
      <c r="P498" s="785">
        <v>1231</v>
      </c>
      <c r="Q498" s="787">
        <f t="shared" si="15"/>
        <v>1594</v>
      </c>
      <c r="R498" s="785"/>
      <c r="S498" s="786">
        <v>4325</v>
      </c>
      <c r="T498" s="788">
        <v>-523</v>
      </c>
      <c r="U498" s="788">
        <v>3802</v>
      </c>
    </row>
    <row r="499" spans="1:21" x14ac:dyDescent="0.25">
      <c r="A499" s="782">
        <v>95221</v>
      </c>
      <c r="B499" s="783" t="s">
        <v>3109</v>
      </c>
      <c r="C499" s="784">
        <v>4.4100000000000001E-5</v>
      </c>
      <c r="D499" s="784">
        <v>1.6900000000000001E-5</v>
      </c>
      <c r="E499" s="800">
        <v>20361</v>
      </c>
      <c r="F499" s="785">
        <v>67373</v>
      </c>
      <c r="G499" s="785"/>
      <c r="H499" s="786">
        <v>3881</v>
      </c>
      <c r="I499" s="787">
        <v>16358</v>
      </c>
      <c r="J499" s="786">
        <v>9622</v>
      </c>
      <c r="K499" s="785">
        <v>21037</v>
      </c>
      <c r="L499" s="787">
        <f t="shared" si="14"/>
        <v>50898</v>
      </c>
      <c r="M499" s="785"/>
      <c r="N499" s="786">
        <v>1907</v>
      </c>
      <c r="O499" s="786">
        <v>0</v>
      </c>
      <c r="P499" s="785">
        <v>11299</v>
      </c>
      <c r="Q499" s="787">
        <f t="shared" si="15"/>
        <v>13206</v>
      </c>
      <c r="R499" s="785"/>
      <c r="S499" s="786">
        <v>22705</v>
      </c>
      <c r="T499" s="788">
        <v>2535</v>
      </c>
      <c r="U499" s="788">
        <v>25240</v>
      </c>
    </row>
    <row r="500" spans="1:21" x14ac:dyDescent="0.25">
      <c r="A500" s="782">
        <v>95301</v>
      </c>
      <c r="B500" s="783" t="s">
        <v>3110</v>
      </c>
      <c r="C500" s="784">
        <v>2.3917999999999999E-3</v>
      </c>
      <c r="D500" s="784">
        <v>2.4063999999999999E-3</v>
      </c>
      <c r="E500" s="800">
        <v>1141657</v>
      </c>
      <c r="F500" s="785">
        <v>3654008</v>
      </c>
      <c r="G500" s="785"/>
      <c r="H500" s="786">
        <v>210505</v>
      </c>
      <c r="I500" s="787">
        <v>887197</v>
      </c>
      <c r="J500" s="786">
        <v>521843</v>
      </c>
      <c r="K500" s="785">
        <v>73478</v>
      </c>
      <c r="L500" s="787">
        <f t="shared" si="14"/>
        <v>1693023</v>
      </c>
      <c r="M500" s="785"/>
      <c r="N500" s="786">
        <v>103433</v>
      </c>
      <c r="O500" s="786">
        <v>0</v>
      </c>
      <c r="P500" s="785">
        <v>11228</v>
      </c>
      <c r="Q500" s="787">
        <f t="shared" si="15"/>
        <v>114661</v>
      </c>
      <c r="R500" s="785"/>
      <c r="S500" s="786">
        <v>1231404</v>
      </c>
      <c r="T500" s="788">
        <v>19362</v>
      </c>
      <c r="U500" s="788">
        <f>1250765+1</f>
        <v>1250766</v>
      </c>
    </row>
    <row r="501" spans="1:21" x14ac:dyDescent="0.25">
      <c r="A501" s="782">
        <v>95311</v>
      </c>
      <c r="B501" s="783" t="s">
        <v>3111</v>
      </c>
      <c r="C501" s="784">
        <v>2.6873999999999999E-3</v>
      </c>
      <c r="D501" s="784">
        <v>2.6841999999999999E-3</v>
      </c>
      <c r="E501" s="800">
        <v>1275634</v>
      </c>
      <c r="F501" s="785">
        <v>4105603</v>
      </c>
      <c r="G501" s="785"/>
      <c r="H501" s="786">
        <v>236521</v>
      </c>
      <c r="I501" s="787">
        <v>996846</v>
      </c>
      <c r="J501" s="786">
        <v>586337</v>
      </c>
      <c r="K501" s="785">
        <v>41083</v>
      </c>
      <c r="L501" s="787">
        <f t="shared" si="14"/>
        <v>1860787</v>
      </c>
      <c r="M501" s="785"/>
      <c r="N501" s="786">
        <v>116217</v>
      </c>
      <c r="O501" s="786">
        <v>0</v>
      </c>
      <c r="P501" s="785">
        <v>117171</v>
      </c>
      <c r="Q501" s="787">
        <f t="shared" si="15"/>
        <v>233388</v>
      </c>
      <c r="R501" s="785"/>
      <c r="S501" s="786">
        <v>1383592</v>
      </c>
      <c r="T501" s="788">
        <v>-46704</v>
      </c>
      <c r="U501" s="788">
        <v>1336888</v>
      </c>
    </row>
    <row r="502" spans="1:21" x14ac:dyDescent="0.25">
      <c r="A502" s="782">
        <v>95317</v>
      </c>
      <c r="B502" s="783" t="s">
        <v>3112</v>
      </c>
      <c r="C502" s="784">
        <v>4.8900000000000003E-5</v>
      </c>
      <c r="D502" s="784">
        <v>5.1400000000000003E-5</v>
      </c>
      <c r="E502" s="800">
        <v>27511</v>
      </c>
      <c r="F502" s="785">
        <v>74706</v>
      </c>
      <c r="G502" s="785"/>
      <c r="H502" s="786">
        <v>4304</v>
      </c>
      <c r="I502" s="787">
        <v>18138</v>
      </c>
      <c r="J502" s="786">
        <v>10669</v>
      </c>
      <c r="K502" s="785">
        <v>6328</v>
      </c>
      <c r="L502" s="787">
        <f t="shared" si="14"/>
        <v>39439</v>
      </c>
      <c r="M502" s="785"/>
      <c r="N502" s="786">
        <v>2115</v>
      </c>
      <c r="O502" s="786">
        <v>0</v>
      </c>
      <c r="P502" s="785">
        <v>38</v>
      </c>
      <c r="Q502" s="787">
        <f t="shared" si="15"/>
        <v>2153</v>
      </c>
      <c r="R502" s="785"/>
      <c r="S502" s="786">
        <v>25176</v>
      </c>
      <c r="T502" s="788">
        <v>2474</v>
      </c>
      <c r="U502" s="788">
        <v>27650</v>
      </c>
    </row>
    <row r="503" spans="1:21" x14ac:dyDescent="0.25">
      <c r="A503" s="782">
        <v>95321</v>
      </c>
      <c r="B503" s="783" t="s">
        <v>3113</v>
      </c>
      <c r="C503" s="784">
        <v>4.71E-5</v>
      </c>
      <c r="D503" s="784">
        <v>5.7000000000000003E-5</v>
      </c>
      <c r="E503" s="800">
        <v>27222</v>
      </c>
      <c r="F503" s="785">
        <v>71956</v>
      </c>
      <c r="G503" s="785"/>
      <c r="H503" s="786">
        <v>4145</v>
      </c>
      <c r="I503" s="787">
        <v>17471</v>
      </c>
      <c r="J503" s="786">
        <v>10276</v>
      </c>
      <c r="K503" s="785">
        <v>3087</v>
      </c>
      <c r="L503" s="787">
        <f t="shared" si="14"/>
        <v>34979</v>
      </c>
      <c r="M503" s="785"/>
      <c r="N503" s="786">
        <v>2037</v>
      </c>
      <c r="O503" s="786">
        <v>0</v>
      </c>
      <c r="P503" s="785">
        <v>2158</v>
      </c>
      <c r="Q503" s="787">
        <f t="shared" si="15"/>
        <v>4195</v>
      </c>
      <c r="R503" s="785"/>
      <c r="S503" s="786">
        <v>24249</v>
      </c>
      <c r="T503" s="788">
        <v>1089</v>
      </c>
      <c r="U503" s="788">
        <v>25338</v>
      </c>
    </row>
    <row r="504" spans="1:21" x14ac:dyDescent="0.25">
      <c r="A504" s="782">
        <v>95401</v>
      </c>
      <c r="B504" s="783" t="s">
        <v>3114</v>
      </c>
      <c r="C504" s="784">
        <v>2.9992E-3</v>
      </c>
      <c r="D504" s="784">
        <v>2.9979999999999998E-3</v>
      </c>
      <c r="E504" s="800">
        <v>1351002</v>
      </c>
      <c r="F504" s="785">
        <v>4581947</v>
      </c>
      <c r="G504" s="785"/>
      <c r="H504" s="786">
        <v>263963</v>
      </c>
      <c r="I504" s="787">
        <v>1112502</v>
      </c>
      <c r="J504" s="786">
        <v>654365</v>
      </c>
      <c r="K504" s="785">
        <v>27695</v>
      </c>
      <c r="L504" s="787">
        <f t="shared" si="14"/>
        <v>2058525</v>
      </c>
      <c r="M504" s="785"/>
      <c r="N504" s="786">
        <v>129700</v>
      </c>
      <c r="O504" s="786">
        <v>0</v>
      </c>
      <c r="P504" s="785">
        <v>19902</v>
      </c>
      <c r="Q504" s="787">
        <f t="shared" si="15"/>
        <v>149602</v>
      </c>
      <c r="R504" s="785"/>
      <c r="S504" s="786">
        <v>1544120</v>
      </c>
      <c r="T504" s="788">
        <v>10089</v>
      </c>
      <c r="U504" s="788">
        <v>1554209</v>
      </c>
    </row>
    <row r="505" spans="1:21" x14ac:dyDescent="0.25">
      <c r="A505" s="782">
        <v>95404</v>
      </c>
      <c r="B505" s="783" t="s">
        <v>3115</v>
      </c>
      <c r="C505" s="784">
        <v>5.3100000000000003E-5</v>
      </c>
      <c r="D505" s="784">
        <v>4.9799999999999998E-5</v>
      </c>
      <c r="E505" s="800">
        <v>22123</v>
      </c>
      <c r="F505" s="785">
        <v>81122</v>
      </c>
      <c r="G505" s="785"/>
      <c r="H505" s="786">
        <v>4673</v>
      </c>
      <c r="I505" s="787">
        <v>19697</v>
      </c>
      <c r="J505" s="786">
        <v>11585</v>
      </c>
      <c r="K505" s="785">
        <v>5158</v>
      </c>
      <c r="L505" s="787">
        <f t="shared" si="14"/>
        <v>41113</v>
      </c>
      <c r="M505" s="785"/>
      <c r="N505" s="786">
        <v>2296</v>
      </c>
      <c r="O505" s="786">
        <v>0</v>
      </c>
      <c r="P505" s="785">
        <v>0</v>
      </c>
      <c r="Q505" s="787">
        <f t="shared" si="15"/>
        <v>2296</v>
      </c>
      <c r="R505" s="785"/>
      <c r="S505" s="786">
        <v>27338</v>
      </c>
      <c r="T505" s="788">
        <v>1949</v>
      </c>
      <c r="U505" s="788">
        <v>29287</v>
      </c>
    </row>
    <row r="506" spans="1:21" x14ac:dyDescent="0.25">
      <c r="A506" s="782">
        <v>95405</v>
      </c>
      <c r="B506" s="783" t="s">
        <v>3116</v>
      </c>
      <c r="C506" s="784">
        <v>1.84E-5</v>
      </c>
      <c r="D506" s="784">
        <v>1.84E-5</v>
      </c>
      <c r="E506" s="800">
        <v>17053</v>
      </c>
      <c r="F506" s="785">
        <v>28110</v>
      </c>
      <c r="G506" s="785"/>
      <c r="H506" s="786">
        <v>1619</v>
      </c>
      <c r="I506" s="787">
        <v>6826</v>
      </c>
      <c r="J506" s="786">
        <v>4015</v>
      </c>
      <c r="K506" s="785">
        <v>15544</v>
      </c>
      <c r="L506" s="787">
        <f t="shared" si="14"/>
        <v>28004</v>
      </c>
      <c r="M506" s="785"/>
      <c r="N506" s="786">
        <v>796</v>
      </c>
      <c r="O506" s="786">
        <v>0</v>
      </c>
      <c r="P506" s="785">
        <v>0</v>
      </c>
      <c r="Q506" s="787">
        <f t="shared" si="15"/>
        <v>796</v>
      </c>
      <c r="R506" s="785"/>
      <c r="S506" s="786">
        <v>9473</v>
      </c>
      <c r="T506" s="788">
        <v>5475</v>
      </c>
      <c r="U506" s="788">
        <v>14948</v>
      </c>
    </row>
    <row r="507" spans="1:21" x14ac:dyDescent="0.25">
      <c r="A507" s="782">
        <v>95411</v>
      </c>
      <c r="B507" s="783" t="s">
        <v>3117</v>
      </c>
      <c r="C507" s="784">
        <v>2.2173000000000002E-3</v>
      </c>
      <c r="D507" s="784">
        <v>2.3272000000000002E-3</v>
      </c>
      <c r="E507" s="800">
        <v>1058017</v>
      </c>
      <c r="F507" s="785">
        <v>3387420</v>
      </c>
      <c r="G507" s="785"/>
      <c r="H507" s="786">
        <v>195147</v>
      </c>
      <c r="I507" s="787">
        <v>822470</v>
      </c>
      <c r="J507" s="786">
        <v>483771</v>
      </c>
      <c r="K507" s="785">
        <v>14015</v>
      </c>
      <c r="L507" s="787">
        <f t="shared" si="14"/>
        <v>1515403</v>
      </c>
      <c r="M507" s="785"/>
      <c r="N507" s="786">
        <v>95887</v>
      </c>
      <c r="O507" s="786">
        <v>0</v>
      </c>
      <c r="P507" s="785">
        <v>60237</v>
      </c>
      <c r="Q507" s="787">
        <f t="shared" si="15"/>
        <v>156124</v>
      </c>
      <c r="R507" s="785"/>
      <c r="S507" s="786">
        <v>1141564</v>
      </c>
      <c r="T507" s="788">
        <v>-23907</v>
      </c>
      <c r="U507" s="788">
        <f>1117656+1</f>
        <v>1117657</v>
      </c>
    </row>
    <row r="508" spans="1:21" x14ac:dyDescent="0.25">
      <c r="A508" s="782">
        <v>95412</v>
      </c>
      <c r="B508" s="783" t="s">
        <v>3118</v>
      </c>
      <c r="C508" s="784">
        <v>0</v>
      </c>
      <c r="D508" s="784">
        <v>0</v>
      </c>
      <c r="E508" s="800" t="e">
        <v>#N/A</v>
      </c>
      <c r="F508" s="785">
        <v>0</v>
      </c>
      <c r="G508" s="785"/>
      <c r="H508" s="786">
        <v>0</v>
      </c>
      <c r="I508" s="787">
        <v>0</v>
      </c>
      <c r="J508" s="786">
        <v>0</v>
      </c>
      <c r="K508" s="785">
        <v>0</v>
      </c>
      <c r="L508" s="787">
        <f t="shared" si="14"/>
        <v>0</v>
      </c>
      <c r="M508" s="785"/>
      <c r="N508" s="786">
        <v>0</v>
      </c>
      <c r="O508" s="786">
        <v>0</v>
      </c>
      <c r="P508" s="785">
        <v>27831</v>
      </c>
      <c r="Q508" s="787">
        <f t="shared" si="15"/>
        <v>27831</v>
      </c>
      <c r="R508" s="785"/>
      <c r="S508" s="786">
        <v>0</v>
      </c>
      <c r="T508" s="788">
        <v>-18518</v>
      </c>
      <c r="U508" s="788">
        <v>-18518</v>
      </c>
    </row>
    <row r="509" spans="1:21" x14ac:dyDescent="0.25">
      <c r="A509" s="782">
        <v>95413</v>
      </c>
      <c r="B509" s="783" t="s">
        <v>3119</v>
      </c>
      <c r="C509" s="784">
        <v>2.5809999999999999E-4</v>
      </c>
      <c r="D509" s="784">
        <v>2.945E-4</v>
      </c>
      <c r="E509" s="800">
        <v>285392</v>
      </c>
      <c r="F509" s="785">
        <v>394305</v>
      </c>
      <c r="G509" s="785"/>
      <c r="H509" s="786">
        <v>22716</v>
      </c>
      <c r="I509" s="787">
        <v>95737</v>
      </c>
      <c r="J509" s="786">
        <v>56312</v>
      </c>
      <c r="K509" s="785">
        <v>247679</v>
      </c>
      <c r="L509" s="787">
        <f t="shared" si="14"/>
        <v>422444</v>
      </c>
      <c r="M509" s="785"/>
      <c r="N509" s="786">
        <v>11162</v>
      </c>
      <c r="O509" s="786">
        <v>0</v>
      </c>
      <c r="P509" s="785">
        <v>9401</v>
      </c>
      <c r="Q509" s="787">
        <f t="shared" si="15"/>
        <v>20563</v>
      </c>
      <c r="R509" s="785"/>
      <c r="S509" s="786">
        <v>132881</v>
      </c>
      <c r="T509" s="788">
        <v>77340</v>
      </c>
      <c r="U509" s="788">
        <v>210221</v>
      </c>
    </row>
    <row r="510" spans="1:21" x14ac:dyDescent="0.25">
      <c r="A510" s="782">
        <v>95415</v>
      </c>
      <c r="B510" s="783" t="s">
        <v>3120</v>
      </c>
      <c r="C510" s="784">
        <v>6.2899999999999997E-5</v>
      </c>
      <c r="D510" s="784">
        <v>7.9499999999999994E-5</v>
      </c>
      <c r="E510" s="800">
        <v>28158</v>
      </c>
      <c r="F510" s="785">
        <v>96094</v>
      </c>
      <c r="G510" s="785"/>
      <c r="H510" s="786">
        <v>5536</v>
      </c>
      <c r="I510" s="787">
        <v>23331</v>
      </c>
      <c r="J510" s="786">
        <v>13724</v>
      </c>
      <c r="K510" s="785">
        <v>5301</v>
      </c>
      <c r="L510" s="787">
        <f t="shared" si="14"/>
        <v>47892</v>
      </c>
      <c r="M510" s="785"/>
      <c r="N510" s="786">
        <v>2720</v>
      </c>
      <c r="O510" s="786">
        <v>0</v>
      </c>
      <c r="P510" s="785">
        <v>16874</v>
      </c>
      <c r="Q510" s="787">
        <f t="shared" si="15"/>
        <v>19594</v>
      </c>
      <c r="R510" s="785"/>
      <c r="S510" s="786">
        <v>32384</v>
      </c>
      <c r="T510" s="788">
        <v>-165</v>
      </c>
      <c r="U510" s="788">
        <v>32219</v>
      </c>
    </row>
    <row r="511" spans="1:21" x14ac:dyDescent="0.25">
      <c r="A511" s="782">
        <v>95421</v>
      </c>
      <c r="B511" s="783" t="s">
        <v>3121</v>
      </c>
      <c r="C511" s="784">
        <v>3.8699999999999999E-5</v>
      </c>
      <c r="D511" s="784">
        <v>3.9100000000000002E-5</v>
      </c>
      <c r="E511" s="800">
        <v>18385</v>
      </c>
      <c r="F511" s="785">
        <v>59123</v>
      </c>
      <c r="G511" s="785"/>
      <c r="H511" s="786">
        <v>3406</v>
      </c>
      <c r="I511" s="787">
        <v>14355</v>
      </c>
      <c r="J511" s="786">
        <v>8444</v>
      </c>
      <c r="K511" s="785">
        <v>226</v>
      </c>
      <c r="L511" s="787">
        <f t="shared" si="14"/>
        <v>26431</v>
      </c>
      <c r="M511" s="785"/>
      <c r="N511" s="786">
        <v>1674</v>
      </c>
      <c r="O511" s="786">
        <v>0</v>
      </c>
      <c r="P511" s="785">
        <v>9353</v>
      </c>
      <c r="Q511" s="787">
        <f t="shared" si="15"/>
        <v>11027</v>
      </c>
      <c r="R511" s="785"/>
      <c r="S511" s="786">
        <v>19924</v>
      </c>
      <c r="T511" s="788">
        <v>-4913</v>
      </c>
      <c r="U511" s="788">
        <f>15012-1</f>
        <v>15011</v>
      </c>
    </row>
    <row r="512" spans="1:21" x14ac:dyDescent="0.25">
      <c r="A512" s="782">
        <v>95431</v>
      </c>
      <c r="B512" s="783" t="s">
        <v>3122</v>
      </c>
      <c r="C512" s="784">
        <v>1.5300000000000001E-4</v>
      </c>
      <c r="D512" s="784">
        <v>1.8009999999999999E-4</v>
      </c>
      <c r="E512" s="800">
        <v>61885</v>
      </c>
      <c r="F512" s="785">
        <v>233742</v>
      </c>
      <c r="G512" s="785"/>
      <c r="H512" s="786">
        <v>13466</v>
      </c>
      <c r="I512" s="787">
        <v>56753</v>
      </c>
      <c r="J512" s="786">
        <v>33382</v>
      </c>
      <c r="K512" s="785">
        <v>224</v>
      </c>
      <c r="L512" s="787">
        <f t="shared" si="14"/>
        <v>103825</v>
      </c>
      <c r="M512" s="785"/>
      <c r="N512" s="786">
        <v>6616</v>
      </c>
      <c r="O512" s="786">
        <v>0</v>
      </c>
      <c r="P512" s="785">
        <v>34003</v>
      </c>
      <c r="Q512" s="787">
        <f t="shared" si="15"/>
        <v>40619</v>
      </c>
      <c r="R512" s="785"/>
      <c r="S512" s="786">
        <v>78771</v>
      </c>
      <c r="T512" s="788">
        <v>-9919</v>
      </c>
      <c r="U512" s="788">
        <v>68852</v>
      </c>
    </row>
    <row r="513" spans="1:21" x14ac:dyDescent="0.25">
      <c r="A513" s="782">
        <v>95501</v>
      </c>
      <c r="B513" s="783" t="s">
        <v>3123</v>
      </c>
      <c r="C513" s="784">
        <v>4.8764999999999998E-3</v>
      </c>
      <c r="D513" s="784">
        <v>4.7917999999999997E-3</v>
      </c>
      <c r="E513" s="800">
        <v>2104813</v>
      </c>
      <c r="F513" s="785">
        <v>7449941</v>
      </c>
      <c r="G513" s="785"/>
      <c r="H513" s="786">
        <v>429186</v>
      </c>
      <c r="I513" s="787">
        <v>1808855</v>
      </c>
      <c r="J513" s="786">
        <v>1063955</v>
      </c>
      <c r="K513" s="785">
        <v>31695</v>
      </c>
      <c r="L513" s="787">
        <f t="shared" si="14"/>
        <v>3333691</v>
      </c>
      <c r="M513" s="785"/>
      <c r="N513" s="786">
        <v>210884</v>
      </c>
      <c r="O513" s="786">
        <v>0</v>
      </c>
      <c r="P513" s="785">
        <v>124610</v>
      </c>
      <c r="Q513" s="787">
        <f t="shared" si="15"/>
        <v>335494</v>
      </c>
      <c r="R513" s="785"/>
      <c r="S513" s="786">
        <v>2510637</v>
      </c>
      <c r="T513" s="788">
        <v>-8646</v>
      </c>
      <c r="U513" s="788">
        <v>2501991</v>
      </c>
    </row>
    <row r="514" spans="1:21" x14ac:dyDescent="0.25">
      <c r="A514" s="782">
        <v>95504</v>
      </c>
      <c r="B514" s="783" t="s">
        <v>3124</v>
      </c>
      <c r="C514" s="784">
        <v>9.3999999999999998E-6</v>
      </c>
      <c r="D514" s="784">
        <v>8.8999999999999995E-6</v>
      </c>
      <c r="E514" s="800">
        <v>9297</v>
      </c>
      <c r="F514" s="785">
        <v>14361</v>
      </c>
      <c r="G514" s="785"/>
      <c r="H514" s="786">
        <v>827</v>
      </c>
      <c r="I514" s="787">
        <v>3487</v>
      </c>
      <c r="J514" s="786">
        <v>2051</v>
      </c>
      <c r="K514" s="785">
        <v>7912</v>
      </c>
      <c r="L514" s="787">
        <f t="shared" si="14"/>
        <v>14277</v>
      </c>
      <c r="M514" s="785"/>
      <c r="N514" s="786">
        <v>407</v>
      </c>
      <c r="O514" s="786">
        <v>0</v>
      </c>
      <c r="P514" s="785">
        <v>0</v>
      </c>
      <c r="Q514" s="787">
        <f t="shared" si="15"/>
        <v>407</v>
      </c>
      <c r="R514" s="785"/>
      <c r="S514" s="786">
        <v>4840</v>
      </c>
      <c r="T514" s="788">
        <v>2952</v>
      </c>
      <c r="U514" s="788">
        <f>7791+1</f>
        <v>7792</v>
      </c>
    </row>
    <row r="515" spans="1:21" x14ac:dyDescent="0.25">
      <c r="A515" s="782">
        <v>95511</v>
      </c>
      <c r="B515" s="783" t="s">
        <v>3125</v>
      </c>
      <c r="C515" s="784">
        <v>9.7460000000000005E-4</v>
      </c>
      <c r="D515" s="784">
        <v>9.6049999999999998E-4</v>
      </c>
      <c r="E515" s="800">
        <v>484188</v>
      </c>
      <c r="F515" s="785">
        <v>1488919</v>
      </c>
      <c r="G515" s="785"/>
      <c r="H515" s="786">
        <v>85776</v>
      </c>
      <c r="I515" s="787">
        <v>361511</v>
      </c>
      <c r="J515" s="786">
        <v>212638</v>
      </c>
      <c r="K515" s="785">
        <v>44242</v>
      </c>
      <c r="L515" s="787">
        <f t="shared" si="14"/>
        <v>704167</v>
      </c>
      <c r="M515" s="785"/>
      <c r="N515" s="786">
        <v>42147</v>
      </c>
      <c r="O515" s="786">
        <v>0</v>
      </c>
      <c r="P515" s="785">
        <v>52155</v>
      </c>
      <c r="Q515" s="787">
        <f t="shared" si="15"/>
        <v>94302</v>
      </c>
      <c r="R515" s="785"/>
      <c r="S515" s="786">
        <v>501767</v>
      </c>
      <c r="T515" s="788">
        <v>-4607</v>
      </c>
      <c r="U515" s="788">
        <v>497160</v>
      </c>
    </row>
    <row r="516" spans="1:21" x14ac:dyDescent="0.25">
      <c r="A516" s="782">
        <v>95513</v>
      </c>
      <c r="B516" s="783" t="s">
        <v>3126</v>
      </c>
      <c r="C516" s="784">
        <v>4.6699999999999997E-5</v>
      </c>
      <c r="D516" s="784">
        <v>4.5500000000000001E-5</v>
      </c>
      <c r="E516" s="800">
        <v>31793</v>
      </c>
      <c r="F516" s="785">
        <v>71345</v>
      </c>
      <c r="G516" s="785"/>
      <c r="H516" s="786">
        <v>4110</v>
      </c>
      <c r="I516" s="787">
        <v>17322</v>
      </c>
      <c r="J516" s="786">
        <v>10189</v>
      </c>
      <c r="K516" s="785">
        <v>21773</v>
      </c>
      <c r="L516" s="787">
        <f t="shared" si="14"/>
        <v>53394</v>
      </c>
      <c r="M516" s="785"/>
      <c r="N516" s="786">
        <v>2020</v>
      </c>
      <c r="O516" s="786">
        <v>0</v>
      </c>
      <c r="P516" s="785">
        <v>0</v>
      </c>
      <c r="Q516" s="787">
        <f t="shared" si="15"/>
        <v>2020</v>
      </c>
      <c r="R516" s="785"/>
      <c r="S516" s="786">
        <v>24043</v>
      </c>
      <c r="T516" s="788">
        <v>9103</v>
      </c>
      <c r="U516" s="788">
        <v>33146</v>
      </c>
    </row>
    <row r="517" spans="1:21" x14ac:dyDescent="0.25">
      <c r="A517" s="782">
        <v>95517</v>
      </c>
      <c r="B517" s="783" t="s">
        <v>3127</v>
      </c>
      <c r="C517" s="784">
        <v>2.4499999999999999E-5</v>
      </c>
      <c r="D517" s="784">
        <v>1.66E-5</v>
      </c>
      <c r="E517" s="800">
        <v>15695</v>
      </c>
      <c r="F517" s="785">
        <v>37429</v>
      </c>
      <c r="G517" s="785"/>
      <c r="H517" s="786">
        <v>2156</v>
      </c>
      <c r="I517" s="787">
        <v>9087</v>
      </c>
      <c r="J517" s="786">
        <v>5345</v>
      </c>
      <c r="K517" s="785">
        <v>17989</v>
      </c>
      <c r="L517" s="787">
        <f t="shared" si="14"/>
        <v>34577</v>
      </c>
      <c r="M517" s="785"/>
      <c r="N517" s="786">
        <v>1060</v>
      </c>
      <c r="O517" s="786">
        <v>0</v>
      </c>
      <c r="P517" s="785">
        <v>0</v>
      </c>
      <c r="Q517" s="787">
        <f t="shared" si="15"/>
        <v>1060</v>
      </c>
      <c r="R517" s="785"/>
      <c r="S517" s="786">
        <v>12614</v>
      </c>
      <c r="T517" s="788">
        <v>6544</v>
      </c>
      <c r="U517" s="788">
        <v>19158</v>
      </c>
    </row>
    <row r="518" spans="1:21" x14ac:dyDescent="0.25">
      <c r="A518" s="782">
        <v>95601</v>
      </c>
      <c r="B518" s="783" t="s">
        <v>3128</v>
      </c>
      <c r="C518" s="784">
        <v>2.6280000000000001E-3</v>
      </c>
      <c r="D518" s="784">
        <v>2.6592999999999999E-3</v>
      </c>
      <c r="E518" s="800">
        <v>1208853</v>
      </c>
      <c r="F518" s="785">
        <v>4014856</v>
      </c>
      <c r="G518" s="785"/>
      <c r="H518" s="786">
        <v>231293</v>
      </c>
      <c r="I518" s="787">
        <v>974812</v>
      </c>
      <c r="J518" s="786">
        <v>573377</v>
      </c>
      <c r="K518" s="785">
        <v>85590</v>
      </c>
      <c r="L518" s="787">
        <f t="shared" si="14"/>
        <v>1865072</v>
      </c>
      <c r="M518" s="785"/>
      <c r="N518" s="786">
        <v>113648</v>
      </c>
      <c r="O518" s="786">
        <v>0</v>
      </c>
      <c r="P518" s="785">
        <v>19082</v>
      </c>
      <c r="Q518" s="787">
        <f t="shared" si="15"/>
        <v>132730</v>
      </c>
      <c r="R518" s="785"/>
      <c r="S518" s="786">
        <v>1353010</v>
      </c>
      <c r="T518" s="788">
        <v>47697</v>
      </c>
      <c r="U518" s="788">
        <v>1400707</v>
      </c>
    </row>
    <row r="519" spans="1:21" x14ac:dyDescent="0.25">
      <c r="A519" s="782">
        <v>95611</v>
      </c>
      <c r="B519" s="783" t="s">
        <v>3129</v>
      </c>
      <c r="C519" s="784">
        <v>4.0660000000000002E-4</v>
      </c>
      <c r="D519" s="784">
        <v>3.9540000000000002E-4</v>
      </c>
      <c r="E519" s="800">
        <v>186384</v>
      </c>
      <c r="F519" s="785">
        <v>621172</v>
      </c>
      <c r="G519" s="785"/>
      <c r="H519" s="786">
        <v>35785</v>
      </c>
      <c r="I519" s="787">
        <v>150821</v>
      </c>
      <c r="J519" s="786">
        <v>88712</v>
      </c>
      <c r="K519" s="785">
        <v>8653</v>
      </c>
      <c r="L519" s="787">
        <f t="shared" ref="L519:L582" si="16">H519+I519+J519+K519</f>
        <v>283971</v>
      </c>
      <c r="M519" s="785"/>
      <c r="N519" s="786">
        <v>17583</v>
      </c>
      <c r="O519" s="786">
        <v>0</v>
      </c>
      <c r="P519" s="785">
        <v>3649</v>
      </c>
      <c r="Q519" s="787">
        <f t="shared" ref="Q519:Q582" si="17">N519+O519+P519</f>
        <v>21232</v>
      </c>
      <c r="R519" s="785"/>
      <c r="S519" s="786">
        <v>209336</v>
      </c>
      <c r="T519" s="788">
        <v>1212</v>
      </c>
      <c r="U519" s="788">
        <f>210547+1</f>
        <v>210548</v>
      </c>
    </row>
    <row r="520" spans="1:21" x14ac:dyDescent="0.25">
      <c r="A520" s="782">
        <v>95617</v>
      </c>
      <c r="B520" s="783" t="s">
        <v>3130</v>
      </c>
      <c r="C520" s="784">
        <v>1.6399999999999999E-5</v>
      </c>
      <c r="D520" s="784">
        <v>1.6500000000000001E-5</v>
      </c>
      <c r="E520" s="800">
        <v>8201</v>
      </c>
      <c r="F520" s="785">
        <v>25055</v>
      </c>
      <c r="G520" s="785"/>
      <c r="H520" s="786">
        <v>1443</v>
      </c>
      <c r="I520" s="787">
        <v>6084</v>
      </c>
      <c r="J520" s="786">
        <v>3578</v>
      </c>
      <c r="K520" s="785">
        <v>722</v>
      </c>
      <c r="L520" s="787">
        <f t="shared" si="16"/>
        <v>11827</v>
      </c>
      <c r="M520" s="785"/>
      <c r="N520" s="786">
        <v>709</v>
      </c>
      <c r="O520" s="786">
        <v>0</v>
      </c>
      <c r="P520" s="785">
        <v>1277</v>
      </c>
      <c r="Q520" s="787">
        <f t="shared" si="17"/>
        <v>1986</v>
      </c>
      <c r="R520" s="785"/>
      <c r="S520" s="786">
        <v>8443</v>
      </c>
      <c r="T520" s="788">
        <v>-659</v>
      </c>
      <c r="U520" s="788">
        <v>7784</v>
      </c>
    </row>
    <row r="521" spans="1:21" x14ac:dyDescent="0.25">
      <c r="A521" s="782">
        <v>95621</v>
      </c>
      <c r="B521" s="783" t="s">
        <v>3131</v>
      </c>
      <c r="C521" s="784">
        <v>4.5360000000000002E-4</v>
      </c>
      <c r="D521" s="784">
        <v>4.8020000000000002E-4</v>
      </c>
      <c r="E521" s="800">
        <v>227836</v>
      </c>
      <c r="F521" s="785">
        <v>692975</v>
      </c>
      <c r="G521" s="785"/>
      <c r="H521" s="786">
        <v>39922</v>
      </c>
      <c r="I521" s="787">
        <v>168255</v>
      </c>
      <c r="J521" s="786">
        <v>98966</v>
      </c>
      <c r="K521" s="785">
        <v>3166</v>
      </c>
      <c r="L521" s="787">
        <f t="shared" si="16"/>
        <v>310309</v>
      </c>
      <c r="M521" s="785"/>
      <c r="N521" s="786">
        <v>19616</v>
      </c>
      <c r="O521" s="786">
        <v>0</v>
      </c>
      <c r="P521" s="785">
        <v>4423</v>
      </c>
      <c r="Q521" s="787">
        <f t="shared" si="17"/>
        <v>24039</v>
      </c>
      <c r="R521" s="785"/>
      <c r="S521" s="786">
        <v>233533</v>
      </c>
      <c r="T521" s="788">
        <v>1481</v>
      </c>
      <c r="U521" s="788">
        <f>235015-1</f>
        <v>235014</v>
      </c>
    </row>
    <row r="522" spans="1:21" x14ac:dyDescent="0.25">
      <c r="A522" s="782">
        <v>95701</v>
      </c>
      <c r="B522" s="783" t="s">
        <v>3132</v>
      </c>
      <c r="C522" s="784">
        <v>1.3747E-3</v>
      </c>
      <c r="D522" s="784">
        <v>1.291E-3</v>
      </c>
      <c r="E522" s="800">
        <v>600622</v>
      </c>
      <c r="F522" s="785">
        <v>2100161</v>
      </c>
      <c r="G522" s="785"/>
      <c r="H522" s="786">
        <v>120989</v>
      </c>
      <c r="I522" s="787">
        <v>509922</v>
      </c>
      <c r="J522" s="786">
        <v>299932</v>
      </c>
      <c r="K522" s="785">
        <v>62898</v>
      </c>
      <c r="L522" s="787">
        <f t="shared" si="16"/>
        <v>993741</v>
      </c>
      <c r="M522" s="785"/>
      <c r="N522" s="786">
        <v>59449</v>
      </c>
      <c r="O522" s="786">
        <v>0</v>
      </c>
      <c r="P522" s="785">
        <v>0</v>
      </c>
      <c r="Q522" s="787">
        <f t="shared" si="17"/>
        <v>59449</v>
      </c>
      <c r="R522" s="785"/>
      <c r="S522" s="786">
        <v>707756</v>
      </c>
      <c r="T522" s="788">
        <v>28646</v>
      </c>
      <c r="U522" s="788">
        <v>736402</v>
      </c>
    </row>
    <row r="523" spans="1:21" x14ac:dyDescent="0.25">
      <c r="A523" s="782">
        <v>95711</v>
      </c>
      <c r="B523" s="783" t="s">
        <v>3133</v>
      </c>
      <c r="C523" s="784">
        <v>1.394E-4</v>
      </c>
      <c r="D523" s="784">
        <v>1.382E-4</v>
      </c>
      <c r="E523" s="800">
        <v>55785</v>
      </c>
      <c r="F523" s="785">
        <v>212965</v>
      </c>
      <c r="G523" s="785"/>
      <c r="H523" s="786">
        <v>12269</v>
      </c>
      <c r="I523" s="787">
        <v>51708</v>
      </c>
      <c r="J523" s="786">
        <v>30414</v>
      </c>
      <c r="K523" s="785">
        <v>6056</v>
      </c>
      <c r="L523" s="787">
        <f t="shared" si="16"/>
        <v>100447</v>
      </c>
      <c r="M523" s="785"/>
      <c r="N523" s="786">
        <v>6028</v>
      </c>
      <c r="O523" s="786">
        <v>0</v>
      </c>
      <c r="P523" s="785">
        <v>5836</v>
      </c>
      <c r="Q523" s="787">
        <f t="shared" si="17"/>
        <v>11864</v>
      </c>
      <c r="R523" s="785"/>
      <c r="S523" s="786">
        <v>71769</v>
      </c>
      <c r="T523" s="788">
        <v>1663</v>
      </c>
      <c r="U523" s="788">
        <v>73432</v>
      </c>
    </row>
    <row r="524" spans="1:21" x14ac:dyDescent="0.25">
      <c r="A524" s="782">
        <v>95721</v>
      </c>
      <c r="B524" s="783" t="s">
        <v>3134</v>
      </c>
      <c r="C524" s="784">
        <v>6.7600000000000003E-5</v>
      </c>
      <c r="D524" s="784">
        <v>6.6199999999999996E-5</v>
      </c>
      <c r="E524" s="800">
        <v>25093</v>
      </c>
      <c r="F524" s="785">
        <v>103274</v>
      </c>
      <c r="G524" s="785"/>
      <c r="H524" s="786">
        <v>5950</v>
      </c>
      <c r="I524" s="787">
        <v>25075</v>
      </c>
      <c r="J524" s="786">
        <v>14749</v>
      </c>
      <c r="K524" s="785">
        <v>0</v>
      </c>
      <c r="L524" s="787">
        <f t="shared" si="16"/>
        <v>45774</v>
      </c>
      <c r="M524" s="785"/>
      <c r="N524" s="786">
        <v>2923</v>
      </c>
      <c r="O524" s="786">
        <v>0</v>
      </c>
      <c r="P524" s="785">
        <v>9622</v>
      </c>
      <c r="Q524" s="787">
        <f t="shared" si="17"/>
        <v>12545</v>
      </c>
      <c r="R524" s="785"/>
      <c r="S524" s="786">
        <v>34803</v>
      </c>
      <c r="T524" s="788">
        <v>-4619</v>
      </c>
      <c r="U524" s="788">
        <f>30185-1</f>
        <v>30184</v>
      </c>
    </row>
    <row r="525" spans="1:21" x14ac:dyDescent="0.25">
      <c r="A525" s="782">
        <v>95733</v>
      </c>
      <c r="B525" s="783" t="s">
        <v>3135</v>
      </c>
      <c r="C525" s="784">
        <v>1.5400000000000002E-5</v>
      </c>
      <c r="D525" s="784">
        <v>1.56E-5</v>
      </c>
      <c r="E525" s="800">
        <v>6898</v>
      </c>
      <c r="F525" s="785">
        <v>23527</v>
      </c>
      <c r="G525" s="785"/>
      <c r="H525" s="786">
        <v>1355</v>
      </c>
      <c r="I525" s="787">
        <v>5712</v>
      </c>
      <c r="J525" s="786">
        <v>3360</v>
      </c>
      <c r="K525" s="785">
        <v>581</v>
      </c>
      <c r="L525" s="787">
        <f t="shared" si="16"/>
        <v>11008</v>
      </c>
      <c r="M525" s="785"/>
      <c r="N525" s="786">
        <v>666</v>
      </c>
      <c r="O525" s="786">
        <v>0</v>
      </c>
      <c r="P525" s="785">
        <v>464</v>
      </c>
      <c r="Q525" s="787">
        <f t="shared" si="17"/>
        <v>1130</v>
      </c>
      <c r="R525" s="785"/>
      <c r="S525" s="786">
        <v>7929</v>
      </c>
      <c r="T525" s="788">
        <v>209</v>
      </c>
      <c r="U525" s="788">
        <v>8138</v>
      </c>
    </row>
    <row r="526" spans="1:21" x14ac:dyDescent="0.25">
      <c r="A526" s="782">
        <v>95801</v>
      </c>
      <c r="B526" s="783" t="s">
        <v>3136</v>
      </c>
      <c r="C526" s="784">
        <v>9.6310000000000005E-4</v>
      </c>
      <c r="D526" s="784">
        <v>8.9349999999999998E-4</v>
      </c>
      <c r="E526" s="800">
        <v>449779</v>
      </c>
      <c r="F526" s="785">
        <v>1471350</v>
      </c>
      <c r="G526" s="785"/>
      <c r="H526" s="786">
        <v>84763</v>
      </c>
      <c r="I526" s="787">
        <v>357246</v>
      </c>
      <c r="J526" s="786">
        <v>210129</v>
      </c>
      <c r="K526" s="785">
        <v>62205</v>
      </c>
      <c r="L526" s="787">
        <f t="shared" si="16"/>
        <v>714343</v>
      </c>
      <c r="M526" s="785"/>
      <c r="N526" s="786">
        <v>41649</v>
      </c>
      <c r="O526" s="786">
        <v>0</v>
      </c>
      <c r="P526" s="785">
        <v>4103</v>
      </c>
      <c r="Q526" s="787">
        <f t="shared" si="17"/>
        <v>45752</v>
      </c>
      <c r="R526" s="785"/>
      <c r="S526" s="786">
        <v>495846</v>
      </c>
      <c r="T526" s="788">
        <v>14399</v>
      </c>
      <c r="U526" s="788">
        <v>510245</v>
      </c>
    </row>
    <row r="527" spans="1:21" x14ac:dyDescent="0.25">
      <c r="A527" s="782">
        <v>95802</v>
      </c>
      <c r="B527" s="783" t="s">
        <v>3137</v>
      </c>
      <c r="C527" s="784">
        <v>6.1E-6</v>
      </c>
      <c r="D527" s="784">
        <v>6.8000000000000001E-6</v>
      </c>
      <c r="E527" s="800">
        <v>5124</v>
      </c>
      <c r="F527" s="785">
        <v>9319</v>
      </c>
      <c r="G527" s="785"/>
      <c r="H527" s="786">
        <v>537</v>
      </c>
      <c r="I527" s="787">
        <v>2263</v>
      </c>
      <c r="J527" s="786">
        <v>1331</v>
      </c>
      <c r="K527" s="785">
        <v>3297</v>
      </c>
      <c r="L527" s="787">
        <f t="shared" si="16"/>
        <v>7428</v>
      </c>
      <c r="M527" s="785"/>
      <c r="N527" s="786">
        <v>264</v>
      </c>
      <c r="O527" s="786">
        <v>0</v>
      </c>
      <c r="P527" s="785">
        <v>1248</v>
      </c>
      <c r="Q527" s="787">
        <f t="shared" si="17"/>
        <v>1512</v>
      </c>
      <c r="R527" s="785"/>
      <c r="S527" s="786">
        <v>3141</v>
      </c>
      <c r="T527" s="788">
        <v>-81</v>
      </c>
      <c r="U527" s="788">
        <v>3060</v>
      </c>
    </row>
    <row r="528" spans="1:21" x14ac:dyDescent="0.25">
      <c r="A528" s="782">
        <v>95804</v>
      </c>
      <c r="B528" s="783" t="s">
        <v>3138</v>
      </c>
      <c r="C528" s="784">
        <v>2.19E-5</v>
      </c>
      <c r="D528" s="784">
        <v>1.63E-5</v>
      </c>
      <c r="E528" s="800">
        <v>7566</v>
      </c>
      <c r="F528" s="785">
        <v>33457</v>
      </c>
      <c r="G528" s="785"/>
      <c r="H528" s="786">
        <v>1927</v>
      </c>
      <c r="I528" s="787">
        <v>8123</v>
      </c>
      <c r="J528" s="786">
        <v>4778</v>
      </c>
      <c r="K528" s="785">
        <v>3631</v>
      </c>
      <c r="L528" s="787">
        <f t="shared" si="16"/>
        <v>18459</v>
      </c>
      <c r="M528" s="785"/>
      <c r="N528" s="786">
        <v>947</v>
      </c>
      <c r="O528" s="786">
        <v>0</v>
      </c>
      <c r="P528" s="785">
        <v>0</v>
      </c>
      <c r="Q528" s="787">
        <f t="shared" si="17"/>
        <v>947</v>
      </c>
      <c r="R528" s="785"/>
      <c r="S528" s="786">
        <v>11275</v>
      </c>
      <c r="T528" s="788">
        <v>1628</v>
      </c>
      <c r="U528" s="788">
        <f>12904-1</f>
        <v>12903</v>
      </c>
    </row>
    <row r="529" spans="1:21" x14ac:dyDescent="0.25">
      <c r="A529" s="782">
        <v>95811</v>
      </c>
      <c r="B529" s="783" t="s">
        <v>3139</v>
      </c>
      <c r="C529" s="784">
        <v>5.3129999999999996E-4</v>
      </c>
      <c r="D529" s="784">
        <v>5.3410000000000003E-4</v>
      </c>
      <c r="E529" s="800">
        <v>243909</v>
      </c>
      <c r="F529" s="785">
        <v>811679</v>
      </c>
      <c r="G529" s="785"/>
      <c r="H529" s="786">
        <v>46760</v>
      </c>
      <c r="I529" s="787">
        <v>197076</v>
      </c>
      <c r="J529" s="786">
        <v>115919</v>
      </c>
      <c r="K529" s="785">
        <v>1678</v>
      </c>
      <c r="L529" s="787">
        <f t="shared" si="16"/>
        <v>361433</v>
      </c>
      <c r="M529" s="785"/>
      <c r="N529" s="786">
        <v>22976</v>
      </c>
      <c r="O529" s="786">
        <v>0</v>
      </c>
      <c r="P529" s="785">
        <v>5329</v>
      </c>
      <c r="Q529" s="787">
        <f t="shared" si="17"/>
        <v>28305</v>
      </c>
      <c r="R529" s="785"/>
      <c r="S529" s="786">
        <v>273537</v>
      </c>
      <c r="T529" s="788">
        <v>-1501</v>
      </c>
      <c r="U529" s="788">
        <f>272035+1</f>
        <v>272036</v>
      </c>
    </row>
    <row r="530" spans="1:21" x14ac:dyDescent="0.25">
      <c r="A530" s="782">
        <v>95813</v>
      </c>
      <c r="B530" s="783" t="s">
        <v>3140</v>
      </c>
      <c r="C530" s="784">
        <v>4.88E-5</v>
      </c>
      <c r="D530" s="784">
        <v>4.4400000000000002E-5</v>
      </c>
      <c r="E530" s="800">
        <v>63299</v>
      </c>
      <c r="F530" s="785">
        <v>74553</v>
      </c>
      <c r="G530" s="785"/>
      <c r="H530" s="786">
        <v>4295</v>
      </c>
      <c r="I530" s="787">
        <v>18101</v>
      </c>
      <c r="J530" s="786">
        <v>10647</v>
      </c>
      <c r="K530" s="785">
        <v>72000</v>
      </c>
      <c r="L530" s="787">
        <f t="shared" si="16"/>
        <v>105043</v>
      </c>
      <c r="M530" s="785"/>
      <c r="N530" s="786">
        <v>2110</v>
      </c>
      <c r="O530" s="786">
        <v>0</v>
      </c>
      <c r="P530" s="785">
        <v>0</v>
      </c>
      <c r="Q530" s="787">
        <f t="shared" si="17"/>
        <v>2110</v>
      </c>
      <c r="R530" s="785"/>
      <c r="S530" s="786">
        <v>25124</v>
      </c>
      <c r="T530" s="788">
        <v>24457</v>
      </c>
      <c r="U530" s="788">
        <v>49581</v>
      </c>
    </row>
    <row r="531" spans="1:21" x14ac:dyDescent="0.25">
      <c r="A531" s="782">
        <v>95821</v>
      </c>
      <c r="B531" s="783" t="s">
        <v>3141</v>
      </c>
      <c r="C531" s="784">
        <v>0</v>
      </c>
      <c r="D531" s="784">
        <v>1.7E-6</v>
      </c>
      <c r="E531" s="800">
        <v>610</v>
      </c>
      <c r="F531" s="785">
        <v>0</v>
      </c>
      <c r="G531" s="785"/>
      <c r="H531" s="786">
        <v>0</v>
      </c>
      <c r="I531" s="787">
        <v>0</v>
      </c>
      <c r="J531" s="786">
        <v>0</v>
      </c>
      <c r="K531" s="785">
        <v>1293</v>
      </c>
      <c r="L531" s="787">
        <f t="shared" si="16"/>
        <v>1293</v>
      </c>
      <c r="M531" s="785"/>
      <c r="N531" s="786">
        <v>0</v>
      </c>
      <c r="O531" s="786">
        <v>0</v>
      </c>
      <c r="P531" s="785">
        <v>652</v>
      </c>
      <c r="Q531" s="787">
        <f t="shared" si="17"/>
        <v>652</v>
      </c>
      <c r="R531" s="785"/>
      <c r="S531" s="786">
        <v>0</v>
      </c>
      <c r="T531" s="788">
        <v>460</v>
      </c>
      <c r="U531" s="788">
        <v>460</v>
      </c>
    </row>
    <row r="532" spans="1:21" x14ac:dyDescent="0.25">
      <c r="A532" s="782">
        <v>95831</v>
      </c>
      <c r="B532" s="783" t="s">
        <v>3142</v>
      </c>
      <c r="C532" s="784">
        <v>1.6799999999999998E-5</v>
      </c>
      <c r="D532" s="784">
        <v>1.36E-5</v>
      </c>
      <c r="E532" s="800">
        <v>22034</v>
      </c>
      <c r="F532" s="785">
        <v>25666</v>
      </c>
      <c r="G532" s="785"/>
      <c r="H532" s="786">
        <v>1479</v>
      </c>
      <c r="I532" s="787">
        <v>6232</v>
      </c>
      <c r="J532" s="786">
        <v>3665</v>
      </c>
      <c r="K532" s="785">
        <v>23962</v>
      </c>
      <c r="L532" s="787">
        <f t="shared" si="16"/>
        <v>35338</v>
      </c>
      <c r="M532" s="785"/>
      <c r="N532" s="786">
        <v>727</v>
      </c>
      <c r="O532" s="786">
        <v>0</v>
      </c>
      <c r="P532" s="785">
        <v>0</v>
      </c>
      <c r="Q532" s="787">
        <f t="shared" si="17"/>
        <v>727</v>
      </c>
      <c r="R532" s="785"/>
      <c r="S532" s="786">
        <v>8649</v>
      </c>
      <c r="T532" s="788">
        <v>8068</v>
      </c>
      <c r="U532" s="788">
        <v>16717</v>
      </c>
    </row>
    <row r="533" spans="1:21" x14ac:dyDescent="0.25">
      <c r="A533" s="782">
        <v>95841</v>
      </c>
      <c r="B533" s="783" t="s">
        <v>3143</v>
      </c>
      <c r="C533" s="784">
        <v>2.0999999999999999E-5</v>
      </c>
      <c r="D533" s="784">
        <v>2.1100000000000001E-5</v>
      </c>
      <c r="E533" s="800">
        <v>10805</v>
      </c>
      <c r="F533" s="785">
        <v>32082</v>
      </c>
      <c r="G533" s="785"/>
      <c r="H533" s="786">
        <v>1848</v>
      </c>
      <c r="I533" s="787">
        <v>7790</v>
      </c>
      <c r="J533" s="786">
        <v>4582</v>
      </c>
      <c r="K533" s="785">
        <v>2103</v>
      </c>
      <c r="L533" s="787">
        <f t="shared" si="16"/>
        <v>16323</v>
      </c>
      <c r="M533" s="785"/>
      <c r="N533" s="786">
        <v>908</v>
      </c>
      <c r="O533" s="786">
        <v>0</v>
      </c>
      <c r="P533" s="785">
        <v>0</v>
      </c>
      <c r="Q533" s="787">
        <f t="shared" si="17"/>
        <v>908</v>
      </c>
      <c r="R533" s="785"/>
      <c r="S533" s="786">
        <v>10812</v>
      </c>
      <c r="T533" s="788">
        <v>817</v>
      </c>
      <c r="U533" s="788">
        <v>11629</v>
      </c>
    </row>
    <row r="534" spans="1:21" x14ac:dyDescent="0.25">
      <c r="A534" s="782">
        <v>95851</v>
      </c>
      <c r="B534" s="783" t="s">
        <v>3144</v>
      </c>
      <c r="C534" s="784">
        <v>1.327E-4</v>
      </c>
      <c r="D534" s="784">
        <v>1.3009999999999999E-4</v>
      </c>
      <c r="E534" s="800">
        <v>142459</v>
      </c>
      <c r="F534" s="785">
        <v>202729</v>
      </c>
      <c r="G534" s="785"/>
      <c r="H534" s="786">
        <v>11679</v>
      </c>
      <c r="I534" s="787">
        <v>49223</v>
      </c>
      <c r="J534" s="786">
        <v>28952</v>
      </c>
      <c r="K534" s="785">
        <v>130637</v>
      </c>
      <c r="L534" s="787">
        <f t="shared" si="16"/>
        <v>220491</v>
      </c>
      <c r="M534" s="785"/>
      <c r="N534" s="786">
        <v>5739</v>
      </c>
      <c r="O534" s="786">
        <v>0</v>
      </c>
      <c r="P534" s="785">
        <v>4180</v>
      </c>
      <c r="Q534" s="787">
        <f t="shared" si="17"/>
        <v>9919</v>
      </c>
      <c r="R534" s="785"/>
      <c r="S534" s="786">
        <v>68320</v>
      </c>
      <c r="T534" s="788">
        <v>39831</v>
      </c>
      <c r="U534" s="788">
        <v>108151</v>
      </c>
    </row>
    <row r="535" spans="1:21" x14ac:dyDescent="0.25">
      <c r="A535" s="782">
        <v>95853</v>
      </c>
      <c r="B535" s="783" t="s">
        <v>3145</v>
      </c>
      <c r="C535" s="784">
        <v>2.69E-5</v>
      </c>
      <c r="D535" s="784">
        <v>2.4000000000000001E-5</v>
      </c>
      <c r="E535" s="800">
        <v>14344</v>
      </c>
      <c r="F535" s="785">
        <v>41096</v>
      </c>
      <c r="G535" s="785"/>
      <c r="H535" s="786">
        <v>2367</v>
      </c>
      <c r="I535" s="787">
        <v>9978</v>
      </c>
      <c r="J535" s="786">
        <v>5869</v>
      </c>
      <c r="K535" s="785">
        <v>8793</v>
      </c>
      <c r="L535" s="787">
        <f t="shared" si="16"/>
        <v>27007</v>
      </c>
      <c r="M535" s="785"/>
      <c r="N535" s="786">
        <v>1163</v>
      </c>
      <c r="O535" s="786">
        <v>0</v>
      </c>
      <c r="P535" s="785">
        <v>0</v>
      </c>
      <c r="Q535" s="787">
        <f t="shared" si="17"/>
        <v>1163</v>
      </c>
      <c r="R535" s="785"/>
      <c r="S535" s="786">
        <v>13849</v>
      </c>
      <c r="T535" s="788">
        <v>3675</v>
      </c>
      <c r="U535" s="788">
        <f>17525-1</f>
        <v>17524</v>
      </c>
    </row>
    <row r="536" spans="1:21" x14ac:dyDescent="0.25">
      <c r="A536" s="782">
        <v>95901</v>
      </c>
      <c r="B536" s="783" t="s">
        <v>3146</v>
      </c>
      <c r="C536" s="784">
        <v>1.8714999999999999E-3</v>
      </c>
      <c r="D536" s="784">
        <v>1.8266999999999999E-3</v>
      </c>
      <c r="E536" s="800">
        <v>815702</v>
      </c>
      <c r="F536" s="785">
        <v>2859134</v>
      </c>
      <c r="G536" s="785"/>
      <c r="H536" s="786">
        <v>164713</v>
      </c>
      <c r="I536" s="787">
        <v>694201</v>
      </c>
      <c r="J536" s="786">
        <v>408324</v>
      </c>
      <c r="K536" s="785">
        <v>36652</v>
      </c>
      <c r="L536" s="787">
        <f t="shared" si="16"/>
        <v>1303890</v>
      </c>
      <c r="M536" s="785"/>
      <c r="N536" s="786">
        <v>80933</v>
      </c>
      <c r="O536" s="786">
        <v>0</v>
      </c>
      <c r="P536" s="785">
        <v>13191</v>
      </c>
      <c r="Q536" s="787">
        <f t="shared" si="17"/>
        <v>94124</v>
      </c>
      <c r="R536" s="785"/>
      <c r="S536" s="786">
        <v>963531</v>
      </c>
      <c r="T536" s="788">
        <v>28466</v>
      </c>
      <c r="U536" s="788">
        <v>991997</v>
      </c>
    </row>
    <row r="537" spans="1:21" x14ac:dyDescent="0.25">
      <c r="A537" s="782">
        <v>95908</v>
      </c>
      <c r="B537" s="783" t="s">
        <v>3147</v>
      </c>
      <c r="C537" s="784">
        <v>7.2200000000000007E-5</v>
      </c>
      <c r="D537" s="784">
        <v>7.2000000000000002E-5</v>
      </c>
      <c r="E537" s="800">
        <v>24598</v>
      </c>
      <c r="F537" s="785">
        <v>110302</v>
      </c>
      <c r="G537" s="785"/>
      <c r="H537" s="786">
        <v>6354</v>
      </c>
      <c r="I537" s="787">
        <v>26781</v>
      </c>
      <c r="J537" s="786">
        <v>15753</v>
      </c>
      <c r="K537" s="785">
        <v>0</v>
      </c>
      <c r="L537" s="787">
        <f t="shared" si="16"/>
        <v>48888</v>
      </c>
      <c r="M537" s="785"/>
      <c r="N537" s="786">
        <v>3122</v>
      </c>
      <c r="O537" s="786">
        <v>0</v>
      </c>
      <c r="P537" s="785">
        <v>22164</v>
      </c>
      <c r="Q537" s="787">
        <f t="shared" si="17"/>
        <v>25286</v>
      </c>
      <c r="R537" s="785"/>
      <c r="S537" s="786">
        <v>37172</v>
      </c>
      <c r="T537" s="788">
        <v>-10736</v>
      </c>
      <c r="U537" s="788">
        <v>26436</v>
      </c>
    </row>
    <row r="538" spans="1:21" x14ac:dyDescent="0.25">
      <c r="A538" s="782">
        <v>95911</v>
      </c>
      <c r="B538" s="783" t="s">
        <v>3148</v>
      </c>
      <c r="C538" s="784">
        <v>5.7450000000000003E-4</v>
      </c>
      <c r="D538" s="784">
        <v>5.6979999999999997E-4</v>
      </c>
      <c r="E538" s="800">
        <v>244845</v>
      </c>
      <c r="F538" s="785">
        <v>877677</v>
      </c>
      <c r="G538" s="785"/>
      <c r="H538" s="786">
        <v>50562</v>
      </c>
      <c r="I538" s="787">
        <v>213101</v>
      </c>
      <c r="J538" s="786">
        <v>125344</v>
      </c>
      <c r="K538" s="785">
        <v>2898</v>
      </c>
      <c r="L538" s="787">
        <f t="shared" si="16"/>
        <v>391905</v>
      </c>
      <c r="M538" s="785"/>
      <c r="N538" s="786">
        <v>24844</v>
      </c>
      <c r="O538" s="786">
        <v>0</v>
      </c>
      <c r="P538" s="785">
        <v>40952</v>
      </c>
      <c r="Q538" s="787">
        <f t="shared" si="17"/>
        <v>65796</v>
      </c>
      <c r="R538" s="785"/>
      <c r="S538" s="786">
        <v>295778</v>
      </c>
      <c r="T538" s="788">
        <v>-14076</v>
      </c>
      <c r="U538" s="788">
        <v>281702</v>
      </c>
    </row>
    <row r="539" spans="1:21" x14ac:dyDescent="0.25">
      <c r="A539" s="782">
        <v>95917</v>
      </c>
      <c r="B539" s="783" t="s">
        <v>3149</v>
      </c>
      <c r="C539" s="784">
        <v>2.6699999999999998E-5</v>
      </c>
      <c r="D539" s="784">
        <v>2.2399999999999999E-5</v>
      </c>
      <c r="E539" s="800">
        <v>11001</v>
      </c>
      <c r="F539" s="785">
        <v>40790</v>
      </c>
      <c r="G539" s="785"/>
      <c r="H539" s="786">
        <v>2350</v>
      </c>
      <c r="I539" s="787">
        <v>9904</v>
      </c>
      <c r="J539" s="786">
        <v>5825</v>
      </c>
      <c r="K539" s="785">
        <v>4378</v>
      </c>
      <c r="L539" s="787">
        <f t="shared" si="16"/>
        <v>22457</v>
      </c>
      <c r="M539" s="785"/>
      <c r="N539" s="786">
        <v>1155</v>
      </c>
      <c r="O539" s="786">
        <v>0</v>
      </c>
      <c r="P539" s="785">
        <v>501</v>
      </c>
      <c r="Q539" s="787">
        <f t="shared" si="17"/>
        <v>1656</v>
      </c>
      <c r="R539" s="785"/>
      <c r="S539" s="786">
        <v>13746</v>
      </c>
      <c r="T539" s="788">
        <v>2216</v>
      </c>
      <c r="U539" s="788">
        <v>15962</v>
      </c>
    </row>
    <row r="540" spans="1:21" x14ac:dyDescent="0.25">
      <c r="A540" s="782">
        <v>95921</v>
      </c>
      <c r="B540" s="783" t="s">
        <v>3150</v>
      </c>
      <c r="C540" s="784">
        <v>4.7500000000000003E-5</v>
      </c>
      <c r="D540" s="784">
        <v>4.4700000000000002E-5</v>
      </c>
      <c r="E540" s="800">
        <v>19772</v>
      </c>
      <c r="F540" s="785">
        <v>72567</v>
      </c>
      <c r="G540" s="785"/>
      <c r="H540" s="786">
        <v>4181</v>
      </c>
      <c r="I540" s="787">
        <v>17619</v>
      </c>
      <c r="J540" s="786">
        <v>10364</v>
      </c>
      <c r="K540" s="785">
        <v>3925</v>
      </c>
      <c r="L540" s="787">
        <f t="shared" si="16"/>
        <v>36089</v>
      </c>
      <c r="M540" s="785"/>
      <c r="N540" s="786">
        <v>2054</v>
      </c>
      <c r="O540" s="786">
        <v>0</v>
      </c>
      <c r="P540" s="785">
        <v>948</v>
      </c>
      <c r="Q540" s="787">
        <f t="shared" si="17"/>
        <v>3002</v>
      </c>
      <c r="R540" s="785"/>
      <c r="S540" s="786">
        <v>24455</v>
      </c>
      <c r="T540" s="788">
        <v>526</v>
      </c>
      <c r="U540" s="788">
        <v>24981</v>
      </c>
    </row>
    <row r="541" spans="1:21" x14ac:dyDescent="0.25">
      <c r="A541" s="782">
        <v>96001</v>
      </c>
      <c r="B541" s="783" t="s">
        <v>3151</v>
      </c>
      <c r="C541" s="784">
        <v>4.4386399999999999E-2</v>
      </c>
      <c r="D541" s="784">
        <v>4.43519E-2</v>
      </c>
      <c r="E541" s="800">
        <v>20012605</v>
      </c>
      <c r="F541" s="785">
        <v>67810124</v>
      </c>
      <c r="G541" s="785"/>
      <c r="H541" s="786">
        <v>3906491</v>
      </c>
      <c r="I541" s="787">
        <v>16464380</v>
      </c>
      <c r="J541" s="786">
        <v>9684225</v>
      </c>
      <c r="K541" s="785">
        <v>1457342</v>
      </c>
      <c r="L541" s="787">
        <f t="shared" si="16"/>
        <v>31512438</v>
      </c>
      <c r="M541" s="785"/>
      <c r="N541" s="786">
        <v>1919490</v>
      </c>
      <c r="O541" s="786">
        <v>0</v>
      </c>
      <c r="P541" s="785">
        <v>477903</v>
      </c>
      <c r="Q541" s="787">
        <f t="shared" si="17"/>
        <v>2397393</v>
      </c>
      <c r="R541" s="785"/>
      <c r="S541" s="786">
        <v>22852072</v>
      </c>
      <c r="T541" s="788">
        <v>1208760</v>
      </c>
      <c r="U541" s="788">
        <v>24060832</v>
      </c>
    </row>
    <row r="542" spans="1:21" x14ac:dyDescent="0.25">
      <c r="A542" s="782">
        <v>96003</v>
      </c>
      <c r="B542" s="783" t="s">
        <v>3152</v>
      </c>
      <c r="C542" s="784">
        <v>1.6523E-3</v>
      </c>
      <c r="D542" s="784">
        <v>1.7309000000000001E-3</v>
      </c>
      <c r="E542" s="800">
        <v>743373</v>
      </c>
      <c r="F542" s="785">
        <v>2524257</v>
      </c>
      <c r="G542" s="785"/>
      <c r="H542" s="786">
        <v>145421</v>
      </c>
      <c r="I542" s="787">
        <v>612893</v>
      </c>
      <c r="J542" s="786">
        <v>360499</v>
      </c>
      <c r="K542" s="785">
        <v>3089</v>
      </c>
      <c r="L542" s="787">
        <f t="shared" si="16"/>
        <v>1121902</v>
      </c>
      <c r="M542" s="785"/>
      <c r="N542" s="786">
        <v>71454</v>
      </c>
      <c r="O542" s="786">
        <v>0</v>
      </c>
      <c r="P542" s="785">
        <v>135978</v>
      </c>
      <c r="Q542" s="787">
        <f t="shared" si="17"/>
        <v>207432</v>
      </c>
      <c r="R542" s="785"/>
      <c r="S542" s="786">
        <v>850677</v>
      </c>
      <c r="T542" s="788">
        <v>-56030</v>
      </c>
      <c r="U542" s="788">
        <v>794647</v>
      </c>
    </row>
    <row r="543" spans="1:21" x14ac:dyDescent="0.25">
      <c r="A543" s="782">
        <v>96004</v>
      </c>
      <c r="B543" s="783" t="s">
        <v>3153</v>
      </c>
      <c r="C543" s="784">
        <v>8.9439999999999995E-4</v>
      </c>
      <c r="D543" s="784">
        <v>8.7699999999999996E-4</v>
      </c>
      <c r="E543" s="800">
        <v>462352</v>
      </c>
      <c r="F543" s="785">
        <v>1366395</v>
      </c>
      <c r="G543" s="785"/>
      <c r="H543" s="786">
        <v>78717</v>
      </c>
      <c r="I543" s="787">
        <v>331762</v>
      </c>
      <c r="J543" s="786">
        <v>195140</v>
      </c>
      <c r="K543" s="785">
        <v>149546</v>
      </c>
      <c r="L543" s="787">
        <f t="shared" si="16"/>
        <v>755165</v>
      </c>
      <c r="M543" s="785"/>
      <c r="N543" s="786">
        <v>38678</v>
      </c>
      <c r="O543" s="786">
        <v>0</v>
      </c>
      <c r="P543" s="785">
        <v>0</v>
      </c>
      <c r="Q543" s="787">
        <f t="shared" si="17"/>
        <v>38678</v>
      </c>
      <c r="R543" s="785"/>
      <c r="S543" s="786">
        <v>460476</v>
      </c>
      <c r="T543" s="788">
        <v>65505</v>
      </c>
      <c r="U543" s="788">
        <f>525982-1</f>
        <v>525981</v>
      </c>
    </row>
    <row r="544" spans="1:21" x14ac:dyDescent="0.25">
      <c r="A544" s="782">
        <v>96005</v>
      </c>
      <c r="B544" s="783" t="s">
        <v>3154</v>
      </c>
      <c r="C544" s="784">
        <v>2.6733999999999998E-3</v>
      </c>
      <c r="D544" s="784">
        <v>2.6457E-3</v>
      </c>
      <c r="E544" s="800">
        <v>1240290</v>
      </c>
      <c r="F544" s="785">
        <v>4084215</v>
      </c>
      <c r="G544" s="785"/>
      <c r="H544" s="786">
        <v>235289</v>
      </c>
      <c r="I544" s="787">
        <v>991653</v>
      </c>
      <c r="J544" s="786">
        <v>583282</v>
      </c>
      <c r="K544" s="785">
        <v>222285</v>
      </c>
      <c r="L544" s="787">
        <f t="shared" si="16"/>
        <v>2032509</v>
      </c>
      <c r="M544" s="785"/>
      <c r="N544" s="786">
        <v>115611</v>
      </c>
      <c r="O544" s="786">
        <v>0</v>
      </c>
      <c r="P544" s="785">
        <v>0</v>
      </c>
      <c r="Q544" s="787">
        <f t="shared" si="17"/>
        <v>115611</v>
      </c>
      <c r="R544" s="785"/>
      <c r="S544" s="786">
        <v>1376384</v>
      </c>
      <c r="T544" s="788">
        <v>159087</v>
      </c>
      <c r="U544" s="788">
        <v>1535471</v>
      </c>
    </row>
    <row r="545" spans="1:21" x14ac:dyDescent="0.25">
      <c r="A545" s="782">
        <v>96008</v>
      </c>
      <c r="B545" s="783" t="s">
        <v>3155</v>
      </c>
      <c r="C545" s="784">
        <v>5.9955E-3</v>
      </c>
      <c r="D545" s="784">
        <v>5.9388000000000002E-3</v>
      </c>
      <c r="E545" s="800">
        <v>2075076</v>
      </c>
      <c r="F545" s="785">
        <v>9159463</v>
      </c>
      <c r="G545" s="785"/>
      <c r="H545" s="786">
        <v>527670</v>
      </c>
      <c r="I545" s="787">
        <v>2223929</v>
      </c>
      <c r="J545" s="786">
        <v>1308098</v>
      </c>
      <c r="K545" s="785">
        <v>0</v>
      </c>
      <c r="L545" s="787">
        <f t="shared" si="16"/>
        <v>4059697</v>
      </c>
      <c r="M545" s="785"/>
      <c r="N545" s="786">
        <v>259275</v>
      </c>
      <c r="O545" s="786">
        <v>0</v>
      </c>
      <c r="P545" s="785">
        <v>767021</v>
      </c>
      <c r="Q545" s="787">
        <f t="shared" si="17"/>
        <v>1026296</v>
      </c>
      <c r="R545" s="785"/>
      <c r="S545" s="786">
        <v>3086747</v>
      </c>
      <c r="T545" s="788">
        <v>-274630</v>
      </c>
      <c r="U545" s="788">
        <v>2812117</v>
      </c>
    </row>
    <row r="546" spans="1:21" x14ac:dyDescent="0.25">
      <c r="A546" s="782">
        <v>96009</v>
      </c>
      <c r="B546" s="783" t="s">
        <v>3156</v>
      </c>
      <c r="C546" s="784">
        <v>3.7609999999999998E-4</v>
      </c>
      <c r="D546" s="784">
        <v>3.5980000000000002E-4</v>
      </c>
      <c r="E546" s="800">
        <v>192063</v>
      </c>
      <c r="F546" s="785">
        <v>574577</v>
      </c>
      <c r="G546" s="785"/>
      <c r="H546" s="786">
        <v>33101</v>
      </c>
      <c r="I546" s="787">
        <v>139508</v>
      </c>
      <c r="J546" s="786">
        <v>82057</v>
      </c>
      <c r="K546" s="785">
        <v>33181</v>
      </c>
      <c r="L546" s="787">
        <f t="shared" si="16"/>
        <v>287847</v>
      </c>
      <c r="M546" s="785"/>
      <c r="N546" s="786">
        <v>16264</v>
      </c>
      <c r="O546" s="786">
        <v>0</v>
      </c>
      <c r="P546" s="785">
        <v>2595</v>
      </c>
      <c r="Q546" s="787">
        <f t="shared" si="17"/>
        <v>18859</v>
      </c>
      <c r="R546" s="785"/>
      <c r="S546" s="786">
        <v>193633</v>
      </c>
      <c r="T546" s="788">
        <v>11508</v>
      </c>
      <c r="U546" s="788">
        <v>205141</v>
      </c>
    </row>
    <row r="547" spans="1:21" x14ac:dyDescent="0.25">
      <c r="A547" s="782">
        <v>96011</v>
      </c>
      <c r="B547" s="783" t="s">
        <v>3157</v>
      </c>
      <c r="C547" s="784">
        <v>6.1150400000000001E-2</v>
      </c>
      <c r="D547" s="784">
        <v>6.0489000000000001E-2</v>
      </c>
      <c r="E547" s="800">
        <v>28379211</v>
      </c>
      <c r="F547" s="785">
        <v>93420873</v>
      </c>
      <c r="G547" s="785"/>
      <c r="H547" s="786">
        <v>5381908</v>
      </c>
      <c r="I547" s="787">
        <v>22682701</v>
      </c>
      <c r="J547" s="786">
        <v>13341794</v>
      </c>
      <c r="K547" s="785">
        <v>796221</v>
      </c>
      <c r="L547" s="787">
        <f t="shared" si="16"/>
        <v>42202624</v>
      </c>
      <c r="M547" s="785"/>
      <c r="N547" s="786">
        <v>2644449</v>
      </c>
      <c r="O547" s="786">
        <v>0</v>
      </c>
      <c r="P547" s="785">
        <v>51460</v>
      </c>
      <c r="Q547" s="787">
        <f t="shared" si="17"/>
        <v>2695909</v>
      </c>
      <c r="R547" s="785"/>
      <c r="S547" s="786">
        <v>31482917</v>
      </c>
      <c r="T547" s="788">
        <v>212508</v>
      </c>
      <c r="U547" s="788">
        <v>31695425</v>
      </c>
    </row>
    <row r="548" spans="1:21" x14ac:dyDescent="0.25">
      <c r="A548" s="782">
        <v>96012</v>
      </c>
      <c r="B548" s="783" t="s">
        <v>3158</v>
      </c>
      <c r="C548" s="784">
        <v>2.4417000000000002E-3</v>
      </c>
      <c r="D548" s="784">
        <v>2.4095000000000002E-3</v>
      </c>
      <c r="E548" s="800">
        <v>1092788</v>
      </c>
      <c r="F548" s="785">
        <v>3730241</v>
      </c>
      <c r="G548" s="785"/>
      <c r="H548" s="786">
        <v>214896</v>
      </c>
      <c r="I548" s="787">
        <v>905707</v>
      </c>
      <c r="J548" s="786">
        <v>532730</v>
      </c>
      <c r="K548" s="785">
        <v>77080</v>
      </c>
      <c r="L548" s="787">
        <f t="shared" si="16"/>
        <v>1730413</v>
      </c>
      <c r="M548" s="785"/>
      <c r="N548" s="786">
        <v>105591</v>
      </c>
      <c r="O548" s="786">
        <v>0</v>
      </c>
      <c r="P548" s="785">
        <v>937</v>
      </c>
      <c r="Q548" s="787">
        <f t="shared" si="17"/>
        <v>106528</v>
      </c>
      <c r="R548" s="785"/>
      <c r="S548" s="786">
        <v>1257095</v>
      </c>
      <c r="T548" s="788">
        <v>35595</v>
      </c>
      <c r="U548" s="788">
        <v>1292690</v>
      </c>
    </row>
    <row r="549" spans="1:21" x14ac:dyDescent="0.25">
      <c r="A549" s="782">
        <v>96018</v>
      </c>
      <c r="B549" s="783" t="s">
        <v>3159</v>
      </c>
      <c r="C549" s="784">
        <v>4.3600000000000003E-5</v>
      </c>
      <c r="D549" s="784">
        <v>3.6199999999999999E-5</v>
      </c>
      <c r="E549" s="800">
        <v>18035</v>
      </c>
      <c r="F549" s="785">
        <v>66609</v>
      </c>
      <c r="G549" s="785"/>
      <c r="H549" s="786">
        <v>3837</v>
      </c>
      <c r="I549" s="787">
        <v>16173</v>
      </c>
      <c r="J549" s="786">
        <v>9513</v>
      </c>
      <c r="K549" s="785">
        <v>9704</v>
      </c>
      <c r="L549" s="787">
        <f t="shared" si="16"/>
        <v>39227</v>
      </c>
      <c r="M549" s="785"/>
      <c r="N549" s="786">
        <v>1885</v>
      </c>
      <c r="O549" s="786">
        <v>0</v>
      </c>
      <c r="P549" s="785">
        <v>0</v>
      </c>
      <c r="Q549" s="787">
        <f t="shared" si="17"/>
        <v>1885</v>
      </c>
      <c r="R549" s="785"/>
      <c r="S549" s="786">
        <v>22447</v>
      </c>
      <c r="T549" s="788">
        <v>5913</v>
      </c>
      <c r="U549" s="788">
        <v>28360</v>
      </c>
    </row>
    <row r="550" spans="1:21" x14ac:dyDescent="0.25">
      <c r="A550" s="782">
        <v>96021</v>
      </c>
      <c r="B550" s="783" t="s">
        <v>3160</v>
      </c>
      <c r="C550" s="784">
        <v>7.2090000000000001E-4</v>
      </c>
      <c r="D550" s="784">
        <v>8.5829999999999999E-4</v>
      </c>
      <c r="E550" s="800">
        <v>327690</v>
      </c>
      <c r="F550" s="785">
        <v>1101336</v>
      </c>
      <c r="G550" s="785"/>
      <c r="H550" s="786">
        <v>63447</v>
      </c>
      <c r="I550" s="787">
        <v>267406</v>
      </c>
      <c r="J550" s="786">
        <v>157286</v>
      </c>
      <c r="K550" s="785">
        <v>31959</v>
      </c>
      <c r="L550" s="787">
        <f t="shared" si="16"/>
        <v>520098</v>
      </c>
      <c r="M550" s="785"/>
      <c r="N550" s="786">
        <v>31175</v>
      </c>
      <c r="O550" s="786">
        <v>0</v>
      </c>
      <c r="P550" s="785">
        <v>119309</v>
      </c>
      <c r="Q550" s="787">
        <f t="shared" si="17"/>
        <v>150484</v>
      </c>
      <c r="R550" s="785"/>
      <c r="S550" s="786">
        <v>371151</v>
      </c>
      <c r="T550" s="788">
        <v>-13869</v>
      </c>
      <c r="U550" s="788">
        <v>357282</v>
      </c>
    </row>
    <row r="551" spans="1:21" x14ac:dyDescent="0.25">
      <c r="A551" s="782">
        <v>96031</v>
      </c>
      <c r="B551" s="783" t="s">
        <v>3161</v>
      </c>
      <c r="C551" s="784">
        <v>8.2580000000000001E-4</v>
      </c>
      <c r="D551" s="784">
        <v>9.0189999999999997E-4</v>
      </c>
      <c r="E551" s="800">
        <v>325476</v>
      </c>
      <c r="F551" s="785">
        <v>1261594</v>
      </c>
      <c r="G551" s="785"/>
      <c r="H551" s="786">
        <v>72679</v>
      </c>
      <c r="I551" s="787">
        <v>306317</v>
      </c>
      <c r="J551" s="786">
        <v>180173</v>
      </c>
      <c r="K551" s="785">
        <v>0</v>
      </c>
      <c r="L551" s="787">
        <f t="shared" si="16"/>
        <v>559169</v>
      </c>
      <c r="M551" s="785"/>
      <c r="N551" s="786">
        <v>35712</v>
      </c>
      <c r="O551" s="786">
        <v>0</v>
      </c>
      <c r="P551" s="785">
        <v>179263</v>
      </c>
      <c r="Q551" s="787">
        <f t="shared" si="17"/>
        <v>214975</v>
      </c>
      <c r="R551" s="785"/>
      <c r="S551" s="786">
        <v>425158</v>
      </c>
      <c r="T551" s="788">
        <v>-74461</v>
      </c>
      <c r="U551" s="788">
        <v>350697</v>
      </c>
    </row>
    <row r="552" spans="1:21" x14ac:dyDescent="0.25">
      <c r="A552" s="782">
        <v>96041</v>
      </c>
      <c r="B552" s="783" t="s">
        <v>3162</v>
      </c>
      <c r="C552" s="784">
        <v>1.7361E-3</v>
      </c>
      <c r="D552" s="784">
        <v>1.7323E-3</v>
      </c>
      <c r="E552" s="800">
        <v>721544</v>
      </c>
      <c r="F552" s="785">
        <v>2652280</v>
      </c>
      <c r="G552" s="785"/>
      <c r="H552" s="786">
        <v>152796</v>
      </c>
      <c r="I552" s="787">
        <v>643977</v>
      </c>
      <c r="J552" s="786">
        <v>378782</v>
      </c>
      <c r="K552" s="785">
        <v>0</v>
      </c>
      <c r="L552" s="787">
        <f t="shared" si="16"/>
        <v>1175555</v>
      </c>
      <c r="M552" s="785"/>
      <c r="N552" s="786">
        <v>75078</v>
      </c>
      <c r="O552" s="786">
        <v>0</v>
      </c>
      <c r="P552" s="785">
        <v>139404</v>
      </c>
      <c r="Q552" s="787">
        <f t="shared" si="17"/>
        <v>214482</v>
      </c>
      <c r="R552" s="785"/>
      <c r="S552" s="786">
        <v>893821</v>
      </c>
      <c r="T552" s="788">
        <v>-60075</v>
      </c>
      <c r="U552" s="788">
        <v>833746</v>
      </c>
    </row>
    <row r="553" spans="1:21" x14ac:dyDescent="0.25">
      <c r="A553" s="782">
        <v>96051</v>
      </c>
      <c r="B553" s="783" t="s">
        <v>3163</v>
      </c>
      <c r="C553" s="784">
        <v>1.0062000000000001E-3</v>
      </c>
      <c r="D553" s="784">
        <v>1.0258000000000001E-3</v>
      </c>
      <c r="E553" s="800">
        <v>418346</v>
      </c>
      <c r="F553" s="785">
        <v>1537195</v>
      </c>
      <c r="G553" s="785"/>
      <c r="H553" s="786">
        <v>88557</v>
      </c>
      <c r="I553" s="787">
        <v>373233</v>
      </c>
      <c r="J553" s="786">
        <v>219533</v>
      </c>
      <c r="K553" s="785">
        <v>0</v>
      </c>
      <c r="L553" s="787">
        <f t="shared" si="16"/>
        <v>681323</v>
      </c>
      <c r="M553" s="785"/>
      <c r="N553" s="786">
        <v>43513</v>
      </c>
      <c r="O553" s="786">
        <v>0</v>
      </c>
      <c r="P553" s="785">
        <v>109605</v>
      </c>
      <c r="Q553" s="787">
        <f t="shared" si="17"/>
        <v>153118</v>
      </c>
      <c r="R553" s="785"/>
      <c r="S553" s="786">
        <v>518036</v>
      </c>
      <c r="T553" s="788">
        <v>-44751</v>
      </c>
      <c r="U553" s="788">
        <v>473285</v>
      </c>
    </row>
    <row r="554" spans="1:21" x14ac:dyDescent="0.25">
      <c r="A554" s="782">
        <v>96061</v>
      </c>
      <c r="B554" s="783" t="s">
        <v>3164</v>
      </c>
      <c r="C554" s="784">
        <v>3.3950000000000001E-4</v>
      </c>
      <c r="D554" s="784">
        <v>3.0800000000000001E-4</v>
      </c>
      <c r="E554" s="800">
        <v>154988</v>
      </c>
      <c r="F554" s="785">
        <v>518662</v>
      </c>
      <c r="G554" s="785"/>
      <c r="H554" s="786">
        <v>29880</v>
      </c>
      <c r="I554" s="787">
        <v>125932</v>
      </c>
      <c r="J554" s="786">
        <v>74072</v>
      </c>
      <c r="K554" s="785">
        <v>21868</v>
      </c>
      <c r="L554" s="787">
        <f t="shared" si="16"/>
        <v>251752</v>
      </c>
      <c r="M554" s="785"/>
      <c r="N554" s="786">
        <v>14682</v>
      </c>
      <c r="O554" s="786">
        <v>0</v>
      </c>
      <c r="P554" s="785">
        <v>7447</v>
      </c>
      <c r="Q554" s="787">
        <f t="shared" si="17"/>
        <v>22129</v>
      </c>
      <c r="R554" s="785"/>
      <c r="S554" s="786">
        <v>174790</v>
      </c>
      <c r="T554" s="788">
        <v>2241</v>
      </c>
      <c r="U554" s="788">
        <v>177031</v>
      </c>
    </row>
    <row r="555" spans="1:21" x14ac:dyDescent="0.25">
      <c r="A555" s="782">
        <v>96071</v>
      </c>
      <c r="B555" s="783" t="s">
        <v>3165</v>
      </c>
      <c r="C555" s="784">
        <v>1.1367E-3</v>
      </c>
      <c r="D555" s="784">
        <v>1.1280999999999999E-3</v>
      </c>
      <c r="E555" s="800">
        <v>554009</v>
      </c>
      <c r="F555" s="785">
        <v>1736563</v>
      </c>
      <c r="G555" s="785"/>
      <c r="H555" s="786">
        <v>100042</v>
      </c>
      <c r="I555" s="787">
        <v>421639</v>
      </c>
      <c r="J555" s="786">
        <v>248005</v>
      </c>
      <c r="K555" s="785">
        <v>72999</v>
      </c>
      <c r="L555" s="787">
        <f t="shared" si="16"/>
        <v>842685</v>
      </c>
      <c r="M555" s="785"/>
      <c r="N555" s="786">
        <v>49157</v>
      </c>
      <c r="O555" s="786">
        <v>0</v>
      </c>
      <c r="P555" s="785">
        <v>71715</v>
      </c>
      <c r="Q555" s="787">
        <f t="shared" si="17"/>
        <v>120872</v>
      </c>
      <c r="R555" s="785"/>
      <c r="S555" s="786">
        <v>585223</v>
      </c>
      <c r="T555" s="788">
        <v>-1282</v>
      </c>
      <c r="U555" s="788">
        <v>583941</v>
      </c>
    </row>
    <row r="556" spans="1:21" x14ac:dyDescent="0.25">
      <c r="A556" s="782">
        <v>96081</v>
      </c>
      <c r="B556" s="783" t="s">
        <v>3166</v>
      </c>
      <c r="C556" s="784">
        <v>5.0900000000000001E-4</v>
      </c>
      <c r="D556" s="784">
        <v>4.7820000000000002E-4</v>
      </c>
      <c r="E556" s="800">
        <v>211520</v>
      </c>
      <c r="F556" s="785">
        <v>777611</v>
      </c>
      <c r="G556" s="785"/>
      <c r="H556" s="786">
        <v>44798</v>
      </c>
      <c r="I556" s="787">
        <v>188805</v>
      </c>
      <c r="J556" s="786">
        <v>111054</v>
      </c>
      <c r="K556" s="785">
        <v>10640</v>
      </c>
      <c r="L556" s="787">
        <f t="shared" si="16"/>
        <v>355297</v>
      </c>
      <c r="M556" s="785"/>
      <c r="N556" s="786">
        <v>22012</v>
      </c>
      <c r="O556" s="786">
        <v>0</v>
      </c>
      <c r="P556" s="785">
        <v>4115</v>
      </c>
      <c r="Q556" s="787">
        <f t="shared" si="17"/>
        <v>26127</v>
      </c>
      <c r="R556" s="785"/>
      <c r="S556" s="786">
        <v>262056</v>
      </c>
      <c r="T556" s="788">
        <v>5137</v>
      </c>
      <c r="U556" s="788">
        <v>267193</v>
      </c>
    </row>
    <row r="557" spans="1:21" x14ac:dyDescent="0.25">
      <c r="A557" s="782">
        <v>96101</v>
      </c>
      <c r="B557" s="783" t="s">
        <v>3167</v>
      </c>
      <c r="C557" s="784">
        <v>7.6749999999999995E-4</v>
      </c>
      <c r="D557" s="784">
        <v>7.5860000000000001E-4</v>
      </c>
      <c r="E557" s="800">
        <v>371541</v>
      </c>
      <c r="F557" s="785">
        <v>1172527</v>
      </c>
      <c r="G557" s="785"/>
      <c r="H557" s="786">
        <v>67548</v>
      </c>
      <c r="I557" s="787">
        <v>284691</v>
      </c>
      <c r="J557" s="786">
        <v>167453</v>
      </c>
      <c r="K557" s="785">
        <v>39221</v>
      </c>
      <c r="L557" s="787">
        <f t="shared" si="16"/>
        <v>558913</v>
      </c>
      <c r="M557" s="785"/>
      <c r="N557" s="786">
        <v>33191</v>
      </c>
      <c r="O557" s="786">
        <v>0</v>
      </c>
      <c r="P557" s="785">
        <v>3498</v>
      </c>
      <c r="Q557" s="787">
        <f t="shared" si="17"/>
        <v>36689</v>
      </c>
      <c r="R557" s="785"/>
      <c r="S557" s="786">
        <v>395143</v>
      </c>
      <c r="T557" s="788">
        <v>17230</v>
      </c>
      <c r="U557" s="788">
        <v>412373</v>
      </c>
    </row>
    <row r="558" spans="1:21" x14ac:dyDescent="0.25">
      <c r="A558" s="782">
        <v>96102</v>
      </c>
      <c r="B558" s="783" t="s">
        <v>3168</v>
      </c>
      <c r="C558" s="784">
        <v>1.36E-5</v>
      </c>
      <c r="D558" s="784">
        <v>1.42E-5</v>
      </c>
      <c r="E558" s="800">
        <v>5078</v>
      </c>
      <c r="F558" s="785">
        <v>20777</v>
      </c>
      <c r="G558" s="785"/>
      <c r="H558" s="786">
        <v>1197</v>
      </c>
      <c r="I558" s="787">
        <v>5045</v>
      </c>
      <c r="J558" s="786">
        <v>2967</v>
      </c>
      <c r="K558" s="785">
        <v>0</v>
      </c>
      <c r="L558" s="787">
        <f t="shared" si="16"/>
        <v>9209</v>
      </c>
      <c r="M558" s="785"/>
      <c r="N558" s="786">
        <v>588</v>
      </c>
      <c r="O558" s="786">
        <v>0</v>
      </c>
      <c r="P558" s="785">
        <v>3137</v>
      </c>
      <c r="Q558" s="787">
        <f t="shared" si="17"/>
        <v>3725</v>
      </c>
      <c r="R558" s="785"/>
      <c r="S558" s="786">
        <v>7002</v>
      </c>
      <c r="T558" s="788">
        <v>-1435</v>
      </c>
      <c r="U558" s="788">
        <v>5567</v>
      </c>
    </row>
    <row r="559" spans="1:21" x14ac:dyDescent="0.25">
      <c r="A559" s="782">
        <v>96111</v>
      </c>
      <c r="B559" s="783" t="s">
        <v>3169</v>
      </c>
      <c r="C559" s="784">
        <v>1.5349999999999999E-4</v>
      </c>
      <c r="D559" s="784">
        <v>1.6119999999999999E-4</v>
      </c>
      <c r="E559" s="800">
        <v>74819</v>
      </c>
      <c r="F559" s="785">
        <v>234505</v>
      </c>
      <c r="G559" s="785"/>
      <c r="H559" s="786">
        <v>13510</v>
      </c>
      <c r="I559" s="787">
        <v>56938</v>
      </c>
      <c r="J559" s="786">
        <v>33491</v>
      </c>
      <c r="K559" s="785">
        <v>9403</v>
      </c>
      <c r="L559" s="787">
        <f t="shared" si="16"/>
        <v>113342</v>
      </c>
      <c r="M559" s="785"/>
      <c r="N559" s="786">
        <v>6638</v>
      </c>
      <c r="O559" s="786">
        <v>0</v>
      </c>
      <c r="P559" s="785">
        <v>1683</v>
      </c>
      <c r="Q559" s="787">
        <f t="shared" si="17"/>
        <v>8321</v>
      </c>
      <c r="R559" s="785"/>
      <c r="S559" s="786">
        <v>79029</v>
      </c>
      <c r="T559" s="788">
        <v>6754</v>
      </c>
      <c r="U559" s="788">
        <v>85783</v>
      </c>
    </row>
    <row r="560" spans="1:21" x14ac:dyDescent="0.25">
      <c r="A560" s="782">
        <v>96121</v>
      </c>
      <c r="B560" s="783" t="s">
        <v>3170</v>
      </c>
      <c r="C560" s="784">
        <v>2.2500000000000001E-5</v>
      </c>
      <c r="D560" s="784">
        <v>2.2099999999999998E-5</v>
      </c>
      <c r="E560" s="800">
        <v>9052</v>
      </c>
      <c r="F560" s="785">
        <v>34374</v>
      </c>
      <c r="G560" s="785"/>
      <c r="H560" s="786">
        <v>1980</v>
      </c>
      <c r="I560" s="787">
        <v>8346</v>
      </c>
      <c r="J560" s="786">
        <v>4909</v>
      </c>
      <c r="K560" s="785">
        <v>397</v>
      </c>
      <c r="L560" s="787">
        <f t="shared" si="16"/>
        <v>15632</v>
      </c>
      <c r="M560" s="785"/>
      <c r="N560" s="786">
        <v>973</v>
      </c>
      <c r="O560" s="786">
        <v>0</v>
      </c>
      <c r="P560" s="785">
        <v>1764</v>
      </c>
      <c r="Q560" s="787">
        <f t="shared" si="17"/>
        <v>2737</v>
      </c>
      <c r="R560" s="785"/>
      <c r="S560" s="786">
        <v>11584</v>
      </c>
      <c r="T560" s="788">
        <v>-946</v>
      </c>
      <c r="U560" s="788">
        <v>10638</v>
      </c>
    </row>
    <row r="561" spans="1:21" x14ac:dyDescent="0.25">
      <c r="A561" s="782">
        <v>96201</v>
      </c>
      <c r="B561" s="783" t="s">
        <v>3171</v>
      </c>
      <c r="C561" s="784">
        <v>1.1788E-3</v>
      </c>
      <c r="D561" s="784">
        <v>1.2302999999999999E-3</v>
      </c>
      <c r="E561" s="800">
        <v>527645</v>
      </c>
      <c r="F561" s="785">
        <v>1800880</v>
      </c>
      <c r="G561" s="785"/>
      <c r="H561" s="786">
        <v>103747</v>
      </c>
      <c r="I561" s="787">
        <v>437256</v>
      </c>
      <c r="J561" s="786">
        <v>257191</v>
      </c>
      <c r="K561" s="785">
        <v>0</v>
      </c>
      <c r="L561" s="787">
        <f t="shared" si="16"/>
        <v>798194</v>
      </c>
      <c r="M561" s="785"/>
      <c r="N561" s="786">
        <v>50977</v>
      </c>
      <c r="O561" s="786">
        <v>0</v>
      </c>
      <c r="P561" s="785">
        <v>73119</v>
      </c>
      <c r="Q561" s="787">
        <f t="shared" si="17"/>
        <v>124096</v>
      </c>
      <c r="R561" s="785"/>
      <c r="S561" s="786">
        <v>606898</v>
      </c>
      <c r="T561" s="788">
        <v>-23257</v>
      </c>
      <c r="U561" s="788">
        <v>583641</v>
      </c>
    </row>
    <row r="562" spans="1:21" x14ac:dyDescent="0.25">
      <c r="A562" s="782">
        <v>96204</v>
      </c>
      <c r="B562" s="783" t="s">
        <v>3172</v>
      </c>
      <c r="C562" s="784">
        <v>1.5099999999999999E-5</v>
      </c>
      <c r="D562" s="784">
        <v>1.5400000000000002E-5</v>
      </c>
      <c r="E562" s="800">
        <v>8503</v>
      </c>
      <c r="F562" s="785">
        <v>23069</v>
      </c>
      <c r="G562" s="785"/>
      <c r="H562" s="786">
        <v>1329</v>
      </c>
      <c r="I562" s="787">
        <v>5602</v>
      </c>
      <c r="J562" s="786">
        <v>3295</v>
      </c>
      <c r="K562" s="785">
        <v>3517</v>
      </c>
      <c r="L562" s="787">
        <f t="shared" si="16"/>
        <v>13743</v>
      </c>
      <c r="M562" s="785"/>
      <c r="N562" s="786">
        <v>653</v>
      </c>
      <c r="O562" s="786">
        <v>0</v>
      </c>
      <c r="P562" s="785">
        <v>0</v>
      </c>
      <c r="Q562" s="787">
        <f t="shared" si="17"/>
        <v>653</v>
      </c>
      <c r="R562" s="785"/>
      <c r="S562" s="786">
        <v>7774</v>
      </c>
      <c r="T562" s="788">
        <v>1655</v>
      </c>
      <c r="U562" s="788">
        <f>9430-1</f>
        <v>9429</v>
      </c>
    </row>
    <row r="563" spans="1:21" x14ac:dyDescent="0.25">
      <c r="A563" s="782">
        <v>96211</v>
      </c>
      <c r="B563" s="783" t="s">
        <v>3173</v>
      </c>
      <c r="C563" s="784">
        <v>2.62E-5</v>
      </c>
      <c r="D563" s="784">
        <v>3.0700000000000001E-5</v>
      </c>
      <c r="E563" s="800">
        <v>16678</v>
      </c>
      <c r="F563" s="785">
        <v>40026</v>
      </c>
      <c r="G563" s="785"/>
      <c r="H563" s="786">
        <v>2306</v>
      </c>
      <c r="I563" s="787">
        <v>9718</v>
      </c>
      <c r="J563" s="786">
        <v>5716</v>
      </c>
      <c r="K563" s="785">
        <v>4494</v>
      </c>
      <c r="L563" s="787">
        <f t="shared" si="16"/>
        <v>22234</v>
      </c>
      <c r="M563" s="785"/>
      <c r="N563" s="786">
        <v>1133</v>
      </c>
      <c r="O563" s="786">
        <v>0</v>
      </c>
      <c r="P563" s="785">
        <v>4462</v>
      </c>
      <c r="Q563" s="787">
        <f t="shared" si="17"/>
        <v>5595</v>
      </c>
      <c r="R563" s="785"/>
      <c r="S563" s="786">
        <v>13489</v>
      </c>
      <c r="T563" s="788">
        <v>-2681</v>
      </c>
      <c r="U563" s="788">
        <v>10808</v>
      </c>
    </row>
    <row r="564" spans="1:21" x14ac:dyDescent="0.25">
      <c r="A564" s="782">
        <v>96221</v>
      </c>
      <c r="B564" s="783" t="s">
        <v>3174</v>
      </c>
      <c r="C564" s="784">
        <v>2.3350000000000001E-4</v>
      </c>
      <c r="D564" s="784">
        <v>2.287E-4</v>
      </c>
      <c r="E564" s="800">
        <v>98415</v>
      </c>
      <c r="F564" s="785">
        <v>356723</v>
      </c>
      <c r="G564" s="785"/>
      <c r="H564" s="786">
        <v>20551</v>
      </c>
      <c r="I564" s="787">
        <v>86613</v>
      </c>
      <c r="J564" s="786">
        <v>50945</v>
      </c>
      <c r="K564" s="785">
        <v>2439</v>
      </c>
      <c r="L564" s="787">
        <f t="shared" si="16"/>
        <v>160548</v>
      </c>
      <c r="M564" s="785"/>
      <c r="N564" s="786">
        <v>10098</v>
      </c>
      <c r="O564" s="786">
        <v>0</v>
      </c>
      <c r="P564" s="785">
        <v>15042</v>
      </c>
      <c r="Q564" s="787">
        <f t="shared" si="17"/>
        <v>25140</v>
      </c>
      <c r="R564" s="785"/>
      <c r="S564" s="786">
        <v>120216</v>
      </c>
      <c r="T564" s="788">
        <v>-3357</v>
      </c>
      <c r="U564" s="788">
        <f>116860-1</f>
        <v>116859</v>
      </c>
    </row>
    <row r="565" spans="1:21" x14ac:dyDescent="0.25">
      <c r="A565" s="782">
        <v>96231</v>
      </c>
      <c r="B565" s="783" t="s">
        <v>3175</v>
      </c>
      <c r="C565" s="784">
        <v>1.3339999999999999E-4</v>
      </c>
      <c r="D565" s="784">
        <v>1.145E-4</v>
      </c>
      <c r="E565" s="800">
        <v>48595</v>
      </c>
      <c r="F565" s="785">
        <v>203798</v>
      </c>
      <c r="G565" s="785"/>
      <c r="H565" s="786">
        <v>11741</v>
      </c>
      <c r="I565" s="787">
        <v>49482</v>
      </c>
      <c r="J565" s="786">
        <v>29105</v>
      </c>
      <c r="K565" s="785">
        <v>2554</v>
      </c>
      <c r="L565" s="787">
        <f t="shared" si="16"/>
        <v>92882</v>
      </c>
      <c r="M565" s="785"/>
      <c r="N565" s="786">
        <v>5769</v>
      </c>
      <c r="O565" s="786">
        <v>0</v>
      </c>
      <c r="P565" s="785">
        <v>14959</v>
      </c>
      <c r="Q565" s="787">
        <f t="shared" si="17"/>
        <v>20728</v>
      </c>
      <c r="R565" s="785"/>
      <c r="S565" s="786">
        <v>68680</v>
      </c>
      <c r="T565" s="788">
        <v>-7094</v>
      </c>
      <c r="U565" s="788">
        <v>61586</v>
      </c>
    </row>
    <row r="566" spans="1:21" x14ac:dyDescent="0.25">
      <c r="A566" s="782">
        <v>96241</v>
      </c>
      <c r="B566" s="783" t="s">
        <v>3176</v>
      </c>
      <c r="C566" s="784">
        <v>4.4700000000000002E-5</v>
      </c>
      <c r="D566" s="784">
        <v>4.6100000000000002E-5</v>
      </c>
      <c r="E566" s="800">
        <v>22791</v>
      </c>
      <c r="F566" s="785">
        <v>68289</v>
      </c>
      <c r="G566" s="785"/>
      <c r="H566" s="786">
        <v>3934</v>
      </c>
      <c r="I566" s="787">
        <v>16580</v>
      </c>
      <c r="J566" s="786">
        <v>9753</v>
      </c>
      <c r="K566" s="785">
        <v>5027</v>
      </c>
      <c r="L566" s="787">
        <f t="shared" si="16"/>
        <v>35294</v>
      </c>
      <c r="M566" s="785"/>
      <c r="N566" s="786">
        <v>1933</v>
      </c>
      <c r="O566" s="786">
        <v>0</v>
      </c>
      <c r="P566" s="785">
        <v>4371</v>
      </c>
      <c r="Q566" s="787">
        <f t="shared" si="17"/>
        <v>6304</v>
      </c>
      <c r="R566" s="785"/>
      <c r="S566" s="786">
        <v>23014</v>
      </c>
      <c r="T566" s="788">
        <v>2407</v>
      </c>
      <c r="U566" s="788">
        <f>25420+1</f>
        <v>25421</v>
      </c>
    </row>
    <row r="567" spans="1:21" x14ac:dyDescent="0.25">
      <c r="A567" s="782">
        <v>96251</v>
      </c>
      <c r="B567" s="783" t="s">
        <v>3177</v>
      </c>
      <c r="C567" s="784">
        <v>9.3999999999999994E-5</v>
      </c>
      <c r="D567" s="784">
        <v>7.7100000000000004E-5</v>
      </c>
      <c r="E567" s="800">
        <v>36737</v>
      </c>
      <c r="F567" s="785">
        <v>143606</v>
      </c>
      <c r="G567" s="785"/>
      <c r="H567" s="786">
        <v>8273</v>
      </c>
      <c r="I567" s="787">
        <v>34868</v>
      </c>
      <c r="J567" s="786">
        <v>20509</v>
      </c>
      <c r="K567" s="785">
        <v>6198</v>
      </c>
      <c r="L567" s="787">
        <f t="shared" si="16"/>
        <v>69848</v>
      </c>
      <c r="M567" s="785"/>
      <c r="N567" s="786">
        <v>4065</v>
      </c>
      <c r="O567" s="786">
        <v>0</v>
      </c>
      <c r="P567" s="785">
        <v>16886</v>
      </c>
      <c r="Q567" s="787">
        <f t="shared" si="17"/>
        <v>20951</v>
      </c>
      <c r="R567" s="785"/>
      <c r="S567" s="786">
        <v>48395</v>
      </c>
      <c r="T567" s="788">
        <v>-7102</v>
      </c>
      <c r="U567" s="788">
        <v>41293</v>
      </c>
    </row>
    <row r="568" spans="1:21" x14ac:dyDescent="0.25">
      <c r="A568" s="782">
        <v>96301</v>
      </c>
      <c r="B568" s="783" t="s">
        <v>3178</v>
      </c>
      <c r="C568" s="784">
        <v>4.3712999999999998E-3</v>
      </c>
      <c r="D568" s="784">
        <v>4.3785999999999999E-3</v>
      </c>
      <c r="E568" s="800">
        <v>1938350</v>
      </c>
      <c r="F568" s="785">
        <v>6678136</v>
      </c>
      <c r="G568" s="785"/>
      <c r="H568" s="786">
        <v>384722</v>
      </c>
      <c r="I568" s="787">
        <v>1621460</v>
      </c>
      <c r="J568" s="786">
        <v>953730</v>
      </c>
      <c r="K568" s="785">
        <v>60786</v>
      </c>
      <c r="L568" s="787">
        <f t="shared" si="16"/>
        <v>3020698</v>
      </c>
      <c r="M568" s="785"/>
      <c r="N568" s="786">
        <v>189037</v>
      </c>
      <c r="O568" s="786">
        <v>0</v>
      </c>
      <c r="P568" s="785">
        <v>160488</v>
      </c>
      <c r="Q568" s="787">
        <f t="shared" si="17"/>
        <v>349525</v>
      </c>
      <c r="R568" s="785"/>
      <c r="S568" s="786">
        <v>2250538</v>
      </c>
      <c r="T568" s="788">
        <v>-27776</v>
      </c>
      <c r="U568" s="788">
        <v>2222762</v>
      </c>
    </row>
    <row r="569" spans="1:21" x14ac:dyDescent="0.25">
      <c r="A569" s="782">
        <v>96302</v>
      </c>
      <c r="B569" s="783" t="s">
        <v>3179</v>
      </c>
      <c r="C569" s="784">
        <v>2.5199999999999999E-5</v>
      </c>
      <c r="D569" s="784">
        <v>1.9199999999999999E-5</v>
      </c>
      <c r="E569" s="800">
        <v>12121</v>
      </c>
      <c r="F569" s="785">
        <v>38499</v>
      </c>
      <c r="G569" s="785"/>
      <c r="H569" s="786">
        <v>2218</v>
      </c>
      <c r="I569" s="787">
        <v>9347</v>
      </c>
      <c r="J569" s="786">
        <v>5498</v>
      </c>
      <c r="K569" s="785">
        <v>7399</v>
      </c>
      <c r="L569" s="787">
        <f t="shared" si="16"/>
        <v>24462</v>
      </c>
      <c r="M569" s="785"/>
      <c r="N569" s="786">
        <v>1090</v>
      </c>
      <c r="O569" s="786">
        <v>0</v>
      </c>
      <c r="P569" s="785">
        <v>0</v>
      </c>
      <c r="Q569" s="787">
        <f t="shared" si="17"/>
        <v>1090</v>
      </c>
      <c r="R569" s="785"/>
      <c r="S569" s="786">
        <v>12974</v>
      </c>
      <c r="T569" s="788">
        <v>2631</v>
      </c>
      <c r="U569" s="788">
        <v>15605</v>
      </c>
    </row>
    <row r="570" spans="1:21" x14ac:dyDescent="0.25">
      <c r="A570" s="782">
        <v>96304</v>
      </c>
      <c r="B570" s="783" t="s">
        <v>3180</v>
      </c>
      <c r="C570" s="784">
        <v>4.5500000000000001E-5</v>
      </c>
      <c r="D570" s="784">
        <v>5.4599999999999999E-5</v>
      </c>
      <c r="E570" s="800">
        <v>27294</v>
      </c>
      <c r="F570" s="785">
        <v>69511</v>
      </c>
      <c r="G570" s="785"/>
      <c r="H570" s="786">
        <v>4005</v>
      </c>
      <c r="I570" s="787">
        <v>16877</v>
      </c>
      <c r="J570" s="786">
        <v>9927</v>
      </c>
      <c r="K570" s="785">
        <v>5469</v>
      </c>
      <c r="L570" s="787">
        <f t="shared" si="16"/>
        <v>36278</v>
      </c>
      <c r="M570" s="785"/>
      <c r="N570" s="786">
        <v>1968</v>
      </c>
      <c r="O570" s="786">
        <v>0</v>
      </c>
      <c r="P570" s="785">
        <v>1092</v>
      </c>
      <c r="Q570" s="787">
        <f t="shared" si="17"/>
        <v>3060</v>
      </c>
      <c r="R570" s="785"/>
      <c r="S570" s="786">
        <v>23425</v>
      </c>
      <c r="T570" s="788">
        <v>2085</v>
      </c>
      <c r="U570" s="788">
        <v>25510</v>
      </c>
    </row>
    <row r="571" spans="1:21" x14ac:dyDescent="0.25">
      <c r="A571" s="782">
        <v>96305</v>
      </c>
      <c r="B571" s="783" t="s">
        <v>3181</v>
      </c>
      <c r="C571" s="784">
        <v>4.5500000000000001E-5</v>
      </c>
      <c r="D571" s="784">
        <v>4.8199999999999999E-5</v>
      </c>
      <c r="E571" s="800">
        <v>30520</v>
      </c>
      <c r="F571" s="785">
        <v>69511</v>
      </c>
      <c r="G571" s="785"/>
      <c r="H571" s="786">
        <v>4005</v>
      </c>
      <c r="I571" s="787">
        <v>16877</v>
      </c>
      <c r="J571" s="786">
        <v>9927</v>
      </c>
      <c r="K571" s="785">
        <v>13328</v>
      </c>
      <c r="L571" s="787">
        <f t="shared" si="16"/>
        <v>44137</v>
      </c>
      <c r="M571" s="785"/>
      <c r="N571" s="786">
        <v>1968</v>
      </c>
      <c r="O571" s="786">
        <v>0</v>
      </c>
      <c r="P571" s="785">
        <v>0</v>
      </c>
      <c r="Q571" s="787">
        <f t="shared" si="17"/>
        <v>1968</v>
      </c>
      <c r="R571" s="785"/>
      <c r="S571" s="786">
        <v>23425</v>
      </c>
      <c r="T571" s="788">
        <v>4752</v>
      </c>
      <c r="U571" s="788">
        <v>28177</v>
      </c>
    </row>
    <row r="572" spans="1:21" x14ac:dyDescent="0.25">
      <c r="A572" s="782">
        <v>96310</v>
      </c>
      <c r="B572" s="783" t="s">
        <v>3182</v>
      </c>
      <c r="C572" s="784">
        <v>6.1099999999999994E-5</v>
      </c>
      <c r="D572" s="784">
        <v>4.88E-5</v>
      </c>
      <c r="E572" s="800">
        <v>26767</v>
      </c>
      <c r="F572" s="785">
        <v>93344</v>
      </c>
      <c r="G572" s="785"/>
      <c r="H572" s="786">
        <v>5377</v>
      </c>
      <c r="I572" s="787">
        <v>22664</v>
      </c>
      <c r="J572" s="786">
        <v>13331</v>
      </c>
      <c r="K572" s="785">
        <v>10507</v>
      </c>
      <c r="L572" s="787">
        <f t="shared" si="16"/>
        <v>51879</v>
      </c>
      <c r="M572" s="785"/>
      <c r="N572" s="786">
        <v>2642</v>
      </c>
      <c r="O572" s="786">
        <v>0</v>
      </c>
      <c r="P572" s="785">
        <v>3055</v>
      </c>
      <c r="Q572" s="787">
        <f t="shared" si="17"/>
        <v>5697</v>
      </c>
      <c r="R572" s="785"/>
      <c r="S572" s="786">
        <v>31457</v>
      </c>
      <c r="T572" s="788">
        <v>3506</v>
      </c>
      <c r="U572" s="788">
        <v>34963</v>
      </c>
    </row>
    <row r="573" spans="1:21" x14ac:dyDescent="0.25">
      <c r="A573" s="782">
        <v>96311</v>
      </c>
      <c r="B573" s="783" t="s">
        <v>3183</v>
      </c>
      <c r="C573" s="784">
        <v>1.3113000000000001E-3</v>
      </c>
      <c r="D573" s="784">
        <v>1.4082999999999999E-3</v>
      </c>
      <c r="E573" s="800">
        <v>595124</v>
      </c>
      <c r="F573" s="785">
        <v>2003303</v>
      </c>
      <c r="G573" s="785"/>
      <c r="H573" s="786">
        <v>115409</v>
      </c>
      <c r="I573" s="787">
        <v>486404</v>
      </c>
      <c r="J573" s="786">
        <v>286099</v>
      </c>
      <c r="K573" s="785">
        <v>11041</v>
      </c>
      <c r="L573" s="787">
        <f t="shared" si="16"/>
        <v>898953</v>
      </c>
      <c r="M573" s="785"/>
      <c r="N573" s="786">
        <v>56707</v>
      </c>
      <c r="O573" s="786">
        <v>0</v>
      </c>
      <c r="P573" s="785">
        <v>139297</v>
      </c>
      <c r="Q573" s="787">
        <f t="shared" si="17"/>
        <v>196004</v>
      </c>
      <c r="R573" s="785"/>
      <c r="S573" s="786">
        <v>675115</v>
      </c>
      <c r="T573" s="788">
        <v>-33999</v>
      </c>
      <c r="U573" s="788">
        <v>641116</v>
      </c>
    </row>
    <row r="574" spans="1:21" x14ac:dyDescent="0.25">
      <c r="A574" s="782">
        <v>96312</v>
      </c>
      <c r="B574" s="783" t="s">
        <v>3184</v>
      </c>
      <c r="C574" s="784">
        <v>1.5999999999999999E-5</v>
      </c>
      <c r="D574" s="784">
        <v>1.5999999999999999E-6</v>
      </c>
      <c r="E574" s="800">
        <v>4820</v>
      </c>
      <c r="F574" s="785">
        <v>24444</v>
      </c>
      <c r="G574" s="785"/>
      <c r="H574" s="786">
        <v>1408</v>
      </c>
      <c r="I574" s="787">
        <v>5935</v>
      </c>
      <c r="J574" s="786">
        <v>3491</v>
      </c>
      <c r="K574" s="785">
        <v>7668</v>
      </c>
      <c r="L574" s="787">
        <f t="shared" si="16"/>
        <v>18502</v>
      </c>
      <c r="M574" s="785"/>
      <c r="N574" s="786">
        <v>692</v>
      </c>
      <c r="O574" s="786">
        <v>0</v>
      </c>
      <c r="P574" s="785">
        <v>1864</v>
      </c>
      <c r="Q574" s="787">
        <f t="shared" si="17"/>
        <v>2556</v>
      </c>
      <c r="R574" s="785"/>
      <c r="S574" s="786">
        <v>8238</v>
      </c>
      <c r="T574" s="788">
        <v>374</v>
      </c>
      <c r="U574" s="788">
        <v>8612</v>
      </c>
    </row>
    <row r="575" spans="1:21" x14ac:dyDescent="0.25">
      <c r="A575" s="782">
        <v>96318</v>
      </c>
      <c r="B575" s="783" t="s">
        <v>3185</v>
      </c>
      <c r="C575" s="784">
        <v>2.1684999999999999E-3</v>
      </c>
      <c r="D575" s="784">
        <v>1.7782E-3</v>
      </c>
      <c r="E575" s="800">
        <v>1061238</v>
      </c>
      <c r="F575" s="785">
        <v>3312867</v>
      </c>
      <c r="G575" s="785"/>
      <c r="H575" s="786">
        <v>190852</v>
      </c>
      <c r="I575" s="787">
        <v>804368</v>
      </c>
      <c r="J575" s="786">
        <v>473123</v>
      </c>
      <c r="K575" s="785">
        <v>7711758</v>
      </c>
      <c r="L575" s="787">
        <f t="shared" si="16"/>
        <v>9180101</v>
      </c>
      <c r="M575" s="785"/>
      <c r="N575" s="786">
        <v>93777</v>
      </c>
      <c r="O575" s="786">
        <v>0</v>
      </c>
      <c r="P575" s="785">
        <v>0</v>
      </c>
      <c r="Q575" s="787">
        <f t="shared" si="17"/>
        <v>93777</v>
      </c>
      <c r="R575" s="785"/>
      <c r="S575" s="786">
        <v>1116439</v>
      </c>
      <c r="T575" s="788">
        <v>2665103</v>
      </c>
      <c r="U575" s="788">
        <v>3781542</v>
      </c>
    </row>
    <row r="576" spans="1:21" x14ac:dyDescent="0.25">
      <c r="A576" s="782">
        <v>96321</v>
      </c>
      <c r="B576" s="783" t="s">
        <v>3186</v>
      </c>
      <c r="C576" s="784">
        <v>3.6900000000000002E-5</v>
      </c>
      <c r="D576" s="784">
        <v>3.7400000000000001E-5</v>
      </c>
      <c r="E576" s="800">
        <v>18737</v>
      </c>
      <c r="F576" s="785">
        <v>56373</v>
      </c>
      <c r="G576" s="785"/>
      <c r="H576" s="786">
        <v>3248</v>
      </c>
      <c r="I576" s="787">
        <v>13687</v>
      </c>
      <c r="J576" s="786">
        <v>8051</v>
      </c>
      <c r="K576" s="785">
        <v>1642</v>
      </c>
      <c r="L576" s="787">
        <f t="shared" si="16"/>
        <v>26628</v>
      </c>
      <c r="M576" s="785"/>
      <c r="N576" s="786">
        <v>1596</v>
      </c>
      <c r="O576" s="786">
        <v>0</v>
      </c>
      <c r="P576" s="785">
        <v>2449</v>
      </c>
      <c r="Q576" s="787">
        <f t="shared" si="17"/>
        <v>4045</v>
      </c>
      <c r="R576" s="785"/>
      <c r="S576" s="786">
        <v>18998</v>
      </c>
      <c r="T576" s="788">
        <v>-489</v>
      </c>
      <c r="U576" s="788">
        <v>18509</v>
      </c>
    </row>
    <row r="577" spans="1:21" x14ac:dyDescent="0.25">
      <c r="A577" s="782">
        <v>96331</v>
      </c>
      <c r="B577" s="783" t="s">
        <v>3187</v>
      </c>
      <c r="C577" s="784">
        <v>7.0850000000000004E-4</v>
      </c>
      <c r="D577" s="784">
        <v>7.1699999999999997E-4</v>
      </c>
      <c r="E577" s="800">
        <v>321182</v>
      </c>
      <c r="F577" s="785">
        <v>1082392</v>
      </c>
      <c r="G577" s="785"/>
      <c r="H577" s="786">
        <v>62356</v>
      </c>
      <c r="I577" s="787">
        <v>262806</v>
      </c>
      <c r="J577" s="786">
        <v>154581</v>
      </c>
      <c r="K577" s="785">
        <v>3107</v>
      </c>
      <c r="L577" s="787">
        <f t="shared" si="16"/>
        <v>482850</v>
      </c>
      <c r="M577" s="785"/>
      <c r="N577" s="786">
        <v>30639</v>
      </c>
      <c r="O577" s="786">
        <v>0</v>
      </c>
      <c r="P577" s="785">
        <v>53524</v>
      </c>
      <c r="Q577" s="787">
        <f t="shared" si="17"/>
        <v>84163</v>
      </c>
      <c r="R577" s="785"/>
      <c r="S577" s="786">
        <v>364767</v>
      </c>
      <c r="T577" s="788">
        <v>-22322</v>
      </c>
      <c r="U577" s="788">
        <v>342445</v>
      </c>
    </row>
    <row r="578" spans="1:21" x14ac:dyDescent="0.25">
      <c r="A578" s="782">
        <v>96341</v>
      </c>
      <c r="B578" s="783" t="s">
        <v>3188</v>
      </c>
      <c r="C578" s="784">
        <v>8.3800000000000004E-5</v>
      </c>
      <c r="D578" s="784">
        <v>9.1600000000000004E-5</v>
      </c>
      <c r="E578" s="800">
        <v>35036</v>
      </c>
      <c r="F578" s="785">
        <v>128023</v>
      </c>
      <c r="G578" s="785"/>
      <c r="H578" s="786">
        <v>7375</v>
      </c>
      <c r="I578" s="787">
        <v>31084</v>
      </c>
      <c r="J578" s="786">
        <v>18283</v>
      </c>
      <c r="K578" s="785">
        <v>8694</v>
      </c>
      <c r="L578" s="787">
        <f t="shared" si="16"/>
        <v>65436</v>
      </c>
      <c r="M578" s="785"/>
      <c r="N578" s="786">
        <v>3624</v>
      </c>
      <c r="O578" s="786">
        <v>0</v>
      </c>
      <c r="P578" s="785">
        <v>13544</v>
      </c>
      <c r="Q578" s="787">
        <f t="shared" si="17"/>
        <v>17168</v>
      </c>
      <c r="R578" s="785"/>
      <c r="S578" s="786">
        <v>43144</v>
      </c>
      <c r="T578" s="788">
        <v>-3090</v>
      </c>
      <c r="U578" s="788">
        <v>40054</v>
      </c>
    </row>
    <row r="579" spans="1:21" x14ac:dyDescent="0.25">
      <c r="A579" s="782">
        <v>96351</v>
      </c>
      <c r="B579" s="783" t="s">
        <v>3189</v>
      </c>
      <c r="C579" s="784">
        <v>1.0616E-3</v>
      </c>
      <c r="D579" s="784">
        <v>1.0736000000000001E-3</v>
      </c>
      <c r="E579" s="800">
        <v>488441</v>
      </c>
      <c r="F579" s="785">
        <v>1621831</v>
      </c>
      <c r="G579" s="785"/>
      <c r="H579" s="786">
        <v>93432</v>
      </c>
      <c r="I579" s="787">
        <v>393782</v>
      </c>
      <c r="J579" s="786">
        <v>231620</v>
      </c>
      <c r="K579" s="785">
        <v>5421</v>
      </c>
      <c r="L579" s="787">
        <f t="shared" si="16"/>
        <v>724255</v>
      </c>
      <c r="M579" s="785"/>
      <c r="N579" s="786">
        <v>45909</v>
      </c>
      <c r="O579" s="786">
        <v>0</v>
      </c>
      <c r="P579" s="785">
        <v>28542</v>
      </c>
      <c r="Q579" s="787">
        <f t="shared" si="17"/>
        <v>74451</v>
      </c>
      <c r="R579" s="785"/>
      <c r="S579" s="786">
        <v>546558</v>
      </c>
      <c r="T579" s="788">
        <v>-5218</v>
      </c>
      <c r="U579" s="788">
        <v>541340</v>
      </c>
    </row>
    <row r="580" spans="1:21" x14ac:dyDescent="0.25">
      <c r="A580" s="782">
        <v>96361</v>
      </c>
      <c r="B580" s="783" t="s">
        <v>3190</v>
      </c>
      <c r="C580" s="784">
        <v>5.5699999999999999E-5</v>
      </c>
      <c r="D580" s="784">
        <v>5.8900000000000002E-5</v>
      </c>
      <c r="E580" s="800">
        <v>24289</v>
      </c>
      <c r="F580" s="785">
        <v>85094</v>
      </c>
      <c r="G580" s="785"/>
      <c r="H580" s="786">
        <v>4902</v>
      </c>
      <c r="I580" s="787">
        <v>20661</v>
      </c>
      <c r="J580" s="786">
        <v>12153</v>
      </c>
      <c r="K580" s="785">
        <v>3403</v>
      </c>
      <c r="L580" s="787">
        <f t="shared" si="16"/>
        <v>41119</v>
      </c>
      <c r="M580" s="785"/>
      <c r="N580" s="786">
        <v>2409</v>
      </c>
      <c r="O580" s="786">
        <v>0</v>
      </c>
      <c r="P580" s="785">
        <v>3423</v>
      </c>
      <c r="Q580" s="787">
        <f t="shared" si="17"/>
        <v>5832</v>
      </c>
      <c r="R580" s="785"/>
      <c r="S580" s="786">
        <v>28677</v>
      </c>
      <c r="T580" s="788">
        <v>936</v>
      </c>
      <c r="U580" s="788">
        <f>29612+1</f>
        <v>29613</v>
      </c>
    </row>
    <row r="581" spans="1:21" x14ac:dyDescent="0.25">
      <c r="A581" s="782">
        <v>96371</v>
      </c>
      <c r="B581" s="783" t="s">
        <v>3191</v>
      </c>
      <c r="C581" s="784">
        <v>1.5249999999999999E-4</v>
      </c>
      <c r="D581" s="784">
        <v>1.6359999999999999E-4</v>
      </c>
      <c r="E581" s="800">
        <v>67276</v>
      </c>
      <c r="F581" s="785">
        <v>232978</v>
      </c>
      <c r="G581" s="785"/>
      <c r="H581" s="786">
        <v>13422</v>
      </c>
      <c r="I581" s="787">
        <v>56568</v>
      </c>
      <c r="J581" s="786">
        <v>33272</v>
      </c>
      <c r="K581" s="785">
        <v>1335</v>
      </c>
      <c r="L581" s="787">
        <f t="shared" si="16"/>
        <v>104597</v>
      </c>
      <c r="M581" s="785"/>
      <c r="N581" s="786">
        <v>6595</v>
      </c>
      <c r="O581" s="786">
        <v>0</v>
      </c>
      <c r="P581" s="785">
        <v>14966</v>
      </c>
      <c r="Q581" s="787">
        <f t="shared" si="17"/>
        <v>21561</v>
      </c>
      <c r="R581" s="785"/>
      <c r="S581" s="786">
        <v>78514</v>
      </c>
      <c r="T581" s="788">
        <v>-3158</v>
      </c>
      <c r="U581" s="788">
        <v>75356</v>
      </c>
    </row>
    <row r="582" spans="1:21" x14ac:dyDescent="0.25">
      <c r="A582" s="782">
        <v>96381</v>
      </c>
      <c r="B582" s="783" t="s">
        <v>3192</v>
      </c>
      <c r="C582" s="784">
        <v>3.2100000000000001E-5</v>
      </c>
      <c r="D582" s="784">
        <v>3.26E-5</v>
      </c>
      <c r="E582" s="800">
        <v>15357</v>
      </c>
      <c r="F582" s="785">
        <v>49040</v>
      </c>
      <c r="G582" s="785"/>
      <c r="H582" s="786">
        <v>2825</v>
      </c>
      <c r="I582" s="787">
        <v>11907</v>
      </c>
      <c r="J582" s="786">
        <v>7004</v>
      </c>
      <c r="K582" s="785">
        <v>235</v>
      </c>
      <c r="L582" s="787">
        <f t="shared" si="16"/>
        <v>21971</v>
      </c>
      <c r="M582" s="785"/>
      <c r="N582" s="786">
        <v>1388</v>
      </c>
      <c r="O582" s="786">
        <v>0</v>
      </c>
      <c r="P582" s="785">
        <v>1858</v>
      </c>
      <c r="Q582" s="787">
        <f t="shared" si="17"/>
        <v>3246</v>
      </c>
      <c r="R582" s="785"/>
      <c r="S582" s="786">
        <v>16526</v>
      </c>
      <c r="T582" s="788">
        <v>-1164</v>
      </c>
      <c r="U582" s="788">
        <v>15362</v>
      </c>
    </row>
    <row r="583" spans="1:21" x14ac:dyDescent="0.25">
      <c r="A583" s="782">
        <v>96391</v>
      </c>
      <c r="B583" s="783" t="s">
        <v>3193</v>
      </c>
      <c r="C583" s="784">
        <v>2.029E-4</v>
      </c>
      <c r="D583" s="784">
        <v>1.807E-4</v>
      </c>
      <c r="E583" s="800">
        <v>74519</v>
      </c>
      <c r="F583" s="785">
        <v>309975</v>
      </c>
      <c r="G583" s="785"/>
      <c r="H583" s="786">
        <v>17857</v>
      </c>
      <c r="I583" s="787">
        <v>75263</v>
      </c>
      <c r="J583" s="786">
        <v>44269</v>
      </c>
      <c r="K583" s="785">
        <v>9831</v>
      </c>
      <c r="L583" s="787">
        <f t="shared" ref="L583:L646" si="18">H583+I583+J583+K583</f>
        <v>147220</v>
      </c>
      <c r="M583" s="785"/>
      <c r="N583" s="786">
        <v>8774</v>
      </c>
      <c r="O583" s="786">
        <v>0</v>
      </c>
      <c r="P583" s="785">
        <v>18208</v>
      </c>
      <c r="Q583" s="787">
        <f t="shared" ref="Q583:Q646" si="19">N583+O583+P583</f>
        <v>26982</v>
      </c>
      <c r="R583" s="785"/>
      <c r="S583" s="786">
        <v>104462</v>
      </c>
      <c r="T583" s="788">
        <v>2008</v>
      </c>
      <c r="U583" s="788">
        <v>106470</v>
      </c>
    </row>
    <row r="584" spans="1:21" x14ac:dyDescent="0.25">
      <c r="A584" s="782">
        <v>96401</v>
      </c>
      <c r="B584" s="783" t="s">
        <v>3194</v>
      </c>
      <c r="C584" s="784">
        <v>4.5672000000000004E-3</v>
      </c>
      <c r="D584" s="784">
        <v>4.5900000000000003E-3</v>
      </c>
      <c r="E584" s="800">
        <v>2040109</v>
      </c>
      <c r="F584" s="785">
        <v>6977416</v>
      </c>
      <c r="G584" s="785"/>
      <c r="H584" s="786">
        <v>401964</v>
      </c>
      <c r="I584" s="787">
        <v>1694125</v>
      </c>
      <c r="J584" s="786">
        <v>996472</v>
      </c>
      <c r="K584" s="785">
        <v>15869</v>
      </c>
      <c r="L584" s="787">
        <f t="shared" si="18"/>
        <v>3108430</v>
      </c>
      <c r="M584" s="785"/>
      <c r="N584" s="786">
        <v>197509</v>
      </c>
      <c r="O584" s="786">
        <v>0</v>
      </c>
      <c r="P584" s="785">
        <v>86285</v>
      </c>
      <c r="Q584" s="787">
        <f t="shared" si="19"/>
        <v>283794</v>
      </c>
      <c r="R584" s="785"/>
      <c r="S584" s="786">
        <v>2351396</v>
      </c>
      <c r="T584" s="788">
        <v>-10848</v>
      </c>
      <c r="U584" s="788">
        <v>2340548</v>
      </c>
    </row>
    <row r="585" spans="1:21" x14ac:dyDescent="0.25">
      <c r="A585" s="782">
        <v>96404</v>
      </c>
      <c r="B585" s="783" t="s">
        <v>3195</v>
      </c>
      <c r="C585" s="784">
        <v>1.026E-4</v>
      </c>
      <c r="D585" s="784">
        <v>9.8800000000000003E-5</v>
      </c>
      <c r="E585" s="800">
        <v>57855</v>
      </c>
      <c r="F585" s="785">
        <v>156744</v>
      </c>
      <c r="G585" s="785"/>
      <c r="H585" s="786">
        <v>9030</v>
      </c>
      <c r="I585" s="787">
        <v>38058</v>
      </c>
      <c r="J585" s="786">
        <v>22385</v>
      </c>
      <c r="K585" s="785">
        <v>26983</v>
      </c>
      <c r="L585" s="787">
        <f t="shared" si="18"/>
        <v>96456</v>
      </c>
      <c r="M585" s="785"/>
      <c r="N585" s="786">
        <v>4437</v>
      </c>
      <c r="O585" s="786">
        <v>0</v>
      </c>
      <c r="P585" s="785">
        <v>0</v>
      </c>
      <c r="Q585" s="787">
        <f t="shared" si="19"/>
        <v>4437</v>
      </c>
      <c r="R585" s="785"/>
      <c r="S585" s="786">
        <v>52823</v>
      </c>
      <c r="T585" s="788">
        <v>10540</v>
      </c>
      <c r="U585" s="788">
        <v>63363</v>
      </c>
    </row>
    <row r="586" spans="1:21" x14ac:dyDescent="0.25">
      <c r="A586" s="782">
        <v>96405</v>
      </c>
      <c r="B586" s="783" t="s">
        <v>3196</v>
      </c>
      <c r="C586" s="784">
        <v>1.6139999999999999E-4</v>
      </c>
      <c r="D586" s="784">
        <v>1.7760000000000001E-4</v>
      </c>
      <c r="E586" s="800">
        <v>86618</v>
      </c>
      <c r="F586" s="785">
        <v>246574</v>
      </c>
      <c r="G586" s="785"/>
      <c r="H586" s="786">
        <v>14205</v>
      </c>
      <c r="I586" s="787">
        <v>59869</v>
      </c>
      <c r="J586" s="786">
        <v>35214</v>
      </c>
      <c r="K586" s="785">
        <v>10221</v>
      </c>
      <c r="L586" s="787">
        <f t="shared" si="18"/>
        <v>119509</v>
      </c>
      <c r="M586" s="785"/>
      <c r="N586" s="786">
        <v>6980</v>
      </c>
      <c r="O586" s="786">
        <v>0</v>
      </c>
      <c r="P586" s="785">
        <v>2204</v>
      </c>
      <c r="Q586" s="787">
        <f t="shared" si="19"/>
        <v>9184</v>
      </c>
      <c r="R586" s="785"/>
      <c r="S586" s="786">
        <v>83096</v>
      </c>
      <c r="T586" s="788">
        <v>4354</v>
      </c>
      <c r="U586" s="788">
        <v>87450</v>
      </c>
    </row>
    <row r="587" spans="1:21" x14ac:dyDescent="0.25">
      <c r="A587" s="782">
        <v>96411</v>
      </c>
      <c r="B587" s="783" t="s">
        <v>3197</v>
      </c>
      <c r="C587" s="784">
        <v>7.2299999999999996E-5</v>
      </c>
      <c r="D587" s="784">
        <v>5.66E-5</v>
      </c>
      <c r="E587" s="800">
        <v>28784</v>
      </c>
      <c r="F587" s="785">
        <v>110454</v>
      </c>
      <c r="G587" s="785"/>
      <c r="H587" s="786">
        <v>6363</v>
      </c>
      <c r="I587" s="787">
        <v>26818</v>
      </c>
      <c r="J587" s="786">
        <v>15774</v>
      </c>
      <c r="K587" s="785">
        <v>12280</v>
      </c>
      <c r="L587" s="787">
        <f t="shared" si="18"/>
        <v>61235</v>
      </c>
      <c r="M587" s="785"/>
      <c r="N587" s="786">
        <v>3127</v>
      </c>
      <c r="O587" s="786">
        <v>0</v>
      </c>
      <c r="P587" s="785">
        <v>4004</v>
      </c>
      <c r="Q587" s="787">
        <f t="shared" si="19"/>
        <v>7131</v>
      </c>
      <c r="R587" s="785"/>
      <c r="S587" s="786">
        <v>37223</v>
      </c>
      <c r="T587" s="788">
        <v>2528</v>
      </c>
      <c r="U587" s="788">
        <v>39751</v>
      </c>
    </row>
    <row r="588" spans="1:21" x14ac:dyDescent="0.25">
      <c r="A588" s="782">
        <v>96421</v>
      </c>
      <c r="B588" s="783" t="s">
        <v>3198</v>
      </c>
      <c r="C588" s="784">
        <v>4.2529999999999998E-4</v>
      </c>
      <c r="D588" s="784">
        <v>4.2860000000000001E-4</v>
      </c>
      <c r="E588" s="800">
        <v>170404</v>
      </c>
      <c r="F588" s="785">
        <v>649741</v>
      </c>
      <c r="G588" s="785"/>
      <c r="H588" s="786">
        <v>37431</v>
      </c>
      <c r="I588" s="787">
        <v>157758</v>
      </c>
      <c r="J588" s="786">
        <v>92792</v>
      </c>
      <c r="K588" s="785">
        <v>0</v>
      </c>
      <c r="L588" s="787">
        <f t="shared" si="18"/>
        <v>287981</v>
      </c>
      <c r="M588" s="785"/>
      <c r="N588" s="786">
        <v>18392</v>
      </c>
      <c r="O588" s="786">
        <v>0</v>
      </c>
      <c r="P588" s="785">
        <v>78762</v>
      </c>
      <c r="Q588" s="787">
        <f t="shared" si="19"/>
        <v>97154</v>
      </c>
      <c r="R588" s="785"/>
      <c r="S588" s="786">
        <v>218963</v>
      </c>
      <c r="T588" s="788">
        <v>-35149</v>
      </c>
      <c r="U588" s="788">
        <v>183814</v>
      </c>
    </row>
    <row r="589" spans="1:21" x14ac:dyDescent="0.25">
      <c r="A589" s="782">
        <v>96431</v>
      </c>
      <c r="B589" s="783" t="s">
        <v>3199</v>
      </c>
      <c r="C589" s="784">
        <v>4.2799999999999997E-5</v>
      </c>
      <c r="D589" s="784">
        <v>5.6100000000000002E-5</v>
      </c>
      <c r="E589" s="800">
        <v>21290</v>
      </c>
      <c r="F589" s="785">
        <v>65387</v>
      </c>
      <c r="G589" s="785"/>
      <c r="H589" s="786">
        <v>3767</v>
      </c>
      <c r="I589" s="787">
        <v>15876</v>
      </c>
      <c r="J589" s="786">
        <v>9338</v>
      </c>
      <c r="K589" s="785">
        <v>6277</v>
      </c>
      <c r="L589" s="787">
        <f t="shared" si="18"/>
        <v>35258</v>
      </c>
      <c r="M589" s="785"/>
      <c r="N589" s="786">
        <v>1851</v>
      </c>
      <c r="O589" s="786">
        <v>0</v>
      </c>
      <c r="P589" s="785">
        <v>10135</v>
      </c>
      <c r="Q589" s="787">
        <f t="shared" si="19"/>
        <v>11986</v>
      </c>
      <c r="R589" s="785"/>
      <c r="S589" s="786">
        <v>22035</v>
      </c>
      <c r="T589" s="788">
        <v>-1596</v>
      </c>
      <c r="U589" s="788">
        <v>20439</v>
      </c>
    </row>
    <row r="590" spans="1:21" x14ac:dyDescent="0.25">
      <c r="A590" s="782">
        <v>96441</v>
      </c>
      <c r="B590" s="783" t="s">
        <v>3200</v>
      </c>
      <c r="C590" s="784">
        <v>2.97E-5</v>
      </c>
      <c r="D590" s="784">
        <v>3.1199999999999999E-5</v>
      </c>
      <c r="E590" s="800">
        <v>18707</v>
      </c>
      <c r="F590" s="785">
        <v>45373</v>
      </c>
      <c r="G590" s="785"/>
      <c r="H590" s="786">
        <v>2614</v>
      </c>
      <c r="I590" s="787">
        <v>11017</v>
      </c>
      <c r="J590" s="786">
        <v>6480</v>
      </c>
      <c r="K590" s="785">
        <v>7489</v>
      </c>
      <c r="L590" s="787">
        <f t="shared" si="18"/>
        <v>27600</v>
      </c>
      <c r="M590" s="785"/>
      <c r="N590" s="786">
        <v>1284</v>
      </c>
      <c r="O590" s="786">
        <v>0</v>
      </c>
      <c r="P590" s="785">
        <v>440</v>
      </c>
      <c r="Q590" s="787">
        <f t="shared" si="19"/>
        <v>1724</v>
      </c>
      <c r="R590" s="785"/>
      <c r="S590" s="786">
        <v>15291</v>
      </c>
      <c r="T590" s="788">
        <v>2815</v>
      </c>
      <c r="U590" s="788">
        <v>18106</v>
      </c>
    </row>
    <row r="591" spans="1:21" x14ac:dyDescent="0.25">
      <c r="A591" s="782">
        <v>96451</v>
      </c>
      <c r="B591" s="783" t="s">
        <v>3201</v>
      </c>
      <c r="C591" s="784">
        <v>2.0299999999999999E-5</v>
      </c>
      <c r="D591" s="784">
        <v>1.38E-5</v>
      </c>
      <c r="E591" s="800">
        <v>8566</v>
      </c>
      <c r="F591" s="785">
        <v>31013</v>
      </c>
      <c r="G591" s="785"/>
      <c r="H591" s="786">
        <v>1787</v>
      </c>
      <c r="I591" s="787">
        <v>7530</v>
      </c>
      <c r="J591" s="786">
        <v>4429</v>
      </c>
      <c r="K591" s="785">
        <v>6431</v>
      </c>
      <c r="L591" s="787">
        <f t="shared" si="18"/>
        <v>20177</v>
      </c>
      <c r="M591" s="785"/>
      <c r="N591" s="786">
        <v>878</v>
      </c>
      <c r="O591" s="786">
        <v>0</v>
      </c>
      <c r="P591" s="785">
        <v>1319</v>
      </c>
      <c r="Q591" s="787">
        <f t="shared" si="19"/>
        <v>2197</v>
      </c>
      <c r="R591" s="785"/>
      <c r="S591" s="786">
        <v>10451</v>
      </c>
      <c r="T591" s="788">
        <v>994</v>
      </c>
      <c r="U591" s="788">
        <v>11445</v>
      </c>
    </row>
    <row r="592" spans="1:21" x14ac:dyDescent="0.25">
      <c r="A592" s="782">
        <v>96461</v>
      </c>
      <c r="B592" s="783" t="s">
        <v>3202</v>
      </c>
      <c r="C592" s="784">
        <v>1.361E-4</v>
      </c>
      <c r="D592" s="784">
        <v>1.3410000000000001E-4</v>
      </c>
      <c r="E592" s="800">
        <v>63932</v>
      </c>
      <c r="F592" s="785">
        <v>207923</v>
      </c>
      <c r="G592" s="785"/>
      <c r="H592" s="786">
        <v>11978</v>
      </c>
      <c r="I592" s="787">
        <v>50484</v>
      </c>
      <c r="J592" s="786">
        <v>29694</v>
      </c>
      <c r="K592" s="785">
        <v>6504</v>
      </c>
      <c r="L592" s="787">
        <f t="shared" si="18"/>
        <v>98660</v>
      </c>
      <c r="M592" s="785"/>
      <c r="N592" s="786">
        <v>5886</v>
      </c>
      <c r="O592" s="786">
        <v>0</v>
      </c>
      <c r="P592" s="785">
        <v>18452</v>
      </c>
      <c r="Q592" s="787">
        <f t="shared" si="19"/>
        <v>24338</v>
      </c>
      <c r="R592" s="785"/>
      <c r="S592" s="786">
        <v>70070</v>
      </c>
      <c r="T592" s="788">
        <v>-3923</v>
      </c>
      <c r="U592" s="788">
        <f>66148-1</f>
        <v>66147</v>
      </c>
    </row>
    <row r="593" spans="1:21" x14ac:dyDescent="0.25">
      <c r="A593" s="782">
        <v>96501</v>
      </c>
      <c r="B593" s="783" t="s">
        <v>3203</v>
      </c>
      <c r="C593" s="784">
        <v>1.44739E-2</v>
      </c>
      <c r="D593" s="784">
        <v>1.4156999999999999E-2</v>
      </c>
      <c r="E593" s="800">
        <v>6399556</v>
      </c>
      <c r="F593" s="785">
        <v>22112110</v>
      </c>
      <c r="G593" s="785"/>
      <c r="H593" s="786">
        <v>1273862</v>
      </c>
      <c r="I593" s="787">
        <v>5368847</v>
      </c>
      <c r="J593" s="786">
        <v>3157916</v>
      </c>
      <c r="K593" s="785">
        <v>365065</v>
      </c>
      <c r="L593" s="787">
        <f t="shared" si="18"/>
        <v>10165690</v>
      </c>
      <c r="M593" s="785"/>
      <c r="N593" s="786">
        <v>625924</v>
      </c>
      <c r="O593" s="786">
        <v>0</v>
      </c>
      <c r="P593" s="785">
        <v>292930</v>
      </c>
      <c r="Q593" s="787">
        <f t="shared" si="19"/>
        <v>918854</v>
      </c>
      <c r="R593" s="785"/>
      <c r="S593" s="786">
        <v>7451801</v>
      </c>
      <c r="T593" s="788">
        <v>150498</v>
      </c>
      <c r="U593" s="788">
        <f>7602298+1</f>
        <v>7602299</v>
      </c>
    </row>
    <row r="594" spans="1:21" x14ac:dyDescent="0.25">
      <c r="A594" s="782">
        <v>96502</v>
      </c>
      <c r="B594" s="783" t="s">
        <v>3204</v>
      </c>
      <c r="C594" s="784">
        <v>4.2440000000000002E-4</v>
      </c>
      <c r="D594" s="784">
        <v>4.2309999999999998E-4</v>
      </c>
      <c r="E594" s="800">
        <v>198105</v>
      </c>
      <c r="F594" s="785">
        <v>648366</v>
      </c>
      <c r="G594" s="785"/>
      <c r="H594" s="786">
        <v>37352</v>
      </c>
      <c r="I594" s="787">
        <v>157424</v>
      </c>
      <c r="J594" s="786">
        <v>92596</v>
      </c>
      <c r="K594" s="785">
        <v>39317</v>
      </c>
      <c r="L594" s="787">
        <f t="shared" si="18"/>
        <v>326689</v>
      </c>
      <c r="M594" s="785"/>
      <c r="N594" s="786">
        <v>18353</v>
      </c>
      <c r="O594" s="786">
        <v>0</v>
      </c>
      <c r="P594" s="785">
        <v>0</v>
      </c>
      <c r="Q594" s="787">
        <f t="shared" si="19"/>
        <v>18353</v>
      </c>
      <c r="R594" s="785"/>
      <c r="S594" s="786">
        <v>218500</v>
      </c>
      <c r="T594" s="788">
        <v>23185</v>
      </c>
      <c r="U594" s="788">
        <v>241685</v>
      </c>
    </row>
    <row r="595" spans="1:21" x14ac:dyDescent="0.25">
      <c r="A595" s="782">
        <v>96503</v>
      </c>
      <c r="B595" s="783" t="s">
        <v>3672</v>
      </c>
      <c r="C595" s="784">
        <v>3.0039999999999998E-4</v>
      </c>
      <c r="D595" s="784">
        <v>3.3700000000000001E-4</v>
      </c>
      <c r="E595" s="800">
        <v>293863</v>
      </c>
      <c r="F595" s="785">
        <v>458928</v>
      </c>
      <c r="G595" s="785"/>
      <c r="H595" s="786">
        <v>26439</v>
      </c>
      <c r="I595" s="787">
        <v>111428</v>
      </c>
      <c r="J595" s="786">
        <v>65541</v>
      </c>
      <c r="K595" s="785">
        <v>240013</v>
      </c>
      <c r="L595" s="787">
        <f t="shared" si="18"/>
        <v>443421</v>
      </c>
      <c r="M595" s="785"/>
      <c r="N595" s="786">
        <v>12991</v>
      </c>
      <c r="O595" s="786">
        <v>0</v>
      </c>
      <c r="P595" s="785">
        <v>14874</v>
      </c>
      <c r="Q595" s="787">
        <f t="shared" si="19"/>
        <v>27865</v>
      </c>
      <c r="R595" s="785"/>
      <c r="S595" s="786">
        <v>154659</v>
      </c>
      <c r="T595" s="788">
        <v>71167</v>
      </c>
      <c r="U595" s="788">
        <v>225826</v>
      </c>
    </row>
    <row r="596" spans="1:21" x14ac:dyDescent="0.25">
      <c r="A596" s="782">
        <v>96504</v>
      </c>
      <c r="B596" s="783" t="s">
        <v>3206</v>
      </c>
      <c r="C596" s="784">
        <v>4.1760000000000001E-4</v>
      </c>
      <c r="D596" s="784">
        <v>3.6039999999999998E-4</v>
      </c>
      <c r="E596" s="800">
        <v>189892</v>
      </c>
      <c r="F596" s="785">
        <v>637977</v>
      </c>
      <c r="G596" s="785"/>
      <c r="H596" s="786">
        <v>36753</v>
      </c>
      <c r="I596" s="787">
        <v>154902</v>
      </c>
      <c r="J596" s="786">
        <v>91112</v>
      </c>
      <c r="K596" s="785">
        <v>44166</v>
      </c>
      <c r="L596" s="787">
        <f t="shared" si="18"/>
        <v>326933</v>
      </c>
      <c r="M596" s="785"/>
      <c r="N596" s="786">
        <v>18059</v>
      </c>
      <c r="O596" s="786">
        <v>0</v>
      </c>
      <c r="P596" s="785">
        <v>4428</v>
      </c>
      <c r="Q596" s="787">
        <f t="shared" si="19"/>
        <v>22487</v>
      </c>
      <c r="R596" s="785"/>
      <c r="S596" s="786">
        <v>214999</v>
      </c>
      <c r="T596" s="788">
        <v>11523</v>
      </c>
      <c r="U596" s="788">
        <f>226521+1</f>
        <v>226522</v>
      </c>
    </row>
    <row r="597" spans="1:21" x14ac:dyDescent="0.25">
      <c r="A597" s="782">
        <v>96507</v>
      </c>
      <c r="B597" s="783" t="s">
        <v>3207</v>
      </c>
      <c r="C597" s="784">
        <v>2.2147E-3</v>
      </c>
      <c r="D597" s="784">
        <v>2.2604999999999999E-3</v>
      </c>
      <c r="E597" s="800">
        <v>1026624</v>
      </c>
      <c r="F597" s="785">
        <v>3383448</v>
      </c>
      <c r="G597" s="785"/>
      <c r="H597" s="786">
        <v>194918</v>
      </c>
      <c r="I597" s="787">
        <v>821505</v>
      </c>
      <c r="J597" s="786">
        <v>483203</v>
      </c>
      <c r="K597" s="785">
        <v>115759</v>
      </c>
      <c r="L597" s="787">
        <f t="shared" si="18"/>
        <v>1615385</v>
      </c>
      <c r="M597" s="785"/>
      <c r="N597" s="786">
        <v>95775</v>
      </c>
      <c r="O597" s="786">
        <v>0</v>
      </c>
      <c r="P597" s="785">
        <v>22795</v>
      </c>
      <c r="Q597" s="787">
        <f t="shared" si="19"/>
        <v>118570</v>
      </c>
      <c r="R597" s="785"/>
      <c r="S597" s="786">
        <v>1140225</v>
      </c>
      <c r="T597" s="788">
        <v>58867</v>
      </c>
      <c r="U597" s="788">
        <v>1199092</v>
      </c>
    </row>
    <row r="598" spans="1:21" x14ac:dyDescent="0.25">
      <c r="A598" s="782">
        <v>96508</v>
      </c>
      <c r="B598" s="783" t="s">
        <v>3208</v>
      </c>
      <c r="C598" s="784">
        <v>8.6000000000000007E-6</v>
      </c>
      <c r="D598" s="784">
        <v>9.7999999999999993E-6</v>
      </c>
      <c r="E598" s="800">
        <v>11086</v>
      </c>
      <c r="F598" s="785">
        <v>13138</v>
      </c>
      <c r="G598" s="785"/>
      <c r="H598" s="786">
        <v>757</v>
      </c>
      <c r="I598" s="787">
        <v>3190</v>
      </c>
      <c r="J598" s="786">
        <v>1876</v>
      </c>
      <c r="K598" s="785">
        <v>11113</v>
      </c>
      <c r="L598" s="787">
        <f t="shared" si="18"/>
        <v>16936</v>
      </c>
      <c r="M598" s="785"/>
      <c r="N598" s="786">
        <v>372</v>
      </c>
      <c r="O598" s="786">
        <v>0</v>
      </c>
      <c r="P598" s="785">
        <v>0</v>
      </c>
      <c r="Q598" s="787">
        <f t="shared" si="19"/>
        <v>372</v>
      </c>
      <c r="R598" s="785"/>
      <c r="S598" s="786">
        <v>4428</v>
      </c>
      <c r="T598" s="788">
        <v>4402</v>
      </c>
      <c r="U598" s="788">
        <v>8830</v>
      </c>
    </row>
    <row r="599" spans="1:21" x14ac:dyDescent="0.25">
      <c r="A599" s="782">
        <v>96511</v>
      </c>
      <c r="B599" s="783" t="s">
        <v>3209</v>
      </c>
      <c r="C599" s="784">
        <v>6.2069999999999996E-4</v>
      </c>
      <c r="D599" s="784">
        <v>6.221E-4</v>
      </c>
      <c r="E599" s="800">
        <v>276057</v>
      </c>
      <c r="F599" s="785">
        <v>948258</v>
      </c>
      <c r="G599" s="785"/>
      <c r="H599" s="786">
        <v>54628</v>
      </c>
      <c r="I599" s="787">
        <v>230238</v>
      </c>
      <c r="J599" s="786">
        <v>135424</v>
      </c>
      <c r="K599" s="785">
        <v>0</v>
      </c>
      <c r="L599" s="787">
        <f t="shared" si="18"/>
        <v>420290</v>
      </c>
      <c r="M599" s="785"/>
      <c r="N599" s="786">
        <v>26842</v>
      </c>
      <c r="O599" s="786">
        <v>0</v>
      </c>
      <c r="P599" s="785">
        <v>95843</v>
      </c>
      <c r="Q599" s="787">
        <f t="shared" si="19"/>
        <v>122685</v>
      </c>
      <c r="R599" s="785"/>
      <c r="S599" s="786">
        <v>319564</v>
      </c>
      <c r="T599" s="788">
        <v>-49396</v>
      </c>
      <c r="U599" s="788">
        <v>270168</v>
      </c>
    </row>
    <row r="600" spans="1:21" x14ac:dyDescent="0.25">
      <c r="A600" s="782">
        <v>96512</v>
      </c>
      <c r="B600" s="783" t="s">
        <v>3210</v>
      </c>
      <c r="C600" s="784">
        <v>1.5119999999999999E-4</v>
      </c>
      <c r="D600" s="784">
        <v>1.7000000000000001E-4</v>
      </c>
      <c r="E600" s="800">
        <v>72715</v>
      </c>
      <c r="F600" s="785">
        <v>230992</v>
      </c>
      <c r="G600" s="785"/>
      <c r="H600" s="786">
        <v>13307</v>
      </c>
      <c r="I600" s="787">
        <v>56085</v>
      </c>
      <c r="J600" s="786">
        <v>32989</v>
      </c>
      <c r="K600" s="785">
        <v>5578</v>
      </c>
      <c r="L600" s="787">
        <f t="shared" si="18"/>
        <v>107959</v>
      </c>
      <c r="M600" s="785"/>
      <c r="N600" s="786">
        <v>6539</v>
      </c>
      <c r="O600" s="786">
        <v>0</v>
      </c>
      <c r="P600" s="785">
        <v>9964</v>
      </c>
      <c r="Q600" s="787">
        <f t="shared" si="19"/>
        <v>16503</v>
      </c>
      <c r="R600" s="785"/>
      <c r="S600" s="786">
        <v>77844</v>
      </c>
      <c r="T600" s="788">
        <v>198</v>
      </c>
      <c r="U600" s="788">
        <v>78042</v>
      </c>
    </row>
    <row r="601" spans="1:21" x14ac:dyDescent="0.25">
      <c r="A601" s="782">
        <v>96521</v>
      </c>
      <c r="B601" s="783" t="s">
        <v>3212</v>
      </c>
      <c r="C601" s="784">
        <v>9.881E-4</v>
      </c>
      <c r="D601" s="784">
        <v>9.4240000000000003E-4</v>
      </c>
      <c r="E601" s="800">
        <v>408178</v>
      </c>
      <c r="F601" s="785">
        <v>1509543</v>
      </c>
      <c r="G601" s="785"/>
      <c r="H601" s="786">
        <v>86964</v>
      </c>
      <c r="I601" s="787">
        <v>366519</v>
      </c>
      <c r="J601" s="786">
        <v>215584</v>
      </c>
      <c r="K601" s="785">
        <v>30024</v>
      </c>
      <c r="L601" s="787">
        <f t="shared" si="18"/>
        <v>699091</v>
      </c>
      <c r="M601" s="785"/>
      <c r="N601" s="786">
        <v>42730</v>
      </c>
      <c r="O601" s="786">
        <v>0</v>
      </c>
      <c r="P601" s="785">
        <v>25241</v>
      </c>
      <c r="Q601" s="787">
        <f t="shared" si="19"/>
        <v>67971</v>
      </c>
      <c r="R601" s="785"/>
      <c r="S601" s="786">
        <v>508717</v>
      </c>
      <c r="T601" s="788">
        <v>6710</v>
      </c>
      <c r="U601" s="788">
        <f>515428-1</f>
        <v>515427</v>
      </c>
    </row>
    <row r="602" spans="1:21" x14ac:dyDescent="0.25">
      <c r="A602" s="782">
        <v>96531</v>
      </c>
      <c r="B602" s="783" t="s">
        <v>3213</v>
      </c>
      <c r="C602" s="784">
        <v>8.5845000000000001E-3</v>
      </c>
      <c r="D602" s="784">
        <v>8.6088999999999992E-3</v>
      </c>
      <c r="E602" s="800">
        <v>3779881</v>
      </c>
      <c r="F602" s="785">
        <v>13114738</v>
      </c>
      <c r="G602" s="785"/>
      <c r="H602" s="786">
        <v>755530</v>
      </c>
      <c r="I602" s="787">
        <v>3184274</v>
      </c>
      <c r="J602" s="786">
        <v>1872966</v>
      </c>
      <c r="K602" s="785">
        <v>48765</v>
      </c>
      <c r="L602" s="787">
        <f t="shared" si="18"/>
        <v>5861535</v>
      </c>
      <c r="M602" s="785"/>
      <c r="N602" s="786">
        <v>371237</v>
      </c>
      <c r="O602" s="786">
        <v>0</v>
      </c>
      <c r="P602" s="785">
        <v>418860</v>
      </c>
      <c r="Q602" s="787">
        <f t="shared" si="19"/>
        <v>790097</v>
      </c>
      <c r="R602" s="785"/>
      <c r="S602" s="786">
        <v>4419678</v>
      </c>
      <c r="T602" s="788">
        <v>-117601</v>
      </c>
      <c r="U602" s="788">
        <v>4302077</v>
      </c>
    </row>
    <row r="603" spans="1:21" x14ac:dyDescent="0.25">
      <c r="A603" s="782">
        <v>96541</v>
      </c>
      <c r="B603" s="783" t="s">
        <v>3214</v>
      </c>
      <c r="C603" s="784">
        <v>3.5950000000000001E-4</v>
      </c>
      <c r="D603" s="784">
        <v>3.3169999999999999E-4</v>
      </c>
      <c r="E603" s="800">
        <v>156792</v>
      </c>
      <c r="F603" s="785">
        <v>549216</v>
      </c>
      <c r="G603" s="785"/>
      <c r="H603" s="786">
        <v>31640</v>
      </c>
      <c r="I603" s="787">
        <v>133350</v>
      </c>
      <c r="J603" s="786">
        <v>78436</v>
      </c>
      <c r="K603" s="785">
        <v>24801</v>
      </c>
      <c r="L603" s="787">
        <f t="shared" si="18"/>
        <v>268227</v>
      </c>
      <c r="M603" s="785"/>
      <c r="N603" s="786">
        <v>15547</v>
      </c>
      <c r="O603" s="786">
        <v>0</v>
      </c>
      <c r="P603" s="785">
        <v>0</v>
      </c>
      <c r="Q603" s="787">
        <f t="shared" si="19"/>
        <v>15547</v>
      </c>
      <c r="R603" s="785"/>
      <c r="S603" s="786">
        <v>185086</v>
      </c>
      <c r="T603" s="788">
        <v>13028</v>
      </c>
      <c r="U603" s="788">
        <f>198115-1</f>
        <v>198114</v>
      </c>
    </row>
    <row r="604" spans="1:21" x14ac:dyDescent="0.25">
      <c r="A604" s="782">
        <v>96601</v>
      </c>
      <c r="B604" s="783" t="s">
        <v>3215</v>
      </c>
      <c r="C604" s="784">
        <v>1.8169E-3</v>
      </c>
      <c r="D604" s="784">
        <v>1.8416000000000001E-3</v>
      </c>
      <c r="E604" s="800">
        <v>878872</v>
      </c>
      <c r="F604" s="785">
        <v>2775720</v>
      </c>
      <c r="G604" s="785"/>
      <c r="H604" s="786">
        <v>159907</v>
      </c>
      <c r="I604" s="787">
        <v>673948</v>
      </c>
      <c r="J604" s="786">
        <v>396411</v>
      </c>
      <c r="K604" s="785">
        <v>50154</v>
      </c>
      <c r="L604" s="787">
        <f t="shared" si="18"/>
        <v>1280420</v>
      </c>
      <c r="M604" s="785"/>
      <c r="N604" s="786">
        <v>78572</v>
      </c>
      <c r="O604" s="786">
        <v>0</v>
      </c>
      <c r="P604" s="785">
        <v>4139</v>
      </c>
      <c r="Q604" s="787">
        <f t="shared" si="19"/>
        <v>82711</v>
      </c>
      <c r="R604" s="785"/>
      <c r="S604" s="786">
        <v>935420</v>
      </c>
      <c r="T604" s="788">
        <v>30132</v>
      </c>
      <c r="U604" s="788">
        <v>965552</v>
      </c>
    </row>
    <row r="605" spans="1:21" x14ac:dyDescent="0.25">
      <c r="A605" s="782">
        <v>96604</v>
      </c>
      <c r="B605" s="783" t="s">
        <v>3216</v>
      </c>
      <c r="C605" s="784">
        <v>7.6000000000000001E-6</v>
      </c>
      <c r="D605" s="784">
        <v>7.9000000000000006E-6</v>
      </c>
      <c r="E605" s="800">
        <v>5011</v>
      </c>
      <c r="F605" s="785">
        <v>11611</v>
      </c>
      <c r="G605" s="785"/>
      <c r="H605" s="786">
        <v>669</v>
      </c>
      <c r="I605" s="787">
        <v>2819</v>
      </c>
      <c r="J605" s="786">
        <v>1658</v>
      </c>
      <c r="K605" s="785">
        <v>2027</v>
      </c>
      <c r="L605" s="787">
        <f t="shared" si="18"/>
        <v>7173</v>
      </c>
      <c r="M605" s="785"/>
      <c r="N605" s="786">
        <v>329</v>
      </c>
      <c r="O605" s="786">
        <v>0</v>
      </c>
      <c r="P605" s="785">
        <v>70</v>
      </c>
      <c r="Q605" s="787">
        <f t="shared" si="19"/>
        <v>399</v>
      </c>
      <c r="R605" s="785"/>
      <c r="S605" s="786">
        <v>3913</v>
      </c>
      <c r="T605" s="788">
        <v>799</v>
      </c>
      <c r="U605" s="788">
        <v>4712</v>
      </c>
    </row>
    <row r="606" spans="1:21" x14ac:dyDescent="0.25">
      <c r="A606" s="782">
        <v>96611</v>
      </c>
      <c r="B606" s="783" t="s">
        <v>3217</v>
      </c>
      <c r="C606" s="784">
        <v>2.83E-5</v>
      </c>
      <c r="D606" s="784">
        <v>3.29E-5</v>
      </c>
      <c r="E606" s="800">
        <v>12016</v>
      </c>
      <c r="F606" s="785">
        <v>43235</v>
      </c>
      <c r="G606" s="785"/>
      <c r="H606" s="786">
        <v>2491</v>
      </c>
      <c r="I606" s="787">
        <v>10498</v>
      </c>
      <c r="J606" s="786">
        <v>6174</v>
      </c>
      <c r="K606" s="785">
        <v>1561</v>
      </c>
      <c r="L606" s="787">
        <f t="shared" si="18"/>
        <v>20724</v>
      </c>
      <c r="M606" s="785"/>
      <c r="N606" s="786">
        <v>1224</v>
      </c>
      <c r="O606" s="786">
        <v>0</v>
      </c>
      <c r="P606" s="785">
        <v>4284</v>
      </c>
      <c r="Q606" s="787">
        <f t="shared" si="19"/>
        <v>5508</v>
      </c>
      <c r="R606" s="785"/>
      <c r="S606" s="786">
        <v>14570</v>
      </c>
      <c r="T606" s="788">
        <v>112</v>
      </c>
      <c r="U606" s="788">
        <f>14683-1</f>
        <v>14682</v>
      </c>
    </row>
    <row r="607" spans="1:21" x14ac:dyDescent="0.25">
      <c r="A607" s="782">
        <v>96612</v>
      </c>
      <c r="B607" s="783" t="s">
        <v>3218</v>
      </c>
      <c r="C607" s="784">
        <v>6.3299999999999994E-5</v>
      </c>
      <c r="D607" s="784">
        <v>6.3899999999999995E-5</v>
      </c>
      <c r="E607" s="800">
        <v>32834</v>
      </c>
      <c r="F607" s="785">
        <v>96705</v>
      </c>
      <c r="G607" s="785"/>
      <c r="H607" s="786">
        <v>5571</v>
      </c>
      <c r="I607" s="787">
        <v>23480</v>
      </c>
      <c r="J607" s="786">
        <v>13811</v>
      </c>
      <c r="K607" s="785">
        <v>7699</v>
      </c>
      <c r="L607" s="787">
        <f t="shared" si="18"/>
        <v>50561</v>
      </c>
      <c r="M607" s="785"/>
      <c r="N607" s="786">
        <v>2737</v>
      </c>
      <c r="O607" s="786">
        <v>0</v>
      </c>
      <c r="P607" s="785">
        <v>658</v>
      </c>
      <c r="Q607" s="787">
        <f t="shared" si="19"/>
        <v>3395</v>
      </c>
      <c r="R607" s="785"/>
      <c r="S607" s="786">
        <v>32590</v>
      </c>
      <c r="T607" s="788">
        <v>2270</v>
      </c>
      <c r="U607" s="788">
        <f>34859+1</f>
        <v>34860</v>
      </c>
    </row>
    <row r="608" spans="1:21" x14ac:dyDescent="0.25">
      <c r="A608" s="782">
        <v>96621</v>
      </c>
      <c r="B608" s="783" t="s">
        <v>3219</v>
      </c>
      <c r="C608" s="784">
        <v>2.5999999999999998E-5</v>
      </c>
      <c r="D608" s="784">
        <v>2.65E-5</v>
      </c>
      <c r="E608" s="800">
        <v>13235</v>
      </c>
      <c r="F608" s="785">
        <v>39721</v>
      </c>
      <c r="G608" s="785"/>
      <c r="H608" s="786">
        <v>2288</v>
      </c>
      <c r="I608" s="787">
        <v>9644</v>
      </c>
      <c r="J608" s="786">
        <v>5673</v>
      </c>
      <c r="K608" s="785">
        <v>1435</v>
      </c>
      <c r="L608" s="787">
        <f t="shared" si="18"/>
        <v>19040</v>
      </c>
      <c r="M608" s="785"/>
      <c r="N608" s="786">
        <v>1124</v>
      </c>
      <c r="O608" s="786">
        <v>0</v>
      </c>
      <c r="P608" s="785">
        <v>4828</v>
      </c>
      <c r="Q608" s="787">
        <f t="shared" si="19"/>
        <v>5952</v>
      </c>
      <c r="R608" s="785"/>
      <c r="S608" s="786">
        <v>13386</v>
      </c>
      <c r="T608" s="788">
        <v>-2281</v>
      </c>
      <c r="U608" s="788">
        <v>11105</v>
      </c>
    </row>
    <row r="609" spans="1:21" x14ac:dyDescent="0.25">
      <c r="A609" s="782">
        <v>96631</v>
      </c>
      <c r="B609" s="783" t="s">
        <v>3220</v>
      </c>
      <c r="C609" s="784">
        <v>2.51E-5</v>
      </c>
      <c r="D609" s="784">
        <v>2.5899999999999999E-5</v>
      </c>
      <c r="E609" s="800">
        <v>11905</v>
      </c>
      <c r="F609" s="785">
        <v>38346</v>
      </c>
      <c r="G609" s="785"/>
      <c r="H609" s="786">
        <v>2209</v>
      </c>
      <c r="I609" s="787">
        <v>9311</v>
      </c>
      <c r="J609" s="786">
        <v>5476</v>
      </c>
      <c r="K609" s="785">
        <v>3375</v>
      </c>
      <c r="L609" s="787">
        <f t="shared" si="18"/>
        <v>20371</v>
      </c>
      <c r="M609" s="785"/>
      <c r="N609" s="786">
        <v>1085</v>
      </c>
      <c r="O609" s="786">
        <v>0</v>
      </c>
      <c r="P609" s="785">
        <v>345</v>
      </c>
      <c r="Q609" s="787">
        <f t="shared" si="19"/>
        <v>1430</v>
      </c>
      <c r="R609" s="785"/>
      <c r="S609" s="786">
        <v>12923</v>
      </c>
      <c r="T609" s="788">
        <v>2192</v>
      </c>
      <c r="U609" s="788">
        <f>15114+1</f>
        <v>15115</v>
      </c>
    </row>
    <row r="610" spans="1:21" x14ac:dyDescent="0.25">
      <c r="A610" s="782">
        <v>96641</v>
      </c>
      <c r="B610" s="783" t="s">
        <v>3221</v>
      </c>
      <c r="C610" s="784">
        <v>3.2199999999999997E-5</v>
      </c>
      <c r="D610" s="784">
        <v>2.6999999999999999E-5</v>
      </c>
      <c r="E610" s="800">
        <v>20865</v>
      </c>
      <c r="F610" s="785">
        <v>49193</v>
      </c>
      <c r="G610" s="785"/>
      <c r="H610" s="786">
        <v>2834</v>
      </c>
      <c r="I610" s="787">
        <v>11944</v>
      </c>
      <c r="J610" s="786">
        <v>7025</v>
      </c>
      <c r="K610" s="785">
        <v>15380</v>
      </c>
      <c r="L610" s="787">
        <f t="shared" si="18"/>
        <v>37183</v>
      </c>
      <c r="M610" s="785"/>
      <c r="N610" s="786">
        <v>1392</v>
      </c>
      <c r="O610" s="786">
        <v>0</v>
      </c>
      <c r="P610" s="785">
        <v>0</v>
      </c>
      <c r="Q610" s="787">
        <f t="shared" si="19"/>
        <v>1392</v>
      </c>
      <c r="R610" s="785"/>
      <c r="S610" s="786">
        <v>16578</v>
      </c>
      <c r="T610" s="788">
        <v>5934</v>
      </c>
      <c r="U610" s="788">
        <v>22512</v>
      </c>
    </row>
    <row r="611" spans="1:21" x14ac:dyDescent="0.25">
      <c r="A611" s="782">
        <v>96651</v>
      </c>
      <c r="B611" s="783" t="s">
        <v>3222</v>
      </c>
      <c r="C611" s="784">
        <v>1.7399999999999999E-5</v>
      </c>
      <c r="D611" s="784">
        <v>1.9400000000000001E-5</v>
      </c>
      <c r="E611" s="800">
        <v>11419</v>
      </c>
      <c r="F611" s="785">
        <v>26582</v>
      </c>
      <c r="G611" s="785"/>
      <c r="H611" s="786">
        <v>1531</v>
      </c>
      <c r="I611" s="787">
        <v>6454</v>
      </c>
      <c r="J611" s="786">
        <v>3796</v>
      </c>
      <c r="K611" s="785">
        <v>1983</v>
      </c>
      <c r="L611" s="787">
        <f t="shared" si="18"/>
        <v>13764</v>
      </c>
      <c r="M611" s="785"/>
      <c r="N611" s="786">
        <v>752</v>
      </c>
      <c r="O611" s="786">
        <v>0</v>
      </c>
      <c r="P611" s="785">
        <v>1305</v>
      </c>
      <c r="Q611" s="787">
        <f t="shared" si="19"/>
        <v>2057</v>
      </c>
      <c r="R611" s="785"/>
      <c r="S611" s="786">
        <v>8958</v>
      </c>
      <c r="T611" s="788">
        <v>-364</v>
      </c>
      <c r="U611" s="788">
        <f>8595-1</f>
        <v>8594</v>
      </c>
    </row>
    <row r="612" spans="1:21" x14ac:dyDescent="0.25">
      <c r="A612" s="782">
        <v>96661</v>
      </c>
      <c r="B612" s="783" t="s">
        <v>3223</v>
      </c>
      <c r="C612" s="784">
        <v>1.9700000000000001E-5</v>
      </c>
      <c r="D612" s="784">
        <v>1.9000000000000001E-5</v>
      </c>
      <c r="E612" s="800">
        <v>10400</v>
      </c>
      <c r="F612" s="785">
        <v>30096</v>
      </c>
      <c r="G612" s="785"/>
      <c r="H612" s="786">
        <v>1734</v>
      </c>
      <c r="I612" s="787">
        <v>7308</v>
      </c>
      <c r="J612" s="786">
        <v>4298</v>
      </c>
      <c r="K612" s="785">
        <v>5449</v>
      </c>
      <c r="L612" s="787">
        <f t="shared" si="18"/>
        <v>18789</v>
      </c>
      <c r="M612" s="785"/>
      <c r="N612" s="786">
        <v>852</v>
      </c>
      <c r="O612" s="786">
        <v>0</v>
      </c>
      <c r="P612" s="785">
        <v>0</v>
      </c>
      <c r="Q612" s="787">
        <f t="shared" si="19"/>
        <v>852</v>
      </c>
      <c r="R612" s="785"/>
      <c r="S612" s="786">
        <v>10142</v>
      </c>
      <c r="T612" s="788">
        <v>2525</v>
      </c>
      <c r="U612" s="788">
        <f>12668-1</f>
        <v>12667</v>
      </c>
    </row>
    <row r="613" spans="1:21" x14ac:dyDescent="0.25">
      <c r="A613" s="782">
        <v>96671</v>
      </c>
      <c r="B613" s="783" t="s">
        <v>3224</v>
      </c>
      <c r="C613" s="784">
        <v>1.49E-5</v>
      </c>
      <c r="D613" s="784">
        <v>1.5500000000000001E-5</v>
      </c>
      <c r="E613" s="800">
        <v>8400</v>
      </c>
      <c r="F613" s="785">
        <v>22763</v>
      </c>
      <c r="G613" s="785"/>
      <c r="H613" s="786">
        <v>1311</v>
      </c>
      <c r="I613" s="787">
        <v>5527</v>
      </c>
      <c r="J613" s="786">
        <v>3251</v>
      </c>
      <c r="K613" s="785">
        <v>8612</v>
      </c>
      <c r="L613" s="787">
        <f t="shared" si="18"/>
        <v>18701</v>
      </c>
      <c r="M613" s="785"/>
      <c r="N613" s="786">
        <v>644</v>
      </c>
      <c r="O613" s="786">
        <v>0</v>
      </c>
      <c r="P613" s="785">
        <v>208</v>
      </c>
      <c r="Q613" s="787">
        <f t="shared" si="19"/>
        <v>852</v>
      </c>
      <c r="R613" s="785"/>
      <c r="S613" s="786">
        <v>7671</v>
      </c>
      <c r="T613" s="788">
        <v>3620</v>
      </c>
      <c r="U613" s="788">
        <v>11291</v>
      </c>
    </row>
    <row r="614" spans="1:21" x14ac:dyDescent="0.25">
      <c r="A614" s="782">
        <v>96681</v>
      </c>
      <c r="B614" s="783" t="s">
        <v>3225</v>
      </c>
      <c r="C614" s="784">
        <v>1.7499999999999998E-5</v>
      </c>
      <c r="D614" s="784">
        <v>3.4799999999999999E-5</v>
      </c>
      <c r="E614" s="800">
        <v>12179</v>
      </c>
      <c r="F614" s="785">
        <v>26735</v>
      </c>
      <c r="G614" s="785"/>
      <c r="H614" s="786">
        <v>1540</v>
      </c>
      <c r="I614" s="787">
        <v>6491</v>
      </c>
      <c r="J614" s="786">
        <v>3818</v>
      </c>
      <c r="K614" s="785">
        <v>12682</v>
      </c>
      <c r="L614" s="787">
        <f t="shared" si="18"/>
        <v>24531</v>
      </c>
      <c r="M614" s="785"/>
      <c r="N614" s="786">
        <v>757</v>
      </c>
      <c r="O614" s="786">
        <v>0</v>
      </c>
      <c r="P614" s="785">
        <v>9027</v>
      </c>
      <c r="Q614" s="787">
        <f t="shared" si="19"/>
        <v>9784</v>
      </c>
      <c r="R614" s="785"/>
      <c r="S614" s="786">
        <v>9010</v>
      </c>
      <c r="T614" s="788">
        <v>3129</v>
      </c>
      <c r="U614" s="788">
        <v>12139</v>
      </c>
    </row>
    <row r="615" spans="1:21" x14ac:dyDescent="0.25">
      <c r="A615" s="782">
        <v>96701</v>
      </c>
      <c r="B615" s="783" t="s">
        <v>3226</v>
      </c>
      <c r="C615" s="784">
        <v>8.4206000000000003E-3</v>
      </c>
      <c r="D615" s="784">
        <v>7.7850000000000003E-3</v>
      </c>
      <c r="E615" s="800">
        <v>3657208</v>
      </c>
      <c r="F615" s="785">
        <v>12864344</v>
      </c>
      <c r="G615" s="785"/>
      <c r="H615" s="786">
        <v>741105</v>
      </c>
      <c r="I615" s="787">
        <v>3123478</v>
      </c>
      <c r="J615" s="786">
        <v>1837207</v>
      </c>
      <c r="K615" s="785">
        <v>445953</v>
      </c>
      <c r="L615" s="787">
        <f t="shared" si="18"/>
        <v>6147743</v>
      </c>
      <c r="M615" s="785"/>
      <c r="N615" s="786">
        <v>364149</v>
      </c>
      <c r="O615" s="786">
        <v>0</v>
      </c>
      <c r="P615" s="785">
        <v>51464</v>
      </c>
      <c r="Q615" s="787">
        <f t="shared" si="19"/>
        <v>415613</v>
      </c>
      <c r="R615" s="785"/>
      <c r="S615" s="786">
        <v>4335295</v>
      </c>
      <c r="T615" s="788">
        <v>139565</v>
      </c>
      <c r="U615" s="788">
        <f>4474861-1</f>
        <v>4474860</v>
      </c>
    </row>
    <row r="616" spans="1:21" x14ac:dyDescent="0.25">
      <c r="A616" s="782">
        <v>96704</v>
      </c>
      <c r="B616" s="783" t="s">
        <v>3227</v>
      </c>
      <c r="C616" s="784">
        <v>1.7259999999999999E-4</v>
      </c>
      <c r="D616" s="784">
        <v>1.5330000000000001E-4</v>
      </c>
      <c r="E616" s="800">
        <v>92320</v>
      </c>
      <c r="F616" s="785">
        <v>263685</v>
      </c>
      <c r="G616" s="785"/>
      <c r="H616" s="786">
        <v>15191</v>
      </c>
      <c r="I616" s="787">
        <v>64023</v>
      </c>
      <c r="J616" s="786">
        <v>37658</v>
      </c>
      <c r="K616" s="785">
        <v>28813</v>
      </c>
      <c r="L616" s="787">
        <f t="shared" si="18"/>
        <v>145685</v>
      </c>
      <c r="M616" s="785"/>
      <c r="N616" s="786">
        <v>7464</v>
      </c>
      <c r="O616" s="786">
        <v>0</v>
      </c>
      <c r="P616" s="785">
        <v>0</v>
      </c>
      <c r="Q616" s="787">
        <f t="shared" si="19"/>
        <v>7464</v>
      </c>
      <c r="R616" s="785"/>
      <c r="S616" s="786">
        <v>88862</v>
      </c>
      <c r="T616" s="788">
        <v>9625</v>
      </c>
      <c r="U616" s="788">
        <v>98487</v>
      </c>
    </row>
    <row r="617" spans="1:21" x14ac:dyDescent="0.25">
      <c r="A617" s="782">
        <v>96708</v>
      </c>
      <c r="B617" s="783" t="s">
        <v>3228</v>
      </c>
      <c r="C617" s="784">
        <v>9.031E-4</v>
      </c>
      <c r="D617" s="784">
        <v>8.4590000000000002E-4</v>
      </c>
      <c r="E617" s="800">
        <v>441727</v>
      </c>
      <c r="F617" s="785">
        <v>1379687</v>
      </c>
      <c r="G617" s="785"/>
      <c r="H617" s="786">
        <v>79483</v>
      </c>
      <c r="I617" s="787">
        <v>334989</v>
      </c>
      <c r="J617" s="786">
        <v>197038</v>
      </c>
      <c r="K617" s="785">
        <v>93931</v>
      </c>
      <c r="L617" s="787">
        <f t="shared" si="18"/>
        <v>705441</v>
      </c>
      <c r="M617" s="785"/>
      <c r="N617" s="786">
        <v>39055</v>
      </c>
      <c r="O617" s="786">
        <v>0</v>
      </c>
      <c r="P617" s="785">
        <v>19895</v>
      </c>
      <c r="Q617" s="787">
        <f t="shared" si="19"/>
        <v>58950</v>
      </c>
      <c r="R617" s="785"/>
      <c r="S617" s="786">
        <v>464956</v>
      </c>
      <c r="T617" s="788">
        <v>29117</v>
      </c>
      <c r="U617" s="788">
        <v>494073</v>
      </c>
    </row>
    <row r="618" spans="1:21" x14ac:dyDescent="0.25">
      <c r="A618" s="782">
        <v>96711</v>
      </c>
      <c r="B618" s="783" t="s">
        <v>3229</v>
      </c>
      <c r="C618" s="784">
        <v>4.0464000000000003E-3</v>
      </c>
      <c r="D618" s="784">
        <v>4.4140000000000004E-3</v>
      </c>
      <c r="E618" s="800">
        <v>1869918</v>
      </c>
      <c r="F618" s="785">
        <v>6181778</v>
      </c>
      <c r="G618" s="785"/>
      <c r="H618" s="786">
        <v>356128</v>
      </c>
      <c r="I618" s="787">
        <v>1500943</v>
      </c>
      <c r="J618" s="786">
        <v>882844</v>
      </c>
      <c r="K618" s="785">
        <v>10323</v>
      </c>
      <c r="L618" s="787">
        <f t="shared" si="18"/>
        <v>2750238</v>
      </c>
      <c r="M618" s="785"/>
      <c r="N618" s="786">
        <v>174987</v>
      </c>
      <c r="O618" s="786">
        <v>0</v>
      </c>
      <c r="P618" s="785">
        <v>468550</v>
      </c>
      <c r="Q618" s="787">
        <f t="shared" si="19"/>
        <v>643537</v>
      </c>
      <c r="R618" s="785"/>
      <c r="S618" s="786">
        <v>2083265</v>
      </c>
      <c r="T618" s="788">
        <v>-165088</v>
      </c>
      <c r="U618" s="788">
        <v>1918177</v>
      </c>
    </row>
    <row r="619" spans="1:21" x14ac:dyDescent="0.25">
      <c r="A619" s="782">
        <v>96721</v>
      </c>
      <c r="B619" s="783" t="s">
        <v>3230</v>
      </c>
      <c r="C619" s="784">
        <v>2.1379999999999999E-4</v>
      </c>
      <c r="D619" s="784">
        <v>1.9780000000000001E-4</v>
      </c>
      <c r="E619" s="800">
        <v>96163</v>
      </c>
      <c r="F619" s="785">
        <v>326627</v>
      </c>
      <c r="G619" s="785"/>
      <c r="H619" s="786">
        <v>18817</v>
      </c>
      <c r="I619" s="787">
        <v>79305</v>
      </c>
      <c r="J619" s="786">
        <v>46647</v>
      </c>
      <c r="K619" s="785">
        <v>14615</v>
      </c>
      <c r="L619" s="787">
        <f t="shared" si="18"/>
        <v>159384</v>
      </c>
      <c r="M619" s="785"/>
      <c r="N619" s="786">
        <v>9246</v>
      </c>
      <c r="O619" s="786">
        <v>0</v>
      </c>
      <c r="P619" s="785">
        <v>25539</v>
      </c>
      <c r="Q619" s="787">
        <f t="shared" si="19"/>
        <v>34785</v>
      </c>
      <c r="R619" s="785"/>
      <c r="S619" s="786">
        <v>110074</v>
      </c>
      <c r="T619" s="788">
        <v>-1269</v>
      </c>
      <c r="U619" s="788">
        <v>108805</v>
      </c>
    </row>
    <row r="620" spans="1:21" x14ac:dyDescent="0.25">
      <c r="A620" s="782">
        <v>96731</v>
      </c>
      <c r="B620" s="783" t="s">
        <v>3231</v>
      </c>
      <c r="C620" s="784">
        <v>1.697E-4</v>
      </c>
      <c r="D620" s="784">
        <v>1.5090000000000001E-4</v>
      </c>
      <c r="E620" s="800">
        <v>72356</v>
      </c>
      <c r="F620" s="785">
        <v>259255</v>
      </c>
      <c r="G620" s="785"/>
      <c r="H620" s="786">
        <v>14935</v>
      </c>
      <c r="I620" s="787">
        <v>62947</v>
      </c>
      <c r="J620" s="786">
        <v>37025</v>
      </c>
      <c r="K620" s="785">
        <v>20951</v>
      </c>
      <c r="L620" s="787">
        <f t="shared" si="18"/>
        <v>135858</v>
      </c>
      <c r="M620" s="785"/>
      <c r="N620" s="786">
        <v>7339</v>
      </c>
      <c r="O620" s="786">
        <v>0</v>
      </c>
      <c r="P620" s="785">
        <v>6</v>
      </c>
      <c r="Q620" s="787">
        <f t="shared" si="19"/>
        <v>7345</v>
      </c>
      <c r="R620" s="785"/>
      <c r="S620" s="786">
        <v>87369</v>
      </c>
      <c r="T620" s="788">
        <v>7300</v>
      </c>
      <c r="U620" s="788">
        <v>94669</v>
      </c>
    </row>
    <row r="621" spans="1:21" x14ac:dyDescent="0.25">
      <c r="A621" s="782">
        <v>96733</v>
      </c>
      <c r="B621" s="783" t="s">
        <v>3232</v>
      </c>
      <c r="C621" s="784">
        <v>7.3000000000000004E-6</v>
      </c>
      <c r="D621" s="784">
        <v>9.2E-6</v>
      </c>
      <c r="E621" s="800">
        <v>4279</v>
      </c>
      <c r="F621" s="785">
        <v>11152</v>
      </c>
      <c r="G621" s="785"/>
      <c r="H621" s="786">
        <v>642</v>
      </c>
      <c r="I621" s="787">
        <v>2708</v>
      </c>
      <c r="J621" s="786">
        <v>1593</v>
      </c>
      <c r="K621" s="785">
        <v>3988</v>
      </c>
      <c r="L621" s="787">
        <f t="shared" si="18"/>
        <v>8931</v>
      </c>
      <c r="M621" s="785"/>
      <c r="N621" s="786">
        <v>316</v>
      </c>
      <c r="O621" s="786">
        <v>0</v>
      </c>
      <c r="P621" s="785">
        <v>1209</v>
      </c>
      <c r="Q621" s="787">
        <f t="shared" si="19"/>
        <v>1525</v>
      </c>
      <c r="R621" s="785"/>
      <c r="S621" s="786">
        <v>3758</v>
      </c>
      <c r="T621" s="788">
        <v>1574</v>
      </c>
      <c r="U621" s="788">
        <v>5332</v>
      </c>
    </row>
    <row r="622" spans="1:21" x14ac:dyDescent="0.25">
      <c r="A622" s="782">
        <v>96741</v>
      </c>
      <c r="B622" s="783" t="s">
        <v>3233</v>
      </c>
      <c r="C622" s="784">
        <v>9.0799999999999998E-5</v>
      </c>
      <c r="D622" s="784">
        <v>9.2399999999999996E-5</v>
      </c>
      <c r="E622" s="800">
        <v>41448</v>
      </c>
      <c r="F622" s="785">
        <v>138717</v>
      </c>
      <c r="G622" s="785"/>
      <c r="H622" s="786">
        <v>7991</v>
      </c>
      <c r="I622" s="787">
        <v>33681</v>
      </c>
      <c r="J622" s="786">
        <v>19811</v>
      </c>
      <c r="K622" s="785">
        <v>4204</v>
      </c>
      <c r="L622" s="787">
        <f t="shared" si="18"/>
        <v>65687</v>
      </c>
      <c r="M622" s="785"/>
      <c r="N622" s="786">
        <v>3927</v>
      </c>
      <c r="O622" s="786">
        <v>0</v>
      </c>
      <c r="P622" s="785">
        <v>2410</v>
      </c>
      <c r="Q622" s="787">
        <f t="shared" si="19"/>
        <v>6337</v>
      </c>
      <c r="R622" s="785"/>
      <c r="S622" s="786">
        <v>46748</v>
      </c>
      <c r="T622" s="788">
        <v>2215</v>
      </c>
      <c r="U622" s="788">
        <v>48963</v>
      </c>
    </row>
    <row r="623" spans="1:21" x14ac:dyDescent="0.25">
      <c r="A623" s="782">
        <v>96751</v>
      </c>
      <c r="B623" s="783" t="s">
        <v>3234</v>
      </c>
      <c r="C623" s="784">
        <v>2.5809999999999999E-4</v>
      </c>
      <c r="D623" s="784">
        <v>2.6120000000000001E-4</v>
      </c>
      <c r="E623" s="800">
        <v>115660</v>
      </c>
      <c r="F623" s="785">
        <v>394305</v>
      </c>
      <c r="G623" s="785"/>
      <c r="H623" s="786">
        <v>22716</v>
      </c>
      <c r="I623" s="787">
        <v>95737</v>
      </c>
      <c r="J623" s="786">
        <v>56312</v>
      </c>
      <c r="K623" s="785">
        <v>10810</v>
      </c>
      <c r="L623" s="787">
        <f t="shared" si="18"/>
        <v>185575</v>
      </c>
      <c r="M623" s="785"/>
      <c r="N623" s="786">
        <v>11162</v>
      </c>
      <c r="O623" s="786">
        <v>0</v>
      </c>
      <c r="P623" s="785">
        <v>31380</v>
      </c>
      <c r="Q623" s="787">
        <f t="shared" si="19"/>
        <v>42542</v>
      </c>
      <c r="R623" s="785"/>
      <c r="S623" s="786">
        <v>132881</v>
      </c>
      <c r="T623" s="788">
        <v>-737</v>
      </c>
      <c r="U623" s="788">
        <v>132144</v>
      </c>
    </row>
    <row r="624" spans="1:21" x14ac:dyDescent="0.25">
      <c r="A624" s="782">
        <v>96801</v>
      </c>
      <c r="B624" s="783" t="s">
        <v>3235</v>
      </c>
      <c r="C624" s="784">
        <v>7.5814000000000003E-3</v>
      </c>
      <c r="D624" s="784">
        <v>7.8463999999999999E-3</v>
      </c>
      <c r="E624" s="800">
        <v>3611120</v>
      </c>
      <c r="F624" s="785">
        <v>11582279</v>
      </c>
      <c r="G624" s="785"/>
      <c r="H624" s="786">
        <v>667247</v>
      </c>
      <c r="I624" s="787">
        <v>2812192</v>
      </c>
      <c r="J624" s="786">
        <v>1654110</v>
      </c>
      <c r="K624" s="785">
        <v>406857</v>
      </c>
      <c r="L624" s="787">
        <f t="shared" si="18"/>
        <v>5540406</v>
      </c>
      <c r="M624" s="785"/>
      <c r="N624" s="786">
        <v>327858</v>
      </c>
      <c r="O624" s="786">
        <v>0</v>
      </c>
      <c r="P624" s="785">
        <v>73178</v>
      </c>
      <c r="Q624" s="787">
        <f t="shared" si="19"/>
        <v>401036</v>
      </c>
      <c r="R624" s="785"/>
      <c r="S624" s="786">
        <v>3903238</v>
      </c>
      <c r="T624" s="788">
        <v>217480</v>
      </c>
      <c r="U624" s="788">
        <v>4120718</v>
      </c>
    </row>
    <row r="625" spans="1:21" x14ac:dyDescent="0.25">
      <c r="A625" s="782">
        <v>96804</v>
      </c>
      <c r="B625" s="783" t="s">
        <v>3236</v>
      </c>
      <c r="C625" s="784">
        <v>2.654E-4</v>
      </c>
      <c r="D625" s="784">
        <v>2.4230000000000001E-4</v>
      </c>
      <c r="E625" s="800">
        <v>109175</v>
      </c>
      <c r="F625" s="785">
        <v>405458</v>
      </c>
      <c r="G625" s="785"/>
      <c r="H625" s="786">
        <v>23358</v>
      </c>
      <c r="I625" s="787">
        <v>98446</v>
      </c>
      <c r="J625" s="786">
        <v>57905</v>
      </c>
      <c r="K625" s="785">
        <v>7601</v>
      </c>
      <c r="L625" s="787">
        <f t="shared" si="18"/>
        <v>187310</v>
      </c>
      <c r="M625" s="785"/>
      <c r="N625" s="786">
        <v>11477</v>
      </c>
      <c r="O625" s="786">
        <v>0</v>
      </c>
      <c r="P625" s="785">
        <v>2044</v>
      </c>
      <c r="Q625" s="787">
        <f t="shared" si="19"/>
        <v>13521</v>
      </c>
      <c r="R625" s="785"/>
      <c r="S625" s="786">
        <v>136640</v>
      </c>
      <c r="T625" s="788">
        <v>2424</v>
      </c>
      <c r="U625" s="788">
        <v>139064</v>
      </c>
    </row>
    <row r="626" spans="1:21" x14ac:dyDescent="0.25">
      <c r="A626" s="782">
        <v>96808</v>
      </c>
      <c r="B626" s="783" t="s">
        <v>3237</v>
      </c>
      <c r="C626" s="784">
        <v>1.2711000000000001E-3</v>
      </c>
      <c r="D626" s="784">
        <v>1.2882E-3</v>
      </c>
      <c r="E626" s="800">
        <v>593249</v>
      </c>
      <c r="F626" s="785">
        <v>1941889</v>
      </c>
      <c r="G626" s="785"/>
      <c r="H626" s="786">
        <v>111871</v>
      </c>
      <c r="I626" s="787">
        <v>471493</v>
      </c>
      <c r="J626" s="786">
        <v>277329</v>
      </c>
      <c r="K626" s="785">
        <v>42529</v>
      </c>
      <c r="L626" s="787">
        <f t="shared" si="18"/>
        <v>903222</v>
      </c>
      <c r="M626" s="785"/>
      <c r="N626" s="786">
        <v>54969</v>
      </c>
      <c r="O626" s="786">
        <v>0</v>
      </c>
      <c r="P626" s="785">
        <v>3699</v>
      </c>
      <c r="Q626" s="787">
        <f t="shared" si="19"/>
        <v>58668</v>
      </c>
      <c r="R626" s="785"/>
      <c r="S626" s="786">
        <v>654418</v>
      </c>
      <c r="T626" s="788">
        <v>23633</v>
      </c>
      <c r="U626" s="788">
        <v>678051</v>
      </c>
    </row>
    <row r="627" spans="1:21" x14ac:dyDescent="0.25">
      <c r="A627" s="782">
        <v>96811</v>
      </c>
      <c r="B627" s="783" t="s">
        <v>3238</v>
      </c>
      <c r="C627" s="784">
        <v>6.0096999999999998E-3</v>
      </c>
      <c r="D627" s="784">
        <v>5.9861999999999997E-3</v>
      </c>
      <c r="E627" s="800">
        <v>2786025</v>
      </c>
      <c r="F627" s="785">
        <v>9181157</v>
      </c>
      <c r="G627" s="785"/>
      <c r="H627" s="786">
        <v>528920</v>
      </c>
      <c r="I627" s="787">
        <v>2229197</v>
      </c>
      <c r="J627" s="786">
        <v>1311196</v>
      </c>
      <c r="K627" s="785">
        <v>37410</v>
      </c>
      <c r="L627" s="787">
        <f t="shared" si="18"/>
        <v>4106723</v>
      </c>
      <c r="M627" s="785"/>
      <c r="N627" s="786">
        <v>259889</v>
      </c>
      <c r="O627" s="786">
        <v>0</v>
      </c>
      <c r="P627" s="785">
        <v>53500</v>
      </c>
      <c r="Q627" s="787">
        <f t="shared" si="19"/>
        <v>313389</v>
      </c>
      <c r="R627" s="785"/>
      <c r="S627" s="786">
        <v>3094058</v>
      </c>
      <c r="T627" s="788">
        <v>-23369</v>
      </c>
      <c r="U627" s="788">
        <v>3070689</v>
      </c>
    </row>
    <row r="628" spans="1:21" x14ac:dyDescent="0.25">
      <c r="A628" s="782">
        <v>96821</v>
      </c>
      <c r="B628" s="783" t="s">
        <v>3239</v>
      </c>
      <c r="C628" s="784">
        <v>1.3247000000000001E-3</v>
      </c>
      <c r="D628" s="784">
        <v>1.3630999999999999E-3</v>
      </c>
      <c r="E628" s="800">
        <v>603956</v>
      </c>
      <c r="F628" s="785">
        <v>2023775</v>
      </c>
      <c r="G628" s="785"/>
      <c r="H628" s="786">
        <v>116588</v>
      </c>
      <c r="I628" s="787">
        <v>491375</v>
      </c>
      <c r="J628" s="786">
        <v>289023</v>
      </c>
      <c r="K628" s="785">
        <v>0</v>
      </c>
      <c r="L628" s="787">
        <f t="shared" si="18"/>
        <v>896986</v>
      </c>
      <c r="M628" s="785"/>
      <c r="N628" s="786">
        <v>57287</v>
      </c>
      <c r="O628" s="786">
        <v>0</v>
      </c>
      <c r="P628" s="785">
        <v>134629</v>
      </c>
      <c r="Q628" s="787">
        <f t="shared" si="19"/>
        <v>191916</v>
      </c>
      <c r="R628" s="785"/>
      <c r="S628" s="786">
        <v>682014</v>
      </c>
      <c r="T628" s="788">
        <v>-54878</v>
      </c>
      <c r="U628" s="788">
        <v>627136</v>
      </c>
    </row>
    <row r="629" spans="1:21" x14ac:dyDescent="0.25">
      <c r="A629" s="782">
        <v>96831</v>
      </c>
      <c r="B629" s="783" t="s">
        <v>3240</v>
      </c>
      <c r="C629" s="784">
        <v>9.1929999999999996E-4</v>
      </c>
      <c r="D629" s="784">
        <v>9.2400000000000002E-4</v>
      </c>
      <c r="E629" s="800">
        <v>426593</v>
      </c>
      <c r="F629" s="785">
        <v>1404436</v>
      </c>
      <c r="G629" s="785"/>
      <c r="H629" s="786">
        <v>80909</v>
      </c>
      <c r="I629" s="787">
        <v>340998</v>
      </c>
      <c r="J629" s="786">
        <v>200573</v>
      </c>
      <c r="K629" s="785">
        <v>37726</v>
      </c>
      <c r="L629" s="787">
        <f t="shared" si="18"/>
        <v>660206</v>
      </c>
      <c r="M629" s="785"/>
      <c r="N629" s="786">
        <v>39755</v>
      </c>
      <c r="O629" s="786">
        <v>0</v>
      </c>
      <c r="P629" s="785">
        <v>0</v>
      </c>
      <c r="Q629" s="787">
        <f t="shared" si="19"/>
        <v>39755</v>
      </c>
      <c r="R629" s="785"/>
      <c r="S629" s="786">
        <v>473296</v>
      </c>
      <c r="T629" s="788">
        <v>19380</v>
      </c>
      <c r="U629" s="788">
        <v>492676</v>
      </c>
    </row>
    <row r="630" spans="1:21" x14ac:dyDescent="0.25">
      <c r="A630" s="782">
        <v>96901</v>
      </c>
      <c r="B630" s="783" t="s">
        <v>3241</v>
      </c>
      <c r="C630" s="784">
        <v>8.9820000000000004E-4</v>
      </c>
      <c r="D630" s="784">
        <v>8.1610000000000005E-4</v>
      </c>
      <c r="E630" s="800">
        <v>411770</v>
      </c>
      <c r="F630" s="785">
        <v>1372201</v>
      </c>
      <c r="G630" s="785"/>
      <c r="H630" s="786">
        <v>79051</v>
      </c>
      <c r="I630" s="787">
        <v>333172</v>
      </c>
      <c r="J630" s="786">
        <v>195969</v>
      </c>
      <c r="K630" s="785">
        <v>85745</v>
      </c>
      <c r="L630" s="787">
        <f t="shared" si="18"/>
        <v>693937</v>
      </c>
      <c r="M630" s="785"/>
      <c r="N630" s="786">
        <v>38843</v>
      </c>
      <c r="O630" s="786">
        <v>0</v>
      </c>
      <c r="P630" s="785">
        <v>0</v>
      </c>
      <c r="Q630" s="787">
        <f t="shared" si="19"/>
        <v>38843</v>
      </c>
      <c r="R630" s="785"/>
      <c r="S630" s="786">
        <v>462433</v>
      </c>
      <c r="T630" s="788">
        <v>28927</v>
      </c>
      <c r="U630" s="788">
        <v>491360</v>
      </c>
    </row>
    <row r="631" spans="1:21" x14ac:dyDescent="0.25">
      <c r="A631" s="782">
        <v>96911</v>
      </c>
      <c r="B631" s="783" t="s">
        <v>3242</v>
      </c>
      <c r="C631" s="784">
        <v>2.3999999999999999E-6</v>
      </c>
      <c r="D631" s="784">
        <v>3.7000000000000002E-6</v>
      </c>
      <c r="E631" s="800">
        <v>1942</v>
      </c>
      <c r="F631" s="785">
        <v>3667</v>
      </c>
      <c r="G631" s="785"/>
      <c r="H631" s="786">
        <v>211</v>
      </c>
      <c r="I631" s="787">
        <v>890</v>
      </c>
      <c r="J631" s="786">
        <v>524</v>
      </c>
      <c r="K631" s="785">
        <v>2464</v>
      </c>
      <c r="L631" s="787">
        <f t="shared" si="18"/>
        <v>4089</v>
      </c>
      <c r="M631" s="785"/>
      <c r="N631" s="786">
        <v>104</v>
      </c>
      <c r="O631" s="786">
        <v>0</v>
      </c>
      <c r="P631" s="785">
        <v>2953</v>
      </c>
      <c r="Q631" s="787">
        <f t="shared" si="19"/>
        <v>3057</v>
      </c>
      <c r="R631" s="785"/>
      <c r="S631" s="786">
        <v>1236</v>
      </c>
      <c r="T631" s="788">
        <v>521</v>
      </c>
      <c r="U631" s="788">
        <f>1756+1</f>
        <v>1757</v>
      </c>
    </row>
    <row r="632" spans="1:21" x14ac:dyDescent="0.25">
      <c r="A632" s="782">
        <v>96912</v>
      </c>
      <c r="B632" s="783" t="s">
        <v>3243</v>
      </c>
      <c r="C632" s="784">
        <v>6.0099999999999997E-5</v>
      </c>
      <c r="D632" s="784">
        <v>6.0999999999999999E-5</v>
      </c>
      <c r="E632" s="800">
        <v>24610</v>
      </c>
      <c r="F632" s="785">
        <v>91816</v>
      </c>
      <c r="G632" s="785"/>
      <c r="H632" s="786">
        <v>5289</v>
      </c>
      <c r="I632" s="787">
        <v>22293</v>
      </c>
      <c r="J632" s="786">
        <v>13113</v>
      </c>
      <c r="K632" s="785">
        <v>4325</v>
      </c>
      <c r="L632" s="787">
        <f t="shared" si="18"/>
        <v>45020</v>
      </c>
      <c r="M632" s="785"/>
      <c r="N632" s="786">
        <v>2599</v>
      </c>
      <c r="O632" s="786">
        <v>0</v>
      </c>
      <c r="P632" s="785">
        <v>3739</v>
      </c>
      <c r="Q632" s="787">
        <f t="shared" si="19"/>
        <v>6338</v>
      </c>
      <c r="R632" s="785"/>
      <c r="S632" s="786">
        <v>30942</v>
      </c>
      <c r="T632" s="788">
        <v>2307</v>
      </c>
      <c r="U632" s="788">
        <v>33249</v>
      </c>
    </row>
    <row r="633" spans="1:21" x14ac:dyDescent="0.25">
      <c r="A633" s="782">
        <v>96918</v>
      </c>
      <c r="B633" s="783" t="s">
        <v>3244</v>
      </c>
      <c r="C633" s="784">
        <v>3.8000000000000002E-5</v>
      </c>
      <c r="D633" s="784">
        <v>4.0500000000000002E-5</v>
      </c>
      <c r="E633" s="800">
        <v>20289</v>
      </c>
      <c r="F633" s="785">
        <v>58053</v>
      </c>
      <c r="G633" s="785"/>
      <c r="H633" s="786">
        <v>3344</v>
      </c>
      <c r="I633" s="787">
        <v>14095</v>
      </c>
      <c r="J633" s="786">
        <v>8291</v>
      </c>
      <c r="K633" s="785">
        <v>7713</v>
      </c>
      <c r="L633" s="787">
        <f t="shared" si="18"/>
        <v>33443</v>
      </c>
      <c r="M633" s="785"/>
      <c r="N633" s="786">
        <v>1643</v>
      </c>
      <c r="O633" s="786">
        <v>0</v>
      </c>
      <c r="P633" s="785">
        <v>884</v>
      </c>
      <c r="Q633" s="787">
        <f t="shared" si="19"/>
        <v>2527</v>
      </c>
      <c r="R633" s="785"/>
      <c r="S633" s="786">
        <v>19564</v>
      </c>
      <c r="T633" s="788">
        <v>5648</v>
      </c>
      <c r="U633" s="788">
        <v>25212</v>
      </c>
    </row>
    <row r="634" spans="1:21" x14ac:dyDescent="0.25">
      <c r="A634" s="782">
        <v>97001</v>
      </c>
      <c r="B634" s="783" t="s">
        <v>3245</v>
      </c>
      <c r="C634" s="784">
        <v>1.3778E-3</v>
      </c>
      <c r="D634" s="784">
        <v>1.3641E-3</v>
      </c>
      <c r="E634" s="800">
        <v>710694</v>
      </c>
      <c r="F634" s="785">
        <v>2104897</v>
      </c>
      <c r="G634" s="785"/>
      <c r="H634" s="786">
        <v>121262</v>
      </c>
      <c r="I634" s="787">
        <v>511071</v>
      </c>
      <c r="J634" s="786">
        <v>300608</v>
      </c>
      <c r="K634" s="785">
        <v>148744</v>
      </c>
      <c r="L634" s="787">
        <f t="shared" si="18"/>
        <v>1081685</v>
      </c>
      <c r="M634" s="785"/>
      <c r="N634" s="786">
        <v>59583</v>
      </c>
      <c r="O634" s="786">
        <v>0</v>
      </c>
      <c r="P634" s="785">
        <v>11523</v>
      </c>
      <c r="Q634" s="787">
        <f t="shared" si="19"/>
        <v>71106</v>
      </c>
      <c r="R634" s="785"/>
      <c r="S634" s="786">
        <v>709352</v>
      </c>
      <c r="T634" s="788">
        <v>36360</v>
      </c>
      <c r="U634" s="788">
        <v>745712</v>
      </c>
    </row>
    <row r="635" spans="1:21" x14ac:dyDescent="0.25">
      <c r="A635" s="782">
        <v>97002</v>
      </c>
      <c r="B635" s="783" t="s">
        <v>3246</v>
      </c>
      <c r="C635" s="784">
        <v>5.2610000000000005E-4</v>
      </c>
      <c r="D635" s="784">
        <v>4.6589999999999999E-4</v>
      </c>
      <c r="E635" s="800">
        <v>182319</v>
      </c>
      <c r="F635" s="785">
        <v>803735</v>
      </c>
      <c r="G635" s="785"/>
      <c r="H635" s="786">
        <v>46303</v>
      </c>
      <c r="I635" s="787">
        <v>195148</v>
      </c>
      <c r="J635" s="786">
        <v>114784</v>
      </c>
      <c r="K635" s="785">
        <v>16832</v>
      </c>
      <c r="L635" s="787">
        <f t="shared" si="18"/>
        <v>373067</v>
      </c>
      <c r="M635" s="785"/>
      <c r="N635" s="786">
        <v>22751</v>
      </c>
      <c r="O635" s="786">
        <v>0</v>
      </c>
      <c r="P635" s="785">
        <v>7002</v>
      </c>
      <c r="Q635" s="787">
        <f t="shared" si="19"/>
        <v>29753</v>
      </c>
      <c r="R635" s="785"/>
      <c r="S635" s="786">
        <v>270859</v>
      </c>
      <c r="T635" s="788">
        <v>10025</v>
      </c>
      <c r="U635" s="788">
        <f>280885-1</f>
        <v>280884</v>
      </c>
    </row>
    <row r="636" spans="1:21" x14ac:dyDescent="0.25">
      <c r="A636" s="782">
        <v>97004</v>
      </c>
      <c r="B636" s="783" t="s">
        <v>3247</v>
      </c>
      <c r="C636" s="784">
        <v>9.7999999999999993E-6</v>
      </c>
      <c r="D636" s="784">
        <v>1.0900000000000001E-5</v>
      </c>
      <c r="E636" s="800">
        <v>8257</v>
      </c>
      <c r="F636" s="785">
        <v>14972</v>
      </c>
      <c r="G636" s="785"/>
      <c r="H636" s="786">
        <v>863</v>
      </c>
      <c r="I636" s="787">
        <v>3635</v>
      </c>
      <c r="J636" s="786">
        <v>2138</v>
      </c>
      <c r="K636" s="785">
        <v>4225</v>
      </c>
      <c r="L636" s="787">
        <f t="shared" si="18"/>
        <v>10861</v>
      </c>
      <c r="M636" s="785"/>
      <c r="N636" s="786">
        <v>424</v>
      </c>
      <c r="O636" s="786">
        <v>0</v>
      </c>
      <c r="P636" s="785">
        <v>0</v>
      </c>
      <c r="Q636" s="787">
        <f t="shared" si="19"/>
        <v>424</v>
      </c>
      <c r="R636" s="785"/>
      <c r="S636" s="786">
        <v>5045</v>
      </c>
      <c r="T636" s="788">
        <v>1862</v>
      </c>
      <c r="U636" s="788">
        <f>6908-1</f>
        <v>6907</v>
      </c>
    </row>
    <row r="637" spans="1:21" x14ac:dyDescent="0.25">
      <c r="A637" s="782">
        <v>97005</v>
      </c>
      <c r="B637" s="783" t="s">
        <v>3248</v>
      </c>
      <c r="C637" s="784">
        <v>2.83E-5</v>
      </c>
      <c r="D637" s="784">
        <v>1.42E-5</v>
      </c>
      <c r="E637" s="800">
        <v>15092</v>
      </c>
      <c r="F637" s="785">
        <v>43235</v>
      </c>
      <c r="G637" s="785"/>
      <c r="H637" s="786">
        <v>2491</v>
      </c>
      <c r="I637" s="787">
        <v>10498</v>
      </c>
      <c r="J637" s="786">
        <v>6174</v>
      </c>
      <c r="K637" s="785">
        <v>13129</v>
      </c>
      <c r="L637" s="787">
        <f t="shared" si="18"/>
        <v>32292</v>
      </c>
      <c r="M637" s="785"/>
      <c r="N637" s="786">
        <v>1224</v>
      </c>
      <c r="O637" s="786">
        <v>0</v>
      </c>
      <c r="P637" s="785">
        <v>1368</v>
      </c>
      <c r="Q637" s="787">
        <f t="shared" si="19"/>
        <v>2592</v>
      </c>
      <c r="R637" s="785"/>
      <c r="S637" s="786">
        <v>14570</v>
      </c>
      <c r="T637" s="788">
        <v>3211</v>
      </c>
      <c r="U637" s="788">
        <v>17781</v>
      </c>
    </row>
    <row r="638" spans="1:21" x14ac:dyDescent="0.25">
      <c r="A638" s="782">
        <v>97008</v>
      </c>
      <c r="B638" s="783" t="s">
        <v>3249</v>
      </c>
      <c r="C638" s="784">
        <v>2.8659999999999997E-4</v>
      </c>
      <c r="D638" s="784">
        <v>2.7530000000000002E-4</v>
      </c>
      <c r="E638" s="800">
        <v>128453</v>
      </c>
      <c r="F638" s="785">
        <v>437845</v>
      </c>
      <c r="G638" s="785"/>
      <c r="H638" s="786">
        <v>25224</v>
      </c>
      <c r="I638" s="787">
        <v>106309</v>
      </c>
      <c r="J638" s="786">
        <v>62530</v>
      </c>
      <c r="K638" s="785">
        <v>12387</v>
      </c>
      <c r="L638" s="787">
        <f t="shared" si="18"/>
        <v>206450</v>
      </c>
      <c r="M638" s="785"/>
      <c r="N638" s="786">
        <v>12394</v>
      </c>
      <c r="O638" s="786">
        <v>0</v>
      </c>
      <c r="P638" s="785">
        <v>3127</v>
      </c>
      <c r="Q638" s="787">
        <f t="shared" si="19"/>
        <v>15521</v>
      </c>
      <c r="R638" s="785"/>
      <c r="S638" s="786">
        <v>147554</v>
      </c>
      <c r="T638" s="788">
        <v>7175</v>
      </c>
      <c r="U638" s="788">
        <v>154729</v>
      </c>
    </row>
    <row r="639" spans="1:21" x14ac:dyDescent="0.25">
      <c r="A639" s="782">
        <v>97010</v>
      </c>
      <c r="B639" s="783" t="s">
        <v>3250</v>
      </c>
      <c r="C639" s="784">
        <v>0</v>
      </c>
      <c r="D639" s="784">
        <v>0</v>
      </c>
      <c r="E639" s="800" t="e">
        <v>#N/A</v>
      </c>
      <c r="F639" s="785">
        <v>0</v>
      </c>
      <c r="G639" s="785"/>
      <c r="H639" s="786">
        <v>0</v>
      </c>
      <c r="I639" s="787">
        <v>0</v>
      </c>
      <c r="J639" s="786">
        <v>0</v>
      </c>
      <c r="K639" s="785">
        <v>0</v>
      </c>
      <c r="L639" s="787">
        <f t="shared" si="18"/>
        <v>0</v>
      </c>
      <c r="M639" s="785"/>
      <c r="N639" s="786">
        <v>0</v>
      </c>
      <c r="O639" s="786">
        <v>0</v>
      </c>
      <c r="P639" s="785">
        <v>2056902</v>
      </c>
      <c r="Q639" s="787">
        <f t="shared" si="19"/>
        <v>2056902</v>
      </c>
      <c r="R639" s="785"/>
      <c r="S639" s="786">
        <v>0</v>
      </c>
      <c r="T639" s="788">
        <v>-1282454</v>
      </c>
      <c r="U639" s="788">
        <v>-1282454</v>
      </c>
    </row>
    <row r="640" spans="1:21" x14ac:dyDescent="0.25">
      <c r="A640" s="782">
        <v>97011</v>
      </c>
      <c r="B640" s="783" t="s">
        <v>3251</v>
      </c>
      <c r="C640" s="784">
        <v>1.9166999999999999E-3</v>
      </c>
      <c r="D640" s="784">
        <v>1.9522999999999999E-3</v>
      </c>
      <c r="E640" s="800">
        <v>907458</v>
      </c>
      <c r="F640" s="785">
        <v>2928187</v>
      </c>
      <c r="G640" s="785"/>
      <c r="H640" s="786">
        <v>168691</v>
      </c>
      <c r="I640" s="787">
        <v>710967</v>
      </c>
      <c r="J640" s="786">
        <v>418186</v>
      </c>
      <c r="K640" s="785">
        <v>0</v>
      </c>
      <c r="L640" s="787">
        <f t="shared" si="18"/>
        <v>1297844</v>
      </c>
      <c r="M640" s="785"/>
      <c r="N640" s="786">
        <v>82888</v>
      </c>
      <c r="O640" s="786">
        <v>0</v>
      </c>
      <c r="P640" s="785">
        <v>92552</v>
      </c>
      <c r="Q640" s="787">
        <f t="shared" si="19"/>
        <v>175440</v>
      </c>
      <c r="R640" s="785"/>
      <c r="S640" s="786">
        <v>986801</v>
      </c>
      <c r="T640" s="788">
        <v>-38711</v>
      </c>
      <c r="U640" s="788">
        <v>948090</v>
      </c>
    </row>
    <row r="641" spans="1:21" x14ac:dyDescent="0.25">
      <c r="A641" s="782">
        <v>97012</v>
      </c>
      <c r="B641" s="783" t="s">
        <v>3252</v>
      </c>
      <c r="C641" s="784">
        <v>2.9499999999999999E-5</v>
      </c>
      <c r="D641" s="784">
        <v>2.4499999999999999E-5</v>
      </c>
      <c r="E641" s="800">
        <v>12375</v>
      </c>
      <c r="F641" s="785">
        <v>45068</v>
      </c>
      <c r="G641" s="785"/>
      <c r="H641" s="786">
        <v>2596</v>
      </c>
      <c r="I641" s="787">
        <v>10942</v>
      </c>
      <c r="J641" s="786">
        <v>6436</v>
      </c>
      <c r="K641" s="785">
        <v>4949</v>
      </c>
      <c r="L641" s="787">
        <f t="shared" si="18"/>
        <v>24923</v>
      </c>
      <c r="M641" s="785"/>
      <c r="N641" s="786">
        <v>1276</v>
      </c>
      <c r="O641" s="786">
        <v>0</v>
      </c>
      <c r="P641" s="785">
        <v>1149</v>
      </c>
      <c r="Q641" s="787">
        <f t="shared" si="19"/>
        <v>2425</v>
      </c>
      <c r="R641" s="785"/>
      <c r="S641" s="786">
        <v>15188</v>
      </c>
      <c r="T641" s="788">
        <v>752</v>
      </c>
      <c r="U641" s="788">
        <v>15940</v>
      </c>
    </row>
    <row r="642" spans="1:21" x14ac:dyDescent="0.25">
      <c r="A642" s="782">
        <v>97013</v>
      </c>
      <c r="B642" s="783" t="s">
        <v>3253</v>
      </c>
      <c r="C642" s="784">
        <v>1.8199999999999999E-5</v>
      </c>
      <c r="D642" s="784">
        <v>2.0699999999999998E-5</v>
      </c>
      <c r="E642" s="800">
        <v>11433</v>
      </c>
      <c r="F642" s="785">
        <v>27805</v>
      </c>
      <c r="G642" s="785"/>
      <c r="H642" s="786">
        <v>1602</v>
      </c>
      <c r="I642" s="787">
        <v>6751</v>
      </c>
      <c r="J642" s="786">
        <v>3971</v>
      </c>
      <c r="K642" s="785">
        <v>6233</v>
      </c>
      <c r="L642" s="787">
        <f t="shared" si="18"/>
        <v>18557</v>
      </c>
      <c r="M642" s="785"/>
      <c r="N642" s="786">
        <v>787</v>
      </c>
      <c r="O642" s="786">
        <v>0</v>
      </c>
      <c r="P642" s="785">
        <v>431</v>
      </c>
      <c r="Q642" s="787">
        <f t="shared" si="19"/>
        <v>1218</v>
      </c>
      <c r="R642" s="785"/>
      <c r="S642" s="786">
        <v>9370</v>
      </c>
      <c r="T642" s="788">
        <v>2046</v>
      </c>
      <c r="U642" s="788">
        <v>11416</v>
      </c>
    </row>
    <row r="643" spans="1:21" x14ac:dyDescent="0.25">
      <c r="A643" s="782">
        <v>97015</v>
      </c>
      <c r="B643" s="783" t="s">
        <v>3254</v>
      </c>
      <c r="C643" s="784">
        <v>4.1499999999999999E-5</v>
      </c>
      <c r="D643" s="784">
        <v>5.3699999999999997E-5</v>
      </c>
      <c r="E643" s="800">
        <v>23036</v>
      </c>
      <c r="F643" s="785">
        <v>63401</v>
      </c>
      <c r="G643" s="785"/>
      <c r="H643" s="786">
        <v>3652</v>
      </c>
      <c r="I643" s="787">
        <v>15394</v>
      </c>
      <c r="J643" s="786">
        <v>9054</v>
      </c>
      <c r="K643" s="785">
        <v>4608</v>
      </c>
      <c r="L643" s="787">
        <f t="shared" si="18"/>
        <v>32708</v>
      </c>
      <c r="M643" s="785"/>
      <c r="N643" s="786">
        <v>1795</v>
      </c>
      <c r="O643" s="786">
        <v>0</v>
      </c>
      <c r="P643" s="785">
        <v>5783</v>
      </c>
      <c r="Q643" s="787">
        <f t="shared" si="19"/>
        <v>7578</v>
      </c>
      <c r="R643" s="785"/>
      <c r="S643" s="786">
        <v>21366</v>
      </c>
      <c r="T643" s="788">
        <v>26</v>
      </c>
      <c r="U643" s="788">
        <v>21392</v>
      </c>
    </row>
    <row r="644" spans="1:21" x14ac:dyDescent="0.25">
      <c r="A644" s="782">
        <v>97018</v>
      </c>
      <c r="B644" s="783" t="s">
        <v>3255</v>
      </c>
      <c r="C644" s="784">
        <v>8.6000000000000007E-6</v>
      </c>
      <c r="D644" s="784">
        <v>9.3999999999999998E-6</v>
      </c>
      <c r="E644" s="800">
        <v>8135</v>
      </c>
      <c r="F644" s="785">
        <v>13138</v>
      </c>
      <c r="G644" s="785"/>
      <c r="H644" s="786">
        <v>757</v>
      </c>
      <c r="I644" s="787">
        <v>3190</v>
      </c>
      <c r="J644" s="786">
        <v>1876</v>
      </c>
      <c r="K644" s="785">
        <v>6833</v>
      </c>
      <c r="L644" s="787">
        <f t="shared" si="18"/>
        <v>12656</v>
      </c>
      <c r="M644" s="785"/>
      <c r="N644" s="786">
        <v>372</v>
      </c>
      <c r="O644" s="786">
        <v>0</v>
      </c>
      <c r="P644" s="785">
        <v>0</v>
      </c>
      <c r="Q644" s="787">
        <f t="shared" si="19"/>
        <v>372</v>
      </c>
      <c r="R644" s="785"/>
      <c r="S644" s="786">
        <v>4428</v>
      </c>
      <c r="T644" s="788">
        <v>2806</v>
      </c>
      <c r="U644" s="788">
        <v>7234</v>
      </c>
    </row>
    <row r="645" spans="1:21" x14ac:dyDescent="0.25">
      <c r="A645" s="782">
        <v>97101</v>
      </c>
      <c r="B645" s="783" t="s">
        <v>3256</v>
      </c>
      <c r="C645" s="784">
        <v>2.5790000000000001E-3</v>
      </c>
      <c r="D645" s="784">
        <v>2.6029E-3</v>
      </c>
      <c r="E645" s="800">
        <v>1208500</v>
      </c>
      <c r="F645" s="785">
        <v>3939998</v>
      </c>
      <c r="G645" s="785"/>
      <c r="H645" s="786">
        <v>226980</v>
      </c>
      <c r="I645" s="787">
        <v>956636</v>
      </c>
      <c r="J645" s="786">
        <v>562686</v>
      </c>
      <c r="K645" s="785">
        <v>22549</v>
      </c>
      <c r="L645" s="787">
        <f t="shared" si="18"/>
        <v>1768851</v>
      </c>
      <c r="M645" s="785"/>
      <c r="N645" s="786">
        <v>111529</v>
      </c>
      <c r="O645" s="786">
        <v>0</v>
      </c>
      <c r="P645" s="785">
        <v>6937</v>
      </c>
      <c r="Q645" s="787">
        <f t="shared" si="19"/>
        <v>118466</v>
      </c>
      <c r="R645" s="785"/>
      <c r="S645" s="786">
        <v>1327783</v>
      </c>
      <c r="T645" s="788">
        <v>3541</v>
      </c>
      <c r="U645" s="788">
        <v>1331324</v>
      </c>
    </row>
    <row r="646" spans="1:21" x14ac:dyDescent="0.25">
      <c r="A646" s="782">
        <v>97104</v>
      </c>
      <c r="B646" s="783" t="s">
        <v>3257</v>
      </c>
      <c r="C646" s="784">
        <v>5.4299999999999998E-5</v>
      </c>
      <c r="D646" s="784">
        <v>5.6799999999999998E-5</v>
      </c>
      <c r="E646" s="800">
        <v>29147</v>
      </c>
      <c r="F646" s="785">
        <v>82955</v>
      </c>
      <c r="G646" s="785"/>
      <c r="H646" s="786">
        <v>4779</v>
      </c>
      <c r="I646" s="787">
        <v>20142</v>
      </c>
      <c r="J646" s="786">
        <v>11847</v>
      </c>
      <c r="K646" s="785">
        <v>11700</v>
      </c>
      <c r="L646" s="787">
        <f t="shared" si="18"/>
        <v>48468</v>
      </c>
      <c r="M646" s="785"/>
      <c r="N646" s="786">
        <v>2348</v>
      </c>
      <c r="O646" s="786">
        <v>0</v>
      </c>
      <c r="P646" s="785">
        <v>0</v>
      </c>
      <c r="Q646" s="787">
        <f t="shared" si="19"/>
        <v>2348</v>
      </c>
      <c r="R646" s="785"/>
      <c r="S646" s="786">
        <v>27956</v>
      </c>
      <c r="T646" s="788">
        <v>6133</v>
      </c>
      <c r="U646" s="788">
        <v>34089</v>
      </c>
    </row>
    <row r="647" spans="1:21" x14ac:dyDescent="0.25">
      <c r="A647" s="782">
        <v>97111</v>
      </c>
      <c r="B647" s="783" t="s">
        <v>3258</v>
      </c>
      <c r="C647" s="784">
        <v>2.8200000000000002E-4</v>
      </c>
      <c r="D647" s="784">
        <v>2.7099999999999997E-4</v>
      </c>
      <c r="E647" s="800">
        <v>108871</v>
      </c>
      <c r="F647" s="785">
        <v>430818</v>
      </c>
      <c r="G647" s="785"/>
      <c r="H647" s="786">
        <v>24819</v>
      </c>
      <c r="I647" s="787">
        <v>104603</v>
      </c>
      <c r="J647" s="786">
        <v>61527</v>
      </c>
      <c r="K647" s="785">
        <v>7621</v>
      </c>
      <c r="L647" s="787">
        <f t="shared" ref="L647:L710" si="20">H647+I647+J647+K647</f>
        <v>198570</v>
      </c>
      <c r="M647" s="785"/>
      <c r="N647" s="786">
        <v>12195</v>
      </c>
      <c r="O647" s="786">
        <v>0</v>
      </c>
      <c r="P647" s="785">
        <v>20335</v>
      </c>
      <c r="Q647" s="787">
        <f t="shared" ref="Q647:Q710" si="21">N647+O647+P647</f>
        <v>32530</v>
      </c>
      <c r="R647" s="785"/>
      <c r="S647" s="786">
        <v>145186</v>
      </c>
      <c r="T647" s="788">
        <v>-1416</v>
      </c>
      <c r="U647" s="788">
        <v>143770</v>
      </c>
    </row>
    <row r="648" spans="1:21" x14ac:dyDescent="0.25">
      <c r="A648" s="782">
        <v>97121</v>
      </c>
      <c r="B648" s="783" t="s">
        <v>3259</v>
      </c>
      <c r="C648" s="784">
        <v>1.3640000000000001E-4</v>
      </c>
      <c r="D648" s="784">
        <v>1.2070000000000001E-4</v>
      </c>
      <c r="E648" s="800">
        <v>66522</v>
      </c>
      <c r="F648" s="785">
        <v>208381</v>
      </c>
      <c r="G648" s="785"/>
      <c r="H648" s="786">
        <v>12005</v>
      </c>
      <c r="I648" s="787">
        <v>50595</v>
      </c>
      <c r="J648" s="786">
        <v>29760</v>
      </c>
      <c r="K648" s="785">
        <v>13649</v>
      </c>
      <c r="L648" s="787">
        <f t="shared" si="20"/>
        <v>106009</v>
      </c>
      <c r="M648" s="785"/>
      <c r="N648" s="786">
        <v>5899</v>
      </c>
      <c r="O648" s="786">
        <v>0</v>
      </c>
      <c r="P648" s="785">
        <v>10026</v>
      </c>
      <c r="Q648" s="787">
        <f t="shared" si="21"/>
        <v>15925</v>
      </c>
      <c r="R648" s="785"/>
      <c r="S648" s="786">
        <v>70225</v>
      </c>
      <c r="T648" s="788">
        <v>-1103</v>
      </c>
      <c r="U648" s="788">
        <v>69122</v>
      </c>
    </row>
    <row r="649" spans="1:21" x14ac:dyDescent="0.25">
      <c r="A649" s="782">
        <v>97131</v>
      </c>
      <c r="B649" s="783" t="s">
        <v>3260</v>
      </c>
      <c r="C649" s="784">
        <v>7.358E-4</v>
      </c>
      <c r="D649" s="784">
        <v>6.2969999999999996E-4</v>
      </c>
      <c r="E649" s="800">
        <v>280483</v>
      </c>
      <c r="F649" s="785">
        <v>1124099</v>
      </c>
      <c r="G649" s="785"/>
      <c r="H649" s="786">
        <v>64758</v>
      </c>
      <c r="I649" s="787">
        <v>272933</v>
      </c>
      <c r="J649" s="786">
        <v>160537</v>
      </c>
      <c r="K649" s="785">
        <v>29703</v>
      </c>
      <c r="L649" s="787">
        <f t="shared" si="20"/>
        <v>527931</v>
      </c>
      <c r="M649" s="785"/>
      <c r="N649" s="786">
        <v>31820</v>
      </c>
      <c r="O649" s="786">
        <v>0</v>
      </c>
      <c r="P649" s="785">
        <v>2383</v>
      </c>
      <c r="Q649" s="787">
        <f t="shared" si="21"/>
        <v>34203</v>
      </c>
      <c r="R649" s="785"/>
      <c r="S649" s="786">
        <v>378822</v>
      </c>
      <c r="T649" s="788">
        <v>7857</v>
      </c>
      <c r="U649" s="788">
        <v>386679</v>
      </c>
    </row>
    <row r="650" spans="1:21" x14ac:dyDescent="0.25">
      <c r="A650" s="782">
        <v>97201</v>
      </c>
      <c r="B650" s="783" t="s">
        <v>3261</v>
      </c>
      <c r="C650" s="784">
        <v>5.2689999999999996E-4</v>
      </c>
      <c r="D650" s="784">
        <v>4.9439999999999998E-4</v>
      </c>
      <c r="E650" s="800">
        <v>248232</v>
      </c>
      <c r="F650" s="785">
        <v>804957</v>
      </c>
      <c r="G650" s="785"/>
      <c r="H650" s="786">
        <v>46373</v>
      </c>
      <c r="I650" s="787">
        <v>195445</v>
      </c>
      <c r="J650" s="786">
        <v>114959</v>
      </c>
      <c r="K650" s="785">
        <v>43529</v>
      </c>
      <c r="L650" s="787">
        <f t="shared" si="20"/>
        <v>400306</v>
      </c>
      <c r="M650" s="785"/>
      <c r="N650" s="786">
        <v>22786</v>
      </c>
      <c r="O650" s="786">
        <v>0</v>
      </c>
      <c r="P650" s="785">
        <v>1877</v>
      </c>
      <c r="Q650" s="787">
        <f t="shared" si="21"/>
        <v>24663</v>
      </c>
      <c r="R650" s="785"/>
      <c r="S650" s="786">
        <v>271271</v>
      </c>
      <c r="T650" s="788">
        <v>10950</v>
      </c>
      <c r="U650" s="788">
        <f>282222-1</f>
        <v>282221</v>
      </c>
    </row>
    <row r="651" spans="1:21" x14ac:dyDescent="0.25">
      <c r="A651" s="782">
        <v>97211</v>
      </c>
      <c r="B651" s="783" t="s">
        <v>3262</v>
      </c>
      <c r="C651" s="784">
        <v>1.5980000000000001E-4</v>
      </c>
      <c r="D651" s="784">
        <v>1.4119999999999999E-4</v>
      </c>
      <c r="E651" s="800">
        <v>74902</v>
      </c>
      <c r="F651" s="785">
        <v>244130</v>
      </c>
      <c r="G651" s="785"/>
      <c r="H651" s="786">
        <v>14064</v>
      </c>
      <c r="I651" s="787">
        <v>59275</v>
      </c>
      <c r="J651" s="786">
        <v>34865</v>
      </c>
      <c r="K651" s="785">
        <v>16009</v>
      </c>
      <c r="L651" s="787">
        <f t="shared" si="20"/>
        <v>124213</v>
      </c>
      <c r="M651" s="785"/>
      <c r="N651" s="786">
        <v>6911</v>
      </c>
      <c r="O651" s="786">
        <v>0</v>
      </c>
      <c r="P651" s="785">
        <v>12120</v>
      </c>
      <c r="Q651" s="787">
        <f t="shared" si="21"/>
        <v>19031</v>
      </c>
      <c r="R651" s="785"/>
      <c r="S651" s="786">
        <v>82272</v>
      </c>
      <c r="T651" s="788">
        <v>347</v>
      </c>
      <c r="U651" s="788">
        <v>82619</v>
      </c>
    </row>
    <row r="652" spans="1:21" x14ac:dyDescent="0.25">
      <c r="A652" s="782">
        <v>97213</v>
      </c>
      <c r="B652" s="783" t="s">
        <v>3263</v>
      </c>
      <c r="C652" s="784">
        <v>3.9100000000000002E-5</v>
      </c>
      <c r="D652" s="784">
        <v>3.8300000000000003E-5</v>
      </c>
      <c r="E652" s="800">
        <v>24680</v>
      </c>
      <c r="F652" s="785">
        <v>59734</v>
      </c>
      <c r="G652" s="785"/>
      <c r="H652" s="786">
        <v>3441</v>
      </c>
      <c r="I652" s="787">
        <v>14504</v>
      </c>
      <c r="J652" s="786">
        <v>8531</v>
      </c>
      <c r="K652" s="785">
        <v>6715</v>
      </c>
      <c r="L652" s="787">
        <f t="shared" si="20"/>
        <v>33191</v>
      </c>
      <c r="M652" s="785"/>
      <c r="N652" s="786">
        <v>1691</v>
      </c>
      <c r="O652" s="786">
        <v>0</v>
      </c>
      <c r="P652" s="785">
        <v>495</v>
      </c>
      <c r="Q652" s="787">
        <f t="shared" si="21"/>
        <v>2186</v>
      </c>
      <c r="R652" s="785"/>
      <c r="S652" s="786">
        <v>20130</v>
      </c>
      <c r="T652" s="788">
        <v>2057</v>
      </c>
      <c r="U652" s="788">
        <v>22187</v>
      </c>
    </row>
    <row r="653" spans="1:21" x14ac:dyDescent="0.25">
      <c r="A653" s="782">
        <v>97217</v>
      </c>
      <c r="B653" s="783" t="s">
        <v>3264</v>
      </c>
      <c r="C653" s="784">
        <v>4.6E-6</v>
      </c>
      <c r="D653" s="784">
        <v>4.8999999999999997E-6</v>
      </c>
      <c r="E653" s="800">
        <v>6890</v>
      </c>
      <c r="F653" s="785">
        <v>7028</v>
      </c>
      <c r="G653" s="785"/>
      <c r="H653" s="786">
        <v>405</v>
      </c>
      <c r="I653" s="787">
        <v>1706</v>
      </c>
      <c r="J653" s="786">
        <v>1004</v>
      </c>
      <c r="K653" s="785">
        <v>8215</v>
      </c>
      <c r="L653" s="787">
        <f t="shared" si="20"/>
        <v>11330</v>
      </c>
      <c r="M653" s="785"/>
      <c r="N653" s="786">
        <v>199</v>
      </c>
      <c r="O653" s="786">
        <v>0</v>
      </c>
      <c r="P653" s="785">
        <v>0</v>
      </c>
      <c r="Q653" s="787">
        <f t="shared" si="21"/>
        <v>199</v>
      </c>
      <c r="R653" s="785"/>
      <c r="S653" s="786">
        <v>2368</v>
      </c>
      <c r="T653" s="788">
        <v>3286</v>
      </c>
      <c r="U653" s="788">
        <v>5654</v>
      </c>
    </row>
    <row r="654" spans="1:21" x14ac:dyDescent="0.25">
      <c r="A654" s="782">
        <v>97221</v>
      </c>
      <c r="B654" s="783" t="s">
        <v>3265</v>
      </c>
      <c r="C654" s="784">
        <v>7.1999999999999997E-6</v>
      </c>
      <c r="D654" s="784">
        <v>6.1999999999999999E-6</v>
      </c>
      <c r="E654" s="800">
        <v>7778</v>
      </c>
      <c r="F654" s="785">
        <v>11000</v>
      </c>
      <c r="G654" s="785"/>
      <c r="H654" s="786">
        <v>634</v>
      </c>
      <c r="I654" s="787">
        <v>2670</v>
      </c>
      <c r="J654" s="786">
        <v>1571</v>
      </c>
      <c r="K654" s="785">
        <v>8086</v>
      </c>
      <c r="L654" s="787">
        <f t="shared" si="20"/>
        <v>12961</v>
      </c>
      <c r="M654" s="785"/>
      <c r="N654" s="786">
        <v>311</v>
      </c>
      <c r="O654" s="786">
        <v>0</v>
      </c>
      <c r="P654" s="785">
        <v>0</v>
      </c>
      <c r="Q654" s="787">
        <f t="shared" si="21"/>
        <v>311</v>
      </c>
      <c r="R654" s="785"/>
      <c r="S654" s="786">
        <v>3707</v>
      </c>
      <c r="T654" s="788">
        <v>3119</v>
      </c>
      <c r="U654" s="788">
        <v>6826</v>
      </c>
    </row>
    <row r="655" spans="1:21" x14ac:dyDescent="0.25">
      <c r="A655" s="782">
        <v>97301</v>
      </c>
      <c r="B655" s="783" t="s">
        <v>3266</v>
      </c>
      <c r="C655" s="784">
        <v>2.5135999999999999E-3</v>
      </c>
      <c r="D655" s="784">
        <v>2.5742E-3</v>
      </c>
      <c r="E655" s="800">
        <v>1186932</v>
      </c>
      <c r="F655" s="785">
        <v>3840085</v>
      </c>
      <c r="G655" s="785"/>
      <c r="H655" s="786">
        <v>221224</v>
      </c>
      <c r="I655" s="787">
        <v>932377</v>
      </c>
      <c r="J655" s="786">
        <v>548417</v>
      </c>
      <c r="K655" s="785">
        <v>23710</v>
      </c>
      <c r="L655" s="787">
        <f t="shared" si="20"/>
        <v>1725728</v>
      </c>
      <c r="M655" s="785"/>
      <c r="N655" s="786">
        <v>108701</v>
      </c>
      <c r="O655" s="786">
        <v>0</v>
      </c>
      <c r="P655" s="785">
        <v>56463</v>
      </c>
      <c r="Q655" s="787">
        <f t="shared" si="21"/>
        <v>165164</v>
      </c>
      <c r="R655" s="785"/>
      <c r="S655" s="786">
        <v>1294112</v>
      </c>
      <c r="T655" s="788">
        <v>-10667</v>
      </c>
      <c r="U655" s="788">
        <v>1283445</v>
      </c>
    </row>
    <row r="656" spans="1:21" x14ac:dyDescent="0.25">
      <c r="A656" s="782">
        <v>97304</v>
      </c>
      <c r="B656" s="783" t="s">
        <v>3267</v>
      </c>
      <c r="C656" s="784">
        <v>1.6799999999999998E-5</v>
      </c>
      <c r="D656" s="784">
        <v>1.7600000000000001E-5</v>
      </c>
      <c r="E656" s="800">
        <v>13382</v>
      </c>
      <c r="F656" s="785">
        <v>25666</v>
      </c>
      <c r="G656" s="785"/>
      <c r="H656" s="786">
        <v>1479</v>
      </c>
      <c r="I656" s="787">
        <v>6232</v>
      </c>
      <c r="J656" s="786">
        <v>3665</v>
      </c>
      <c r="K656" s="785">
        <v>8739</v>
      </c>
      <c r="L656" s="787">
        <f t="shared" si="20"/>
        <v>20115</v>
      </c>
      <c r="M656" s="785"/>
      <c r="N656" s="786">
        <v>727</v>
      </c>
      <c r="O656" s="786">
        <v>0</v>
      </c>
      <c r="P656" s="785">
        <v>0</v>
      </c>
      <c r="Q656" s="787">
        <f t="shared" si="21"/>
        <v>727</v>
      </c>
      <c r="R656" s="785"/>
      <c r="S656" s="786">
        <v>8649</v>
      </c>
      <c r="T656" s="788">
        <v>3503</v>
      </c>
      <c r="U656" s="788">
        <f>12153-1</f>
        <v>12152</v>
      </c>
    </row>
    <row r="657" spans="1:21" x14ac:dyDescent="0.25">
      <c r="A657" s="782">
        <v>97311</v>
      </c>
      <c r="B657" s="783" t="s">
        <v>3268</v>
      </c>
      <c r="C657" s="784">
        <v>9.1799999999999998E-4</v>
      </c>
      <c r="D657" s="784">
        <v>9.5E-4</v>
      </c>
      <c r="E657" s="800">
        <v>407124</v>
      </c>
      <c r="F657" s="785">
        <v>1402450</v>
      </c>
      <c r="G657" s="785"/>
      <c r="H657" s="786">
        <v>80794</v>
      </c>
      <c r="I657" s="787">
        <v>340516</v>
      </c>
      <c r="J657" s="786">
        <v>200289</v>
      </c>
      <c r="K657" s="785">
        <v>0</v>
      </c>
      <c r="L657" s="787">
        <f t="shared" si="20"/>
        <v>621599</v>
      </c>
      <c r="M657" s="785"/>
      <c r="N657" s="786">
        <v>39699</v>
      </c>
      <c r="O657" s="786">
        <v>0</v>
      </c>
      <c r="P657" s="785">
        <v>96844</v>
      </c>
      <c r="Q657" s="787">
        <f t="shared" si="21"/>
        <v>136543</v>
      </c>
      <c r="R657" s="785"/>
      <c r="S657" s="786">
        <v>472627</v>
      </c>
      <c r="T657" s="788">
        <v>-42048</v>
      </c>
      <c r="U657" s="788">
        <v>430579</v>
      </c>
    </row>
    <row r="658" spans="1:21" x14ac:dyDescent="0.25">
      <c r="A658" s="782">
        <v>97401</v>
      </c>
      <c r="B658" s="783" t="s">
        <v>3269</v>
      </c>
      <c r="C658" s="784">
        <v>7.1303E-3</v>
      </c>
      <c r="D658" s="784">
        <v>6.9633000000000004E-3</v>
      </c>
      <c r="E658" s="800">
        <v>3322669</v>
      </c>
      <c r="F658" s="785">
        <v>10893123</v>
      </c>
      <c r="G658" s="785"/>
      <c r="H658" s="786">
        <v>627545</v>
      </c>
      <c r="I658" s="787">
        <v>2644864</v>
      </c>
      <c r="J658" s="786">
        <v>1555689</v>
      </c>
      <c r="K658" s="785">
        <v>151378</v>
      </c>
      <c r="L658" s="787">
        <f t="shared" si="20"/>
        <v>4979476</v>
      </c>
      <c r="M658" s="785"/>
      <c r="N658" s="786">
        <v>308350</v>
      </c>
      <c r="O658" s="786">
        <v>0</v>
      </c>
      <c r="P658" s="785">
        <v>83194</v>
      </c>
      <c r="Q658" s="787">
        <f t="shared" si="21"/>
        <v>391544</v>
      </c>
      <c r="R658" s="785"/>
      <c r="S658" s="786">
        <v>3670992</v>
      </c>
      <c r="T658" s="788">
        <v>-21617</v>
      </c>
      <c r="U658" s="788">
        <v>3649375</v>
      </c>
    </row>
    <row r="659" spans="1:21" x14ac:dyDescent="0.25">
      <c r="A659" s="782">
        <v>97402</v>
      </c>
      <c r="B659" s="783" t="s">
        <v>3270</v>
      </c>
      <c r="C659" s="784">
        <v>4.8000000000000001E-5</v>
      </c>
      <c r="D659" s="784">
        <v>4.4700000000000002E-5</v>
      </c>
      <c r="E659" s="800">
        <v>25207</v>
      </c>
      <c r="F659" s="785">
        <v>73331</v>
      </c>
      <c r="G659" s="785"/>
      <c r="H659" s="786">
        <v>4225</v>
      </c>
      <c r="I659" s="787">
        <v>17804</v>
      </c>
      <c r="J659" s="786">
        <v>10473</v>
      </c>
      <c r="K659" s="785">
        <v>15704</v>
      </c>
      <c r="L659" s="787">
        <f t="shared" si="20"/>
        <v>48206</v>
      </c>
      <c r="M659" s="785"/>
      <c r="N659" s="786">
        <v>2076</v>
      </c>
      <c r="O659" s="786">
        <v>0</v>
      </c>
      <c r="P659" s="785">
        <v>0</v>
      </c>
      <c r="Q659" s="787">
        <f t="shared" si="21"/>
        <v>2076</v>
      </c>
      <c r="R659" s="785"/>
      <c r="S659" s="786">
        <v>24713</v>
      </c>
      <c r="T659" s="788">
        <v>5283</v>
      </c>
      <c r="U659" s="788">
        <f>29995+1</f>
        <v>29996</v>
      </c>
    </row>
    <row r="660" spans="1:21" x14ac:dyDescent="0.25">
      <c r="A660" s="782">
        <v>97404</v>
      </c>
      <c r="B660" s="783" t="s">
        <v>3271</v>
      </c>
      <c r="C660" s="784">
        <v>2.1010000000000001E-4</v>
      </c>
      <c r="D660" s="784">
        <v>2.1049999999999999E-4</v>
      </c>
      <c r="E660" s="800">
        <v>84649</v>
      </c>
      <c r="F660" s="785">
        <v>320975</v>
      </c>
      <c r="G660" s="785"/>
      <c r="H660" s="786">
        <v>18491</v>
      </c>
      <c r="I660" s="787">
        <v>77933</v>
      </c>
      <c r="J660" s="786">
        <v>45840</v>
      </c>
      <c r="K660" s="785">
        <v>983</v>
      </c>
      <c r="L660" s="787">
        <f t="shared" si="20"/>
        <v>143247</v>
      </c>
      <c r="M660" s="785"/>
      <c r="N660" s="786">
        <v>9086</v>
      </c>
      <c r="O660" s="786">
        <v>0</v>
      </c>
      <c r="P660" s="785">
        <v>21173</v>
      </c>
      <c r="Q660" s="787">
        <f t="shared" si="21"/>
        <v>30259</v>
      </c>
      <c r="R660" s="785"/>
      <c r="S660" s="786">
        <v>108169</v>
      </c>
      <c r="T660" s="788">
        <v>-6084</v>
      </c>
      <c r="U660" s="788">
        <f>102084+1</f>
        <v>102085</v>
      </c>
    </row>
    <row r="661" spans="1:21" x14ac:dyDescent="0.25">
      <c r="A661" s="782">
        <v>97405</v>
      </c>
      <c r="B661" s="783" t="s">
        <v>3272</v>
      </c>
      <c r="C661" s="784">
        <v>1.091E-4</v>
      </c>
      <c r="D661" s="784">
        <v>1.087E-4</v>
      </c>
      <c r="E661" s="800">
        <v>65706</v>
      </c>
      <c r="F661" s="785">
        <v>166675</v>
      </c>
      <c r="G661" s="785"/>
      <c r="H661" s="786">
        <v>9602</v>
      </c>
      <c r="I661" s="787">
        <v>40468</v>
      </c>
      <c r="J661" s="786">
        <v>23803</v>
      </c>
      <c r="K661" s="785">
        <v>26973</v>
      </c>
      <c r="L661" s="787">
        <f t="shared" si="20"/>
        <v>100846</v>
      </c>
      <c r="M661" s="785"/>
      <c r="N661" s="786">
        <v>4718</v>
      </c>
      <c r="O661" s="786">
        <v>0</v>
      </c>
      <c r="P661" s="785">
        <v>4890</v>
      </c>
      <c r="Q661" s="787">
        <f t="shared" si="21"/>
        <v>9608</v>
      </c>
      <c r="R661" s="785"/>
      <c r="S661" s="786">
        <v>56169</v>
      </c>
      <c r="T661" s="788">
        <v>4747</v>
      </c>
      <c r="U661" s="788">
        <v>60916</v>
      </c>
    </row>
    <row r="662" spans="1:21" x14ac:dyDescent="0.25">
      <c r="A662" s="782">
        <v>97408</v>
      </c>
      <c r="B662" s="783" t="s">
        <v>3273</v>
      </c>
      <c r="C662" s="784">
        <v>4.4499999999999997E-5</v>
      </c>
      <c r="D662" s="784">
        <v>4.9299999999999999E-5</v>
      </c>
      <c r="E662" s="800">
        <v>27499</v>
      </c>
      <c r="F662" s="785">
        <v>67984</v>
      </c>
      <c r="G662" s="785"/>
      <c r="H662" s="786">
        <v>3916</v>
      </c>
      <c r="I662" s="787">
        <v>16507</v>
      </c>
      <c r="J662" s="786">
        <v>9709</v>
      </c>
      <c r="K662" s="785">
        <v>7648</v>
      </c>
      <c r="L662" s="787">
        <f t="shared" si="20"/>
        <v>37780</v>
      </c>
      <c r="M662" s="785"/>
      <c r="N662" s="786">
        <v>1924</v>
      </c>
      <c r="O662" s="786">
        <v>0</v>
      </c>
      <c r="P662" s="785">
        <v>0</v>
      </c>
      <c r="Q662" s="787">
        <f t="shared" si="21"/>
        <v>1924</v>
      </c>
      <c r="R662" s="785"/>
      <c r="S662" s="786">
        <v>22911</v>
      </c>
      <c r="T662" s="788">
        <v>2984</v>
      </c>
      <c r="U662" s="788">
        <v>25895</v>
      </c>
    </row>
    <row r="663" spans="1:21" x14ac:dyDescent="0.25">
      <c r="A663" s="782">
        <v>97411</v>
      </c>
      <c r="B663" s="783" t="s">
        <v>3274</v>
      </c>
      <c r="C663" s="784">
        <v>6.6379000000000004E-3</v>
      </c>
      <c r="D663" s="784">
        <v>6.7269000000000001E-3</v>
      </c>
      <c r="E663" s="800">
        <v>2979173</v>
      </c>
      <c r="F663" s="785">
        <v>10140873</v>
      </c>
      <c r="G663" s="785"/>
      <c r="H663" s="786">
        <v>584208</v>
      </c>
      <c r="I663" s="787">
        <v>2462217</v>
      </c>
      <c r="J663" s="786">
        <v>1448257</v>
      </c>
      <c r="K663" s="785">
        <v>0</v>
      </c>
      <c r="L663" s="787">
        <f t="shared" si="20"/>
        <v>4494682</v>
      </c>
      <c r="M663" s="785"/>
      <c r="N663" s="786">
        <v>287056</v>
      </c>
      <c r="O663" s="786">
        <v>0</v>
      </c>
      <c r="P663" s="785">
        <v>679489</v>
      </c>
      <c r="Q663" s="787">
        <f t="shared" si="21"/>
        <v>966545</v>
      </c>
      <c r="R663" s="785"/>
      <c r="S663" s="786">
        <v>3417483</v>
      </c>
      <c r="T663" s="788">
        <v>-317873</v>
      </c>
      <c r="U663" s="788">
        <v>3099610</v>
      </c>
    </row>
    <row r="664" spans="1:21" x14ac:dyDescent="0.25">
      <c r="A664" s="782">
        <v>97412</v>
      </c>
      <c r="B664" s="783" t="s">
        <v>3275</v>
      </c>
      <c r="C664" s="784">
        <v>4.5082000000000004E-3</v>
      </c>
      <c r="D664" s="784">
        <v>4.424E-3</v>
      </c>
      <c r="E664" s="800">
        <v>2155644</v>
      </c>
      <c r="F664" s="785">
        <v>6887281</v>
      </c>
      <c r="G664" s="785"/>
      <c r="H664" s="786">
        <v>396771</v>
      </c>
      <c r="I664" s="787">
        <v>1672240</v>
      </c>
      <c r="J664" s="786">
        <v>983599</v>
      </c>
      <c r="K664" s="785">
        <v>229685</v>
      </c>
      <c r="L664" s="787">
        <f t="shared" si="20"/>
        <v>3282295</v>
      </c>
      <c r="M664" s="785"/>
      <c r="N664" s="786">
        <v>194957</v>
      </c>
      <c r="O664" s="786">
        <v>0</v>
      </c>
      <c r="P664" s="785">
        <v>0</v>
      </c>
      <c r="Q664" s="787">
        <f t="shared" si="21"/>
        <v>194957</v>
      </c>
      <c r="R664" s="785"/>
      <c r="S664" s="786">
        <v>2321020</v>
      </c>
      <c r="T664" s="788">
        <v>85525</v>
      </c>
      <c r="U664" s="788">
        <v>2406545</v>
      </c>
    </row>
    <row r="665" spans="1:21" x14ac:dyDescent="0.25">
      <c r="A665" s="782">
        <v>97413</v>
      </c>
      <c r="B665" s="783" t="s">
        <v>3276</v>
      </c>
      <c r="C665" s="784">
        <v>2.6570000000000001E-4</v>
      </c>
      <c r="D665" s="784">
        <v>2.7910000000000001E-4</v>
      </c>
      <c r="E665" s="800">
        <v>140809</v>
      </c>
      <c r="F665" s="785">
        <v>405916</v>
      </c>
      <c r="G665" s="785"/>
      <c r="H665" s="786">
        <v>23385</v>
      </c>
      <c r="I665" s="787">
        <v>98557</v>
      </c>
      <c r="J665" s="786">
        <v>57970</v>
      </c>
      <c r="K665" s="785">
        <v>7437</v>
      </c>
      <c r="L665" s="787">
        <f t="shared" si="20"/>
        <v>187349</v>
      </c>
      <c r="M665" s="785"/>
      <c r="N665" s="786">
        <v>11490</v>
      </c>
      <c r="O665" s="786">
        <v>0</v>
      </c>
      <c r="P665" s="785">
        <v>5304</v>
      </c>
      <c r="Q665" s="787">
        <f t="shared" si="21"/>
        <v>16794</v>
      </c>
      <c r="R665" s="785"/>
      <c r="S665" s="786">
        <v>136794</v>
      </c>
      <c r="T665" s="788">
        <v>-2913</v>
      </c>
      <c r="U665" s="788">
        <v>133881</v>
      </c>
    </row>
    <row r="666" spans="1:21" x14ac:dyDescent="0.25">
      <c r="A666" s="782">
        <v>97421</v>
      </c>
      <c r="B666" s="783" t="s">
        <v>3277</v>
      </c>
      <c r="C666" s="784">
        <v>4.2890000000000002E-4</v>
      </c>
      <c r="D666" s="784">
        <v>4.1120000000000002E-4</v>
      </c>
      <c r="E666" s="800">
        <v>192261</v>
      </c>
      <c r="F666" s="785">
        <v>655240</v>
      </c>
      <c r="G666" s="785"/>
      <c r="H666" s="786">
        <v>37748</v>
      </c>
      <c r="I666" s="787">
        <v>159093</v>
      </c>
      <c r="J666" s="786">
        <v>93577</v>
      </c>
      <c r="K666" s="785">
        <v>8155</v>
      </c>
      <c r="L666" s="787">
        <f t="shared" si="20"/>
        <v>298573</v>
      </c>
      <c r="M666" s="785"/>
      <c r="N666" s="786">
        <v>18548</v>
      </c>
      <c r="O666" s="786">
        <v>0</v>
      </c>
      <c r="P666" s="785">
        <v>24127</v>
      </c>
      <c r="Q666" s="787">
        <f t="shared" si="21"/>
        <v>42675</v>
      </c>
      <c r="R666" s="785"/>
      <c r="S666" s="786">
        <v>220817</v>
      </c>
      <c r="T666" s="788">
        <v>-14066</v>
      </c>
      <c r="U666" s="788">
        <v>206751</v>
      </c>
    </row>
    <row r="667" spans="1:21" x14ac:dyDescent="0.25">
      <c r="A667" s="782">
        <v>97423</v>
      </c>
      <c r="B667" s="783" t="s">
        <v>3278</v>
      </c>
      <c r="C667" s="784">
        <v>4.3600000000000003E-5</v>
      </c>
      <c r="D667" s="784">
        <v>4.5800000000000002E-5</v>
      </c>
      <c r="E667" s="800">
        <v>42976</v>
      </c>
      <c r="F667" s="785">
        <v>66609</v>
      </c>
      <c r="G667" s="785"/>
      <c r="H667" s="786">
        <v>3837</v>
      </c>
      <c r="I667" s="787">
        <v>16173</v>
      </c>
      <c r="J667" s="786">
        <v>9513</v>
      </c>
      <c r="K667" s="785">
        <v>35421</v>
      </c>
      <c r="L667" s="787">
        <f t="shared" si="20"/>
        <v>64944</v>
      </c>
      <c r="M667" s="785"/>
      <c r="N667" s="786">
        <v>1885</v>
      </c>
      <c r="O667" s="786">
        <v>0</v>
      </c>
      <c r="P667" s="785">
        <v>0</v>
      </c>
      <c r="Q667" s="787">
        <f t="shared" si="21"/>
        <v>1885</v>
      </c>
      <c r="R667" s="785"/>
      <c r="S667" s="786">
        <v>22447</v>
      </c>
      <c r="T667" s="788">
        <v>12225</v>
      </c>
      <c r="U667" s="788">
        <v>34672</v>
      </c>
    </row>
    <row r="668" spans="1:21" x14ac:dyDescent="0.25">
      <c r="A668" s="782">
        <v>97431</v>
      </c>
      <c r="B668" s="783" t="s">
        <v>3279</v>
      </c>
      <c r="C668" s="784">
        <v>8.5599999999999994E-5</v>
      </c>
      <c r="D668" s="784">
        <v>8.5199999999999997E-5</v>
      </c>
      <c r="E668" s="800">
        <v>44546</v>
      </c>
      <c r="F668" s="785">
        <v>130773</v>
      </c>
      <c r="G668" s="785"/>
      <c r="H668" s="786">
        <v>7534</v>
      </c>
      <c r="I668" s="787">
        <v>31751</v>
      </c>
      <c r="J668" s="786">
        <v>18676</v>
      </c>
      <c r="K668" s="785">
        <v>6440</v>
      </c>
      <c r="L668" s="787">
        <f t="shared" si="20"/>
        <v>64401</v>
      </c>
      <c r="M668" s="785"/>
      <c r="N668" s="786">
        <v>3702</v>
      </c>
      <c r="O668" s="786">
        <v>0</v>
      </c>
      <c r="P668" s="785">
        <v>0</v>
      </c>
      <c r="Q668" s="787">
        <f t="shared" si="21"/>
        <v>3702</v>
      </c>
      <c r="R668" s="785"/>
      <c r="S668" s="786">
        <v>44071</v>
      </c>
      <c r="T668" s="788">
        <v>2026</v>
      </c>
      <c r="U668" s="788">
        <v>46097</v>
      </c>
    </row>
    <row r="669" spans="1:21" x14ac:dyDescent="0.25">
      <c r="A669" s="782">
        <v>97441</v>
      </c>
      <c r="B669" s="783" t="s">
        <v>3280</v>
      </c>
      <c r="C669" s="784">
        <v>7.5799999999999999E-5</v>
      </c>
      <c r="D669" s="784">
        <v>7.0500000000000006E-5</v>
      </c>
      <c r="E669" s="800">
        <v>25244</v>
      </c>
      <c r="F669" s="785">
        <v>115801</v>
      </c>
      <c r="G669" s="785"/>
      <c r="H669" s="786">
        <v>6671</v>
      </c>
      <c r="I669" s="787">
        <v>28117</v>
      </c>
      <c r="J669" s="786">
        <v>16538</v>
      </c>
      <c r="K669" s="785">
        <v>202</v>
      </c>
      <c r="L669" s="787">
        <f t="shared" si="20"/>
        <v>51528</v>
      </c>
      <c r="M669" s="785"/>
      <c r="N669" s="786">
        <v>3278</v>
      </c>
      <c r="O669" s="786">
        <v>0</v>
      </c>
      <c r="P669" s="785">
        <v>7671</v>
      </c>
      <c r="Q669" s="787">
        <f t="shared" si="21"/>
        <v>10949</v>
      </c>
      <c r="R669" s="785"/>
      <c r="S669" s="786">
        <v>39025</v>
      </c>
      <c r="T669" s="788">
        <v>-2235</v>
      </c>
      <c r="U669" s="788">
        <v>36790</v>
      </c>
    </row>
    <row r="670" spans="1:21" x14ac:dyDescent="0.25">
      <c r="A670" s="782">
        <v>97451</v>
      </c>
      <c r="B670" s="783" t="s">
        <v>3281</v>
      </c>
      <c r="C670" s="784">
        <v>5.5820000000000002E-4</v>
      </c>
      <c r="D670" s="784">
        <v>6.1039999999999998E-4</v>
      </c>
      <c r="E670" s="800">
        <v>245214</v>
      </c>
      <c r="F670" s="785">
        <v>852775</v>
      </c>
      <c r="G670" s="785"/>
      <c r="H670" s="786">
        <v>49128</v>
      </c>
      <c r="I670" s="787">
        <v>207055</v>
      </c>
      <c r="J670" s="786">
        <v>121788</v>
      </c>
      <c r="K670" s="785">
        <v>19770</v>
      </c>
      <c r="L670" s="787">
        <f t="shared" si="20"/>
        <v>397741</v>
      </c>
      <c r="M670" s="785"/>
      <c r="N670" s="786">
        <v>24139</v>
      </c>
      <c r="O670" s="786">
        <v>0</v>
      </c>
      <c r="P670" s="785">
        <v>47630</v>
      </c>
      <c r="Q670" s="787">
        <f t="shared" si="21"/>
        <v>71769</v>
      </c>
      <c r="R670" s="785"/>
      <c r="S670" s="786">
        <v>287386</v>
      </c>
      <c r="T670" s="788">
        <v>-2772</v>
      </c>
      <c r="U670" s="788">
        <v>284614</v>
      </c>
    </row>
    <row r="671" spans="1:21" x14ac:dyDescent="0.25">
      <c r="A671" s="782">
        <v>97461</v>
      </c>
      <c r="B671" s="783" t="s">
        <v>3282</v>
      </c>
      <c r="C671" s="784">
        <v>5.5650000000000003E-4</v>
      </c>
      <c r="D671" s="784">
        <v>5.1869999999999998E-4</v>
      </c>
      <c r="E671" s="800">
        <v>228350</v>
      </c>
      <c r="F671" s="785">
        <v>850178</v>
      </c>
      <c r="G671" s="785"/>
      <c r="H671" s="786">
        <v>48978</v>
      </c>
      <c r="I671" s="787">
        <v>206424</v>
      </c>
      <c r="J671" s="786">
        <v>121417</v>
      </c>
      <c r="K671" s="785">
        <v>5855</v>
      </c>
      <c r="L671" s="787">
        <f t="shared" si="20"/>
        <v>382674</v>
      </c>
      <c r="M671" s="785"/>
      <c r="N671" s="786">
        <v>24066</v>
      </c>
      <c r="O671" s="786">
        <v>0</v>
      </c>
      <c r="P671" s="785">
        <v>31609</v>
      </c>
      <c r="Q671" s="787">
        <f t="shared" si="21"/>
        <v>55675</v>
      </c>
      <c r="R671" s="785"/>
      <c r="S671" s="786">
        <v>286511</v>
      </c>
      <c r="T671" s="788">
        <v>-11321</v>
      </c>
      <c r="U671" s="788">
        <v>275190</v>
      </c>
    </row>
    <row r="672" spans="1:21" x14ac:dyDescent="0.25">
      <c r="A672" s="782">
        <v>97463</v>
      </c>
      <c r="B672" s="783" t="s">
        <v>3283</v>
      </c>
      <c r="C672" s="784">
        <v>4.1100000000000003E-5</v>
      </c>
      <c r="D672" s="784">
        <v>5.0099999999999998E-5</v>
      </c>
      <c r="E672" s="800">
        <v>16312</v>
      </c>
      <c r="F672" s="785">
        <v>62789</v>
      </c>
      <c r="G672" s="785"/>
      <c r="H672" s="786">
        <v>3617</v>
      </c>
      <c r="I672" s="787">
        <v>15246</v>
      </c>
      <c r="J672" s="786">
        <v>8967</v>
      </c>
      <c r="K672" s="785">
        <v>1420</v>
      </c>
      <c r="L672" s="787">
        <f t="shared" si="20"/>
        <v>29250</v>
      </c>
      <c r="M672" s="785"/>
      <c r="N672" s="786">
        <v>1777</v>
      </c>
      <c r="O672" s="786">
        <v>0</v>
      </c>
      <c r="P672" s="785">
        <v>12499</v>
      </c>
      <c r="Q672" s="787">
        <f t="shared" si="21"/>
        <v>14276</v>
      </c>
      <c r="R672" s="785"/>
      <c r="S672" s="786">
        <v>21160</v>
      </c>
      <c r="T672" s="788">
        <v>-2447</v>
      </c>
      <c r="U672" s="788">
        <v>18713</v>
      </c>
    </row>
    <row r="673" spans="1:21" x14ac:dyDescent="0.25">
      <c r="A673" s="782">
        <v>97471</v>
      </c>
      <c r="B673" s="783" t="s">
        <v>3284</v>
      </c>
      <c r="C673" s="784">
        <v>1.22E-5</v>
      </c>
      <c r="D673" s="784">
        <v>1.27E-5</v>
      </c>
      <c r="E673" s="800">
        <v>10247</v>
      </c>
      <c r="F673" s="785">
        <v>18638</v>
      </c>
      <c r="G673" s="785"/>
      <c r="H673" s="786">
        <v>1074</v>
      </c>
      <c r="I673" s="787">
        <v>4526</v>
      </c>
      <c r="J673" s="786">
        <v>2662</v>
      </c>
      <c r="K673" s="785">
        <v>6770</v>
      </c>
      <c r="L673" s="787">
        <f t="shared" si="20"/>
        <v>15032</v>
      </c>
      <c r="M673" s="785"/>
      <c r="N673" s="786">
        <v>528</v>
      </c>
      <c r="O673" s="786">
        <v>0</v>
      </c>
      <c r="P673" s="785">
        <v>0</v>
      </c>
      <c r="Q673" s="787">
        <f t="shared" si="21"/>
        <v>528</v>
      </c>
      <c r="R673" s="785"/>
      <c r="S673" s="786">
        <v>6281</v>
      </c>
      <c r="T673" s="788">
        <v>2621</v>
      </c>
      <c r="U673" s="788">
        <v>8902</v>
      </c>
    </row>
    <row r="674" spans="1:21" x14ac:dyDescent="0.25">
      <c r="A674" s="782">
        <v>97481</v>
      </c>
      <c r="B674" s="783" t="s">
        <v>3285</v>
      </c>
      <c r="C674" s="784">
        <v>9.9000000000000001E-6</v>
      </c>
      <c r="D674" s="784">
        <v>1.63E-5</v>
      </c>
      <c r="E674" s="800">
        <v>6015</v>
      </c>
      <c r="F674" s="785">
        <v>15124</v>
      </c>
      <c r="G674" s="785"/>
      <c r="H674" s="786">
        <v>871</v>
      </c>
      <c r="I674" s="787">
        <v>3672</v>
      </c>
      <c r="J674" s="786">
        <v>2160</v>
      </c>
      <c r="K674" s="785">
        <v>3592</v>
      </c>
      <c r="L674" s="787">
        <f t="shared" si="20"/>
        <v>10295</v>
      </c>
      <c r="M674" s="785"/>
      <c r="N674" s="786">
        <v>428</v>
      </c>
      <c r="O674" s="786">
        <v>0</v>
      </c>
      <c r="P674" s="785">
        <v>3115</v>
      </c>
      <c r="Q674" s="787">
        <f t="shared" si="21"/>
        <v>3543</v>
      </c>
      <c r="R674" s="785"/>
      <c r="S674" s="786">
        <v>5097</v>
      </c>
      <c r="T674" s="788">
        <v>1594</v>
      </c>
      <c r="U674" s="788">
        <v>6691</v>
      </c>
    </row>
    <row r="675" spans="1:21" x14ac:dyDescent="0.25">
      <c r="A675" s="782">
        <v>97491</v>
      </c>
      <c r="B675" s="783" t="s">
        <v>3286</v>
      </c>
      <c r="C675" s="784">
        <v>0</v>
      </c>
      <c r="D675" s="784">
        <v>0</v>
      </c>
      <c r="E675" s="800" t="e">
        <v>#N/A</v>
      </c>
      <c r="F675" s="785">
        <v>0</v>
      </c>
      <c r="G675" s="785"/>
      <c r="H675" s="786">
        <v>0</v>
      </c>
      <c r="I675" s="787">
        <v>0</v>
      </c>
      <c r="J675" s="786">
        <v>0</v>
      </c>
      <c r="K675" s="785">
        <v>0</v>
      </c>
      <c r="L675" s="787">
        <f t="shared" si="20"/>
        <v>0</v>
      </c>
      <c r="M675" s="785"/>
      <c r="N675" s="786">
        <v>0</v>
      </c>
      <c r="O675" s="786">
        <v>0</v>
      </c>
      <c r="P675" s="785">
        <v>7849</v>
      </c>
      <c r="Q675" s="787">
        <f t="shared" si="21"/>
        <v>7849</v>
      </c>
      <c r="R675" s="785"/>
      <c r="S675" s="786">
        <v>0</v>
      </c>
      <c r="T675" s="788">
        <v>-4941</v>
      </c>
      <c r="U675" s="788">
        <v>-4941</v>
      </c>
    </row>
    <row r="676" spans="1:21" x14ac:dyDescent="0.25">
      <c r="A676" s="782">
        <v>97501</v>
      </c>
      <c r="B676" s="783" t="s">
        <v>3287</v>
      </c>
      <c r="C676" s="784">
        <v>1.1000999999999999E-3</v>
      </c>
      <c r="D676" s="784">
        <v>9.6730000000000004E-4</v>
      </c>
      <c r="E676" s="800">
        <v>517522</v>
      </c>
      <c r="F676" s="785">
        <v>1680648</v>
      </c>
      <c r="G676" s="785"/>
      <c r="H676" s="786">
        <v>96821</v>
      </c>
      <c r="I676" s="787">
        <v>408064</v>
      </c>
      <c r="J676" s="786">
        <v>240020</v>
      </c>
      <c r="K676" s="785">
        <v>125050</v>
      </c>
      <c r="L676" s="787">
        <f t="shared" si="20"/>
        <v>869955</v>
      </c>
      <c r="M676" s="785"/>
      <c r="N676" s="786">
        <v>47574</v>
      </c>
      <c r="O676" s="786">
        <v>0</v>
      </c>
      <c r="P676" s="785">
        <v>0</v>
      </c>
      <c r="Q676" s="787">
        <f t="shared" si="21"/>
        <v>47574</v>
      </c>
      <c r="R676" s="785"/>
      <c r="S676" s="786">
        <v>566380</v>
      </c>
      <c r="T676" s="788">
        <v>44629</v>
      </c>
      <c r="U676" s="788">
        <v>611009</v>
      </c>
    </row>
    <row r="677" spans="1:21" x14ac:dyDescent="0.25">
      <c r="A677" s="782">
        <v>97511</v>
      </c>
      <c r="B677" s="783" t="s">
        <v>3288</v>
      </c>
      <c r="C677" s="784">
        <v>2.3450000000000001E-4</v>
      </c>
      <c r="D677" s="784">
        <v>2.3220000000000001E-4</v>
      </c>
      <c r="E677" s="800">
        <v>112044</v>
      </c>
      <c r="F677" s="785">
        <v>358251</v>
      </c>
      <c r="G677" s="785"/>
      <c r="H677" s="786">
        <v>20639</v>
      </c>
      <c r="I677" s="787">
        <v>86984</v>
      </c>
      <c r="J677" s="786">
        <v>51163</v>
      </c>
      <c r="K677" s="785">
        <v>12835</v>
      </c>
      <c r="L677" s="787">
        <f t="shared" si="20"/>
        <v>171621</v>
      </c>
      <c r="M677" s="785"/>
      <c r="N677" s="786">
        <v>10141</v>
      </c>
      <c r="O677" s="786">
        <v>0</v>
      </c>
      <c r="P677" s="785">
        <v>844</v>
      </c>
      <c r="Q677" s="787">
        <f t="shared" si="21"/>
        <v>10985</v>
      </c>
      <c r="R677" s="785"/>
      <c r="S677" s="786">
        <v>120731</v>
      </c>
      <c r="T677" s="788">
        <v>3795</v>
      </c>
      <c r="U677" s="788">
        <v>124526</v>
      </c>
    </row>
    <row r="678" spans="1:21" x14ac:dyDescent="0.25">
      <c r="A678" s="782">
        <v>97521</v>
      </c>
      <c r="B678" s="783" t="s">
        <v>3289</v>
      </c>
      <c r="C678" s="784">
        <v>1.2870000000000001E-4</v>
      </c>
      <c r="D678" s="784">
        <v>1.293E-4</v>
      </c>
      <c r="E678" s="800">
        <v>56688</v>
      </c>
      <c r="F678" s="785">
        <v>196618</v>
      </c>
      <c r="G678" s="785"/>
      <c r="H678" s="786">
        <v>11327</v>
      </c>
      <c r="I678" s="787">
        <v>47739</v>
      </c>
      <c r="J678" s="786">
        <v>28080</v>
      </c>
      <c r="K678" s="785">
        <v>2190</v>
      </c>
      <c r="L678" s="787">
        <f t="shared" si="20"/>
        <v>89336</v>
      </c>
      <c r="M678" s="785"/>
      <c r="N678" s="786">
        <v>5566</v>
      </c>
      <c r="O678" s="786">
        <v>0</v>
      </c>
      <c r="P678" s="785">
        <v>14589</v>
      </c>
      <c r="Q678" s="787">
        <f t="shared" si="21"/>
        <v>20155</v>
      </c>
      <c r="R678" s="785"/>
      <c r="S678" s="786">
        <v>66260</v>
      </c>
      <c r="T678" s="788">
        <v>-3628</v>
      </c>
      <c r="U678" s="788">
        <v>62632</v>
      </c>
    </row>
    <row r="679" spans="1:21" x14ac:dyDescent="0.25">
      <c r="A679" s="782">
        <v>97531</v>
      </c>
      <c r="B679" s="783" t="s">
        <v>3290</v>
      </c>
      <c r="C679" s="784">
        <v>4.32E-5</v>
      </c>
      <c r="D679" s="784">
        <v>3.6300000000000001E-5</v>
      </c>
      <c r="E679" s="800">
        <v>25035</v>
      </c>
      <c r="F679" s="785">
        <v>65998</v>
      </c>
      <c r="G679" s="785"/>
      <c r="H679" s="786">
        <v>3802</v>
      </c>
      <c r="I679" s="787">
        <v>16025</v>
      </c>
      <c r="J679" s="786">
        <v>9425</v>
      </c>
      <c r="K679" s="785">
        <v>11185</v>
      </c>
      <c r="L679" s="787">
        <f t="shared" si="20"/>
        <v>40437</v>
      </c>
      <c r="M679" s="785"/>
      <c r="N679" s="786">
        <v>1868</v>
      </c>
      <c r="O679" s="786">
        <v>0</v>
      </c>
      <c r="P679" s="785">
        <v>9052</v>
      </c>
      <c r="Q679" s="787">
        <f t="shared" si="21"/>
        <v>10920</v>
      </c>
      <c r="R679" s="785"/>
      <c r="S679" s="786">
        <v>22241</v>
      </c>
      <c r="T679" s="788">
        <v>-2508</v>
      </c>
      <c r="U679" s="788">
        <f>19734-1</f>
        <v>19733</v>
      </c>
    </row>
    <row r="680" spans="1:21" x14ac:dyDescent="0.25">
      <c r="A680" s="782">
        <v>97601</v>
      </c>
      <c r="B680" s="783" t="s">
        <v>3291</v>
      </c>
      <c r="C680" s="784">
        <v>5.1672000000000003E-3</v>
      </c>
      <c r="D680" s="784">
        <v>4.7808E-3</v>
      </c>
      <c r="E680" s="800">
        <v>2287000</v>
      </c>
      <c r="F680" s="785">
        <v>7894050</v>
      </c>
      <c r="G680" s="785"/>
      <c r="H680" s="786">
        <v>454770</v>
      </c>
      <c r="I680" s="787">
        <v>1916685</v>
      </c>
      <c r="J680" s="786">
        <v>1127380</v>
      </c>
      <c r="K680" s="785">
        <v>190925</v>
      </c>
      <c r="L680" s="787">
        <f t="shared" si="20"/>
        <v>3689760</v>
      </c>
      <c r="M680" s="785"/>
      <c r="N680" s="786">
        <v>223456</v>
      </c>
      <c r="O680" s="786">
        <v>0</v>
      </c>
      <c r="P680" s="785">
        <v>91443</v>
      </c>
      <c r="Q680" s="787">
        <f t="shared" si="21"/>
        <v>314899</v>
      </c>
      <c r="R680" s="785"/>
      <c r="S680" s="786">
        <v>2660302</v>
      </c>
      <c r="T680" s="788">
        <v>1665</v>
      </c>
      <c r="U680" s="788">
        <v>2661967</v>
      </c>
    </row>
    <row r="681" spans="1:21" x14ac:dyDescent="0.25">
      <c r="A681" s="782">
        <v>97607</v>
      </c>
      <c r="B681" s="783" t="s">
        <v>3292</v>
      </c>
      <c r="C681" s="784">
        <v>2.3200000000000001E-5</v>
      </c>
      <c r="D681" s="784">
        <v>1.9199999999999999E-5</v>
      </c>
      <c r="E681" s="800">
        <v>17255</v>
      </c>
      <c r="F681" s="785">
        <v>35443</v>
      </c>
      <c r="G681" s="785"/>
      <c r="H681" s="786">
        <v>2042</v>
      </c>
      <c r="I681" s="787">
        <v>8605</v>
      </c>
      <c r="J681" s="786">
        <v>5062</v>
      </c>
      <c r="K681" s="785">
        <v>13349</v>
      </c>
      <c r="L681" s="787">
        <f t="shared" si="20"/>
        <v>29058</v>
      </c>
      <c r="M681" s="785"/>
      <c r="N681" s="786">
        <v>1003</v>
      </c>
      <c r="O681" s="786">
        <v>0</v>
      </c>
      <c r="P681" s="785">
        <v>0</v>
      </c>
      <c r="Q681" s="787">
        <f t="shared" si="21"/>
        <v>1003</v>
      </c>
      <c r="R681" s="785"/>
      <c r="S681" s="786">
        <v>11944</v>
      </c>
      <c r="T681" s="788">
        <v>5427</v>
      </c>
      <c r="U681" s="788">
        <v>17371</v>
      </c>
    </row>
    <row r="682" spans="1:21" x14ac:dyDescent="0.25">
      <c r="A682" s="782">
        <v>97611</v>
      </c>
      <c r="B682" s="783" t="s">
        <v>3293</v>
      </c>
      <c r="C682" s="784">
        <v>2.4767999999999999E-3</v>
      </c>
      <c r="D682" s="784">
        <v>2.5750999999999999E-3</v>
      </c>
      <c r="E682" s="800">
        <v>1108488</v>
      </c>
      <c r="F682" s="785">
        <v>3783864</v>
      </c>
      <c r="G682" s="785"/>
      <c r="H682" s="786">
        <v>217986</v>
      </c>
      <c r="I682" s="787">
        <v>918727</v>
      </c>
      <c r="J682" s="786">
        <v>540388</v>
      </c>
      <c r="K682" s="785">
        <v>0</v>
      </c>
      <c r="L682" s="787">
        <f t="shared" si="20"/>
        <v>1677101</v>
      </c>
      <c r="M682" s="785"/>
      <c r="N682" s="786">
        <v>107109</v>
      </c>
      <c r="O682" s="786">
        <v>0</v>
      </c>
      <c r="P682" s="785">
        <v>276084</v>
      </c>
      <c r="Q682" s="787">
        <f t="shared" si="21"/>
        <v>383193</v>
      </c>
      <c r="R682" s="785"/>
      <c r="S682" s="786">
        <v>1275166</v>
      </c>
      <c r="T682" s="788">
        <v>-116051</v>
      </c>
      <c r="U682" s="788">
        <v>1159115</v>
      </c>
    </row>
    <row r="683" spans="1:21" x14ac:dyDescent="0.25">
      <c r="A683" s="782">
        <v>97613</v>
      </c>
      <c r="B683" s="783" t="s">
        <v>3294</v>
      </c>
      <c r="C683" s="784">
        <v>1.1629999999999999E-4</v>
      </c>
      <c r="D683" s="784">
        <v>1.2459999999999999E-4</v>
      </c>
      <c r="E683" s="800">
        <v>60157</v>
      </c>
      <c r="F683" s="785">
        <v>177674</v>
      </c>
      <c r="G683" s="785"/>
      <c r="H683" s="786">
        <v>10236</v>
      </c>
      <c r="I683" s="787">
        <v>43140</v>
      </c>
      <c r="J683" s="786">
        <v>25374</v>
      </c>
      <c r="K683" s="785">
        <v>3969</v>
      </c>
      <c r="L683" s="787">
        <f t="shared" si="20"/>
        <v>82719</v>
      </c>
      <c r="M683" s="785"/>
      <c r="N683" s="786">
        <v>5029</v>
      </c>
      <c r="O683" s="786">
        <v>0</v>
      </c>
      <c r="P683" s="785">
        <v>3579</v>
      </c>
      <c r="Q683" s="787">
        <f t="shared" si="21"/>
        <v>8608</v>
      </c>
      <c r="R683" s="785"/>
      <c r="S683" s="786">
        <v>59876</v>
      </c>
      <c r="T683" s="788">
        <v>-543</v>
      </c>
      <c r="U683" s="788">
        <f>59334-1</f>
        <v>59333</v>
      </c>
    </row>
    <row r="684" spans="1:21" x14ac:dyDescent="0.25">
      <c r="A684" s="782">
        <v>97621</v>
      </c>
      <c r="B684" s="783" t="s">
        <v>3295</v>
      </c>
      <c r="C684" s="784">
        <v>4.5179999999999998E-4</v>
      </c>
      <c r="D684" s="784">
        <v>4.7429999999999998E-4</v>
      </c>
      <c r="E684" s="800">
        <v>179047</v>
      </c>
      <c r="F684" s="785">
        <v>690225</v>
      </c>
      <c r="G684" s="785"/>
      <c r="H684" s="786">
        <v>39763</v>
      </c>
      <c r="I684" s="787">
        <v>167588</v>
      </c>
      <c r="J684" s="786">
        <v>98574</v>
      </c>
      <c r="K684" s="785">
        <v>15836</v>
      </c>
      <c r="L684" s="787">
        <f t="shared" si="20"/>
        <v>321761</v>
      </c>
      <c r="M684" s="785"/>
      <c r="N684" s="786">
        <v>19538</v>
      </c>
      <c r="O684" s="786">
        <v>0</v>
      </c>
      <c r="P684" s="785">
        <v>70017</v>
      </c>
      <c r="Q684" s="787">
        <f t="shared" si="21"/>
        <v>89555</v>
      </c>
      <c r="R684" s="785"/>
      <c r="S684" s="786">
        <v>232607</v>
      </c>
      <c r="T684" s="788">
        <v>-11992</v>
      </c>
      <c r="U684" s="788">
        <v>220615</v>
      </c>
    </row>
    <row r="685" spans="1:21" x14ac:dyDescent="0.25">
      <c r="A685" s="782">
        <v>97623</v>
      </c>
      <c r="B685" s="783" t="s">
        <v>3296</v>
      </c>
      <c r="C685" s="784">
        <v>2.9499999999999999E-5</v>
      </c>
      <c r="D685" s="784">
        <v>2.9200000000000002E-5</v>
      </c>
      <c r="E685" s="800">
        <v>11113</v>
      </c>
      <c r="F685" s="785">
        <v>45068</v>
      </c>
      <c r="G685" s="785"/>
      <c r="H685" s="786">
        <v>2596</v>
      </c>
      <c r="I685" s="787">
        <v>10942</v>
      </c>
      <c r="J685" s="786">
        <v>6436</v>
      </c>
      <c r="K685" s="785">
        <v>6505</v>
      </c>
      <c r="L685" s="787">
        <f t="shared" si="20"/>
        <v>26479</v>
      </c>
      <c r="M685" s="785"/>
      <c r="N685" s="786">
        <v>1276</v>
      </c>
      <c r="O685" s="786">
        <v>0</v>
      </c>
      <c r="P685" s="785">
        <v>1742</v>
      </c>
      <c r="Q685" s="787">
        <f t="shared" si="21"/>
        <v>3018</v>
      </c>
      <c r="R685" s="785"/>
      <c r="S685" s="786">
        <v>15188</v>
      </c>
      <c r="T685" s="788">
        <v>3252</v>
      </c>
      <c r="U685" s="788">
        <v>18440</v>
      </c>
    </row>
    <row r="686" spans="1:21" x14ac:dyDescent="0.25">
      <c r="A686" s="782">
        <v>97627</v>
      </c>
      <c r="B686" s="783" t="s">
        <v>3297</v>
      </c>
      <c r="C686" s="784">
        <v>9.7000000000000003E-6</v>
      </c>
      <c r="D686" s="784">
        <v>1.0200000000000001E-5</v>
      </c>
      <c r="E686" s="800">
        <v>5008</v>
      </c>
      <c r="F686" s="785">
        <v>14819</v>
      </c>
      <c r="G686" s="785"/>
      <c r="H686" s="786">
        <v>854</v>
      </c>
      <c r="I686" s="787">
        <v>3599</v>
      </c>
      <c r="J686" s="786">
        <v>2116</v>
      </c>
      <c r="K686" s="785">
        <v>714</v>
      </c>
      <c r="L686" s="787">
        <f t="shared" si="20"/>
        <v>7283</v>
      </c>
      <c r="M686" s="785"/>
      <c r="N686" s="786">
        <v>419</v>
      </c>
      <c r="O686" s="786">
        <v>0</v>
      </c>
      <c r="P686" s="785">
        <v>1008</v>
      </c>
      <c r="Q686" s="787">
        <f t="shared" si="21"/>
        <v>1427</v>
      </c>
      <c r="R686" s="785"/>
      <c r="S686" s="786">
        <v>4994</v>
      </c>
      <c r="T686" s="788">
        <v>-190</v>
      </c>
      <c r="U686" s="788">
        <v>4804</v>
      </c>
    </row>
    <row r="687" spans="1:21" x14ac:dyDescent="0.25">
      <c r="A687" s="782">
        <v>97631</v>
      </c>
      <c r="B687" s="783" t="s">
        <v>3298</v>
      </c>
      <c r="C687" s="784">
        <v>2.051E-4</v>
      </c>
      <c r="D687" s="784">
        <v>2.009E-4</v>
      </c>
      <c r="E687" s="800">
        <v>85999</v>
      </c>
      <c r="F687" s="785">
        <v>313336</v>
      </c>
      <c r="G687" s="785"/>
      <c r="H687" s="786">
        <v>18051</v>
      </c>
      <c r="I687" s="787">
        <v>76078</v>
      </c>
      <c r="J687" s="786">
        <v>44749</v>
      </c>
      <c r="K687" s="785">
        <v>9311</v>
      </c>
      <c r="L687" s="787">
        <f t="shared" si="20"/>
        <v>148189</v>
      </c>
      <c r="M687" s="785"/>
      <c r="N687" s="786">
        <v>8870</v>
      </c>
      <c r="O687" s="786">
        <v>0</v>
      </c>
      <c r="P687" s="785">
        <v>3711</v>
      </c>
      <c r="Q687" s="787">
        <f t="shared" si="21"/>
        <v>12581</v>
      </c>
      <c r="R687" s="785"/>
      <c r="S687" s="786">
        <v>105595</v>
      </c>
      <c r="T687" s="788">
        <v>4564</v>
      </c>
      <c r="U687" s="788">
        <f>110158+1</f>
        <v>110159</v>
      </c>
    </row>
    <row r="688" spans="1:21" x14ac:dyDescent="0.25">
      <c r="A688" s="782">
        <v>97637</v>
      </c>
      <c r="B688" s="783" t="s">
        <v>3299</v>
      </c>
      <c r="C688" s="784">
        <v>4.3000000000000003E-6</v>
      </c>
      <c r="D688" s="784">
        <v>4.7999999999999998E-6</v>
      </c>
      <c r="E688" s="800">
        <v>3072</v>
      </c>
      <c r="F688" s="785">
        <v>6569</v>
      </c>
      <c r="G688" s="785"/>
      <c r="H688" s="786">
        <v>378</v>
      </c>
      <c r="I688" s="787">
        <v>1595</v>
      </c>
      <c r="J688" s="786">
        <v>938</v>
      </c>
      <c r="K688" s="785">
        <v>944</v>
      </c>
      <c r="L688" s="787">
        <f t="shared" si="20"/>
        <v>3855</v>
      </c>
      <c r="M688" s="785"/>
      <c r="N688" s="786">
        <v>186</v>
      </c>
      <c r="O688" s="786">
        <v>0</v>
      </c>
      <c r="P688" s="785">
        <v>30</v>
      </c>
      <c r="Q688" s="787">
        <f t="shared" si="21"/>
        <v>216</v>
      </c>
      <c r="R688" s="785"/>
      <c r="S688" s="786">
        <v>2214</v>
      </c>
      <c r="T688" s="788">
        <v>380</v>
      </c>
      <c r="U688" s="788">
        <v>2594</v>
      </c>
    </row>
    <row r="689" spans="1:21" x14ac:dyDescent="0.25">
      <c r="A689" s="782">
        <v>97641</v>
      </c>
      <c r="B689" s="783" t="s">
        <v>3300</v>
      </c>
      <c r="C689" s="784">
        <v>6.8899999999999994E-5</v>
      </c>
      <c r="D689" s="784">
        <v>6.9999999999999994E-5</v>
      </c>
      <c r="E689" s="800">
        <v>35027</v>
      </c>
      <c r="F689" s="785">
        <v>105260</v>
      </c>
      <c r="G689" s="785"/>
      <c r="H689" s="786">
        <v>6064</v>
      </c>
      <c r="I689" s="787">
        <v>25557</v>
      </c>
      <c r="J689" s="786">
        <v>15033</v>
      </c>
      <c r="K689" s="785">
        <v>13063</v>
      </c>
      <c r="L689" s="787">
        <f t="shared" si="20"/>
        <v>59717</v>
      </c>
      <c r="M689" s="785"/>
      <c r="N689" s="786">
        <v>2980</v>
      </c>
      <c r="O689" s="786">
        <v>0</v>
      </c>
      <c r="P689" s="785">
        <v>2889</v>
      </c>
      <c r="Q689" s="787">
        <f t="shared" si="21"/>
        <v>5869</v>
      </c>
      <c r="R689" s="785"/>
      <c r="S689" s="786">
        <v>35473</v>
      </c>
      <c r="T689" s="788">
        <v>2041</v>
      </c>
      <c r="U689" s="788">
        <v>37514</v>
      </c>
    </row>
    <row r="690" spans="1:21" x14ac:dyDescent="0.25">
      <c r="A690" s="782">
        <v>97651</v>
      </c>
      <c r="B690" s="783" t="s">
        <v>3301</v>
      </c>
      <c r="C690" s="784">
        <v>5.1979999999999995E-4</v>
      </c>
      <c r="D690" s="784">
        <v>5.1579999999999996E-4</v>
      </c>
      <c r="E690" s="800">
        <v>222466</v>
      </c>
      <c r="F690" s="785">
        <v>794110</v>
      </c>
      <c r="G690" s="785"/>
      <c r="H690" s="786">
        <v>45748</v>
      </c>
      <c r="I690" s="787">
        <v>192810</v>
      </c>
      <c r="J690" s="786">
        <v>113410</v>
      </c>
      <c r="K690" s="785">
        <v>2621</v>
      </c>
      <c r="L690" s="787">
        <f t="shared" si="20"/>
        <v>354589</v>
      </c>
      <c r="M690" s="785"/>
      <c r="N690" s="786">
        <v>22479</v>
      </c>
      <c r="O690" s="786">
        <v>0</v>
      </c>
      <c r="P690" s="785">
        <v>43572</v>
      </c>
      <c r="Q690" s="787">
        <f t="shared" si="21"/>
        <v>66051</v>
      </c>
      <c r="R690" s="785"/>
      <c r="S690" s="786">
        <v>267616</v>
      </c>
      <c r="T690" s="788">
        <v>-19628</v>
      </c>
      <c r="U690" s="788">
        <v>247988</v>
      </c>
    </row>
    <row r="691" spans="1:21" x14ac:dyDescent="0.25">
      <c r="A691" s="782">
        <v>97661</v>
      </c>
      <c r="B691" s="783" t="s">
        <v>3302</v>
      </c>
      <c r="C691" s="784">
        <v>5.1600000000000001E-5</v>
      </c>
      <c r="D691" s="784">
        <v>4.3900000000000003E-5</v>
      </c>
      <c r="E691" s="800">
        <v>24366</v>
      </c>
      <c r="F691" s="785">
        <v>78831</v>
      </c>
      <c r="G691" s="785"/>
      <c r="H691" s="786">
        <v>4541</v>
      </c>
      <c r="I691" s="787">
        <v>19140</v>
      </c>
      <c r="J691" s="786">
        <v>11258</v>
      </c>
      <c r="K691" s="785">
        <v>13582</v>
      </c>
      <c r="L691" s="787">
        <f t="shared" si="20"/>
        <v>48521</v>
      </c>
      <c r="M691" s="785"/>
      <c r="N691" s="786">
        <v>2231</v>
      </c>
      <c r="O691" s="786">
        <v>0</v>
      </c>
      <c r="P691" s="785">
        <v>1913</v>
      </c>
      <c r="Q691" s="787">
        <f t="shared" si="21"/>
        <v>4144</v>
      </c>
      <c r="R691" s="785"/>
      <c r="S691" s="786">
        <v>26566</v>
      </c>
      <c r="T691" s="788">
        <v>4861</v>
      </c>
      <c r="U691" s="788">
        <v>31427</v>
      </c>
    </row>
    <row r="692" spans="1:21" x14ac:dyDescent="0.25">
      <c r="A692" s="782">
        <v>97701</v>
      </c>
      <c r="B692" s="783" t="s">
        <v>3303</v>
      </c>
      <c r="C692" s="784">
        <v>2.4975000000000002E-3</v>
      </c>
      <c r="D692" s="784">
        <v>2.5081000000000001E-3</v>
      </c>
      <c r="E692" s="800">
        <v>1156152</v>
      </c>
      <c r="F692" s="785">
        <v>3815488</v>
      </c>
      <c r="G692" s="785"/>
      <c r="H692" s="786">
        <v>219807</v>
      </c>
      <c r="I692" s="787">
        <v>926405</v>
      </c>
      <c r="J692" s="786">
        <v>544905</v>
      </c>
      <c r="K692" s="785">
        <v>22724</v>
      </c>
      <c r="L692" s="787">
        <f t="shared" si="20"/>
        <v>1713841</v>
      </c>
      <c r="M692" s="785"/>
      <c r="N692" s="786">
        <v>108004</v>
      </c>
      <c r="O692" s="786">
        <v>0</v>
      </c>
      <c r="P692" s="785">
        <v>8673</v>
      </c>
      <c r="Q692" s="787">
        <f t="shared" si="21"/>
        <v>116677</v>
      </c>
      <c r="R692" s="785"/>
      <c r="S692" s="786">
        <v>1285823</v>
      </c>
      <c r="T692" s="788">
        <v>670</v>
      </c>
      <c r="U692" s="788">
        <v>1286493</v>
      </c>
    </row>
    <row r="693" spans="1:21" x14ac:dyDescent="0.25">
      <c r="A693" s="782">
        <v>97705</v>
      </c>
      <c r="B693" s="783" t="s">
        <v>3304</v>
      </c>
      <c r="C693" s="784">
        <v>4.7700000000000001E-5</v>
      </c>
      <c r="D693" s="784">
        <v>6.41E-5</v>
      </c>
      <c r="E693" s="800">
        <v>22209</v>
      </c>
      <c r="F693" s="785">
        <v>72872</v>
      </c>
      <c r="G693" s="785"/>
      <c r="H693" s="786">
        <v>4198</v>
      </c>
      <c r="I693" s="787">
        <v>17694</v>
      </c>
      <c r="J693" s="786">
        <v>10407</v>
      </c>
      <c r="K693" s="785">
        <v>5558</v>
      </c>
      <c r="L693" s="787">
        <f t="shared" si="20"/>
        <v>37857</v>
      </c>
      <c r="M693" s="785"/>
      <c r="N693" s="786">
        <v>2063</v>
      </c>
      <c r="O693" s="786">
        <v>0</v>
      </c>
      <c r="P693" s="785">
        <v>13023</v>
      </c>
      <c r="Q693" s="787">
        <f t="shared" si="21"/>
        <v>15086</v>
      </c>
      <c r="R693" s="785"/>
      <c r="S693" s="786">
        <v>24558</v>
      </c>
      <c r="T693" s="788">
        <v>105</v>
      </c>
      <c r="U693" s="788">
        <v>24663</v>
      </c>
    </row>
    <row r="694" spans="1:21" x14ac:dyDescent="0.25">
      <c r="A694" s="782">
        <v>97711</v>
      </c>
      <c r="B694" s="783" t="s">
        <v>3305</v>
      </c>
      <c r="C694" s="784">
        <v>9.0879999999999997E-4</v>
      </c>
      <c r="D694" s="784">
        <v>9.3789999999999998E-4</v>
      </c>
      <c r="E694" s="800">
        <v>424324</v>
      </c>
      <c r="F694" s="785">
        <v>1388395</v>
      </c>
      <c r="G694" s="785"/>
      <c r="H694" s="786">
        <v>79984</v>
      </c>
      <c r="I694" s="787">
        <v>337104</v>
      </c>
      <c r="J694" s="786">
        <v>198282</v>
      </c>
      <c r="K694" s="785">
        <v>9966</v>
      </c>
      <c r="L694" s="787">
        <f t="shared" si="20"/>
        <v>625336</v>
      </c>
      <c r="M694" s="785"/>
      <c r="N694" s="786">
        <v>39301</v>
      </c>
      <c r="O694" s="786">
        <v>0</v>
      </c>
      <c r="P694" s="785">
        <v>31902</v>
      </c>
      <c r="Q694" s="787">
        <f t="shared" si="21"/>
        <v>71203</v>
      </c>
      <c r="R694" s="785"/>
      <c r="S694" s="786">
        <v>467890</v>
      </c>
      <c r="T694" s="788">
        <v>-1258</v>
      </c>
      <c r="U694" s="788">
        <v>466632</v>
      </c>
    </row>
    <row r="695" spans="1:21" x14ac:dyDescent="0.25">
      <c r="A695" s="782">
        <v>97713</v>
      </c>
      <c r="B695" s="783" t="s">
        <v>3306</v>
      </c>
      <c r="C695" s="784">
        <v>4.1199999999999999E-5</v>
      </c>
      <c r="D695" s="784">
        <v>5.3699999999999997E-5</v>
      </c>
      <c r="E695" s="800">
        <v>17328</v>
      </c>
      <c r="F695" s="785">
        <v>62942</v>
      </c>
      <c r="G695" s="785"/>
      <c r="H695" s="786">
        <v>3626</v>
      </c>
      <c r="I695" s="787">
        <v>15283</v>
      </c>
      <c r="J695" s="786">
        <v>8989</v>
      </c>
      <c r="K695" s="785">
        <v>927</v>
      </c>
      <c r="L695" s="787">
        <f t="shared" si="20"/>
        <v>28825</v>
      </c>
      <c r="M695" s="785"/>
      <c r="N695" s="786">
        <v>1782</v>
      </c>
      <c r="O695" s="786">
        <v>0</v>
      </c>
      <c r="P695" s="785">
        <v>16932</v>
      </c>
      <c r="Q695" s="787">
        <f t="shared" si="21"/>
        <v>18714</v>
      </c>
      <c r="R695" s="785"/>
      <c r="S695" s="786">
        <v>21212</v>
      </c>
      <c r="T695" s="788">
        <v>-4802</v>
      </c>
      <c r="U695" s="788">
        <v>16410</v>
      </c>
    </row>
    <row r="696" spans="1:21" x14ac:dyDescent="0.25">
      <c r="A696" s="782">
        <v>97717</v>
      </c>
      <c r="B696" s="783" t="s">
        <v>3307</v>
      </c>
      <c r="C696" s="784">
        <v>4.6999999999999999E-6</v>
      </c>
      <c r="D696" s="784">
        <v>7.5000000000000002E-6</v>
      </c>
      <c r="E696" s="800">
        <v>2478</v>
      </c>
      <c r="F696" s="785">
        <v>7180</v>
      </c>
      <c r="G696" s="785"/>
      <c r="H696" s="786">
        <v>414</v>
      </c>
      <c r="I696" s="787">
        <v>1743</v>
      </c>
      <c r="J696" s="786">
        <v>1025</v>
      </c>
      <c r="K696" s="785">
        <v>1078</v>
      </c>
      <c r="L696" s="787">
        <f t="shared" si="20"/>
        <v>4260</v>
      </c>
      <c r="M696" s="785"/>
      <c r="N696" s="786">
        <v>203</v>
      </c>
      <c r="O696" s="786">
        <v>0</v>
      </c>
      <c r="P696" s="785">
        <v>3394</v>
      </c>
      <c r="Q696" s="787">
        <f t="shared" si="21"/>
        <v>3597</v>
      </c>
      <c r="R696" s="785"/>
      <c r="S696" s="786">
        <v>2420</v>
      </c>
      <c r="T696" s="788">
        <v>-1550</v>
      </c>
      <c r="U696" s="788">
        <f>869+1</f>
        <v>870</v>
      </c>
    </row>
    <row r="697" spans="1:21" x14ac:dyDescent="0.25">
      <c r="A697" s="782">
        <v>97721</v>
      </c>
      <c r="B697" s="783" t="s">
        <v>3308</v>
      </c>
      <c r="C697" s="784">
        <v>5.6599999999999999E-4</v>
      </c>
      <c r="D697" s="784">
        <v>5.7249999999999998E-4</v>
      </c>
      <c r="E697" s="800">
        <v>255785</v>
      </c>
      <c r="F697" s="785">
        <v>864691</v>
      </c>
      <c r="G697" s="785"/>
      <c r="H697" s="786">
        <v>49814</v>
      </c>
      <c r="I697" s="787">
        <v>209948</v>
      </c>
      <c r="J697" s="786">
        <v>123490</v>
      </c>
      <c r="K697" s="785">
        <v>13608</v>
      </c>
      <c r="L697" s="787">
        <f t="shared" si="20"/>
        <v>396860</v>
      </c>
      <c r="M697" s="785"/>
      <c r="N697" s="786">
        <v>24477</v>
      </c>
      <c r="O697" s="786">
        <v>0</v>
      </c>
      <c r="P697" s="785">
        <v>31303</v>
      </c>
      <c r="Q697" s="787">
        <f t="shared" si="21"/>
        <v>55780</v>
      </c>
      <c r="R697" s="785"/>
      <c r="S697" s="786">
        <v>291402</v>
      </c>
      <c r="T697" s="788">
        <v>-9026</v>
      </c>
      <c r="U697" s="788">
        <v>282376</v>
      </c>
    </row>
    <row r="698" spans="1:21" x14ac:dyDescent="0.25">
      <c r="A698" s="782">
        <v>97727</v>
      </c>
      <c r="B698" s="783" t="s">
        <v>3309</v>
      </c>
      <c r="C698" s="784">
        <v>2.27E-5</v>
      </c>
      <c r="D698" s="784">
        <v>2.37E-5</v>
      </c>
      <c r="E698" s="800">
        <v>10992</v>
      </c>
      <c r="F698" s="785">
        <v>34679</v>
      </c>
      <c r="G698" s="785"/>
      <c r="H698" s="786">
        <v>1998</v>
      </c>
      <c r="I698" s="787">
        <v>8420</v>
      </c>
      <c r="J698" s="786">
        <v>4953</v>
      </c>
      <c r="K698" s="785">
        <v>0</v>
      </c>
      <c r="L698" s="787">
        <f t="shared" si="20"/>
        <v>15371</v>
      </c>
      <c r="M698" s="785"/>
      <c r="N698" s="786">
        <v>982</v>
      </c>
      <c r="O698" s="786">
        <v>0</v>
      </c>
      <c r="P698" s="785">
        <v>2260</v>
      </c>
      <c r="Q698" s="787">
        <f t="shared" si="21"/>
        <v>3242</v>
      </c>
      <c r="R698" s="785"/>
      <c r="S698" s="786">
        <v>11687</v>
      </c>
      <c r="T698" s="788">
        <v>-1260</v>
      </c>
      <c r="U698" s="788">
        <v>10427</v>
      </c>
    </row>
    <row r="699" spans="1:21" x14ac:dyDescent="0.25">
      <c r="A699" s="782">
        <v>97731</v>
      </c>
      <c r="B699" s="783" t="s">
        <v>3310</v>
      </c>
      <c r="C699" s="784">
        <v>3.5500000000000002E-5</v>
      </c>
      <c r="D699" s="784">
        <v>3.7100000000000001E-5</v>
      </c>
      <c r="E699" s="800">
        <v>18460</v>
      </c>
      <c r="F699" s="785">
        <v>54234</v>
      </c>
      <c r="G699" s="785"/>
      <c r="H699" s="786">
        <v>3124</v>
      </c>
      <c r="I699" s="787">
        <v>13168</v>
      </c>
      <c r="J699" s="786">
        <v>7745</v>
      </c>
      <c r="K699" s="785">
        <v>6361</v>
      </c>
      <c r="L699" s="787">
        <f t="shared" si="20"/>
        <v>30398</v>
      </c>
      <c r="M699" s="785"/>
      <c r="N699" s="786">
        <v>1535</v>
      </c>
      <c r="O699" s="786">
        <v>0</v>
      </c>
      <c r="P699" s="785">
        <v>0</v>
      </c>
      <c r="Q699" s="787">
        <f t="shared" si="21"/>
        <v>1535</v>
      </c>
      <c r="R699" s="785"/>
      <c r="S699" s="786">
        <v>18277</v>
      </c>
      <c r="T699" s="788">
        <v>2961</v>
      </c>
      <c r="U699" s="788">
        <v>21238</v>
      </c>
    </row>
    <row r="700" spans="1:21" x14ac:dyDescent="0.25">
      <c r="A700" s="782">
        <v>97801</v>
      </c>
      <c r="B700" s="783" t="s">
        <v>3673</v>
      </c>
      <c r="C700" s="784">
        <v>6.9303000000000003E-3</v>
      </c>
      <c r="D700" s="784">
        <v>7.3343000000000002E-3</v>
      </c>
      <c r="E700" s="800">
        <v>3179609</v>
      </c>
      <c r="F700" s="785">
        <v>10587579</v>
      </c>
      <c r="G700" s="785"/>
      <c r="H700" s="786">
        <v>609943</v>
      </c>
      <c r="I700" s="787">
        <v>2570677</v>
      </c>
      <c r="J700" s="786">
        <v>1512053</v>
      </c>
      <c r="K700" s="785">
        <v>27764</v>
      </c>
      <c r="L700" s="787">
        <f t="shared" si="20"/>
        <v>4720437</v>
      </c>
      <c r="M700" s="785"/>
      <c r="N700" s="786">
        <v>299701</v>
      </c>
      <c r="O700" s="786">
        <v>0</v>
      </c>
      <c r="P700" s="785">
        <v>406805</v>
      </c>
      <c r="Q700" s="787">
        <f t="shared" si="21"/>
        <v>706506</v>
      </c>
      <c r="R700" s="785"/>
      <c r="S700" s="786">
        <v>3568023</v>
      </c>
      <c r="T700" s="788">
        <v>-97576</v>
      </c>
      <c r="U700" s="788">
        <v>3470447</v>
      </c>
    </row>
    <row r="701" spans="1:21" x14ac:dyDescent="0.25">
      <c r="A701" s="782">
        <v>97802</v>
      </c>
      <c r="B701" s="783" t="s">
        <v>3312</v>
      </c>
      <c r="C701" s="784">
        <v>1.5300000000000001E-4</v>
      </c>
      <c r="D701" s="784">
        <v>1.8120000000000001E-4</v>
      </c>
      <c r="E701" s="800">
        <v>76715</v>
      </c>
      <c r="F701" s="785">
        <v>233742</v>
      </c>
      <c r="G701" s="785"/>
      <c r="H701" s="786">
        <v>13466</v>
      </c>
      <c r="I701" s="787">
        <v>56753</v>
      </c>
      <c r="J701" s="786">
        <v>33382</v>
      </c>
      <c r="K701" s="785">
        <v>9696</v>
      </c>
      <c r="L701" s="787">
        <f t="shared" si="20"/>
        <v>113297</v>
      </c>
      <c r="M701" s="785"/>
      <c r="N701" s="786">
        <v>6616</v>
      </c>
      <c r="O701" s="786">
        <v>0</v>
      </c>
      <c r="P701" s="785">
        <v>28235</v>
      </c>
      <c r="Q701" s="787">
        <f t="shared" si="21"/>
        <v>34851</v>
      </c>
      <c r="R701" s="785"/>
      <c r="S701" s="786">
        <v>78771</v>
      </c>
      <c r="T701" s="788">
        <v>-1176</v>
      </c>
      <c r="U701" s="788">
        <v>77595</v>
      </c>
    </row>
    <row r="702" spans="1:21" x14ac:dyDescent="0.25">
      <c r="A702" s="782">
        <v>97803</v>
      </c>
      <c r="B702" s="783" t="s">
        <v>3313</v>
      </c>
      <c r="C702" s="784">
        <v>7.5300000000000001E-5</v>
      </c>
      <c r="D702" s="784">
        <v>7.9099999999999998E-5</v>
      </c>
      <c r="E702" s="800">
        <v>38231</v>
      </c>
      <c r="F702" s="785">
        <v>115038</v>
      </c>
      <c r="G702" s="785"/>
      <c r="H702" s="786">
        <v>6627</v>
      </c>
      <c r="I702" s="787">
        <v>27931</v>
      </c>
      <c r="J702" s="786">
        <v>16429</v>
      </c>
      <c r="K702" s="785">
        <v>5581</v>
      </c>
      <c r="L702" s="787">
        <f t="shared" si="20"/>
        <v>56568</v>
      </c>
      <c r="M702" s="785"/>
      <c r="N702" s="786">
        <v>3256</v>
      </c>
      <c r="O702" s="786">
        <v>0</v>
      </c>
      <c r="P702" s="785">
        <v>1522</v>
      </c>
      <c r="Q702" s="787">
        <f t="shared" si="21"/>
        <v>4778</v>
      </c>
      <c r="R702" s="785"/>
      <c r="S702" s="786">
        <v>38768</v>
      </c>
      <c r="T702" s="788">
        <v>3424</v>
      </c>
      <c r="U702" s="788">
        <v>42192</v>
      </c>
    </row>
    <row r="703" spans="1:21" x14ac:dyDescent="0.25">
      <c r="A703" s="782">
        <v>97805</v>
      </c>
      <c r="B703" s="783" t="s">
        <v>3314</v>
      </c>
      <c r="C703" s="784">
        <v>7.9400000000000006E-5</v>
      </c>
      <c r="D703" s="784">
        <v>8.2600000000000002E-5</v>
      </c>
      <c r="E703" s="800">
        <v>39471</v>
      </c>
      <c r="F703" s="785">
        <v>121301</v>
      </c>
      <c r="G703" s="785"/>
      <c r="H703" s="786">
        <v>6988</v>
      </c>
      <c r="I703" s="787">
        <v>29452</v>
      </c>
      <c r="J703" s="786">
        <v>17323</v>
      </c>
      <c r="K703" s="785">
        <v>9711</v>
      </c>
      <c r="L703" s="787">
        <f t="shared" si="20"/>
        <v>63474</v>
      </c>
      <c r="M703" s="785"/>
      <c r="N703" s="786">
        <v>3434</v>
      </c>
      <c r="O703" s="786">
        <v>0</v>
      </c>
      <c r="P703" s="785">
        <v>226</v>
      </c>
      <c r="Q703" s="787">
        <f t="shared" si="21"/>
        <v>3660</v>
      </c>
      <c r="R703" s="785"/>
      <c r="S703" s="786">
        <v>40879</v>
      </c>
      <c r="T703" s="788">
        <v>3824</v>
      </c>
      <c r="U703" s="788">
        <v>44703</v>
      </c>
    </row>
    <row r="704" spans="1:21" x14ac:dyDescent="0.25">
      <c r="A704" s="782">
        <v>97811</v>
      </c>
      <c r="B704" s="783" t="s">
        <v>3315</v>
      </c>
      <c r="C704" s="784">
        <v>2.4172E-3</v>
      </c>
      <c r="D704" s="784">
        <v>2.4088E-3</v>
      </c>
      <c r="E704" s="800">
        <v>1101270</v>
      </c>
      <c r="F704" s="785">
        <v>3692812</v>
      </c>
      <c r="G704" s="785"/>
      <c r="H704" s="786">
        <v>212740</v>
      </c>
      <c r="I704" s="787">
        <v>896619</v>
      </c>
      <c r="J704" s="786">
        <v>527385</v>
      </c>
      <c r="K704" s="785">
        <v>0</v>
      </c>
      <c r="L704" s="787">
        <f t="shared" si="20"/>
        <v>1636744</v>
      </c>
      <c r="M704" s="785"/>
      <c r="N704" s="786">
        <v>104532</v>
      </c>
      <c r="O704" s="786">
        <v>0</v>
      </c>
      <c r="P704" s="785">
        <v>164062</v>
      </c>
      <c r="Q704" s="787">
        <f t="shared" si="21"/>
        <v>268594</v>
      </c>
      <c r="R704" s="785"/>
      <c r="S704" s="786">
        <v>1244481</v>
      </c>
      <c r="T704" s="788">
        <v>-73272</v>
      </c>
      <c r="U704" s="788">
        <v>1171209</v>
      </c>
    </row>
    <row r="705" spans="1:21" x14ac:dyDescent="0.25">
      <c r="A705" s="782">
        <v>97817</v>
      </c>
      <c r="B705" s="783" t="s">
        <v>3316</v>
      </c>
      <c r="C705" s="784">
        <v>2.2200000000000001E-5</v>
      </c>
      <c r="D705" s="784">
        <v>3.9999999999999998E-6</v>
      </c>
      <c r="E705" s="800">
        <v>14127</v>
      </c>
      <c r="F705" s="785">
        <v>33915</v>
      </c>
      <c r="G705" s="785"/>
      <c r="H705" s="786">
        <v>1954</v>
      </c>
      <c r="I705" s="787">
        <v>8235</v>
      </c>
      <c r="J705" s="786">
        <v>4844</v>
      </c>
      <c r="K705" s="785">
        <v>18101</v>
      </c>
      <c r="L705" s="787">
        <f t="shared" si="20"/>
        <v>33134</v>
      </c>
      <c r="M705" s="785"/>
      <c r="N705" s="786">
        <v>960</v>
      </c>
      <c r="O705" s="786">
        <v>0</v>
      </c>
      <c r="P705" s="785">
        <v>2418</v>
      </c>
      <c r="Q705" s="787">
        <f t="shared" si="21"/>
        <v>3378</v>
      </c>
      <c r="R705" s="785"/>
      <c r="S705" s="786">
        <v>11430</v>
      </c>
      <c r="T705" s="788">
        <v>3916</v>
      </c>
      <c r="U705" s="788">
        <f>15345+1</f>
        <v>15346</v>
      </c>
    </row>
    <row r="706" spans="1:21" x14ac:dyDescent="0.25">
      <c r="A706" s="782">
        <v>97818</v>
      </c>
      <c r="B706" s="783" t="s">
        <v>3317</v>
      </c>
      <c r="C706" s="784">
        <v>2.1999999999999999E-5</v>
      </c>
      <c r="D706" s="784">
        <v>2.12E-5</v>
      </c>
      <c r="E706" s="800">
        <v>9809</v>
      </c>
      <c r="F706" s="785">
        <v>33610</v>
      </c>
      <c r="G706" s="785"/>
      <c r="H706" s="786">
        <v>1936</v>
      </c>
      <c r="I706" s="787">
        <v>8160</v>
      </c>
      <c r="J706" s="786">
        <v>4800</v>
      </c>
      <c r="K706" s="785">
        <v>6200</v>
      </c>
      <c r="L706" s="787">
        <f t="shared" si="20"/>
        <v>21096</v>
      </c>
      <c r="M706" s="785"/>
      <c r="N706" s="786">
        <v>951</v>
      </c>
      <c r="O706" s="786">
        <v>0</v>
      </c>
      <c r="P706" s="785">
        <v>2136</v>
      </c>
      <c r="Q706" s="787">
        <f t="shared" si="21"/>
        <v>3087</v>
      </c>
      <c r="R706" s="785"/>
      <c r="S706" s="786">
        <v>11327</v>
      </c>
      <c r="T706" s="788">
        <v>134</v>
      </c>
      <c r="U706" s="788">
        <v>11461</v>
      </c>
    </row>
    <row r="707" spans="1:21" x14ac:dyDescent="0.25">
      <c r="A707" s="782">
        <v>97821</v>
      </c>
      <c r="B707" s="783" t="s">
        <v>3318</v>
      </c>
      <c r="C707" s="784">
        <v>1.126E-4</v>
      </c>
      <c r="D707" s="784">
        <v>1.1620000000000001E-4</v>
      </c>
      <c r="E707" s="800">
        <v>61404</v>
      </c>
      <c r="F707" s="785">
        <v>172022</v>
      </c>
      <c r="G707" s="785"/>
      <c r="H707" s="786">
        <v>9910</v>
      </c>
      <c r="I707" s="787">
        <v>41767</v>
      </c>
      <c r="J707" s="786">
        <v>24567</v>
      </c>
      <c r="K707" s="785">
        <v>5355</v>
      </c>
      <c r="L707" s="787">
        <f t="shared" si="20"/>
        <v>81599</v>
      </c>
      <c r="M707" s="785"/>
      <c r="N707" s="786">
        <v>4869</v>
      </c>
      <c r="O707" s="786">
        <v>0</v>
      </c>
      <c r="P707" s="785">
        <v>16228</v>
      </c>
      <c r="Q707" s="787">
        <f t="shared" si="21"/>
        <v>21097</v>
      </c>
      <c r="R707" s="785"/>
      <c r="S707" s="786">
        <v>57971</v>
      </c>
      <c r="T707" s="788">
        <v>-9342</v>
      </c>
      <c r="U707" s="788">
        <f>48630-1</f>
        <v>48629</v>
      </c>
    </row>
    <row r="708" spans="1:21" x14ac:dyDescent="0.25">
      <c r="A708" s="782">
        <v>97823</v>
      </c>
      <c r="B708" s="783" t="s">
        <v>3319</v>
      </c>
      <c r="C708" s="784">
        <v>2.3300000000000001E-5</v>
      </c>
      <c r="D708" s="784">
        <v>2.4600000000000002E-5</v>
      </c>
      <c r="E708" s="800">
        <v>13092</v>
      </c>
      <c r="F708" s="785">
        <v>35596</v>
      </c>
      <c r="G708" s="785"/>
      <c r="H708" s="786">
        <v>2051</v>
      </c>
      <c r="I708" s="787">
        <v>8642</v>
      </c>
      <c r="J708" s="786">
        <v>5084</v>
      </c>
      <c r="K708" s="785">
        <v>1711</v>
      </c>
      <c r="L708" s="787">
        <f t="shared" si="20"/>
        <v>17488</v>
      </c>
      <c r="M708" s="785"/>
      <c r="N708" s="786">
        <v>1008</v>
      </c>
      <c r="O708" s="786">
        <v>0</v>
      </c>
      <c r="P708" s="785">
        <v>591</v>
      </c>
      <c r="Q708" s="787">
        <f t="shared" si="21"/>
        <v>1599</v>
      </c>
      <c r="R708" s="785"/>
      <c r="S708" s="786">
        <v>11996</v>
      </c>
      <c r="T708" s="788">
        <v>-77</v>
      </c>
      <c r="U708" s="788">
        <v>11919</v>
      </c>
    </row>
    <row r="709" spans="1:21" x14ac:dyDescent="0.25">
      <c r="A709" s="782">
        <v>97831</v>
      </c>
      <c r="B709" s="783" t="s">
        <v>3320</v>
      </c>
      <c r="C709" s="784">
        <v>1.7009999999999999E-4</v>
      </c>
      <c r="D709" s="784">
        <v>1.482E-4</v>
      </c>
      <c r="E709" s="800">
        <v>78813</v>
      </c>
      <c r="F709" s="785">
        <v>259866</v>
      </c>
      <c r="G709" s="785"/>
      <c r="H709" s="786">
        <v>14971</v>
      </c>
      <c r="I709" s="787">
        <v>63096</v>
      </c>
      <c r="J709" s="786">
        <v>37112</v>
      </c>
      <c r="K709" s="785">
        <v>15261</v>
      </c>
      <c r="L709" s="787">
        <f t="shared" si="20"/>
        <v>130440</v>
      </c>
      <c r="M709" s="785"/>
      <c r="N709" s="786">
        <v>7356</v>
      </c>
      <c r="O709" s="786">
        <v>0</v>
      </c>
      <c r="P709" s="785">
        <v>8418</v>
      </c>
      <c r="Q709" s="787">
        <f t="shared" si="21"/>
        <v>15774</v>
      </c>
      <c r="R709" s="785"/>
      <c r="S709" s="786">
        <v>87575</v>
      </c>
      <c r="T709" s="788">
        <v>-2075</v>
      </c>
      <c r="U709" s="788">
        <v>85500</v>
      </c>
    </row>
    <row r="710" spans="1:21" x14ac:dyDescent="0.25">
      <c r="A710" s="782">
        <v>97837</v>
      </c>
      <c r="B710" s="783" t="s">
        <v>3321</v>
      </c>
      <c r="C710" s="784">
        <v>1.0200000000000001E-5</v>
      </c>
      <c r="D710" s="784">
        <v>8.8000000000000004E-6</v>
      </c>
      <c r="E710" s="800">
        <v>6053</v>
      </c>
      <c r="F710" s="785">
        <v>15583</v>
      </c>
      <c r="G710" s="785"/>
      <c r="H710" s="786">
        <v>898</v>
      </c>
      <c r="I710" s="787">
        <v>3784</v>
      </c>
      <c r="J710" s="786">
        <v>2225</v>
      </c>
      <c r="K710" s="785">
        <v>3302</v>
      </c>
      <c r="L710" s="787">
        <f t="shared" si="20"/>
        <v>10209</v>
      </c>
      <c r="M710" s="785"/>
      <c r="N710" s="786">
        <v>441</v>
      </c>
      <c r="O710" s="786">
        <v>0</v>
      </c>
      <c r="P710" s="785">
        <v>214</v>
      </c>
      <c r="Q710" s="787">
        <f t="shared" si="21"/>
        <v>655</v>
      </c>
      <c r="R710" s="785"/>
      <c r="S710" s="786">
        <v>5251</v>
      </c>
      <c r="T710" s="788">
        <v>1260</v>
      </c>
      <c r="U710" s="788">
        <v>6511</v>
      </c>
    </row>
    <row r="711" spans="1:21" x14ac:dyDescent="0.25">
      <c r="A711" s="782">
        <v>97840</v>
      </c>
      <c r="B711" s="783" t="s">
        <v>3322</v>
      </c>
      <c r="C711" s="784">
        <v>1.3190000000000001E-4</v>
      </c>
      <c r="D711" s="784">
        <v>1.403E-4</v>
      </c>
      <c r="E711" s="800">
        <v>107784</v>
      </c>
      <c r="F711" s="785">
        <v>201507</v>
      </c>
      <c r="G711" s="785"/>
      <c r="H711" s="786">
        <v>11609</v>
      </c>
      <c r="I711" s="787">
        <v>48926</v>
      </c>
      <c r="J711" s="786">
        <v>28778</v>
      </c>
      <c r="K711" s="785">
        <v>76227</v>
      </c>
      <c r="L711" s="787">
        <f t="shared" ref="L711:L774" si="22">H711+I711+J711+K711</f>
        <v>165540</v>
      </c>
      <c r="M711" s="785"/>
      <c r="N711" s="786">
        <v>5704</v>
      </c>
      <c r="O711" s="786">
        <v>0</v>
      </c>
      <c r="P711" s="785">
        <v>964</v>
      </c>
      <c r="Q711" s="787">
        <f t="shared" ref="Q711:Q774" si="23">N711+O711+P711</f>
        <v>6668</v>
      </c>
      <c r="R711" s="785"/>
      <c r="S711" s="786">
        <v>67908</v>
      </c>
      <c r="T711" s="788">
        <v>27073</v>
      </c>
      <c r="U711" s="788">
        <v>94981</v>
      </c>
    </row>
    <row r="712" spans="1:21" x14ac:dyDescent="0.25">
      <c r="A712" s="782">
        <v>97841</v>
      </c>
      <c r="B712" s="783" t="s">
        <v>3323</v>
      </c>
      <c r="C712" s="784">
        <v>1.31E-5</v>
      </c>
      <c r="D712" s="784">
        <v>1.45E-5</v>
      </c>
      <c r="E712" s="800">
        <v>6425</v>
      </c>
      <c r="F712" s="785">
        <v>20013</v>
      </c>
      <c r="G712" s="785"/>
      <c r="H712" s="786">
        <v>1153</v>
      </c>
      <c r="I712" s="787">
        <v>4859</v>
      </c>
      <c r="J712" s="786">
        <v>2858</v>
      </c>
      <c r="K712" s="785">
        <v>410</v>
      </c>
      <c r="L712" s="787">
        <f t="shared" si="22"/>
        <v>9280</v>
      </c>
      <c r="M712" s="785"/>
      <c r="N712" s="786">
        <v>567</v>
      </c>
      <c r="O712" s="786">
        <v>0</v>
      </c>
      <c r="P712" s="785">
        <v>4768</v>
      </c>
      <c r="Q712" s="787">
        <f t="shared" si="23"/>
        <v>5335</v>
      </c>
      <c r="R712" s="785"/>
      <c r="S712" s="786">
        <v>6744</v>
      </c>
      <c r="T712" s="788">
        <v>-3859</v>
      </c>
      <c r="U712" s="788">
        <v>2885</v>
      </c>
    </row>
    <row r="713" spans="1:21" x14ac:dyDescent="0.25">
      <c r="A713" s="782">
        <v>97847</v>
      </c>
      <c r="B713" s="783" t="s">
        <v>3324</v>
      </c>
      <c r="C713" s="784">
        <v>2.0999999999999998E-6</v>
      </c>
      <c r="D713" s="784">
        <v>2.2000000000000001E-6</v>
      </c>
      <c r="E713" s="800">
        <v>2259</v>
      </c>
      <c r="F713" s="785">
        <v>3208</v>
      </c>
      <c r="G713" s="785"/>
      <c r="H713" s="786">
        <v>185</v>
      </c>
      <c r="I713" s="787">
        <v>779</v>
      </c>
      <c r="J713" s="786">
        <v>458</v>
      </c>
      <c r="K713" s="785">
        <v>1433</v>
      </c>
      <c r="L713" s="787">
        <f t="shared" si="22"/>
        <v>2855</v>
      </c>
      <c r="M713" s="785"/>
      <c r="N713" s="786">
        <v>91</v>
      </c>
      <c r="O713" s="786">
        <v>0</v>
      </c>
      <c r="P713" s="785">
        <v>72</v>
      </c>
      <c r="Q713" s="787">
        <f t="shared" si="23"/>
        <v>163</v>
      </c>
      <c r="R713" s="785"/>
      <c r="S713" s="786">
        <v>1081</v>
      </c>
      <c r="T713" s="788">
        <v>355</v>
      </c>
      <c r="U713" s="788">
        <v>1436</v>
      </c>
    </row>
    <row r="714" spans="1:21" x14ac:dyDescent="0.25">
      <c r="A714" s="782">
        <v>97851</v>
      </c>
      <c r="B714" s="783" t="s">
        <v>3325</v>
      </c>
      <c r="C714" s="784">
        <v>2.7799999999999998E-4</v>
      </c>
      <c r="D714" s="784">
        <v>2.7460000000000001E-4</v>
      </c>
      <c r="E714" s="800">
        <v>116408</v>
      </c>
      <c r="F714" s="785">
        <v>424707</v>
      </c>
      <c r="G714" s="785"/>
      <c r="H714" s="786">
        <v>24467</v>
      </c>
      <c r="I714" s="787">
        <v>103120</v>
      </c>
      <c r="J714" s="786">
        <v>60654</v>
      </c>
      <c r="K714" s="785">
        <v>1448</v>
      </c>
      <c r="L714" s="787">
        <f t="shared" si="22"/>
        <v>189689</v>
      </c>
      <c r="M714" s="785"/>
      <c r="N714" s="786">
        <v>12022</v>
      </c>
      <c r="O714" s="786">
        <v>0</v>
      </c>
      <c r="P714" s="785">
        <v>12710</v>
      </c>
      <c r="Q714" s="787">
        <f t="shared" si="23"/>
        <v>24732</v>
      </c>
      <c r="R714" s="785"/>
      <c r="S714" s="786">
        <v>143127</v>
      </c>
      <c r="T714" s="788">
        <v>-2512</v>
      </c>
      <c r="U714" s="788">
        <v>140615</v>
      </c>
    </row>
    <row r="715" spans="1:21" x14ac:dyDescent="0.25">
      <c r="A715" s="782">
        <v>97853</v>
      </c>
      <c r="B715" s="783" t="s">
        <v>3326</v>
      </c>
      <c r="C715" s="784">
        <v>1.0289999999999999E-4</v>
      </c>
      <c r="D715" s="784">
        <v>9.1600000000000004E-5</v>
      </c>
      <c r="E715" s="800">
        <v>44043</v>
      </c>
      <c r="F715" s="785">
        <v>157203</v>
      </c>
      <c r="G715" s="785"/>
      <c r="H715" s="786">
        <v>9056</v>
      </c>
      <c r="I715" s="787">
        <v>38169</v>
      </c>
      <c r="J715" s="786">
        <v>22451</v>
      </c>
      <c r="K715" s="785">
        <v>8759</v>
      </c>
      <c r="L715" s="787">
        <f t="shared" si="22"/>
        <v>78435</v>
      </c>
      <c r="M715" s="785"/>
      <c r="N715" s="786">
        <v>4450</v>
      </c>
      <c r="O715" s="786">
        <v>0</v>
      </c>
      <c r="P715" s="785">
        <v>9750</v>
      </c>
      <c r="Q715" s="787">
        <f t="shared" si="23"/>
        <v>14200</v>
      </c>
      <c r="R715" s="785"/>
      <c r="S715" s="786">
        <v>52977</v>
      </c>
      <c r="T715" s="788">
        <v>429</v>
      </c>
      <c r="U715" s="788">
        <f>53407-1</f>
        <v>53406</v>
      </c>
    </row>
    <row r="716" spans="1:21" x14ac:dyDescent="0.25">
      <c r="A716" s="782">
        <v>97861</v>
      </c>
      <c r="B716" s="783" t="s">
        <v>3327</v>
      </c>
      <c r="C716" s="784">
        <v>6.7000000000000002E-5</v>
      </c>
      <c r="D716" s="784">
        <v>6.8499999999999998E-5</v>
      </c>
      <c r="E716" s="800">
        <v>27517</v>
      </c>
      <c r="F716" s="785">
        <v>102357</v>
      </c>
      <c r="G716" s="785"/>
      <c r="H716" s="786">
        <v>5897</v>
      </c>
      <c r="I716" s="787">
        <v>24852</v>
      </c>
      <c r="J716" s="786">
        <v>14618</v>
      </c>
      <c r="K716" s="785">
        <v>1771</v>
      </c>
      <c r="L716" s="787">
        <f t="shared" si="22"/>
        <v>47138</v>
      </c>
      <c r="M716" s="785"/>
      <c r="N716" s="786">
        <v>2897</v>
      </c>
      <c r="O716" s="786">
        <v>0</v>
      </c>
      <c r="P716" s="785">
        <v>7954</v>
      </c>
      <c r="Q716" s="787">
        <f t="shared" si="23"/>
        <v>10851</v>
      </c>
      <c r="R716" s="785"/>
      <c r="S716" s="786">
        <v>34495</v>
      </c>
      <c r="T716" s="788">
        <v>-3725</v>
      </c>
      <c r="U716" s="788">
        <f>30769+1</f>
        <v>30770</v>
      </c>
    </row>
    <row r="717" spans="1:21" x14ac:dyDescent="0.25">
      <c r="A717" s="782">
        <v>97871</v>
      </c>
      <c r="B717" s="783" t="s">
        <v>3328</v>
      </c>
      <c r="C717" s="784">
        <v>2.9930000000000001E-4</v>
      </c>
      <c r="D717" s="784">
        <v>3.1500000000000001E-4</v>
      </c>
      <c r="E717" s="800">
        <v>273654</v>
      </c>
      <c r="F717" s="785">
        <v>457247</v>
      </c>
      <c r="G717" s="785"/>
      <c r="H717" s="786">
        <v>26342</v>
      </c>
      <c r="I717" s="787">
        <v>111020</v>
      </c>
      <c r="J717" s="786">
        <v>65301</v>
      </c>
      <c r="K717" s="785">
        <v>217143</v>
      </c>
      <c r="L717" s="787">
        <f t="shared" si="22"/>
        <v>419806</v>
      </c>
      <c r="M717" s="785"/>
      <c r="N717" s="786">
        <v>12943</v>
      </c>
      <c r="O717" s="786">
        <v>0</v>
      </c>
      <c r="P717" s="785">
        <v>0</v>
      </c>
      <c r="Q717" s="787">
        <f t="shared" si="23"/>
        <v>12943</v>
      </c>
      <c r="R717" s="785"/>
      <c r="S717" s="786">
        <v>154093</v>
      </c>
      <c r="T717" s="788">
        <v>79417</v>
      </c>
      <c r="U717" s="788">
        <f>233509+1</f>
        <v>233510</v>
      </c>
    </row>
    <row r="718" spans="1:21" x14ac:dyDescent="0.25">
      <c r="A718" s="782">
        <v>97877</v>
      </c>
      <c r="B718" s="783" t="s">
        <v>3329</v>
      </c>
      <c r="C718" s="784">
        <v>1.9E-6</v>
      </c>
      <c r="D718" s="784">
        <v>2.2000000000000001E-6</v>
      </c>
      <c r="E718" s="800">
        <v>2104</v>
      </c>
      <c r="F718" s="785">
        <v>2903</v>
      </c>
      <c r="G718" s="785"/>
      <c r="H718" s="786">
        <v>167</v>
      </c>
      <c r="I718" s="787">
        <v>705</v>
      </c>
      <c r="J718" s="786">
        <v>415</v>
      </c>
      <c r="K718" s="785">
        <v>1638</v>
      </c>
      <c r="L718" s="787">
        <f t="shared" si="22"/>
        <v>2925</v>
      </c>
      <c r="M718" s="785"/>
      <c r="N718" s="786">
        <v>82</v>
      </c>
      <c r="O718" s="786">
        <v>0</v>
      </c>
      <c r="P718" s="785">
        <v>0</v>
      </c>
      <c r="Q718" s="787">
        <f t="shared" si="23"/>
        <v>82</v>
      </c>
      <c r="R718" s="785"/>
      <c r="S718" s="786">
        <v>978</v>
      </c>
      <c r="T718" s="788">
        <v>648</v>
      </c>
      <c r="U718" s="788">
        <f>1627-1</f>
        <v>1626</v>
      </c>
    </row>
    <row r="719" spans="1:21" x14ac:dyDescent="0.25">
      <c r="A719" s="782">
        <v>97901</v>
      </c>
      <c r="B719" s="783" t="s">
        <v>3330</v>
      </c>
      <c r="C719" s="784">
        <v>4.2658000000000001E-3</v>
      </c>
      <c r="D719" s="784">
        <v>4.3616999999999996E-3</v>
      </c>
      <c r="E719" s="800">
        <v>2091024</v>
      </c>
      <c r="F719" s="785">
        <v>6516961</v>
      </c>
      <c r="G719" s="785"/>
      <c r="H719" s="786">
        <v>375437</v>
      </c>
      <c r="I719" s="787">
        <v>1582326</v>
      </c>
      <c r="J719" s="786">
        <v>930712</v>
      </c>
      <c r="K719" s="785">
        <v>88360</v>
      </c>
      <c r="L719" s="787">
        <f t="shared" si="22"/>
        <v>2976835</v>
      </c>
      <c r="M719" s="785"/>
      <c r="N719" s="786">
        <v>184475</v>
      </c>
      <c r="O719" s="786">
        <v>0</v>
      </c>
      <c r="P719" s="785">
        <v>14865</v>
      </c>
      <c r="Q719" s="787">
        <f t="shared" si="23"/>
        <v>199340</v>
      </c>
      <c r="R719" s="785"/>
      <c r="S719" s="786">
        <v>2196222</v>
      </c>
      <c r="T719" s="788">
        <v>35112</v>
      </c>
      <c r="U719" s="788">
        <v>2231334</v>
      </c>
    </row>
    <row r="720" spans="1:21" x14ac:dyDescent="0.25">
      <c r="A720" s="782">
        <v>97911</v>
      </c>
      <c r="B720" s="783" t="s">
        <v>3331</v>
      </c>
      <c r="C720" s="784">
        <v>1.3005E-3</v>
      </c>
      <c r="D720" s="784">
        <v>1.3190000000000001E-3</v>
      </c>
      <c r="E720" s="800">
        <v>613265</v>
      </c>
      <c r="F720" s="785">
        <v>1986804</v>
      </c>
      <c r="G720" s="785"/>
      <c r="H720" s="786">
        <v>114458</v>
      </c>
      <c r="I720" s="787">
        <v>482398</v>
      </c>
      <c r="J720" s="786">
        <v>283743</v>
      </c>
      <c r="K720" s="785">
        <v>31167</v>
      </c>
      <c r="L720" s="787">
        <f t="shared" si="22"/>
        <v>911766</v>
      </c>
      <c r="M720" s="785"/>
      <c r="N720" s="786">
        <v>56240</v>
      </c>
      <c r="O720" s="786">
        <v>0</v>
      </c>
      <c r="P720" s="785">
        <v>28435</v>
      </c>
      <c r="Q720" s="787">
        <f t="shared" si="23"/>
        <v>84675</v>
      </c>
      <c r="R720" s="785"/>
      <c r="S720" s="786">
        <v>669555</v>
      </c>
      <c r="T720" s="788">
        <v>10548</v>
      </c>
      <c r="U720" s="788">
        <v>680103</v>
      </c>
    </row>
    <row r="721" spans="1:21" x14ac:dyDescent="0.25">
      <c r="A721" s="782">
        <v>97913</v>
      </c>
      <c r="B721" s="783" t="s">
        <v>3332</v>
      </c>
      <c r="C721" s="784">
        <v>3.5899999999999998E-5</v>
      </c>
      <c r="D721" s="784">
        <v>3.7400000000000001E-5</v>
      </c>
      <c r="E721" s="800">
        <v>27559</v>
      </c>
      <c r="F721" s="785">
        <v>54845</v>
      </c>
      <c r="G721" s="785"/>
      <c r="H721" s="786">
        <v>3160</v>
      </c>
      <c r="I721" s="787">
        <v>13317</v>
      </c>
      <c r="J721" s="786">
        <v>7833</v>
      </c>
      <c r="K721" s="785">
        <v>15616</v>
      </c>
      <c r="L721" s="787">
        <f t="shared" si="22"/>
        <v>39926</v>
      </c>
      <c r="M721" s="785"/>
      <c r="N721" s="786">
        <v>1552</v>
      </c>
      <c r="O721" s="786">
        <v>0</v>
      </c>
      <c r="P721" s="785">
        <v>0</v>
      </c>
      <c r="Q721" s="787">
        <f t="shared" si="23"/>
        <v>1552</v>
      </c>
      <c r="R721" s="785"/>
      <c r="S721" s="786">
        <v>18483</v>
      </c>
      <c r="T721" s="788">
        <v>5369</v>
      </c>
      <c r="U721" s="788">
        <f>23851+1</f>
        <v>23852</v>
      </c>
    </row>
    <row r="722" spans="1:21" x14ac:dyDescent="0.25">
      <c r="A722" s="782">
        <v>97917</v>
      </c>
      <c r="B722" s="783" t="s">
        <v>3333</v>
      </c>
      <c r="C722" s="784">
        <v>2.0999999999999999E-5</v>
      </c>
      <c r="D722" s="784">
        <v>1.98E-5</v>
      </c>
      <c r="E722" s="800">
        <v>13419</v>
      </c>
      <c r="F722" s="785">
        <v>32082</v>
      </c>
      <c r="G722" s="785"/>
      <c r="H722" s="786">
        <v>1848</v>
      </c>
      <c r="I722" s="787">
        <v>7790</v>
      </c>
      <c r="J722" s="786">
        <v>4582</v>
      </c>
      <c r="K722" s="785">
        <v>7811</v>
      </c>
      <c r="L722" s="787">
        <f t="shared" si="22"/>
        <v>22031</v>
      </c>
      <c r="M722" s="785"/>
      <c r="N722" s="786">
        <v>908</v>
      </c>
      <c r="O722" s="786">
        <v>0</v>
      </c>
      <c r="P722" s="785">
        <v>0</v>
      </c>
      <c r="Q722" s="787">
        <f t="shared" si="23"/>
        <v>908</v>
      </c>
      <c r="R722" s="785"/>
      <c r="S722" s="786">
        <v>10812</v>
      </c>
      <c r="T722" s="788">
        <v>3168</v>
      </c>
      <c r="U722" s="788">
        <f>13979+1</f>
        <v>13980</v>
      </c>
    </row>
    <row r="723" spans="1:21" x14ac:dyDescent="0.25">
      <c r="A723" s="782">
        <v>97921</v>
      </c>
      <c r="B723" s="783" t="s">
        <v>3334</v>
      </c>
      <c r="C723" s="784">
        <v>2.1699999999999999E-4</v>
      </c>
      <c r="D723" s="784">
        <v>2.2169999999999999E-4</v>
      </c>
      <c r="E723" s="800">
        <v>103163</v>
      </c>
      <c r="F723" s="785">
        <v>331516</v>
      </c>
      <c r="G723" s="785"/>
      <c r="H723" s="786">
        <v>19098</v>
      </c>
      <c r="I723" s="787">
        <v>80493</v>
      </c>
      <c r="J723" s="786">
        <v>47345</v>
      </c>
      <c r="K723" s="785">
        <v>11562</v>
      </c>
      <c r="L723" s="787">
        <f t="shared" si="22"/>
        <v>158498</v>
      </c>
      <c r="M723" s="785"/>
      <c r="N723" s="786">
        <v>9384</v>
      </c>
      <c r="O723" s="786">
        <v>0</v>
      </c>
      <c r="P723" s="785">
        <v>5992</v>
      </c>
      <c r="Q723" s="787">
        <f t="shared" si="23"/>
        <v>15376</v>
      </c>
      <c r="R723" s="785"/>
      <c r="S723" s="786">
        <v>111721</v>
      </c>
      <c r="T723" s="788">
        <v>3241</v>
      </c>
      <c r="U723" s="788">
        <v>114962</v>
      </c>
    </row>
    <row r="724" spans="1:21" x14ac:dyDescent="0.25">
      <c r="A724" s="782">
        <v>97931</v>
      </c>
      <c r="B724" s="783" t="s">
        <v>3335</v>
      </c>
      <c r="C724" s="784">
        <v>7.0199999999999999E-5</v>
      </c>
      <c r="D724" s="784">
        <v>6.1600000000000007E-5</v>
      </c>
      <c r="E724" s="800">
        <v>31939</v>
      </c>
      <c r="F724" s="785">
        <v>107246</v>
      </c>
      <c r="G724" s="785"/>
      <c r="H724" s="786">
        <v>6178</v>
      </c>
      <c r="I724" s="787">
        <v>26039</v>
      </c>
      <c r="J724" s="786">
        <v>15316</v>
      </c>
      <c r="K724" s="785">
        <v>18162</v>
      </c>
      <c r="L724" s="787">
        <f t="shared" si="22"/>
        <v>65695</v>
      </c>
      <c r="M724" s="785"/>
      <c r="N724" s="786">
        <v>3036</v>
      </c>
      <c r="O724" s="786">
        <v>0</v>
      </c>
      <c r="P724" s="785">
        <v>7492</v>
      </c>
      <c r="Q724" s="787">
        <f t="shared" si="23"/>
        <v>10528</v>
      </c>
      <c r="R724" s="785"/>
      <c r="S724" s="786">
        <v>36142</v>
      </c>
      <c r="T724" s="788">
        <v>2117</v>
      </c>
      <c r="U724" s="788">
        <v>38259</v>
      </c>
    </row>
    <row r="725" spans="1:21" x14ac:dyDescent="0.25">
      <c r="A725" s="782">
        <v>97941</v>
      </c>
      <c r="B725" s="783" t="s">
        <v>3336</v>
      </c>
      <c r="C725" s="784">
        <v>2.0479999999999999E-4</v>
      </c>
      <c r="D725" s="784">
        <v>2.3330000000000001E-4</v>
      </c>
      <c r="E725" s="800">
        <v>106970</v>
      </c>
      <c r="F725" s="785">
        <v>312878</v>
      </c>
      <c r="G725" s="785"/>
      <c r="H725" s="786">
        <v>18025</v>
      </c>
      <c r="I725" s="787">
        <v>75967</v>
      </c>
      <c r="J725" s="786">
        <v>44683</v>
      </c>
      <c r="K725" s="785">
        <v>17999</v>
      </c>
      <c r="L725" s="787">
        <f t="shared" si="22"/>
        <v>156674</v>
      </c>
      <c r="M725" s="785"/>
      <c r="N725" s="786">
        <v>8857</v>
      </c>
      <c r="O725" s="786">
        <v>0</v>
      </c>
      <c r="P725" s="785">
        <v>8897</v>
      </c>
      <c r="Q725" s="787">
        <f t="shared" si="23"/>
        <v>17754</v>
      </c>
      <c r="R725" s="785"/>
      <c r="S725" s="786">
        <v>105440</v>
      </c>
      <c r="T725" s="788">
        <v>7001</v>
      </c>
      <c r="U725" s="788">
        <v>112441</v>
      </c>
    </row>
    <row r="726" spans="1:21" x14ac:dyDescent="0.25">
      <c r="A726" s="782">
        <v>97947</v>
      </c>
      <c r="B726" s="783" t="s">
        <v>3337</v>
      </c>
      <c r="C726" s="784">
        <v>1.3900000000000001E-5</v>
      </c>
      <c r="D726" s="784">
        <v>1.5500000000000001E-5</v>
      </c>
      <c r="E726" s="800">
        <v>11471</v>
      </c>
      <c r="F726" s="785">
        <v>21235</v>
      </c>
      <c r="G726" s="785"/>
      <c r="H726" s="786">
        <v>1223</v>
      </c>
      <c r="I726" s="787">
        <v>5156</v>
      </c>
      <c r="J726" s="786">
        <v>3033</v>
      </c>
      <c r="K726" s="785">
        <v>9518</v>
      </c>
      <c r="L726" s="787">
        <f t="shared" si="22"/>
        <v>18930</v>
      </c>
      <c r="M726" s="785"/>
      <c r="N726" s="786">
        <v>601</v>
      </c>
      <c r="O726" s="786">
        <v>0</v>
      </c>
      <c r="P726" s="785">
        <v>306</v>
      </c>
      <c r="Q726" s="787">
        <f t="shared" si="23"/>
        <v>907</v>
      </c>
      <c r="R726" s="785"/>
      <c r="S726" s="786">
        <v>7156</v>
      </c>
      <c r="T726" s="788">
        <v>3116</v>
      </c>
      <c r="U726" s="788">
        <v>10272</v>
      </c>
    </row>
    <row r="727" spans="1:21" x14ac:dyDescent="0.25">
      <c r="A727" s="782">
        <v>97948</v>
      </c>
      <c r="B727" s="783" t="s">
        <v>3338</v>
      </c>
      <c r="C727" s="784">
        <v>2.2099999999999998E-5</v>
      </c>
      <c r="D727" s="784">
        <v>3.5200000000000002E-5</v>
      </c>
      <c r="E727" s="800">
        <v>10840</v>
      </c>
      <c r="F727" s="785">
        <v>33763</v>
      </c>
      <c r="G727" s="785"/>
      <c r="H727" s="786">
        <v>1945</v>
      </c>
      <c r="I727" s="787">
        <v>8198</v>
      </c>
      <c r="J727" s="786">
        <v>4822</v>
      </c>
      <c r="K727" s="785">
        <v>1909</v>
      </c>
      <c r="L727" s="787">
        <f t="shared" si="22"/>
        <v>16874</v>
      </c>
      <c r="M727" s="785"/>
      <c r="N727" s="786">
        <v>956</v>
      </c>
      <c r="O727" s="786">
        <v>0</v>
      </c>
      <c r="P727" s="785">
        <v>8330</v>
      </c>
      <c r="Q727" s="787">
        <f t="shared" si="23"/>
        <v>9286</v>
      </c>
      <c r="R727" s="785"/>
      <c r="S727" s="786">
        <v>11378</v>
      </c>
      <c r="T727" s="788">
        <v>-972</v>
      </c>
      <c r="U727" s="788">
        <v>10406</v>
      </c>
    </row>
    <row r="728" spans="1:21" x14ac:dyDescent="0.25">
      <c r="A728" s="782">
        <v>97951</v>
      </c>
      <c r="B728" s="783" t="s">
        <v>3339</v>
      </c>
      <c r="C728" s="784">
        <v>1.2440999999999999E-3</v>
      </c>
      <c r="D728" s="784">
        <v>1.2497000000000001E-3</v>
      </c>
      <c r="E728" s="800">
        <v>597832</v>
      </c>
      <c r="F728" s="785">
        <v>1900640</v>
      </c>
      <c r="G728" s="785"/>
      <c r="H728" s="786">
        <v>109494</v>
      </c>
      <c r="I728" s="787">
        <v>461477</v>
      </c>
      <c r="J728" s="786">
        <v>271438</v>
      </c>
      <c r="K728" s="785">
        <v>31864</v>
      </c>
      <c r="L728" s="787">
        <f t="shared" si="22"/>
        <v>874273</v>
      </c>
      <c r="M728" s="785"/>
      <c r="N728" s="786">
        <v>53801</v>
      </c>
      <c r="O728" s="786">
        <v>0</v>
      </c>
      <c r="P728" s="785">
        <v>7067</v>
      </c>
      <c r="Q728" s="787">
        <f t="shared" si="23"/>
        <v>60868</v>
      </c>
      <c r="R728" s="785"/>
      <c r="S728" s="786">
        <v>640517</v>
      </c>
      <c r="T728" s="788">
        <v>4295</v>
      </c>
      <c r="U728" s="788">
        <f>644813-1</f>
        <v>644812</v>
      </c>
    </row>
    <row r="729" spans="1:21" x14ac:dyDescent="0.25">
      <c r="A729" s="782">
        <v>97957</v>
      </c>
      <c r="B729" s="783" t="s">
        <v>3340</v>
      </c>
      <c r="C729" s="784">
        <v>1.8700000000000001E-5</v>
      </c>
      <c r="D729" s="784">
        <v>1.9599999999999999E-5</v>
      </c>
      <c r="E729" s="800">
        <v>12857</v>
      </c>
      <c r="F729" s="785">
        <v>28568</v>
      </c>
      <c r="G729" s="785"/>
      <c r="H729" s="786">
        <v>1646</v>
      </c>
      <c r="I729" s="787">
        <v>6936</v>
      </c>
      <c r="J729" s="786">
        <v>4080</v>
      </c>
      <c r="K729" s="785">
        <v>4456</v>
      </c>
      <c r="L729" s="787">
        <f t="shared" si="22"/>
        <v>17118</v>
      </c>
      <c r="M729" s="785"/>
      <c r="N729" s="786">
        <v>809</v>
      </c>
      <c r="O729" s="786">
        <v>0</v>
      </c>
      <c r="P729" s="785">
        <v>1123</v>
      </c>
      <c r="Q729" s="787">
        <f t="shared" si="23"/>
        <v>1932</v>
      </c>
      <c r="R729" s="785"/>
      <c r="S729" s="786">
        <v>9628</v>
      </c>
      <c r="T729" s="788">
        <v>620</v>
      </c>
      <c r="U729" s="788">
        <f>10247+1</f>
        <v>10248</v>
      </c>
    </row>
    <row r="730" spans="1:21" x14ac:dyDescent="0.25">
      <c r="A730" s="782">
        <v>98001</v>
      </c>
      <c r="B730" s="783" t="s">
        <v>3341</v>
      </c>
      <c r="C730" s="784">
        <v>5.1148000000000001E-3</v>
      </c>
      <c r="D730" s="784">
        <v>4.9659999999999999E-3</v>
      </c>
      <c r="E730" s="800">
        <v>2367016</v>
      </c>
      <c r="F730" s="785">
        <v>7813998</v>
      </c>
      <c r="G730" s="785"/>
      <c r="H730" s="786">
        <v>450159</v>
      </c>
      <c r="I730" s="787">
        <v>1897248</v>
      </c>
      <c r="J730" s="786">
        <v>1115947</v>
      </c>
      <c r="K730" s="785">
        <v>181889</v>
      </c>
      <c r="L730" s="787">
        <f t="shared" si="22"/>
        <v>3645243</v>
      </c>
      <c r="M730" s="785"/>
      <c r="N730" s="786">
        <v>221190</v>
      </c>
      <c r="O730" s="786">
        <v>0</v>
      </c>
      <c r="P730" s="785">
        <v>0</v>
      </c>
      <c r="Q730" s="787">
        <f t="shared" si="23"/>
        <v>221190</v>
      </c>
      <c r="R730" s="785"/>
      <c r="S730" s="786">
        <v>2633324</v>
      </c>
      <c r="T730" s="788">
        <v>81305</v>
      </c>
      <c r="U730" s="788">
        <v>2714629</v>
      </c>
    </row>
    <row r="731" spans="1:21" x14ac:dyDescent="0.25">
      <c r="A731" s="782">
        <v>98002</v>
      </c>
      <c r="B731" s="783" t="s">
        <v>3342</v>
      </c>
      <c r="C731" s="784">
        <v>6.7000000000000002E-6</v>
      </c>
      <c r="D731" s="784">
        <v>7.3000000000000004E-6</v>
      </c>
      <c r="E731" s="800">
        <v>4126</v>
      </c>
      <c r="F731" s="785">
        <v>10236</v>
      </c>
      <c r="G731" s="785"/>
      <c r="H731" s="786">
        <v>590</v>
      </c>
      <c r="I731" s="787">
        <v>2485</v>
      </c>
      <c r="J731" s="786">
        <v>1462</v>
      </c>
      <c r="K731" s="785">
        <v>1007</v>
      </c>
      <c r="L731" s="787">
        <f t="shared" si="22"/>
        <v>5544</v>
      </c>
      <c r="M731" s="785"/>
      <c r="N731" s="786">
        <v>290</v>
      </c>
      <c r="O731" s="786">
        <v>0</v>
      </c>
      <c r="P731" s="785">
        <v>6492</v>
      </c>
      <c r="Q731" s="787">
        <f t="shared" si="23"/>
        <v>6782</v>
      </c>
      <c r="R731" s="785"/>
      <c r="S731" s="786">
        <v>3449</v>
      </c>
      <c r="T731" s="788">
        <v>-6219</v>
      </c>
      <c r="U731" s="788">
        <v>-2770</v>
      </c>
    </row>
    <row r="732" spans="1:21" x14ac:dyDescent="0.25">
      <c r="A732" s="782">
        <v>98003</v>
      </c>
      <c r="B732" s="783" t="s">
        <v>3343</v>
      </c>
      <c r="C732" s="784">
        <v>7.9599999999999997E-5</v>
      </c>
      <c r="D732" s="784">
        <v>8.1600000000000005E-5</v>
      </c>
      <c r="E732" s="800">
        <v>70274</v>
      </c>
      <c r="F732" s="785">
        <v>121607</v>
      </c>
      <c r="G732" s="785"/>
      <c r="H732" s="786">
        <v>7006</v>
      </c>
      <c r="I732" s="787">
        <v>29526</v>
      </c>
      <c r="J732" s="786">
        <v>17367</v>
      </c>
      <c r="K732" s="785">
        <v>54986</v>
      </c>
      <c r="L732" s="787">
        <f t="shared" si="22"/>
        <v>108885</v>
      </c>
      <c r="M732" s="785"/>
      <c r="N732" s="786">
        <v>3442</v>
      </c>
      <c r="O732" s="786">
        <v>0</v>
      </c>
      <c r="P732" s="785">
        <v>0</v>
      </c>
      <c r="Q732" s="787">
        <f t="shared" si="23"/>
        <v>3442</v>
      </c>
      <c r="R732" s="785"/>
      <c r="S732" s="786">
        <v>40982</v>
      </c>
      <c r="T732" s="788">
        <v>18634</v>
      </c>
      <c r="U732" s="788">
        <v>59616</v>
      </c>
    </row>
    <row r="733" spans="1:21" x14ac:dyDescent="0.25">
      <c r="A733" s="782">
        <v>98004</v>
      </c>
      <c r="B733" s="783" t="s">
        <v>3344</v>
      </c>
      <c r="C733" s="784">
        <v>1.182E-4</v>
      </c>
      <c r="D733" s="784">
        <v>1.209E-4</v>
      </c>
      <c r="E733" s="800">
        <v>78050</v>
      </c>
      <c r="F733" s="785">
        <v>180577</v>
      </c>
      <c r="G733" s="785"/>
      <c r="H733" s="786">
        <v>10403</v>
      </c>
      <c r="I733" s="787">
        <v>43844</v>
      </c>
      <c r="J733" s="786">
        <v>25789</v>
      </c>
      <c r="K733" s="785">
        <v>36575</v>
      </c>
      <c r="L733" s="787">
        <f t="shared" si="22"/>
        <v>116611</v>
      </c>
      <c r="M733" s="785"/>
      <c r="N733" s="786">
        <v>5112</v>
      </c>
      <c r="O733" s="786">
        <v>0</v>
      </c>
      <c r="P733" s="785">
        <v>0</v>
      </c>
      <c r="Q733" s="787">
        <f t="shared" si="23"/>
        <v>5112</v>
      </c>
      <c r="R733" s="785"/>
      <c r="S733" s="786">
        <v>60855</v>
      </c>
      <c r="T733" s="788">
        <v>14190</v>
      </c>
      <c r="U733" s="788">
        <f>75044+1</f>
        <v>75045</v>
      </c>
    </row>
    <row r="734" spans="1:21" x14ac:dyDescent="0.25">
      <c r="A734" s="782">
        <v>98008</v>
      </c>
      <c r="B734" s="783" t="s">
        <v>3345</v>
      </c>
      <c r="C734" s="784">
        <v>7.9999999999999996E-6</v>
      </c>
      <c r="D734" s="784">
        <v>7.7999999999999999E-6</v>
      </c>
      <c r="E734" s="800">
        <v>3537</v>
      </c>
      <c r="F734" s="785">
        <v>12222</v>
      </c>
      <c r="G734" s="785"/>
      <c r="H734" s="786">
        <v>704</v>
      </c>
      <c r="I734" s="787">
        <v>2967</v>
      </c>
      <c r="J734" s="786">
        <v>1745</v>
      </c>
      <c r="K734" s="785">
        <v>25</v>
      </c>
      <c r="L734" s="787">
        <f t="shared" si="22"/>
        <v>5441</v>
      </c>
      <c r="M734" s="785"/>
      <c r="N734" s="786">
        <v>346</v>
      </c>
      <c r="O734" s="786">
        <v>0</v>
      </c>
      <c r="P734" s="785">
        <v>804</v>
      </c>
      <c r="Q734" s="787">
        <f t="shared" si="23"/>
        <v>1150</v>
      </c>
      <c r="R734" s="785"/>
      <c r="S734" s="786">
        <v>4119</v>
      </c>
      <c r="T734" s="788">
        <v>-490</v>
      </c>
      <c r="U734" s="788">
        <v>3629</v>
      </c>
    </row>
    <row r="735" spans="1:21" x14ac:dyDescent="0.25">
      <c r="A735" s="782">
        <v>98011</v>
      </c>
      <c r="B735" s="783" t="s">
        <v>3346</v>
      </c>
      <c r="C735" s="784">
        <v>3.1578999999999999E-3</v>
      </c>
      <c r="D735" s="784">
        <v>3.1795E-3</v>
      </c>
      <c r="E735" s="800">
        <v>1430082</v>
      </c>
      <c r="F735" s="785">
        <v>4824396</v>
      </c>
      <c r="G735" s="785"/>
      <c r="H735" s="786">
        <v>277930</v>
      </c>
      <c r="I735" s="787">
        <v>1171370</v>
      </c>
      <c r="J735" s="786">
        <v>688991</v>
      </c>
      <c r="K735" s="785">
        <v>0</v>
      </c>
      <c r="L735" s="787">
        <f t="shared" si="22"/>
        <v>2138291</v>
      </c>
      <c r="M735" s="785"/>
      <c r="N735" s="786">
        <v>136563</v>
      </c>
      <c r="O735" s="786">
        <v>0</v>
      </c>
      <c r="P735" s="785">
        <v>315025</v>
      </c>
      <c r="Q735" s="787">
        <f t="shared" si="23"/>
        <v>451588</v>
      </c>
      <c r="R735" s="785"/>
      <c r="S735" s="786">
        <v>1625826</v>
      </c>
      <c r="T735" s="788">
        <v>-146862</v>
      </c>
      <c r="U735" s="788">
        <v>1478964</v>
      </c>
    </row>
    <row r="736" spans="1:21" x14ac:dyDescent="0.25">
      <c r="A736" s="782">
        <v>98013</v>
      </c>
      <c r="B736" s="783" t="s">
        <v>3347</v>
      </c>
      <c r="C736" s="784">
        <v>1.415E-4</v>
      </c>
      <c r="D736" s="784">
        <v>1.426E-4</v>
      </c>
      <c r="E736" s="800">
        <v>138521</v>
      </c>
      <c r="F736" s="785">
        <v>216173</v>
      </c>
      <c r="G736" s="785"/>
      <c r="H736" s="786">
        <v>12454</v>
      </c>
      <c r="I736" s="787">
        <v>52487</v>
      </c>
      <c r="J736" s="786">
        <v>30872</v>
      </c>
      <c r="K736" s="785">
        <v>126104</v>
      </c>
      <c r="L736" s="787">
        <f t="shared" si="22"/>
        <v>221917</v>
      </c>
      <c r="M736" s="785"/>
      <c r="N736" s="786">
        <v>6119</v>
      </c>
      <c r="O736" s="786">
        <v>0</v>
      </c>
      <c r="P736" s="785">
        <v>2073</v>
      </c>
      <c r="Q736" s="787">
        <f t="shared" si="23"/>
        <v>8192</v>
      </c>
      <c r="R736" s="785"/>
      <c r="S736" s="786">
        <v>72850</v>
      </c>
      <c r="T736" s="788">
        <v>41784</v>
      </c>
      <c r="U736" s="788">
        <f>114635-1</f>
        <v>114634</v>
      </c>
    </row>
    <row r="737" spans="1:21" x14ac:dyDescent="0.25">
      <c r="A737" s="782">
        <v>98021</v>
      </c>
      <c r="B737" s="783" t="s">
        <v>3348</v>
      </c>
      <c r="C737" s="784">
        <v>8.6199999999999995E-5</v>
      </c>
      <c r="D737" s="784">
        <v>7.5099999999999996E-5</v>
      </c>
      <c r="E737" s="800">
        <v>28536</v>
      </c>
      <c r="F737" s="785">
        <v>131690</v>
      </c>
      <c r="G737" s="785"/>
      <c r="H737" s="786">
        <v>7587</v>
      </c>
      <c r="I737" s="787">
        <v>31975</v>
      </c>
      <c r="J737" s="786">
        <v>18807</v>
      </c>
      <c r="K737" s="785">
        <v>13468</v>
      </c>
      <c r="L737" s="787">
        <f t="shared" si="22"/>
        <v>71837</v>
      </c>
      <c r="M737" s="785"/>
      <c r="N737" s="786">
        <v>3728</v>
      </c>
      <c r="O737" s="786">
        <v>0</v>
      </c>
      <c r="P737" s="785">
        <v>2708</v>
      </c>
      <c r="Q737" s="787">
        <f t="shared" si="23"/>
        <v>6436</v>
      </c>
      <c r="R737" s="785"/>
      <c r="S737" s="786">
        <v>44380</v>
      </c>
      <c r="T737" s="788">
        <v>6479</v>
      </c>
      <c r="U737" s="788">
        <v>50859</v>
      </c>
    </row>
    <row r="738" spans="1:21" x14ac:dyDescent="0.25">
      <c r="A738" s="782">
        <v>98023</v>
      </c>
      <c r="B738" s="783" t="s">
        <v>3349</v>
      </c>
      <c r="C738" s="784">
        <v>1.43E-5</v>
      </c>
      <c r="D738" s="784">
        <v>1.45E-5</v>
      </c>
      <c r="E738" s="800">
        <v>6869</v>
      </c>
      <c r="F738" s="785">
        <v>21846</v>
      </c>
      <c r="G738" s="785"/>
      <c r="H738" s="786">
        <v>1259</v>
      </c>
      <c r="I738" s="787">
        <v>5305</v>
      </c>
      <c r="J738" s="786">
        <v>3120</v>
      </c>
      <c r="K738" s="785">
        <v>109</v>
      </c>
      <c r="L738" s="787">
        <f t="shared" si="22"/>
        <v>9793</v>
      </c>
      <c r="M738" s="785"/>
      <c r="N738" s="786">
        <v>618</v>
      </c>
      <c r="O738" s="786">
        <v>0</v>
      </c>
      <c r="P738" s="785">
        <v>5220</v>
      </c>
      <c r="Q738" s="787">
        <f t="shared" si="23"/>
        <v>5838</v>
      </c>
      <c r="R738" s="785"/>
      <c r="S738" s="786">
        <v>7362</v>
      </c>
      <c r="T738" s="788">
        <v>-2611</v>
      </c>
      <c r="U738" s="788">
        <v>4751</v>
      </c>
    </row>
    <row r="739" spans="1:21" x14ac:dyDescent="0.25">
      <c r="A739" s="782">
        <v>98031</v>
      </c>
      <c r="B739" s="783" t="s">
        <v>3350</v>
      </c>
      <c r="C739" s="784">
        <v>1.537E-4</v>
      </c>
      <c r="D739" s="784">
        <v>1.5530000000000001E-4</v>
      </c>
      <c r="E739" s="800">
        <v>67740</v>
      </c>
      <c r="F739" s="785">
        <v>234811</v>
      </c>
      <c r="G739" s="785"/>
      <c r="H739" s="786">
        <v>13527</v>
      </c>
      <c r="I739" s="787">
        <v>57012</v>
      </c>
      <c r="J739" s="786">
        <v>33534</v>
      </c>
      <c r="K739" s="785">
        <v>4651</v>
      </c>
      <c r="L739" s="787">
        <f t="shared" si="22"/>
        <v>108724</v>
      </c>
      <c r="M739" s="785"/>
      <c r="N739" s="786">
        <v>6647</v>
      </c>
      <c r="O739" s="786">
        <v>0</v>
      </c>
      <c r="P739" s="785">
        <v>9184</v>
      </c>
      <c r="Q739" s="787">
        <f t="shared" si="23"/>
        <v>15831</v>
      </c>
      <c r="R739" s="785"/>
      <c r="S739" s="786">
        <v>79132</v>
      </c>
      <c r="T739" s="788">
        <v>-1401</v>
      </c>
      <c r="U739" s="788">
        <f>77730+1</f>
        <v>77731</v>
      </c>
    </row>
    <row r="740" spans="1:21" x14ac:dyDescent="0.25">
      <c r="A740" s="782">
        <v>98041</v>
      </c>
      <c r="B740" s="783" t="s">
        <v>3351</v>
      </c>
      <c r="C740" s="784">
        <v>1.9230000000000001E-4</v>
      </c>
      <c r="D740" s="784">
        <v>1.6559999999999999E-4</v>
      </c>
      <c r="E740" s="800">
        <v>80474</v>
      </c>
      <c r="F740" s="785">
        <v>293781</v>
      </c>
      <c r="G740" s="785"/>
      <c r="H740" s="786">
        <v>16925</v>
      </c>
      <c r="I740" s="787">
        <v>71330</v>
      </c>
      <c r="J740" s="786">
        <v>41956</v>
      </c>
      <c r="K740" s="785">
        <v>17154</v>
      </c>
      <c r="L740" s="787">
        <f t="shared" si="22"/>
        <v>147365</v>
      </c>
      <c r="M740" s="785"/>
      <c r="N740" s="786">
        <v>8316</v>
      </c>
      <c r="O740" s="786">
        <v>0</v>
      </c>
      <c r="P740" s="785">
        <v>5779</v>
      </c>
      <c r="Q740" s="787">
        <f t="shared" si="23"/>
        <v>14095</v>
      </c>
      <c r="R740" s="785"/>
      <c r="S740" s="786">
        <v>99005</v>
      </c>
      <c r="T740" s="788">
        <v>943</v>
      </c>
      <c r="U740" s="788">
        <v>99948</v>
      </c>
    </row>
    <row r="741" spans="1:21" x14ac:dyDescent="0.25">
      <c r="A741" s="782">
        <v>98051</v>
      </c>
      <c r="B741" s="783" t="s">
        <v>3352</v>
      </c>
      <c r="C741" s="784">
        <v>2.8019999999999998E-4</v>
      </c>
      <c r="D741" s="784">
        <v>3.0019999999999998E-4</v>
      </c>
      <c r="E741" s="800">
        <v>136145</v>
      </c>
      <c r="F741" s="785">
        <v>428068</v>
      </c>
      <c r="G741" s="785"/>
      <c r="H741" s="786">
        <v>24661</v>
      </c>
      <c r="I741" s="787">
        <v>103936</v>
      </c>
      <c r="J741" s="786">
        <v>61134</v>
      </c>
      <c r="K741" s="785">
        <v>21691</v>
      </c>
      <c r="L741" s="787">
        <f t="shared" si="22"/>
        <v>211422</v>
      </c>
      <c r="M741" s="785"/>
      <c r="N741" s="786">
        <v>12117</v>
      </c>
      <c r="O741" s="786">
        <v>0</v>
      </c>
      <c r="P741" s="785">
        <v>7516</v>
      </c>
      <c r="Q741" s="787">
        <f t="shared" si="23"/>
        <v>19633</v>
      </c>
      <c r="R741" s="785"/>
      <c r="S741" s="786">
        <v>144259</v>
      </c>
      <c r="T741" s="788">
        <v>7566</v>
      </c>
      <c r="U741" s="788">
        <v>151825</v>
      </c>
    </row>
    <row r="742" spans="1:21" x14ac:dyDescent="0.25">
      <c r="A742" s="782">
        <v>98061</v>
      </c>
      <c r="B742" s="783" t="s">
        <v>3353</v>
      </c>
      <c r="C742" s="784">
        <v>1.0670000000000001E-4</v>
      </c>
      <c r="D742" s="784">
        <v>9.9099999999999996E-5</v>
      </c>
      <c r="E742" s="800">
        <v>47390</v>
      </c>
      <c r="F742" s="785">
        <v>163008</v>
      </c>
      <c r="G742" s="785"/>
      <c r="H742" s="786">
        <v>9391</v>
      </c>
      <c r="I742" s="787">
        <v>39579</v>
      </c>
      <c r="J742" s="786">
        <v>23280</v>
      </c>
      <c r="K742" s="785">
        <v>3820</v>
      </c>
      <c r="L742" s="787">
        <f t="shared" si="22"/>
        <v>76070</v>
      </c>
      <c r="M742" s="785"/>
      <c r="N742" s="786">
        <v>4614</v>
      </c>
      <c r="O742" s="786">
        <v>0</v>
      </c>
      <c r="P742" s="785">
        <v>17433</v>
      </c>
      <c r="Q742" s="787">
        <f t="shared" si="23"/>
        <v>22047</v>
      </c>
      <c r="R742" s="785"/>
      <c r="S742" s="786">
        <v>54934</v>
      </c>
      <c r="T742" s="788">
        <v>-6260</v>
      </c>
      <c r="U742" s="788">
        <v>48674</v>
      </c>
    </row>
    <row r="743" spans="1:21" x14ac:dyDescent="0.25">
      <c r="A743" s="782">
        <v>98071</v>
      </c>
      <c r="B743" s="783" t="s">
        <v>3354</v>
      </c>
      <c r="C743" s="784">
        <v>4.0099999999999999E-5</v>
      </c>
      <c r="D743" s="784">
        <v>3.4400000000000003E-5</v>
      </c>
      <c r="E743" s="800">
        <v>28233</v>
      </c>
      <c r="F743" s="785">
        <v>61262</v>
      </c>
      <c r="G743" s="785"/>
      <c r="H743" s="786">
        <v>3529</v>
      </c>
      <c r="I743" s="787">
        <v>14874</v>
      </c>
      <c r="J743" s="786">
        <v>8749</v>
      </c>
      <c r="K743" s="785">
        <v>18505</v>
      </c>
      <c r="L743" s="787">
        <f t="shared" si="22"/>
        <v>45657</v>
      </c>
      <c r="M743" s="785"/>
      <c r="N743" s="786">
        <v>1734</v>
      </c>
      <c r="O743" s="786">
        <v>0</v>
      </c>
      <c r="P743" s="785">
        <v>1200</v>
      </c>
      <c r="Q743" s="787">
        <f t="shared" si="23"/>
        <v>2934</v>
      </c>
      <c r="R743" s="785"/>
      <c r="S743" s="786">
        <v>20645</v>
      </c>
      <c r="T743" s="788">
        <v>4654</v>
      </c>
      <c r="U743" s="788">
        <v>25299</v>
      </c>
    </row>
    <row r="744" spans="1:21" x14ac:dyDescent="0.25">
      <c r="A744" s="782">
        <v>98081</v>
      </c>
      <c r="B744" s="783" t="s">
        <v>3355</v>
      </c>
      <c r="C744" s="784">
        <v>1.8300000000000001E-5</v>
      </c>
      <c r="D744" s="784">
        <v>1.9400000000000001E-5</v>
      </c>
      <c r="E744" s="800">
        <v>7556</v>
      </c>
      <c r="F744" s="785">
        <v>27957</v>
      </c>
      <c r="G744" s="785"/>
      <c r="H744" s="786">
        <v>1611</v>
      </c>
      <c r="I744" s="787">
        <v>6788</v>
      </c>
      <c r="J744" s="786">
        <v>3993</v>
      </c>
      <c r="K744" s="785">
        <v>0</v>
      </c>
      <c r="L744" s="787">
        <f t="shared" si="22"/>
        <v>12392</v>
      </c>
      <c r="M744" s="785"/>
      <c r="N744" s="786">
        <v>791</v>
      </c>
      <c r="O744" s="786">
        <v>0</v>
      </c>
      <c r="P744" s="785">
        <v>4207</v>
      </c>
      <c r="Q744" s="787">
        <f t="shared" si="23"/>
        <v>4998</v>
      </c>
      <c r="R744" s="785"/>
      <c r="S744" s="786">
        <v>9422</v>
      </c>
      <c r="T744" s="788">
        <v>-1896</v>
      </c>
      <c r="U744" s="788">
        <v>7526</v>
      </c>
    </row>
    <row r="745" spans="1:21" x14ac:dyDescent="0.25">
      <c r="A745" s="782">
        <v>98091</v>
      </c>
      <c r="B745" s="783" t="s">
        <v>3356</v>
      </c>
      <c r="C745" s="784">
        <v>4.7500000000000003E-5</v>
      </c>
      <c r="D745" s="784">
        <v>5.0899999999999997E-5</v>
      </c>
      <c r="E745" s="800">
        <v>25241</v>
      </c>
      <c r="F745" s="785">
        <v>72567</v>
      </c>
      <c r="G745" s="785"/>
      <c r="H745" s="786">
        <v>4181</v>
      </c>
      <c r="I745" s="787">
        <v>17619</v>
      </c>
      <c r="J745" s="786">
        <v>10364</v>
      </c>
      <c r="K745" s="785">
        <v>1261</v>
      </c>
      <c r="L745" s="787">
        <f t="shared" si="22"/>
        <v>33425</v>
      </c>
      <c r="M745" s="785"/>
      <c r="N745" s="786">
        <v>2054</v>
      </c>
      <c r="O745" s="786">
        <v>0</v>
      </c>
      <c r="P745" s="785">
        <v>807</v>
      </c>
      <c r="Q745" s="787">
        <f t="shared" si="23"/>
        <v>2861</v>
      </c>
      <c r="R745" s="785"/>
      <c r="S745" s="786">
        <v>24455</v>
      </c>
      <c r="T745" s="788">
        <v>-295</v>
      </c>
      <c r="U745" s="788">
        <v>24160</v>
      </c>
    </row>
    <row r="746" spans="1:21" x14ac:dyDescent="0.25">
      <c r="A746" s="782">
        <v>98101</v>
      </c>
      <c r="B746" s="783" t="s">
        <v>3357</v>
      </c>
      <c r="C746" s="784">
        <v>2.8706999999999999E-3</v>
      </c>
      <c r="D746" s="784">
        <v>2.7642999999999999E-3</v>
      </c>
      <c r="E746" s="800">
        <v>1210234</v>
      </c>
      <c r="F746" s="785">
        <v>4385634</v>
      </c>
      <c r="G746" s="785"/>
      <c r="H746" s="786">
        <v>252653</v>
      </c>
      <c r="I746" s="787">
        <v>1064838</v>
      </c>
      <c r="J746" s="786">
        <v>626329</v>
      </c>
      <c r="K746" s="785">
        <v>37308</v>
      </c>
      <c r="L746" s="787">
        <f t="shared" si="22"/>
        <v>1981128</v>
      </c>
      <c r="M746" s="785"/>
      <c r="N746" s="786">
        <v>124143</v>
      </c>
      <c r="O746" s="786">
        <v>0</v>
      </c>
      <c r="P746" s="785">
        <v>32438</v>
      </c>
      <c r="Q746" s="787">
        <f t="shared" si="23"/>
        <v>156581</v>
      </c>
      <c r="R746" s="785"/>
      <c r="S746" s="786">
        <v>1477963</v>
      </c>
      <c r="T746" s="788">
        <v>14286</v>
      </c>
      <c r="U746" s="788">
        <f>1492248+1</f>
        <v>1492249</v>
      </c>
    </row>
    <row r="747" spans="1:21" x14ac:dyDescent="0.25">
      <c r="A747" s="782">
        <v>98102</v>
      </c>
      <c r="B747" s="783" t="s">
        <v>3358</v>
      </c>
      <c r="C747" s="784">
        <v>1.5809999999999999E-4</v>
      </c>
      <c r="D747" s="784">
        <v>1.683E-4</v>
      </c>
      <c r="E747" s="800">
        <v>71621</v>
      </c>
      <c r="F747" s="785">
        <v>241533</v>
      </c>
      <c r="G747" s="785"/>
      <c r="H747" s="786">
        <v>13915</v>
      </c>
      <c r="I747" s="787">
        <v>58644</v>
      </c>
      <c r="J747" s="786">
        <v>34494</v>
      </c>
      <c r="K747" s="785">
        <v>0</v>
      </c>
      <c r="L747" s="787">
        <f t="shared" si="22"/>
        <v>107053</v>
      </c>
      <c r="M747" s="785"/>
      <c r="N747" s="786">
        <v>6837</v>
      </c>
      <c r="O747" s="786">
        <v>0</v>
      </c>
      <c r="P747" s="785">
        <v>14329</v>
      </c>
      <c r="Q747" s="787">
        <f t="shared" si="23"/>
        <v>21166</v>
      </c>
      <c r="R747" s="785"/>
      <c r="S747" s="786">
        <v>81397</v>
      </c>
      <c r="T747" s="788">
        <v>-5584</v>
      </c>
      <c r="U747" s="788">
        <v>75813</v>
      </c>
    </row>
    <row r="748" spans="1:21" x14ac:dyDescent="0.25">
      <c r="A748" s="782">
        <v>98103</v>
      </c>
      <c r="B748" s="783" t="s">
        <v>3359</v>
      </c>
      <c r="C748" s="784">
        <v>5.4410000000000005E-4</v>
      </c>
      <c r="D748" s="784">
        <v>5.3600000000000002E-4</v>
      </c>
      <c r="E748" s="800">
        <v>255161</v>
      </c>
      <c r="F748" s="785">
        <v>831234</v>
      </c>
      <c r="G748" s="785"/>
      <c r="H748" s="786">
        <v>47887</v>
      </c>
      <c r="I748" s="787">
        <v>201824</v>
      </c>
      <c r="J748" s="786">
        <v>118712</v>
      </c>
      <c r="K748" s="785">
        <v>9730</v>
      </c>
      <c r="L748" s="787">
        <f t="shared" si="22"/>
        <v>378153</v>
      </c>
      <c r="M748" s="785"/>
      <c r="N748" s="786">
        <v>23530</v>
      </c>
      <c r="O748" s="786">
        <v>0</v>
      </c>
      <c r="P748" s="785">
        <v>27055</v>
      </c>
      <c r="Q748" s="787">
        <f t="shared" si="23"/>
        <v>50585</v>
      </c>
      <c r="R748" s="785"/>
      <c r="S748" s="786">
        <v>280127</v>
      </c>
      <c r="T748" s="788">
        <v>-17051</v>
      </c>
      <c r="U748" s="788">
        <v>263076</v>
      </c>
    </row>
    <row r="749" spans="1:21" x14ac:dyDescent="0.25">
      <c r="A749" s="782">
        <v>98107</v>
      </c>
      <c r="B749" s="783" t="s">
        <v>3360</v>
      </c>
      <c r="C749" s="784">
        <v>1.08E-5</v>
      </c>
      <c r="D749" s="784">
        <v>1.08E-5</v>
      </c>
      <c r="E749" s="800">
        <v>9242</v>
      </c>
      <c r="F749" s="785">
        <v>16499</v>
      </c>
      <c r="G749" s="785"/>
      <c r="H749" s="786">
        <v>951</v>
      </c>
      <c r="I749" s="787">
        <v>4006</v>
      </c>
      <c r="J749" s="786">
        <v>2356</v>
      </c>
      <c r="K749" s="785">
        <v>8237</v>
      </c>
      <c r="L749" s="787">
        <f t="shared" si="22"/>
        <v>15550</v>
      </c>
      <c r="M749" s="785"/>
      <c r="N749" s="786">
        <v>467</v>
      </c>
      <c r="O749" s="786">
        <v>0</v>
      </c>
      <c r="P749" s="785">
        <v>0</v>
      </c>
      <c r="Q749" s="787">
        <f t="shared" si="23"/>
        <v>467</v>
      </c>
      <c r="R749" s="785"/>
      <c r="S749" s="786">
        <v>5560</v>
      </c>
      <c r="T749" s="788">
        <v>3467</v>
      </c>
      <c r="U749" s="788">
        <v>9027</v>
      </c>
    </row>
    <row r="750" spans="1:21" x14ac:dyDescent="0.25">
      <c r="A750" s="782">
        <v>98109</v>
      </c>
      <c r="B750" s="783" t="s">
        <v>3361</v>
      </c>
      <c r="C750" s="784">
        <v>1.573E-4</v>
      </c>
      <c r="D750" s="784">
        <v>1.4660000000000001E-4</v>
      </c>
      <c r="E750" s="800">
        <v>76016</v>
      </c>
      <c r="F750" s="785">
        <v>240311</v>
      </c>
      <c r="G750" s="785"/>
      <c r="H750" s="786">
        <v>13844</v>
      </c>
      <c r="I750" s="787">
        <v>58348</v>
      </c>
      <c r="J750" s="786">
        <v>34320</v>
      </c>
      <c r="K750" s="785">
        <v>12163</v>
      </c>
      <c r="L750" s="787">
        <f t="shared" si="22"/>
        <v>118675</v>
      </c>
      <c r="M750" s="785"/>
      <c r="N750" s="786">
        <v>6802</v>
      </c>
      <c r="O750" s="786">
        <v>0</v>
      </c>
      <c r="P750" s="785">
        <v>24551</v>
      </c>
      <c r="Q750" s="787">
        <f t="shared" si="23"/>
        <v>31353</v>
      </c>
      <c r="R750" s="785"/>
      <c r="S750" s="786">
        <v>80985</v>
      </c>
      <c r="T750" s="788">
        <v>-7590</v>
      </c>
      <c r="U750" s="788">
        <v>73395</v>
      </c>
    </row>
    <row r="751" spans="1:21" x14ac:dyDescent="0.25">
      <c r="A751" s="782">
        <v>98111</v>
      </c>
      <c r="B751" s="783" t="s">
        <v>3362</v>
      </c>
      <c r="C751" s="784">
        <v>1.0143000000000001E-3</v>
      </c>
      <c r="D751" s="784">
        <v>1.0191E-3</v>
      </c>
      <c r="E751" s="800">
        <v>432530</v>
      </c>
      <c r="F751" s="785">
        <v>1549569</v>
      </c>
      <c r="G751" s="785"/>
      <c r="H751" s="786">
        <v>89270</v>
      </c>
      <c r="I751" s="787">
        <v>376238</v>
      </c>
      <c r="J751" s="786">
        <v>221300</v>
      </c>
      <c r="K751" s="785">
        <v>0</v>
      </c>
      <c r="L751" s="787">
        <f t="shared" si="22"/>
        <v>686808</v>
      </c>
      <c r="M751" s="785"/>
      <c r="N751" s="786">
        <v>43863</v>
      </c>
      <c r="O751" s="786">
        <v>0</v>
      </c>
      <c r="P751" s="785">
        <v>66610</v>
      </c>
      <c r="Q751" s="787">
        <f t="shared" si="23"/>
        <v>110473</v>
      </c>
      <c r="R751" s="785"/>
      <c r="S751" s="786">
        <v>522206</v>
      </c>
      <c r="T751" s="788">
        <v>-21506</v>
      </c>
      <c r="U751" s="788">
        <v>500700</v>
      </c>
    </row>
    <row r="752" spans="1:21" x14ac:dyDescent="0.25">
      <c r="A752" s="782">
        <v>98113</v>
      </c>
      <c r="B752" s="783" t="s">
        <v>3363</v>
      </c>
      <c r="C752" s="784">
        <v>4.6199999999999998E-5</v>
      </c>
      <c r="D752" s="784">
        <v>3.8999999999999999E-5</v>
      </c>
      <c r="E752" s="800">
        <v>23492</v>
      </c>
      <c r="F752" s="785">
        <v>70581</v>
      </c>
      <c r="G752" s="785"/>
      <c r="H752" s="786">
        <v>4066</v>
      </c>
      <c r="I752" s="787">
        <v>17137</v>
      </c>
      <c r="J752" s="786">
        <v>10080</v>
      </c>
      <c r="K752" s="785">
        <v>11739</v>
      </c>
      <c r="L752" s="787">
        <f t="shared" si="22"/>
        <v>43022</v>
      </c>
      <c r="M752" s="785"/>
      <c r="N752" s="786">
        <v>1998</v>
      </c>
      <c r="O752" s="786">
        <v>0</v>
      </c>
      <c r="P752" s="785">
        <v>0</v>
      </c>
      <c r="Q752" s="787">
        <f t="shared" si="23"/>
        <v>1998</v>
      </c>
      <c r="R752" s="785"/>
      <c r="S752" s="786">
        <v>23786</v>
      </c>
      <c r="T752" s="788">
        <v>4647</v>
      </c>
      <c r="U752" s="788">
        <f>28432+1</f>
        <v>28433</v>
      </c>
    </row>
    <row r="753" spans="1:21" x14ac:dyDescent="0.25">
      <c r="A753" s="782">
        <v>98121</v>
      </c>
      <c r="B753" s="783" t="s">
        <v>3364</v>
      </c>
      <c r="C753" s="784">
        <v>2.0100000000000001E-4</v>
      </c>
      <c r="D753" s="784">
        <v>2.2910000000000001E-4</v>
      </c>
      <c r="E753" s="800">
        <v>89370</v>
      </c>
      <c r="F753" s="785">
        <v>307072</v>
      </c>
      <c r="G753" s="785"/>
      <c r="H753" s="786">
        <v>17690</v>
      </c>
      <c r="I753" s="787">
        <v>74558</v>
      </c>
      <c r="J753" s="786">
        <v>43854</v>
      </c>
      <c r="K753" s="785">
        <v>2134</v>
      </c>
      <c r="L753" s="787">
        <f t="shared" si="22"/>
        <v>138236</v>
      </c>
      <c r="M753" s="785"/>
      <c r="N753" s="786">
        <v>8692</v>
      </c>
      <c r="O753" s="786">
        <v>0</v>
      </c>
      <c r="P753" s="785">
        <v>25239</v>
      </c>
      <c r="Q753" s="787">
        <f t="shared" si="23"/>
        <v>33931</v>
      </c>
      <c r="R753" s="785"/>
      <c r="S753" s="786">
        <v>103484</v>
      </c>
      <c r="T753" s="788">
        <v>-5712</v>
      </c>
      <c r="U753" s="788">
        <f>97771+1</f>
        <v>97772</v>
      </c>
    </row>
    <row r="754" spans="1:21" x14ac:dyDescent="0.25">
      <c r="A754" s="782">
        <v>98131</v>
      </c>
      <c r="B754" s="783" t="s">
        <v>3365</v>
      </c>
      <c r="C754" s="784">
        <v>2.5230000000000001E-4</v>
      </c>
      <c r="D754" s="784">
        <v>2.9569999999999998E-4</v>
      </c>
      <c r="E754" s="800">
        <v>119697</v>
      </c>
      <c r="F754" s="785">
        <v>385445</v>
      </c>
      <c r="G754" s="785"/>
      <c r="H754" s="786">
        <v>22205</v>
      </c>
      <c r="I754" s="787">
        <v>93586</v>
      </c>
      <c r="J754" s="786">
        <v>55047</v>
      </c>
      <c r="K754" s="785">
        <v>0</v>
      </c>
      <c r="L754" s="787">
        <f t="shared" si="22"/>
        <v>170838</v>
      </c>
      <c r="M754" s="785"/>
      <c r="N754" s="786">
        <v>10911</v>
      </c>
      <c r="O754" s="786">
        <v>0</v>
      </c>
      <c r="P754" s="785">
        <v>53749</v>
      </c>
      <c r="Q754" s="787">
        <f t="shared" si="23"/>
        <v>64660</v>
      </c>
      <c r="R754" s="785"/>
      <c r="S754" s="786">
        <v>129895</v>
      </c>
      <c r="T754" s="788">
        <v>-23653</v>
      </c>
      <c r="U754" s="788">
        <v>106242</v>
      </c>
    </row>
    <row r="755" spans="1:21" x14ac:dyDescent="0.25">
      <c r="A755" s="782">
        <v>98141</v>
      </c>
      <c r="B755" s="783" t="s">
        <v>3366</v>
      </c>
      <c r="C755" s="784">
        <v>3.0360000000000001E-4</v>
      </c>
      <c r="D755" s="784">
        <v>2.9030000000000001E-4</v>
      </c>
      <c r="E755" s="800">
        <v>133558</v>
      </c>
      <c r="F755" s="785">
        <v>463817</v>
      </c>
      <c r="G755" s="785"/>
      <c r="H755" s="786">
        <v>26720</v>
      </c>
      <c r="I755" s="787">
        <v>112616</v>
      </c>
      <c r="J755" s="786">
        <v>66239</v>
      </c>
      <c r="K755" s="785">
        <v>5226</v>
      </c>
      <c r="L755" s="787">
        <f t="shared" si="22"/>
        <v>210801</v>
      </c>
      <c r="M755" s="785"/>
      <c r="N755" s="786">
        <v>13129</v>
      </c>
      <c r="O755" s="786">
        <v>0</v>
      </c>
      <c r="P755" s="785">
        <v>22375</v>
      </c>
      <c r="Q755" s="787">
        <f t="shared" si="23"/>
        <v>35504</v>
      </c>
      <c r="R755" s="785"/>
      <c r="S755" s="786">
        <v>156307</v>
      </c>
      <c r="T755" s="788">
        <v>-11630</v>
      </c>
      <c r="U755" s="788">
        <v>144677</v>
      </c>
    </row>
    <row r="756" spans="1:21" x14ac:dyDescent="0.25">
      <c r="A756" s="782">
        <v>98147</v>
      </c>
      <c r="B756" s="783" t="s">
        <v>3367</v>
      </c>
      <c r="C756" s="784">
        <v>1.29E-5</v>
      </c>
      <c r="D756" s="784">
        <v>1.29E-5</v>
      </c>
      <c r="E756" s="800">
        <v>9893</v>
      </c>
      <c r="F756" s="785">
        <v>19708</v>
      </c>
      <c r="G756" s="785"/>
      <c r="H756" s="786">
        <v>1135</v>
      </c>
      <c r="I756" s="787">
        <v>4785</v>
      </c>
      <c r="J756" s="786">
        <v>2815</v>
      </c>
      <c r="K756" s="785">
        <v>8231</v>
      </c>
      <c r="L756" s="787">
        <f t="shared" si="22"/>
        <v>16966</v>
      </c>
      <c r="M756" s="785"/>
      <c r="N756" s="786">
        <v>558</v>
      </c>
      <c r="O756" s="786">
        <v>0</v>
      </c>
      <c r="P756" s="785">
        <v>0</v>
      </c>
      <c r="Q756" s="787">
        <f t="shared" si="23"/>
        <v>558</v>
      </c>
      <c r="R756" s="785"/>
      <c r="S756" s="786">
        <v>6641</v>
      </c>
      <c r="T756" s="788">
        <v>3295</v>
      </c>
      <c r="U756" s="788">
        <f>9937-1</f>
        <v>9936</v>
      </c>
    </row>
    <row r="757" spans="1:21" x14ac:dyDescent="0.25">
      <c r="A757" s="782">
        <v>98161</v>
      </c>
      <c r="B757" s="783" t="s">
        <v>3368</v>
      </c>
      <c r="C757" s="784">
        <v>7.3000000000000004E-6</v>
      </c>
      <c r="D757" s="784">
        <v>7.4000000000000003E-6</v>
      </c>
      <c r="E757" s="800">
        <v>5046</v>
      </c>
      <c r="F757" s="785">
        <v>11152</v>
      </c>
      <c r="G757" s="785"/>
      <c r="H757" s="786">
        <v>642</v>
      </c>
      <c r="I757" s="787">
        <v>2708</v>
      </c>
      <c r="J757" s="786">
        <v>1593</v>
      </c>
      <c r="K757" s="785">
        <v>2689</v>
      </c>
      <c r="L757" s="787">
        <f t="shared" si="22"/>
        <v>7632</v>
      </c>
      <c r="M757" s="785"/>
      <c r="N757" s="786">
        <v>316</v>
      </c>
      <c r="O757" s="786">
        <v>0</v>
      </c>
      <c r="P757" s="785">
        <v>0</v>
      </c>
      <c r="Q757" s="787">
        <f t="shared" si="23"/>
        <v>316</v>
      </c>
      <c r="R757" s="785"/>
      <c r="S757" s="786">
        <v>3758</v>
      </c>
      <c r="T757" s="788">
        <v>1075</v>
      </c>
      <c r="U757" s="788">
        <v>4833</v>
      </c>
    </row>
    <row r="758" spans="1:21" x14ac:dyDescent="0.25">
      <c r="A758" s="782">
        <v>98201</v>
      </c>
      <c r="B758" s="783" t="s">
        <v>3369</v>
      </c>
      <c r="C758" s="784">
        <v>3.1664000000000002E-3</v>
      </c>
      <c r="D758" s="784">
        <v>3.0368999999999999E-3</v>
      </c>
      <c r="E758" s="800">
        <v>1424604</v>
      </c>
      <c r="F758" s="785">
        <v>4837382</v>
      </c>
      <c r="G758" s="785"/>
      <c r="H758" s="786">
        <v>278678</v>
      </c>
      <c r="I758" s="787">
        <v>1174522</v>
      </c>
      <c r="J758" s="786">
        <v>690845</v>
      </c>
      <c r="K758" s="785">
        <v>63594</v>
      </c>
      <c r="L758" s="787">
        <f t="shared" si="22"/>
        <v>2207639</v>
      </c>
      <c r="M758" s="785"/>
      <c r="N758" s="786">
        <v>136931</v>
      </c>
      <c r="O758" s="786">
        <v>0</v>
      </c>
      <c r="P758" s="785">
        <v>39608</v>
      </c>
      <c r="Q758" s="787">
        <f t="shared" si="23"/>
        <v>176539</v>
      </c>
      <c r="R758" s="785"/>
      <c r="S758" s="786">
        <v>1630202</v>
      </c>
      <c r="T758" s="788">
        <v>-5370</v>
      </c>
      <c r="U758" s="788">
        <v>1624832</v>
      </c>
    </row>
    <row r="759" spans="1:21" x14ac:dyDescent="0.25">
      <c r="A759" s="782">
        <v>98205</v>
      </c>
      <c r="B759" s="783" t="s">
        <v>3370</v>
      </c>
      <c r="C759" s="784">
        <v>4.6799999999999999E-5</v>
      </c>
      <c r="D759" s="784">
        <v>5.13E-5</v>
      </c>
      <c r="E759" s="800">
        <v>23505</v>
      </c>
      <c r="F759" s="785">
        <v>71497</v>
      </c>
      <c r="G759" s="785"/>
      <c r="H759" s="786">
        <v>4119</v>
      </c>
      <c r="I759" s="787">
        <v>17359</v>
      </c>
      <c r="J759" s="786">
        <v>10211</v>
      </c>
      <c r="K759" s="785">
        <v>1985</v>
      </c>
      <c r="L759" s="787">
        <f t="shared" si="22"/>
        <v>33674</v>
      </c>
      <c r="M759" s="785"/>
      <c r="N759" s="786">
        <v>2024</v>
      </c>
      <c r="O759" s="786">
        <v>0</v>
      </c>
      <c r="P759" s="785">
        <v>2510</v>
      </c>
      <c r="Q759" s="787">
        <f t="shared" si="23"/>
        <v>4534</v>
      </c>
      <c r="R759" s="785"/>
      <c r="S759" s="786">
        <v>24095</v>
      </c>
      <c r="T759" s="788">
        <v>-141</v>
      </c>
      <c r="U759" s="788">
        <f>23953+1</f>
        <v>23954</v>
      </c>
    </row>
    <row r="760" spans="1:21" x14ac:dyDescent="0.25">
      <c r="A760" s="782">
        <v>98211</v>
      </c>
      <c r="B760" s="783" t="s">
        <v>3371</v>
      </c>
      <c r="C760" s="784">
        <v>8.6689999999999998E-4</v>
      </c>
      <c r="D760" s="784">
        <v>9.1609999999999999E-4</v>
      </c>
      <c r="E760" s="800">
        <v>365218</v>
      </c>
      <c r="F760" s="785">
        <v>1324383</v>
      </c>
      <c r="G760" s="785"/>
      <c r="H760" s="786">
        <v>76297</v>
      </c>
      <c r="I760" s="787">
        <v>321561</v>
      </c>
      <c r="J760" s="786">
        <v>189140</v>
      </c>
      <c r="K760" s="785">
        <v>0</v>
      </c>
      <c r="L760" s="787">
        <f t="shared" si="22"/>
        <v>586998</v>
      </c>
      <c r="M760" s="785"/>
      <c r="N760" s="786">
        <v>37489</v>
      </c>
      <c r="O760" s="786">
        <v>0</v>
      </c>
      <c r="P760" s="785">
        <v>136830</v>
      </c>
      <c r="Q760" s="787">
        <f t="shared" si="23"/>
        <v>174319</v>
      </c>
      <c r="R760" s="785"/>
      <c r="S760" s="786">
        <v>446318</v>
      </c>
      <c r="T760" s="788">
        <v>-50136</v>
      </c>
      <c r="U760" s="788">
        <v>396182</v>
      </c>
    </row>
    <row r="761" spans="1:21" x14ac:dyDescent="0.25">
      <c r="A761" s="782">
        <v>98218</v>
      </c>
      <c r="B761" s="783" t="s">
        <v>3372</v>
      </c>
      <c r="C761" s="784">
        <v>1.3200000000000001E-5</v>
      </c>
      <c r="D761" s="784">
        <v>1.0200000000000001E-5</v>
      </c>
      <c r="E761" s="800">
        <v>5829</v>
      </c>
      <c r="F761" s="785">
        <v>20166</v>
      </c>
      <c r="G761" s="785"/>
      <c r="H761" s="786">
        <v>1162</v>
      </c>
      <c r="I761" s="787">
        <v>4896</v>
      </c>
      <c r="J761" s="786">
        <v>2880</v>
      </c>
      <c r="K761" s="785">
        <v>1827</v>
      </c>
      <c r="L761" s="787">
        <f t="shared" si="22"/>
        <v>10765</v>
      </c>
      <c r="M761" s="785"/>
      <c r="N761" s="786">
        <v>571</v>
      </c>
      <c r="O761" s="786">
        <v>0</v>
      </c>
      <c r="P761" s="785">
        <v>1072</v>
      </c>
      <c r="Q761" s="787">
        <f t="shared" si="23"/>
        <v>1643</v>
      </c>
      <c r="R761" s="785"/>
      <c r="S761" s="786">
        <v>6796</v>
      </c>
      <c r="T761" s="788">
        <v>-336</v>
      </c>
      <c r="U761" s="788">
        <v>6460</v>
      </c>
    </row>
    <row r="762" spans="1:21" x14ac:dyDescent="0.25">
      <c r="A762" s="782">
        <v>98221</v>
      </c>
      <c r="B762" s="783" t="s">
        <v>3373</v>
      </c>
      <c r="C762" s="784">
        <v>1.8899999999999999E-5</v>
      </c>
      <c r="D762" s="784">
        <v>1.6799999999999998E-5</v>
      </c>
      <c r="E762" s="800">
        <v>9739</v>
      </c>
      <c r="F762" s="785">
        <v>28874</v>
      </c>
      <c r="G762" s="785"/>
      <c r="H762" s="786">
        <v>1663</v>
      </c>
      <c r="I762" s="787">
        <v>7011</v>
      </c>
      <c r="J762" s="786">
        <v>4124</v>
      </c>
      <c r="K762" s="785">
        <v>4593</v>
      </c>
      <c r="L762" s="787">
        <f t="shared" si="22"/>
        <v>17391</v>
      </c>
      <c r="M762" s="785"/>
      <c r="N762" s="786">
        <v>817</v>
      </c>
      <c r="O762" s="786">
        <v>0</v>
      </c>
      <c r="P762" s="785">
        <v>0</v>
      </c>
      <c r="Q762" s="787">
        <f t="shared" si="23"/>
        <v>817</v>
      </c>
      <c r="R762" s="785"/>
      <c r="S762" s="786">
        <v>9731</v>
      </c>
      <c r="T762" s="788">
        <v>1469</v>
      </c>
      <c r="U762" s="788">
        <v>11200</v>
      </c>
    </row>
    <row r="763" spans="1:21" x14ac:dyDescent="0.25">
      <c r="A763" s="782">
        <v>98231</v>
      </c>
      <c r="B763" s="783" t="s">
        <v>3374</v>
      </c>
      <c r="C763" s="784">
        <v>2.2799999999999999E-5</v>
      </c>
      <c r="D763" s="784">
        <v>3.1999999999999999E-5</v>
      </c>
      <c r="E763" s="800">
        <v>11487</v>
      </c>
      <c r="F763" s="785">
        <v>34832</v>
      </c>
      <c r="G763" s="785"/>
      <c r="H763" s="786">
        <v>2007</v>
      </c>
      <c r="I763" s="787">
        <v>8457</v>
      </c>
      <c r="J763" s="786">
        <v>4975</v>
      </c>
      <c r="K763" s="785">
        <v>1705</v>
      </c>
      <c r="L763" s="787">
        <f t="shared" si="22"/>
        <v>17144</v>
      </c>
      <c r="M763" s="785"/>
      <c r="N763" s="786">
        <v>986</v>
      </c>
      <c r="O763" s="786">
        <v>0</v>
      </c>
      <c r="P763" s="785">
        <v>9632</v>
      </c>
      <c r="Q763" s="787">
        <f t="shared" si="23"/>
        <v>10618</v>
      </c>
      <c r="R763" s="785"/>
      <c r="S763" s="786">
        <v>11738</v>
      </c>
      <c r="T763" s="788">
        <v>-3592</v>
      </c>
      <c r="U763" s="788">
        <v>8146</v>
      </c>
    </row>
    <row r="764" spans="1:21" x14ac:dyDescent="0.25">
      <c r="A764" s="782">
        <v>98237</v>
      </c>
      <c r="B764" s="783" t="s">
        <v>3375</v>
      </c>
      <c r="C764" s="784">
        <v>5.9000000000000003E-6</v>
      </c>
      <c r="D764" s="784">
        <v>2.7E-6</v>
      </c>
      <c r="E764" s="800">
        <v>4385</v>
      </c>
      <c r="F764" s="785">
        <v>9014</v>
      </c>
      <c r="G764" s="785"/>
      <c r="H764" s="786">
        <v>519</v>
      </c>
      <c r="I764" s="787">
        <v>2188</v>
      </c>
      <c r="J764" s="786">
        <v>1287</v>
      </c>
      <c r="K764" s="785">
        <v>5034</v>
      </c>
      <c r="L764" s="787">
        <f t="shared" si="22"/>
        <v>9028</v>
      </c>
      <c r="M764" s="785"/>
      <c r="N764" s="786">
        <v>255</v>
      </c>
      <c r="O764" s="786">
        <v>0</v>
      </c>
      <c r="P764" s="785">
        <v>0</v>
      </c>
      <c r="Q764" s="787">
        <f t="shared" si="23"/>
        <v>255</v>
      </c>
      <c r="R764" s="785"/>
      <c r="S764" s="786">
        <v>3038</v>
      </c>
      <c r="T764" s="788">
        <v>1666</v>
      </c>
      <c r="U764" s="788">
        <v>4704</v>
      </c>
    </row>
    <row r="765" spans="1:21" x14ac:dyDescent="0.25">
      <c r="A765" s="782">
        <v>98241</v>
      </c>
      <c r="B765" s="783" t="s">
        <v>3376</v>
      </c>
      <c r="C765" s="784">
        <v>1.5099999999999999E-5</v>
      </c>
      <c r="D765" s="784">
        <v>1.98E-5</v>
      </c>
      <c r="E765" s="800">
        <v>8388</v>
      </c>
      <c r="F765" s="785">
        <v>23069</v>
      </c>
      <c r="G765" s="785"/>
      <c r="H765" s="786">
        <v>1329</v>
      </c>
      <c r="I765" s="787">
        <v>5602</v>
      </c>
      <c r="J765" s="786">
        <v>3295</v>
      </c>
      <c r="K765" s="785">
        <v>5512</v>
      </c>
      <c r="L765" s="787">
        <f t="shared" si="22"/>
        <v>15738</v>
      </c>
      <c r="M765" s="785"/>
      <c r="N765" s="786">
        <v>653</v>
      </c>
      <c r="O765" s="786">
        <v>0</v>
      </c>
      <c r="P765" s="785">
        <v>2200</v>
      </c>
      <c r="Q765" s="787">
        <f t="shared" si="23"/>
        <v>2853</v>
      </c>
      <c r="R765" s="785"/>
      <c r="S765" s="786">
        <v>7774</v>
      </c>
      <c r="T765" s="788">
        <v>2564</v>
      </c>
      <c r="U765" s="788">
        <f>10339-1</f>
        <v>10338</v>
      </c>
    </row>
    <row r="766" spans="1:21" x14ac:dyDescent="0.25">
      <c r="A766" s="782">
        <v>98251</v>
      </c>
      <c r="B766" s="783" t="s">
        <v>3377</v>
      </c>
      <c r="C766" s="784">
        <v>3.0000000000000001E-6</v>
      </c>
      <c r="D766" s="784">
        <v>3.1E-6</v>
      </c>
      <c r="E766" s="800">
        <v>2206</v>
      </c>
      <c r="F766" s="785">
        <v>4583</v>
      </c>
      <c r="G766" s="785"/>
      <c r="H766" s="786">
        <v>264</v>
      </c>
      <c r="I766" s="787">
        <v>1113</v>
      </c>
      <c r="J766" s="786">
        <v>655</v>
      </c>
      <c r="K766" s="785">
        <v>1375</v>
      </c>
      <c r="L766" s="787">
        <f t="shared" si="22"/>
        <v>3407</v>
      </c>
      <c r="M766" s="785"/>
      <c r="N766" s="786">
        <v>130</v>
      </c>
      <c r="O766" s="786">
        <v>0</v>
      </c>
      <c r="P766" s="785">
        <v>0</v>
      </c>
      <c r="Q766" s="787">
        <f t="shared" si="23"/>
        <v>130</v>
      </c>
      <c r="R766" s="785"/>
      <c r="S766" s="786">
        <v>1545</v>
      </c>
      <c r="T766" s="788">
        <v>561</v>
      </c>
      <c r="U766" s="788">
        <v>2106</v>
      </c>
    </row>
    <row r="767" spans="1:21" x14ac:dyDescent="0.25">
      <c r="A767" s="782">
        <v>98261</v>
      </c>
      <c r="B767" s="783" t="s">
        <v>3378</v>
      </c>
      <c r="C767" s="784">
        <v>3.3200000000000001E-5</v>
      </c>
      <c r="D767" s="784">
        <v>2.97E-5</v>
      </c>
      <c r="E767" s="800">
        <v>16865</v>
      </c>
      <c r="F767" s="785">
        <v>50720</v>
      </c>
      <c r="G767" s="785"/>
      <c r="H767" s="786">
        <v>2922</v>
      </c>
      <c r="I767" s="787">
        <v>12315</v>
      </c>
      <c r="J767" s="786">
        <v>7244</v>
      </c>
      <c r="K767" s="785">
        <v>6546</v>
      </c>
      <c r="L767" s="787">
        <f t="shared" si="22"/>
        <v>29027</v>
      </c>
      <c r="M767" s="785"/>
      <c r="N767" s="786">
        <v>1436</v>
      </c>
      <c r="O767" s="786">
        <v>0</v>
      </c>
      <c r="P767" s="785">
        <v>4922</v>
      </c>
      <c r="Q767" s="787">
        <f t="shared" si="23"/>
        <v>6358</v>
      </c>
      <c r="R767" s="785"/>
      <c r="S767" s="786">
        <v>17093</v>
      </c>
      <c r="T767" s="788">
        <v>793</v>
      </c>
      <c r="U767" s="788">
        <v>17886</v>
      </c>
    </row>
    <row r="768" spans="1:21" x14ac:dyDescent="0.25">
      <c r="A768" s="782">
        <v>98271</v>
      </c>
      <c r="B768" s="783" t="s">
        <v>3379</v>
      </c>
      <c r="C768" s="784">
        <v>5.1000000000000003E-6</v>
      </c>
      <c r="D768" s="784">
        <v>4.5000000000000001E-6</v>
      </c>
      <c r="E768" s="800">
        <v>2676</v>
      </c>
      <c r="F768" s="785">
        <v>7791</v>
      </c>
      <c r="G768" s="785"/>
      <c r="H768" s="786">
        <v>449</v>
      </c>
      <c r="I768" s="787">
        <v>1891</v>
      </c>
      <c r="J768" s="786">
        <v>1113</v>
      </c>
      <c r="K768" s="785">
        <v>3229</v>
      </c>
      <c r="L768" s="787">
        <f t="shared" si="22"/>
        <v>6682</v>
      </c>
      <c r="M768" s="785"/>
      <c r="N768" s="786">
        <v>221</v>
      </c>
      <c r="O768" s="786">
        <v>0</v>
      </c>
      <c r="P768" s="785">
        <v>0</v>
      </c>
      <c r="Q768" s="787">
        <f t="shared" si="23"/>
        <v>221</v>
      </c>
      <c r="R768" s="785"/>
      <c r="S768" s="786">
        <v>2626</v>
      </c>
      <c r="T768" s="788">
        <v>1560</v>
      </c>
      <c r="U768" s="788">
        <f>4185+1</f>
        <v>4186</v>
      </c>
    </row>
    <row r="769" spans="1:21" x14ac:dyDescent="0.25">
      <c r="A769" s="782">
        <v>98301</v>
      </c>
      <c r="B769" s="783" t="s">
        <v>3380</v>
      </c>
      <c r="C769" s="784">
        <v>1.7542E-3</v>
      </c>
      <c r="D769" s="784">
        <v>1.7776999999999999E-3</v>
      </c>
      <c r="E769" s="800">
        <v>825878</v>
      </c>
      <c r="F769" s="785">
        <v>2679932</v>
      </c>
      <c r="G769" s="785"/>
      <c r="H769" s="786">
        <v>154389</v>
      </c>
      <c r="I769" s="787">
        <v>650690</v>
      </c>
      <c r="J769" s="786">
        <v>382731</v>
      </c>
      <c r="K769" s="785">
        <v>51704</v>
      </c>
      <c r="L769" s="787">
        <f t="shared" si="22"/>
        <v>1239514</v>
      </c>
      <c r="M769" s="785"/>
      <c r="N769" s="786">
        <v>75860</v>
      </c>
      <c r="O769" s="786">
        <v>0</v>
      </c>
      <c r="P769" s="785">
        <v>7816</v>
      </c>
      <c r="Q769" s="787">
        <f t="shared" si="23"/>
        <v>83676</v>
      </c>
      <c r="R769" s="785"/>
      <c r="S769" s="786">
        <v>903139</v>
      </c>
      <c r="T769" s="788">
        <v>17344</v>
      </c>
      <c r="U769" s="788">
        <v>920483</v>
      </c>
    </row>
    <row r="770" spans="1:21" x14ac:dyDescent="0.25">
      <c r="A770" s="782">
        <v>98304</v>
      </c>
      <c r="B770" s="783" t="s">
        <v>3381</v>
      </c>
      <c r="C770" s="784">
        <v>2.0999999999999999E-5</v>
      </c>
      <c r="D770" s="784">
        <v>2.2900000000000001E-5</v>
      </c>
      <c r="E770" s="800">
        <v>12751</v>
      </c>
      <c r="F770" s="785">
        <v>32082</v>
      </c>
      <c r="G770" s="785"/>
      <c r="H770" s="786">
        <v>1848</v>
      </c>
      <c r="I770" s="787">
        <v>7790</v>
      </c>
      <c r="J770" s="786">
        <v>4582</v>
      </c>
      <c r="K770" s="785">
        <v>2290</v>
      </c>
      <c r="L770" s="787">
        <f t="shared" si="22"/>
        <v>16510</v>
      </c>
      <c r="M770" s="785"/>
      <c r="N770" s="786">
        <v>908</v>
      </c>
      <c r="O770" s="786">
        <v>0</v>
      </c>
      <c r="P770" s="785">
        <v>0</v>
      </c>
      <c r="Q770" s="787">
        <f t="shared" si="23"/>
        <v>908</v>
      </c>
      <c r="R770" s="785"/>
      <c r="S770" s="786">
        <v>10812</v>
      </c>
      <c r="T770" s="788">
        <v>818</v>
      </c>
      <c r="U770" s="788">
        <f>11629+1</f>
        <v>11630</v>
      </c>
    </row>
    <row r="771" spans="1:21" x14ac:dyDescent="0.25">
      <c r="A771" s="782">
        <v>98308</v>
      </c>
      <c r="B771" s="783" t="s">
        <v>3382</v>
      </c>
      <c r="C771" s="784">
        <v>2.37E-5</v>
      </c>
      <c r="D771" s="784">
        <v>2.55E-5</v>
      </c>
      <c r="E771" s="800">
        <v>15363</v>
      </c>
      <c r="F771" s="785">
        <v>36207</v>
      </c>
      <c r="G771" s="785"/>
      <c r="H771" s="786">
        <v>2086</v>
      </c>
      <c r="I771" s="787">
        <v>8791</v>
      </c>
      <c r="J771" s="786">
        <v>5171</v>
      </c>
      <c r="K771" s="785">
        <v>7272</v>
      </c>
      <c r="L771" s="787">
        <f t="shared" si="22"/>
        <v>23320</v>
      </c>
      <c r="M771" s="785"/>
      <c r="N771" s="786">
        <v>1025</v>
      </c>
      <c r="O771" s="786">
        <v>0</v>
      </c>
      <c r="P771" s="785">
        <v>0</v>
      </c>
      <c r="Q771" s="787">
        <f t="shared" si="23"/>
        <v>1025</v>
      </c>
      <c r="R771" s="785"/>
      <c r="S771" s="786">
        <v>12202</v>
      </c>
      <c r="T771" s="788">
        <v>3390</v>
      </c>
      <c r="U771" s="788">
        <v>15592</v>
      </c>
    </row>
    <row r="772" spans="1:21" x14ac:dyDescent="0.25">
      <c r="A772" s="782">
        <v>98311</v>
      </c>
      <c r="B772" s="783" t="s">
        <v>3383</v>
      </c>
      <c r="C772" s="784">
        <v>1.1536000000000001E-3</v>
      </c>
      <c r="D772" s="784">
        <v>1.1441999999999999E-3</v>
      </c>
      <c r="E772" s="800">
        <v>462217</v>
      </c>
      <c r="F772" s="785">
        <v>1762381</v>
      </c>
      <c r="G772" s="785"/>
      <c r="H772" s="786">
        <v>101529</v>
      </c>
      <c r="I772" s="787">
        <v>427908</v>
      </c>
      <c r="J772" s="786">
        <v>251692</v>
      </c>
      <c r="K772" s="785">
        <v>12653</v>
      </c>
      <c r="L772" s="787">
        <f t="shared" si="22"/>
        <v>793782</v>
      </c>
      <c r="M772" s="785"/>
      <c r="N772" s="786">
        <v>49887</v>
      </c>
      <c r="O772" s="786">
        <v>0</v>
      </c>
      <c r="P772" s="785">
        <v>98661</v>
      </c>
      <c r="Q772" s="787">
        <f t="shared" si="23"/>
        <v>148548</v>
      </c>
      <c r="R772" s="785"/>
      <c r="S772" s="786">
        <v>593924</v>
      </c>
      <c r="T772" s="788">
        <v>-18424</v>
      </c>
      <c r="U772" s="788">
        <f>575501-1</f>
        <v>575500</v>
      </c>
    </row>
    <row r="773" spans="1:21" x14ac:dyDescent="0.25">
      <c r="A773" s="782">
        <v>98313</v>
      </c>
      <c r="B773" s="783" t="s">
        <v>3384</v>
      </c>
      <c r="C773" s="784">
        <v>2.3560000000000001E-4</v>
      </c>
      <c r="D773" s="784">
        <v>2.4240000000000001E-4</v>
      </c>
      <c r="E773" s="800">
        <v>259158</v>
      </c>
      <c r="F773" s="785">
        <v>359932</v>
      </c>
      <c r="G773" s="785"/>
      <c r="H773" s="786">
        <v>20735</v>
      </c>
      <c r="I773" s="787">
        <v>87392</v>
      </c>
      <c r="J773" s="786">
        <v>51403</v>
      </c>
      <c r="K773" s="785">
        <v>233571</v>
      </c>
      <c r="L773" s="787">
        <f t="shared" si="22"/>
        <v>393101</v>
      </c>
      <c r="M773" s="785"/>
      <c r="N773" s="786">
        <v>10189</v>
      </c>
      <c r="O773" s="786">
        <v>0</v>
      </c>
      <c r="P773" s="785">
        <v>59</v>
      </c>
      <c r="Q773" s="787">
        <f t="shared" si="23"/>
        <v>10248</v>
      </c>
      <c r="R773" s="785"/>
      <c r="S773" s="786">
        <v>121297</v>
      </c>
      <c r="T773" s="788">
        <v>77966</v>
      </c>
      <c r="U773" s="788">
        <v>199263</v>
      </c>
    </row>
    <row r="774" spans="1:21" x14ac:dyDescent="0.25">
      <c r="A774" s="782">
        <v>98321</v>
      </c>
      <c r="B774" s="783" t="s">
        <v>3385</v>
      </c>
      <c r="C774" s="784">
        <v>2.05E-5</v>
      </c>
      <c r="D774" s="784">
        <v>2.1399999999999998E-5</v>
      </c>
      <c r="E774" s="800">
        <v>10270</v>
      </c>
      <c r="F774" s="785">
        <v>31318</v>
      </c>
      <c r="G774" s="785"/>
      <c r="H774" s="786">
        <v>1804</v>
      </c>
      <c r="I774" s="787">
        <v>7604</v>
      </c>
      <c r="J774" s="786">
        <v>4473</v>
      </c>
      <c r="K774" s="785">
        <v>1639</v>
      </c>
      <c r="L774" s="787">
        <f t="shared" si="22"/>
        <v>15520</v>
      </c>
      <c r="M774" s="785"/>
      <c r="N774" s="786">
        <v>887</v>
      </c>
      <c r="O774" s="786">
        <v>0</v>
      </c>
      <c r="P774" s="785">
        <v>3066</v>
      </c>
      <c r="Q774" s="787">
        <f t="shared" si="23"/>
        <v>3953</v>
      </c>
      <c r="R774" s="785"/>
      <c r="S774" s="786">
        <v>10554</v>
      </c>
      <c r="T774" s="788">
        <v>472</v>
      </c>
      <c r="U774" s="788">
        <v>11026</v>
      </c>
    </row>
    <row r="775" spans="1:21" x14ac:dyDescent="0.25">
      <c r="A775" s="782">
        <v>98331</v>
      </c>
      <c r="B775" s="783" t="s">
        <v>3386</v>
      </c>
      <c r="C775" s="784">
        <v>9.7999999999999993E-6</v>
      </c>
      <c r="D775" s="784">
        <v>1.03E-5</v>
      </c>
      <c r="E775" s="800">
        <v>6281</v>
      </c>
      <c r="F775" s="785">
        <v>14972</v>
      </c>
      <c r="G775" s="785"/>
      <c r="H775" s="786">
        <v>863</v>
      </c>
      <c r="I775" s="787">
        <v>3635</v>
      </c>
      <c r="J775" s="786">
        <v>2138</v>
      </c>
      <c r="K775" s="785">
        <v>3035</v>
      </c>
      <c r="L775" s="787">
        <f t="shared" ref="L775:L838" si="24">H775+I775+J775+K775</f>
        <v>9671</v>
      </c>
      <c r="M775" s="785"/>
      <c r="N775" s="786">
        <v>424</v>
      </c>
      <c r="O775" s="786">
        <v>0</v>
      </c>
      <c r="P775" s="785">
        <v>132</v>
      </c>
      <c r="Q775" s="787">
        <f t="shared" ref="Q775:Q838" si="25">N775+O775+P775</f>
        <v>556</v>
      </c>
      <c r="R775" s="785"/>
      <c r="S775" s="786">
        <v>5045</v>
      </c>
      <c r="T775" s="788">
        <v>972</v>
      </c>
      <c r="U775" s="788">
        <f>6018-1</f>
        <v>6017</v>
      </c>
    </row>
    <row r="776" spans="1:21" x14ac:dyDescent="0.25">
      <c r="A776" s="782">
        <v>98401</v>
      </c>
      <c r="B776" s="783" t="s">
        <v>3387</v>
      </c>
      <c r="C776" s="784">
        <v>2.7655000000000002E-3</v>
      </c>
      <c r="D776" s="784">
        <v>2.7567999999999998E-3</v>
      </c>
      <c r="E776" s="800">
        <v>1399311</v>
      </c>
      <c r="F776" s="785">
        <v>4224918</v>
      </c>
      <c r="G776" s="785"/>
      <c r="H776" s="786">
        <v>243394</v>
      </c>
      <c r="I776" s="787">
        <v>1025815</v>
      </c>
      <c r="J776" s="786">
        <v>603377</v>
      </c>
      <c r="K776" s="785">
        <v>168129</v>
      </c>
      <c r="L776" s="787">
        <f t="shared" si="24"/>
        <v>2040715</v>
      </c>
      <c r="M776" s="785"/>
      <c r="N776" s="786">
        <v>119594</v>
      </c>
      <c r="O776" s="786">
        <v>0</v>
      </c>
      <c r="P776" s="785">
        <v>6292</v>
      </c>
      <c r="Q776" s="787">
        <f t="shared" si="25"/>
        <v>125886</v>
      </c>
      <c r="R776" s="785"/>
      <c r="S776" s="786">
        <v>1423801</v>
      </c>
      <c r="T776" s="788">
        <v>58759</v>
      </c>
      <c r="U776" s="788">
        <v>1482560</v>
      </c>
    </row>
    <row r="777" spans="1:21" x14ac:dyDescent="0.25">
      <c r="A777" s="782">
        <v>98404</v>
      </c>
      <c r="B777" s="783" t="s">
        <v>3674</v>
      </c>
      <c r="C777" s="784">
        <v>1.52E-5</v>
      </c>
      <c r="D777" s="784">
        <v>0</v>
      </c>
      <c r="E777" s="800">
        <v>5852</v>
      </c>
      <c r="F777" s="785">
        <v>23221</v>
      </c>
      <c r="G777" s="785"/>
      <c r="H777" s="786">
        <v>1338</v>
      </c>
      <c r="I777" s="787">
        <v>5638</v>
      </c>
      <c r="J777" s="786">
        <v>3316</v>
      </c>
      <c r="K777" s="785">
        <v>9290</v>
      </c>
      <c r="L777" s="787">
        <f t="shared" si="24"/>
        <v>19582</v>
      </c>
      <c r="M777" s="785"/>
      <c r="N777" s="786">
        <v>657</v>
      </c>
      <c r="O777" s="786">
        <v>0</v>
      </c>
      <c r="P777" s="785">
        <v>0</v>
      </c>
      <c r="Q777" s="787">
        <f t="shared" si="25"/>
        <v>657</v>
      </c>
      <c r="R777" s="785"/>
      <c r="S777" s="786">
        <v>7826</v>
      </c>
      <c r="T777" s="788">
        <v>2323</v>
      </c>
      <c r="U777" s="788">
        <f>10148+1</f>
        <v>10149</v>
      </c>
    </row>
    <row r="778" spans="1:21" x14ac:dyDescent="0.25">
      <c r="A778" s="782">
        <v>98411</v>
      </c>
      <c r="B778" s="783" t="s">
        <v>3388</v>
      </c>
      <c r="C778" s="784">
        <v>1.9816E-3</v>
      </c>
      <c r="D778" s="784">
        <v>2.0076999999999998E-3</v>
      </c>
      <c r="E778" s="800">
        <v>869964</v>
      </c>
      <c r="F778" s="785">
        <v>3027336</v>
      </c>
      <c r="G778" s="785"/>
      <c r="H778" s="786">
        <v>174403</v>
      </c>
      <c r="I778" s="787">
        <v>735040</v>
      </c>
      <c r="J778" s="786">
        <v>432345</v>
      </c>
      <c r="K778" s="785">
        <v>3986</v>
      </c>
      <c r="L778" s="787">
        <f t="shared" si="24"/>
        <v>1345774</v>
      </c>
      <c r="M778" s="785"/>
      <c r="N778" s="786">
        <v>85694</v>
      </c>
      <c r="O778" s="786">
        <v>0</v>
      </c>
      <c r="P778" s="785">
        <v>73699</v>
      </c>
      <c r="Q778" s="787">
        <f t="shared" si="25"/>
        <v>159393</v>
      </c>
      <c r="R778" s="785"/>
      <c r="S778" s="786">
        <v>1020215</v>
      </c>
      <c r="T778" s="788">
        <v>-19116</v>
      </c>
      <c r="U778" s="788">
        <v>1001099</v>
      </c>
    </row>
    <row r="779" spans="1:21" x14ac:dyDescent="0.25">
      <c r="A779" s="782">
        <v>98414</v>
      </c>
      <c r="B779" s="783" t="s">
        <v>2628</v>
      </c>
      <c r="C779" s="789">
        <f>0.00283%+0.00102%</f>
        <v>3.8500000000000001E-5</v>
      </c>
      <c r="D779" s="784">
        <v>4.3600000000000003E-5</v>
      </c>
      <c r="E779" s="800">
        <v>7367</v>
      </c>
      <c r="F779" s="785">
        <f>43235+15583</f>
        <v>58818</v>
      </c>
      <c r="G779" s="785"/>
      <c r="H779" s="786">
        <f>2491+898</f>
        <v>3389</v>
      </c>
      <c r="I779" s="787">
        <v>14282</v>
      </c>
      <c r="J779" s="786">
        <f>6174+2225</f>
        <v>8399</v>
      </c>
      <c r="K779" s="785">
        <v>14474</v>
      </c>
      <c r="L779" s="787">
        <f t="shared" si="24"/>
        <v>40544</v>
      </c>
      <c r="M779" s="785"/>
      <c r="N779" s="786">
        <f>1224+441</f>
        <v>1665</v>
      </c>
      <c r="O779" s="786">
        <v>0</v>
      </c>
      <c r="P779" s="785">
        <f>0+24505</f>
        <v>24505</v>
      </c>
      <c r="Q779" s="787">
        <f t="shared" si="25"/>
        <v>26170</v>
      </c>
      <c r="R779" s="785"/>
      <c r="S779" s="786">
        <f>14570+5251</f>
        <v>19821</v>
      </c>
      <c r="T779" s="788">
        <f>3619-7460</f>
        <v>-3841</v>
      </c>
      <c r="U779" s="788">
        <f>18189-2209</f>
        <v>15980</v>
      </c>
    </row>
    <row r="780" spans="1:21" x14ac:dyDescent="0.25">
      <c r="A780" s="782">
        <v>98417</v>
      </c>
      <c r="B780" s="783" t="s">
        <v>3389</v>
      </c>
      <c r="C780" s="784">
        <v>2.2900000000000001E-5</v>
      </c>
      <c r="D780" s="784">
        <v>2.4899999999999999E-5</v>
      </c>
      <c r="E780" s="800">
        <v>14126</v>
      </c>
      <c r="F780" s="785">
        <v>34985</v>
      </c>
      <c r="G780" s="785"/>
      <c r="H780" s="786">
        <v>2015</v>
      </c>
      <c r="I780" s="787">
        <v>8494</v>
      </c>
      <c r="J780" s="786">
        <v>4996</v>
      </c>
      <c r="K780" s="785">
        <v>2511</v>
      </c>
      <c r="L780" s="787">
        <f t="shared" si="24"/>
        <v>18016</v>
      </c>
      <c r="M780" s="785"/>
      <c r="N780" s="786">
        <v>990</v>
      </c>
      <c r="O780" s="786">
        <v>0</v>
      </c>
      <c r="P780" s="785">
        <v>424</v>
      </c>
      <c r="Q780" s="787">
        <f t="shared" si="25"/>
        <v>1414</v>
      </c>
      <c r="R780" s="785"/>
      <c r="S780" s="786">
        <v>11790</v>
      </c>
      <c r="T780" s="788">
        <v>315</v>
      </c>
      <c r="U780" s="788">
        <v>12105</v>
      </c>
    </row>
    <row r="781" spans="1:21" x14ac:dyDescent="0.25">
      <c r="A781" s="782">
        <v>98421</v>
      </c>
      <c r="B781" s="783" t="s">
        <v>3390</v>
      </c>
      <c r="C781" s="784">
        <v>8.2700000000000004E-5</v>
      </c>
      <c r="D781" s="784">
        <v>1.0840000000000001E-4</v>
      </c>
      <c r="E781" s="800">
        <v>44396</v>
      </c>
      <c r="F781" s="785">
        <v>126343</v>
      </c>
      <c r="G781" s="785"/>
      <c r="H781" s="786">
        <v>7279</v>
      </c>
      <c r="I781" s="787">
        <v>30676</v>
      </c>
      <c r="J781" s="786">
        <v>18043</v>
      </c>
      <c r="K781" s="785">
        <v>5132</v>
      </c>
      <c r="L781" s="787">
        <f t="shared" si="24"/>
        <v>61130</v>
      </c>
      <c r="M781" s="785"/>
      <c r="N781" s="786">
        <v>3576</v>
      </c>
      <c r="O781" s="786">
        <v>0</v>
      </c>
      <c r="P781" s="785">
        <v>12725</v>
      </c>
      <c r="Q781" s="787">
        <f t="shared" si="25"/>
        <v>16301</v>
      </c>
      <c r="R781" s="785"/>
      <c r="S781" s="786">
        <v>42578</v>
      </c>
      <c r="T781" s="788">
        <v>-911</v>
      </c>
      <c r="U781" s="788">
        <v>41667</v>
      </c>
    </row>
    <row r="782" spans="1:21" x14ac:dyDescent="0.25">
      <c r="A782" s="782">
        <v>98427</v>
      </c>
      <c r="B782" s="783" t="s">
        <v>3391</v>
      </c>
      <c r="C782" s="784">
        <v>3.9999999999999998E-6</v>
      </c>
      <c r="D782" s="784">
        <v>4.6E-6</v>
      </c>
      <c r="E782" s="800">
        <v>3231</v>
      </c>
      <c r="F782" s="785">
        <v>6111</v>
      </c>
      <c r="G782" s="785"/>
      <c r="H782" s="786">
        <v>352</v>
      </c>
      <c r="I782" s="787">
        <v>1484</v>
      </c>
      <c r="J782" s="786">
        <v>873</v>
      </c>
      <c r="K782" s="785">
        <v>1351</v>
      </c>
      <c r="L782" s="787">
        <f t="shared" si="24"/>
        <v>4060</v>
      </c>
      <c r="M782" s="785"/>
      <c r="N782" s="786">
        <v>173</v>
      </c>
      <c r="O782" s="786">
        <v>0</v>
      </c>
      <c r="P782" s="785">
        <v>0</v>
      </c>
      <c r="Q782" s="787">
        <f t="shared" si="25"/>
        <v>173</v>
      </c>
      <c r="R782" s="785"/>
      <c r="S782" s="786">
        <v>2059</v>
      </c>
      <c r="T782" s="788">
        <v>487</v>
      </c>
      <c r="U782" s="788">
        <f>2547-1</f>
        <v>2546</v>
      </c>
    </row>
    <row r="783" spans="1:21" x14ac:dyDescent="0.25">
      <c r="A783" s="782">
        <v>98431</v>
      </c>
      <c r="B783" s="783" t="s">
        <v>3392</v>
      </c>
      <c r="C783" s="784">
        <v>2.0589999999999999E-4</v>
      </c>
      <c r="D783" s="784">
        <v>2.0010000000000001E-4</v>
      </c>
      <c r="E783" s="800">
        <v>78482</v>
      </c>
      <c r="F783" s="785">
        <v>314558</v>
      </c>
      <c r="G783" s="785"/>
      <c r="H783" s="786">
        <v>18121</v>
      </c>
      <c r="I783" s="787">
        <v>76375</v>
      </c>
      <c r="J783" s="786">
        <v>44923</v>
      </c>
      <c r="K783" s="785">
        <v>1246</v>
      </c>
      <c r="L783" s="787">
        <f t="shared" si="24"/>
        <v>140665</v>
      </c>
      <c r="M783" s="785"/>
      <c r="N783" s="786">
        <v>8904</v>
      </c>
      <c r="O783" s="786">
        <v>0</v>
      </c>
      <c r="P783" s="785">
        <v>24844</v>
      </c>
      <c r="Q783" s="787">
        <f t="shared" si="25"/>
        <v>33748</v>
      </c>
      <c r="R783" s="785"/>
      <c r="S783" s="786">
        <v>106006</v>
      </c>
      <c r="T783" s="788">
        <v>-7635</v>
      </c>
      <c r="U783" s="788">
        <f>98372-1</f>
        <v>98371</v>
      </c>
    </row>
    <row r="784" spans="1:21" x14ac:dyDescent="0.25">
      <c r="A784" s="782">
        <v>98441</v>
      </c>
      <c r="B784" s="783" t="s">
        <v>3393</v>
      </c>
      <c r="C784" s="784">
        <v>8.2700000000000004E-5</v>
      </c>
      <c r="D784" s="784">
        <v>9.1000000000000003E-5</v>
      </c>
      <c r="E784" s="800">
        <v>35572</v>
      </c>
      <c r="F784" s="785">
        <v>126343</v>
      </c>
      <c r="G784" s="785"/>
      <c r="H784" s="786">
        <v>7279</v>
      </c>
      <c r="I784" s="787">
        <v>30676</v>
      </c>
      <c r="J784" s="786">
        <v>18043</v>
      </c>
      <c r="K784" s="785">
        <v>570</v>
      </c>
      <c r="L784" s="787">
        <f t="shared" si="24"/>
        <v>56568</v>
      </c>
      <c r="M784" s="785"/>
      <c r="N784" s="786">
        <v>3576</v>
      </c>
      <c r="O784" s="786">
        <v>0</v>
      </c>
      <c r="P784" s="785">
        <v>22406</v>
      </c>
      <c r="Q784" s="787">
        <f t="shared" si="25"/>
        <v>25982</v>
      </c>
      <c r="R784" s="785"/>
      <c r="S784" s="786">
        <v>42578</v>
      </c>
      <c r="T784" s="788">
        <v>-8026</v>
      </c>
      <c r="U784" s="788">
        <v>34552</v>
      </c>
    </row>
    <row r="785" spans="1:21" x14ac:dyDescent="0.25">
      <c r="A785" s="782">
        <v>98451</v>
      </c>
      <c r="B785" s="783" t="s">
        <v>3394</v>
      </c>
      <c r="C785" s="784">
        <v>5.7000000000000003E-5</v>
      </c>
      <c r="D785" s="784">
        <v>5.6199999999999997E-5</v>
      </c>
      <c r="E785" s="800">
        <v>26132</v>
      </c>
      <c r="F785" s="785">
        <v>87080</v>
      </c>
      <c r="G785" s="785"/>
      <c r="H785" s="786">
        <v>5017</v>
      </c>
      <c r="I785" s="787">
        <v>21143</v>
      </c>
      <c r="J785" s="786">
        <v>12436</v>
      </c>
      <c r="K785" s="785">
        <v>508</v>
      </c>
      <c r="L785" s="787">
        <f t="shared" si="24"/>
        <v>39104</v>
      </c>
      <c r="M785" s="785"/>
      <c r="N785" s="786">
        <v>2465</v>
      </c>
      <c r="O785" s="786">
        <v>0</v>
      </c>
      <c r="P785" s="785">
        <v>1478</v>
      </c>
      <c r="Q785" s="787">
        <f t="shared" si="25"/>
        <v>3943</v>
      </c>
      <c r="R785" s="785"/>
      <c r="S785" s="786">
        <v>29346</v>
      </c>
      <c r="T785" s="788">
        <v>-530</v>
      </c>
      <c r="U785" s="788">
        <v>28816</v>
      </c>
    </row>
    <row r="786" spans="1:21" x14ac:dyDescent="0.25">
      <c r="A786" s="782">
        <v>98481</v>
      </c>
      <c r="B786" s="783" t="s">
        <v>3395</v>
      </c>
      <c r="C786" s="784">
        <v>6.3899999999999995E-5</v>
      </c>
      <c r="D786" s="784">
        <v>6.7700000000000006E-5</v>
      </c>
      <c r="E786" s="800">
        <v>27198</v>
      </c>
      <c r="F786" s="785">
        <v>97621</v>
      </c>
      <c r="G786" s="785"/>
      <c r="H786" s="786">
        <v>5624</v>
      </c>
      <c r="I786" s="787">
        <v>23703</v>
      </c>
      <c r="J786" s="786">
        <v>13942</v>
      </c>
      <c r="K786" s="785">
        <v>1545</v>
      </c>
      <c r="L786" s="787">
        <f t="shared" si="24"/>
        <v>44814</v>
      </c>
      <c r="M786" s="785"/>
      <c r="N786" s="786">
        <v>2763</v>
      </c>
      <c r="O786" s="786">
        <v>0</v>
      </c>
      <c r="P786" s="785">
        <v>5772</v>
      </c>
      <c r="Q786" s="787">
        <f t="shared" si="25"/>
        <v>8535</v>
      </c>
      <c r="R786" s="785"/>
      <c r="S786" s="786">
        <v>32899</v>
      </c>
      <c r="T786" s="788">
        <v>-35</v>
      </c>
      <c r="U786" s="788">
        <f>32863+1</f>
        <v>32864</v>
      </c>
    </row>
    <row r="787" spans="1:21" x14ac:dyDescent="0.25">
      <c r="A787" s="782">
        <v>98501</v>
      </c>
      <c r="B787" s="783" t="s">
        <v>3396</v>
      </c>
      <c r="C787" s="784">
        <v>1.6022E-3</v>
      </c>
      <c r="D787" s="784">
        <v>1.5690999999999999E-3</v>
      </c>
      <c r="E787" s="800">
        <v>760833</v>
      </c>
      <c r="F787" s="785">
        <v>2447718</v>
      </c>
      <c r="G787" s="785"/>
      <c r="H787" s="786">
        <v>141011</v>
      </c>
      <c r="I787" s="787">
        <v>594309</v>
      </c>
      <c r="J787" s="786">
        <v>349568</v>
      </c>
      <c r="K787" s="785">
        <v>75098</v>
      </c>
      <c r="L787" s="787">
        <f t="shared" si="24"/>
        <v>1159986</v>
      </c>
      <c r="M787" s="785"/>
      <c r="N787" s="786">
        <v>69287</v>
      </c>
      <c r="O787" s="786">
        <v>0</v>
      </c>
      <c r="P787" s="785">
        <v>2932</v>
      </c>
      <c r="Q787" s="787">
        <f t="shared" si="25"/>
        <v>72219</v>
      </c>
      <c r="R787" s="785"/>
      <c r="S787" s="786">
        <v>824883</v>
      </c>
      <c r="T787" s="788">
        <v>19182</v>
      </c>
      <c r="U787" s="788">
        <v>844065</v>
      </c>
    </row>
    <row r="788" spans="1:21" x14ac:dyDescent="0.25">
      <c r="A788" s="782">
        <v>98511</v>
      </c>
      <c r="B788" s="783" t="s">
        <v>3397</v>
      </c>
      <c r="C788" s="784">
        <v>4.8000000000000001E-5</v>
      </c>
      <c r="D788" s="784">
        <v>4.5800000000000002E-5</v>
      </c>
      <c r="E788" s="800">
        <v>23435</v>
      </c>
      <c r="F788" s="785">
        <v>73331</v>
      </c>
      <c r="G788" s="785"/>
      <c r="H788" s="786">
        <v>4225</v>
      </c>
      <c r="I788" s="787">
        <v>17804</v>
      </c>
      <c r="J788" s="786">
        <v>10473</v>
      </c>
      <c r="K788" s="785">
        <v>5918</v>
      </c>
      <c r="L788" s="787">
        <f t="shared" si="24"/>
        <v>38420</v>
      </c>
      <c r="M788" s="785"/>
      <c r="N788" s="786">
        <v>2076</v>
      </c>
      <c r="O788" s="786">
        <v>0</v>
      </c>
      <c r="P788" s="785">
        <v>11919</v>
      </c>
      <c r="Q788" s="787">
        <f t="shared" si="25"/>
        <v>13995</v>
      </c>
      <c r="R788" s="785"/>
      <c r="S788" s="786">
        <v>24713</v>
      </c>
      <c r="T788" s="788">
        <v>-9378</v>
      </c>
      <c r="U788" s="788">
        <f>15334+1</f>
        <v>15335</v>
      </c>
    </row>
    <row r="789" spans="1:21" x14ac:dyDescent="0.25">
      <c r="A789" s="782">
        <v>98517</v>
      </c>
      <c r="B789" s="783" t="s">
        <v>3398</v>
      </c>
      <c r="C789" s="784">
        <v>2.3E-6</v>
      </c>
      <c r="D789" s="784">
        <v>2.6000000000000001E-6</v>
      </c>
      <c r="E789" s="800">
        <v>2484</v>
      </c>
      <c r="F789" s="785">
        <v>3514</v>
      </c>
      <c r="G789" s="785"/>
      <c r="H789" s="786">
        <v>202</v>
      </c>
      <c r="I789" s="787">
        <v>854</v>
      </c>
      <c r="J789" s="786">
        <v>502</v>
      </c>
      <c r="K789" s="785">
        <v>1623</v>
      </c>
      <c r="L789" s="787">
        <f t="shared" si="24"/>
        <v>3181</v>
      </c>
      <c r="M789" s="785"/>
      <c r="N789" s="786">
        <v>99</v>
      </c>
      <c r="O789" s="786">
        <v>0</v>
      </c>
      <c r="P789" s="785">
        <v>0</v>
      </c>
      <c r="Q789" s="787">
        <f t="shared" si="25"/>
        <v>99</v>
      </c>
      <c r="R789" s="785"/>
      <c r="S789" s="786">
        <v>1184</v>
      </c>
      <c r="T789" s="788">
        <v>589</v>
      </c>
      <c r="U789" s="788">
        <v>1773</v>
      </c>
    </row>
    <row r="790" spans="1:21" x14ac:dyDescent="0.25">
      <c r="A790" s="782">
        <v>98521</v>
      </c>
      <c r="B790" s="783" t="s">
        <v>3399</v>
      </c>
      <c r="C790" s="784">
        <v>6.6180000000000004E-4</v>
      </c>
      <c r="D790" s="784">
        <v>5.7059999999999999E-4</v>
      </c>
      <c r="E790" s="800">
        <v>270882</v>
      </c>
      <c r="F790" s="785">
        <v>1011047</v>
      </c>
      <c r="G790" s="785"/>
      <c r="H790" s="786">
        <v>58246</v>
      </c>
      <c r="I790" s="787">
        <v>245484</v>
      </c>
      <c r="J790" s="786">
        <v>144392</v>
      </c>
      <c r="K790" s="785">
        <v>34795</v>
      </c>
      <c r="L790" s="787">
        <f t="shared" si="24"/>
        <v>482917</v>
      </c>
      <c r="M790" s="785"/>
      <c r="N790" s="786">
        <v>28620</v>
      </c>
      <c r="O790" s="786">
        <v>0</v>
      </c>
      <c r="P790" s="785">
        <v>43967</v>
      </c>
      <c r="Q790" s="787">
        <f t="shared" si="25"/>
        <v>72587</v>
      </c>
      <c r="R790" s="785"/>
      <c r="S790" s="786">
        <v>340724</v>
      </c>
      <c r="T790" s="788">
        <v>-10201</v>
      </c>
      <c r="U790" s="788">
        <v>330523</v>
      </c>
    </row>
    <row r="791" spans="1:21" x14ac:dyDescent="0.25">
      <c r="A791" s="782">
        <v>98601</v>
      </c>
      <c r="B791" s="783" t="s">
        <v>3400</v>
      </c>
      <c r="C791" s="784">
        <v>3.4148E-3</v>
      </c>
      <c r="D791" s="784">
        <v>3.5065999999999999E-3</v>
      </c>
      <c r="E791" s="800">
        <v>1494584</v>
      </c>
      <c r="F791" s="785">
        <v>5216869</v>
      </c>
      <c r="G791" s="785"/>
      <c r="H791" s="786">
        <v>300540</v>
      </c>
      <c r="I791" s="787">
        <v>1266662</v>
      </c>
      <c r="J791" s="786">
        <v>745041</v>
      </c>
      <c r="K791" s="785">
        <v>0</v>
      </c>
      <c r="L791" s="787">
        <f t="shared" si="24"/>
        <v>2312243</v>
      </c>
      <c r="M791" s="785"/>
      <c r="N791" s="786">
        <v>147673</v>
      </c>
      <c r="O791" s="786">
        <v>0</v>
      </c>
      <c r="P791" s="785">
        <v>216693</v>
      </c>
      <c r="Q791" s="787">
        <f t="shared" si="25"/>
        <v>364366</v>
      </c>
      <c r="R791" s="785"/>
      <c r="S791" s="786">
        <v>1758089</v>
      </c>
      <c r="T791" s="788">
        <v>-93549</v>
      </c>
      <c r="U791" s="788">
        <v>1664540</v>
      </c>
    </row>
    <row r="792" spans="1:21" x14ac:dyDescent="0.25">
      <c r="A792" s="782">
        <v>98604</v>
      </c>
      <c r="B792" s="783" t="s">
        <v>3401</v>
      </c>
      <c r="C792" s="784">
        <v>1.34E-5</v>
      </c>
      <c r="D792" s="784">
        <v>1.59E-5</v>
      </c>
      <c r="E792" s="800">
        <v>7588</v>
      </c>
      <c r="F792" s="785">
        <v>20471</v>
      </c>
      <c r="G792" s="785"/>
      <c r="H792" s="786">
        <v>1179</v>
      </c>
      <c r="I792" s="787">
        <v>4970</v>
      </c>
      <c r="J792" s="786">
        <v>2924</v>
      </c>
      <c r="K792" s="785">
        <f>5979+2967</f>
        <v>8946</v>
      </c>
      <c r="L792" s="787">
        <f t="shared" si="24"/>
        <v>18019</v>
      </c>
      <c r="M792" s="785"/>
      <c r="N792" s="786">
        <v>579</v>
      </c>
      <c r="O792" s="786">
        <v>0</v>
      </c>
      <c r="P792" s="785">
        <f>527+4977</f>
        <v>5504</v>
      </c>
      <c r="Q792" s="787">
        <f t="shared" si="25"/>
        <v>6083</v>
      </c>
      <c r="R792" s="785"/>
      <c r="S792" s="786">
        <v>6899</v>
      </c>
      <c r="T792" s="788">
        <f>1959+178</f>
        <v>2137</v>
      </c>
      <c r="U792" s="788">
        <f>8857+1+178</f>
        <v>9036</v>
      </c>
    </row>
    <row r="793" spans="1:21" x14ac:dyDescent="0.25">
      <c r="A793" s="782">
        <v>98607</v>
      </c>
      <c r="B793" s="783" t="s">
        <v>3402</v>
      </c>
      <c r="C793" s="784">
        <v>5.9000000000000003E-6</v>
      </c>
      <c r="D793" s="784">
        <v>5.9000000000000003E-6</v>
      </c>
      <c r="E793" s="800">
        <v>2774</v>
      </c>
      <c r="F793" s="785">
        <v>9014</v>
      </c>
      <c r="G793" s="785"/>
      <c r="H793" s="786">
        <v>519</v>
      </c>
      <c r="I793" s="787">
        <v>2188</v>
      </c>
      <c r="J793" s="786">
        <v>1287</v>
      </c>
      <c r="K793" s="785">
        <v>52</v>
      </c>
      <c r="L793" s="787">
        <f t="shared" si="24"/>
        <v>4046</v>
      </c>
      <c r="M793" s="785"/>
      <c r="N793" s="786">
        <v>255</v>
      </c>
      <c r="O793" s="786">
        <v>0</v>
      </c>
      <c r="P793" s="785">
        <v>1474</v>
      </c>
      <c r="Q793" s="787">
        <f t="shared" si="25"/>
        <v>1729</v>
      </c>
      <c r="R793" s="785"/>
      <c r="S793" s="786">
        <v>3038</v>
      </c>
      <c r="T793" s="788">
        <v>-861</v>
      </c>
      <c r="U793" s="788">
        <v>2177</v>
      </c>
    </row>
    <row r="794" spans="1:21" x14ac:dyDescent="0.25">
      <c r="A794" s="782">
        <v>98608</v>
      </c>
      <c r="B794" s="783" t="s">
        <v>3403</v>
      </c>
      <c r="C794" s="784">
        <v>4.9200000000000003E-5</v>
      </c>
      <c r="D794" s="784">
        <v>4.2299999999999998E-5</v>
      </c>
      <c r="E794" s="800">
        <v>20059</v>
      </c>
      <c r="F794" s="785">
        <v>75164</v>
      </c>
      <c r="G794" s="785"/>
      <c r="H794" s="786">
        <v>4330</v>
      </c>
      <c r="I794" s="787">
        <v>18250</v>
      </c>
      <c r="J794" s="786">
        <v>10734</v>
      </c>
      <c r="K794" s="785">
        <v>6529</v>
      </c>
      <c r="L794" s="787">
        <f t="shared" si="24"/>
        <v>39843</v>
      </c>
      <c r="M794" s="785"/>
      <c r="N794" s="786">
        <v>2128</v>
      </c>
      <c r="O794" s="786">
        <v>0</v>
      </c>
      <c r="P794" s="785">
        <v>5369</v>
      </c>
      <c r="Q794" s="787">
        <f t="shared" si="25"/>
        <v>7497</v>
      </c>
      <c r="R794" s="785"/>
      <c r="S794" s="786">
        <v>25330</v>
      </c>
      <c r="T794" s="788">
        <v>1217</v>
      </c>
      <c r="U794" s="788">
        <v>26547</v>
      </c>
    </row>
    <row r="795" spans="1:21" x14ac:dyDescent="0.25">
      <c r="A795" s="782">
        <v>98611</v>
      </c>
      <c r="B795" s="783" t="s">
        <v>3404</v>
      </c>
      <c r="C795" s="784">
        <v>8.6899999999999998E-5</v>
      </c>
      <c r="D795" s="784">
        <v>8.6700000000000007E-5</v>
      </c>
      <c r="E795" s="800">
        <v>49931</v>
      </c>
      <c r="F795" s="785">
        <v>132759</v>
      </c>
      <c r="G795" s="785"/>
      <c r="H795" s="786">
        <v>7648</v>
      </c>
      <c r="I795" s="787">
        <v>32235</v>
      </c>
      <c r="J795" s="786">
        <v>18960</v>
      </c>
      <c r="K795" s="785">
        <v>10690</v>
      </c>
      <c r="L795" s="787">
        <f t="shared" si="24"/>
        <v>69533</v>
      </c>
      <c r="M795" s="785"/>
      <c r="N795" s="786">
        <v>3758</v>
      </c>
      <c r="O795" s="786">
        <v>0</v>
      </c>
      <c r="P795" s="785">
        <v>9519</v>
      </c>
      <c r="Q795" s="787">
        <f t="shared" si="25"/>
        <v>13277</v>
      </c>
      <c r="R795" s="785"/>
      <c r="S795" s="786">
        <v>44740</v>
      </c>
      <c r="T795" s="788">
        <v>910</v>
      </c>
      <c r="U795" s="788">
        <f>45649+1</f>
        <v>45650</v>
      </c>
    </row>
    <row r="796" spans="1:21" x14ac:dyDescent="0.25">
      <c r="A796" s="782">
        <v>98621</v>
      </c>
      <c r="B796" s="783" t="s">
        <v>3405</v>
      </c>
      <c r="C796" s="784">
        <v>1.314E-4</v>
      </c>
      <c r="D796" s="784">
        <v>1.3239999999999999E-4</v>
      </c>
      <c r="E796" s="800">
        <v>55891</v>
      </c>
      <c r="F796" s="785">
        <v>200743</v>
      </c>
      <c r="G796" s="785"/>
      <c r="H796" s="786">
        <v>11565</v>
      </c>
      <c r="I796" s="787">
        <v>48740</v>
      </c>
      <c r="J796" s="786">
        <v>28669</v>
      </c>
      <c r="K796" s="785">
        <v>473</v>
      </c>
      <c r="L796" s="787">
        <f t="shared" si="24"/>
        <v>89447</v>
      </c>
      <c r="M796" s="785"/>
      <c r="N796" s="786">
        <v>5682</v>
      </c>
      <c r="O796" s="786">
        <v>0</v>
      </c>
      <c r="P796" s="785">
        <v>10727</v>
      </c>
      <c r="Q796" s="787">
        <f t="shared" si="25"/>
        <v>16409</v>
      </c>
      <c r="R796" s="785"/>
      <c r="S796" s="786">
        <v>67651</v>
      </c>
      <c r="T796" s="788">
        <v>-3535</v>
      </c>
      <c r="U796" s="788">
        <f>64115+1</f>
        <v>64116</v>
      </c>
    </row>
    <row r="797" spans="1:21" x14ac:dyDescent="0.25">
      <c r="A797" s="782">
        <v>98627</v>
      </c>
      <c r="B797" s="783" t="s">
        <v>3406</v>
      </c>
      <c r="C797" s="784">
        <v>8.6999999999999997E-6</v>
      </c>
      <c r="D797" s="784">
        <v>9.3999999999999998E-6</v>
      </c>
      <c r="E797" s="800">
        <v>3354</v>
      </c>
      <c r="F797" s="785">
        <v>13291</v>
      </c>
      <c r="G797" s="785"/>
      <c r="H797" s="786">
        <v>766</v>
      </c>
      <c r="I797" s="787">
        <v>3227</v>
      </c>
      <c r="J797" s="786">
        <v>1898</v>
      </c>
      <c r="K797" s="785">
        <v>316</v>
      </c>
      <c r="L797" s="787">
        <f t="shared" si="24"/>
        <v>6207</v>
      </c>
      <c r="M797" s="785"/>
      <c r="N797" s="786">
        <v>376</v>
      </c>
      <c r="O797" s="786">
        <v>0</v>
      </c>
      <c r="P797" s="785">
        <v>1098</v>
      </c>
      <c r="Q797" s="787">
        <f t="shared" si="25"/>
        <v>1474</v>
      </c>
      <c r="R797" s="785"/>
      <c r="S797" s="786">
        <v>4479</v>
      </c>
      <c r="T797" s="788">
        <v>-220</v>
      </c>
      <c r="U797" s="788">
        <v>4259</v>
      </c>
    </row>
    <row r="798" spans="1:21" x14ac:dyDescent="0.25">
      <c r="A798" s="782">
        <v>98631</v>
      </c>
      <c r="B798" s="783" t="s">
        <v>3407</v>
      </c>
      <c r="C798" s="784">
        <v>1.0051999999999999E-3</v>
      </c>
      <c r="D798" s="784">
        <v>1.0415000000000001E-3</v>
      </c>
      <c r="E798" s="800">
        <v>466623</v>
      </c>
      <c r="F798" s="785">
        <v>1535667</v>
      </c>
      <c r="G798" s="785"/>
      <c r="H798" s="786">
        <v>88469</v>
      </c>
      <c r="I798" s="787">
        <v>372862</v>
      </c>
      <c r="J798" s="786">
        <v>219315</v>
      </c>
      <c r="K798" s="785">
        <v>0</v>
      </c>
      <c r="L798" s="787">
        <f t="shared" si="24"/>
        <v>680646</v>
      </c>
      <c r="M798" s="785"/>
      <c r="N798" s="786">
        <v>43470</v>
      </c>
      <c r="O798" s="786">
        <v>0</v>
      </c>
      <c r="P798" s="785">
        <v>102113</v>
      </c>
      <c r="Q798" s="787">
        <f t="shared" si="25"/>
        <v>145583</v>
      </c>
      <c r="R798" s="785"/>
      <c r="S798" s="786">
        <v>517521</v>
      </c>
      <c r="T798" s="788">
        <v>-41744</v>
      </c>
      <c r="U798" s="788">
        <v>475777</v>
      </c>
    </row>
    <row r="799" spans="1:21" x14ac:dyDescent="0.25">
      <c r="A799" s="782">
        <v>98637</v>
      </c>
      <c r="B799" s="783" t="s">
        <v>3408</v>
      </c>
      <c r="C799" s="784">
        <v>2.0800000000000001E-5</v>
      </c>
      <c r="D799" s="784">
        <v>2.2200000000000001E-5</v>
      </c>
      <c r="E799" s="800">
        <v>15729</v>
      </c>
      <c r="F799" s="785">
        <v>31777</v>
      </c>
      <c r="G799" s="785"/>
      <c r="H799" s="786">
        <v>1831</v>
      </c>
      <c r="I799" s="787">
        <v>7715</v>
      </c>
      <c r="J799" s="786">
        <v>4538</v>
      </c>
      <c r="K799" s="785">
        <v>8386</v>
      </c>
      <c r="L799" s="787">
        <f t="shared" si="24"/>
        <v>22470</v>
      </c>
      <c r="M799" s="785"/>
      <c r="N799" s="786">
        <v>899</v>
      </c>
      <c r="O799" s="786">
        <v>0</v>
      </c>
      <c r="P799" s="785">
        <v>0</v>
      </c>
      <c r="Q799" s="787">
        <f t="shared" si="25"/>
        <v>899</v>
      </c>
      <c r="R799" s="785"/>
      <c r="S799" s="786">
        <v>10709</v>
      </c>
      <c r="T799" s="788">
        <v>3206</v>
      </c>
      <c r="U799" s="788">
        <f>13914+1</f>
        <v>13915</v>
      </c>
    </row>
    <row r="800" spans="1:21" x14ac:dyDescent="0.25">
      <c r="A800" s="782">
        <v>98641</v>
      </c>
      <c r="B800" s="783" t="s">
        <v>3409</v>
      </c>
      <c r="C800" s="784">
        <v>2.965E-4</v>
      </c>
      <c r="D800" s="784">
        <v>3.0019999999999998E-4</v>
      </c>
      <c r="E800" s="800">
        <v>140670</v>
      </c>
      <c r="F800" s="785">
        <v>452970</v>
      </c>
      <c r="G800" s="785"/>
      <c r="H800" s="786">
        <v>26095</v>
      </c>
      <c r="I800" s="787">
        <v>109981</v>
      </c>
      <c r="J800" s="786">
        <v>64690</v>
      </c>
      <c r="K800" s="785">
        <v>3407</v>
      </c>
      <c r="L800" s="787">
        <f t="shared" si="24"/>
        <v>204173</v>
      </c>
      <c r="M800" s="785"/>
      <c r="N800" s="786">
        <v>12822</v>
      </c>
      <c r="O800" s="786">
        <v>0</v>
      </c>
      <c r="P800" s="785">
        <v>7840</v>
      </c>
      <c r="Q800" s="787">
        <f t="shared" si="25"/>
        <v>20662</v>
      </c>
      <c r="R800" s="785"/>
      <c r="S800" s="786">
        <v>152651</v>
      </c>
      <c r="T800" s="788">
        <v>-183</v>
      </c>
      <c r="U800" s="788">
        <v>152468</v>
      </c>
    </row>
    <row r="801" spans="1:21" x14ac:dyDescent="0.25">
      <c r="A801" s="782">
        <v>98701</v>
      </c>
      <c r="B801" s="783" t="s">
        <v>3411</v>
      </c>
      <c r="C801" s="784">
        <v>1.1333999999999999E-3</v>
      </c>
      <c r="D801" s="784">
        <v>1.1793000000000001E-3</v>
      </c>
      <c r="E801" s="800">
        <v>514113</v>
      </c>
      <c r="F801" s="785">
        <v>1731521</v>
      </c>
      <c r="G801" s="785"/>
      <c r="H801" s="786">
        <v>99752</v>
      </c>
      <c r="I801" s="787">
        <v>420415</v>
      </c>
      <c r="J801" s="786">
        <v>247285</v>
      </c>
      <c r="K801" s="785">
        <v>3431</v>
      </c>
      <c r="L801" s="787">
        <f t="shared" si="24"/>
        <v>770883</v>
      </c>
      <c r="M801" s="785"/>
      <c r="N801" s="786">
        <v>49014</v>
      </c>
      <c r="O801" s="786">
        <v>0</v>
      </c>
      <c r="P801" s="785">
        <v>66380</v>
      </c>
      <c r="Q801" s="787">
        <f t="shared" si="25"/>
        <v>115394</v>
      </c>
      <c r="R801" s="785"/>
      <c r="S801" s="786">
        <v>583524</v>
      </c>
      <c r="T801" s="788">
        <v>-25976</v>
      </c>
      <c r="U801" s="788">
        <v>557548</v>
      </c>
    </row>
    <row r="802" spans="1:21" x14ac:dyDescent="0.25">
      <c r="A802" s="782">
        <v>98711</v>
      </c>
      <c r="B802" s="783" t="s">
        <v>3412</v>
      </c>
      <c r="C802" s="784">
        <v>1.8369999999999999E-4</v>
      </c>
      <c r="D802" s="784">
        <v>1.8039999999999999E-4</v>
      </c>
      <c r="E802" s="800">
        <v>70342</v>
      </c>
      <c r="F802" s="785">
        <v>280643</v>
      </c>
      <c r="G802" s="785"/>
      <c r="H802" s="786">
        <v>16168</v>
      </c>
      <c r="I802" s="787">
        <v>68140</v>
      </c>
      <c r="J802" s="786">
        <v>40080</v>
      </c>
      <c r="K802" s="785">
        <v>1238</v>
      </c>
      <c r="L802" s="787">
        <f t="shared" si="24"/>
        <v>125626</v>
      </c>
      <c r="M802" s="785"/>
      <c r="N802" s="786">
        <v>7944</v>
      </c>
      <c r="O802" s="786">
        <v>0</v>
      </c>
      <c r="P802" s="785">
        <v>16374</v>
      </c>
      <c r="Q802" s="787">
        <f t="shared" si="25"/>
        <v>24318</v>
      </c>
      <c r="R802" s="785"/>
      <c r="S802" s="786">
        <v>94577</v>
      </c>
      <c r="T802" s="788">
        <v>-4053</v>
      </c>
      <c r="U802" s="788">
        <v>90524</v>
      </c>
    </row>
    <row r="803" spans="1:21" x14ac:dyDescent="0.25">
      <c r="A803" s="782">
        <v>98717</v>
      </c>
      <c r="B803" s="783" t="s">
        <v>3413</v>
      </c>
      <c r="C803" s="784">
        <v>2.1100000000000001E-5</v>
      </c>
      <c r="D803" s="784">
        <v>1.8600000000000001E-5</v>
      </c>
      <c r="E803" s="800">
        <v>8759</v>
      </c>
      <c r="F803" s="785">
        <v>32235</v>
      </c>
      <c r="G803" s="785"/>
      <c r="H803" s="786">
        <v>1857</v>
      </c>
      <c r="I803" s="787">
        <v>7827</v>
      </c>
      <c r="J803" s="786">
        <v>4604</v>
      </c>
      <c r="K803" s="785">
        <v>1439</v>
      </c>
      <c r="L803" s="787">
        <f t="shared" si="24"/>
        <v>15727</v>
      </c>
      <c r="M803" s="785"/>
      <c r="N803" s="786">
        <v>912</v>
      </c>
      <c r="O803" s="786">
        <v>0</v>
      </c>
      <c r="P803" s="785">
        <v>534</v>
      </c>
      <c r="Q803" s="787">
        <f t="shared" si="25"/>
        <v>1446</v>
      </c>
      <c r="R803" s="785"/>
      <c r="S803" s="786">
        <v>10863</v>
      </c>
      <c r="T803" s="788">
        <v>247</v>
      </c>
      <c r="U803" s="788">
        <v>11110</v>
      </c>
    </row>
    <row r="804" spans="1:21" x14ac:dyDescent="0.25">
      <c r="A804" s="782">
        <v>98801</v>
      </c>
      <c r="B804" s="783" t="s">
        <v>3414</v>
      </c>
      <c r="C804" s="784">
        <v>2.2859E-3</v>
      </c>
      <c r="D804" s="784">
        <v>2.1771999999999998E-3</v>
      </c>
      <c r="E804" s="800">
        <v>1067051</v>
      </c>
      <c r="F804" s="785">
        <v>3492222</v>
      </c>
      <c r="G804" s="785"/>
      <c r="H804" s="786">
        <v>201184</v>
      </c>
      <c r="I804" s="787">
        <v>847916</v>
      </c>
      <c r="J804" s="786">
        <v>498738</v>
      </c>
      <c r="K804" s="785">
        <v>146068</v>
      </c>
      <c r="L804" s="787">
        <f t="shared" si="24"/>
        <v>1693906</v>
      </c>
      <c r="M804" s="785"/>
      <c r="N804" s="786">
        <v>98854</v>
      </c>
      <c r="O804" s="786">
        <v>0</v>
      </c>
      <c r="P804" s="785">
        <v>0</v>
      </c>
      <c r="Q804" s="787">
        <f t="shared" si="25"/>
        <v>98854</v>
      </c>
      <c r="R804" s="785"/>
      <c r="S804" s="786">
        <v>1176882</v>
      </c>
      <c r="T804" s="788">
        <v>55567</v>
      </c>
      <c r="U804" s="788">
        <v>1232449</v>
      </c>
    </row>
    <row r="805" spans="1:21" x14ac:dyDescent="0.25">
      <c r="A805" s="782">
        <v>98811</v>
      </c>
      <c r="B805" s="783" t="s">
        <v>3415</v>
      </c>
      <c r="C805" s="784">
        <v>6.5160000000000001E-4</v>
      </c>
      <c r="D805" s="784">
        <v>7.1120000000000005E-4</v>
      </c>
      <c r="E805" s="800">
        <v>323262</v>
      </c>
      <c r="F805" s="785">
        <v>995464</v>
      </c>
      <c r="G805" s="785"/>
      <c r="H805" s="786">
        <v>57348</v>
      </c>
      <c r="I805" s="787">
        <v>241700</v>
      </c>
      <c r="J805" s="786">
        <v>142166</v>
      </c>
      <c r="K805" s="785">
        <v>16975</v>
      </c>
      <c r="L805" s="787">
        <f t="shared" si="24"/>
        <v>458189</v>
      </c>
      <c r="M805" s="785"/>
      <c r="N805" s="786">
        <v>28178</v>
      </c>
      <c r="O805" s="786">
        <v>0</v>
      </c>
      <c r="P805" s="785">
        <v>46894</v>
      </c>
      <c r="Q805" s="787">
        <f t="shared" si="25"/>
        <v>75072</v>
      </c>
      <c r="R805" s="785"/>
      <c r="S805" s="786">
        <v>335472</v>
      </c>
      <c r="T805" s="788">
        <v>-312</v>
      </c>
      <c r="U805" s="788">
        <f>335161-1</f>
        <v>335160</v>
      </c>
    </row>
    <row r="806" spans="1:21" x14ac:dyDescent="0.25">
      <c r="A806" s="782">
        <v>98817</v>
      </c>
      <c r="B806" s="783" t="s">
        <v>3416</v>
      </c>
      <c r="C806" s="784">
        <v>2.5199999999999999E-5</v>
      </c>
      <c r="D806" s="784">
        <v>2.34E-5</v>
      </c>
      <c r="E806" s="800">
        <v>14663</v>
      </c>
      <c r="F806" s="785">
        <v>38499</v>
      </c>
      <c r="G806" s="785"/>
      <c r="H806" s="786">
        <v>2218</v>
      </c>
      <c r="I806" s="787">
        <v>9347</v>
      </c>
      <c r="J806" s="786">
        <v>5498</v>
      </c>
      <c r="K806" s="785">
        <v>3862</v>
      </c>
      <c r="L806" s="787">
        <f t="shared" si="24"/>
        <v>20925</v>
      </c>
      <c r="M806" s="785"/>
      <c r="N806" s="786">
        <v>1090</v>
      </c>
      <c r="O806" s="786">
        <v>0</v>
      </c>
      <c r="P806" s="785">
        <v>2179</v>
      </c>
      <c r="Q806" s="787">
        <f t="shared" si="25"/>
        <v>3269</v>
      </c>
      <c r="R806" s="785"/>
      <c r="S806" s="786">
        <v>12974</v>
      </c>
      <c r="T806" s="788">
        <v>-1216</v>
      </c>
      <c r="U806" s="788">
        <v>11758</v>
      </c>
    </row>
    <row r="807" spans="1:21" x14ac:dyDescent="0.25">
      <c r="A807" s="782">
        <v>98901</v>
      </c>
      <c r="B807" s="783" t="s">
        <v>3417</v>
      </c>
      <c r="C807" s="784">
        <v>3.5050000000000001E-4</v>
      </c>
      <c r="D807" s="784">
        <v>3.392E-4</v>
      </c>
      <c r="E807" s="800">
        <v>159126</v>
      </c>
      <c r="F807" s="785">
        <v>535467</v>
      </c>
      <c r="G807" s="785"/>
      <c r="H807" s="786">
        <v>30848</v>
      </c>
      <c r="I807" s="787">
        <v>130012</v>
      </c>
      <c r="J807" s="786">
        <v>76472</v>
      </c>
      <c r="K807" s="785">
        <v>7505</v>
      </c>
      <c r="L807" s="787">
        <f t="shared" si="24"/>
        <v>244837</v>
      </c>
      <c r="M807" s="785"/>
      <c r="N807" s="786">
        <v>15157</v>
      </c>
      <c r="O807" s="786">
        <v>0</v>
      </c>
      <c r="P807" s="785">
        <v>2530</v>
      </c>
      <c r="Q807" s="787">
        <f t="shared" si="25"/>
        <v>17687</v>
      </c>
      <c r="R807" s="785"/>
      <c r="S807" s="786">
        <v>180453</v>
      </c>
      <c r="T807" s="788">
        <v>975</v>
      </c>
      <c r="U807" s="788">
        <v>181428</v>
      </c>
    </row>
    <row r="808" spans="1:21" x14ac:dyDescent="0.25">
      <c r="A808" s="782">
        <v>98904</v>
      </c>
      <c r="B808" s="783" t="s">
        <v>3418</v>
      </c>
      <c r="C808" s="784">
        <v>2.7999999999999999E-6</v>
      </c>
      <c r="D808" s="784">
        <v>5.2000000000000002E-6</v>
      </c>
      <c r="E808" s="800">
        <v>1608</v>
      </c>
      <c r="F808" s="785">
        <v>4278</v>
      </c>
      <c r="G808" s="785"/>
      <c r="H808" s="786">
        <v>246</v>
      </c>
      <c r="I808" s="787">
        <v>1039</v>
      </c>
      <c r="J808" s="786">
        <v>611</v>
      </c>
      <c r="K808" s="785">
        <v>365</v>
      </c>
      <c r="L808" s="787">
        <f t="shared" si="24"/>
        <v>2261</v>
      </c>
      <c r="M808" s="785"/>
      <c r="N808" s="786">
        <v>121</v>
      </c>
      <c r="O808" s="786">
        <v>0</v>
      </c>
      <c r="P808" s="785">
        <v>1887</v>
      </c>
      <c r="Q808" s="787">
        <f t="shared" si="25"/>
        <v>2008</v>
      </c>
      <c r="R808" s="785"/>
      <c r="S808" s="786">
        <v>1442</v>
      </c>
      <c r="T808" s="788">
        <v>-315</v>
      </c>
      <c r="U808" s="788">
        <f>1126+1</f>
        <v>1127</v>
      </c>
    </row>
    <row r="809" spans="1:21" x14ac:dyDescent="0.25">
      <c r="A809" s="782">
        <v>98911</v>
      </c>
      <c r="B809" s="783" t="s">
        <v>3419</v>
      </c>
      <c r="C809" s="784">
        <v>2.7900000000000001E-5</v>
      </c>
      <c r="D809" s="784">
        <v>2.8600000000000001E-5</v>
      </c>
      <c r="E809" s="800">
        <v>17945</v>
      </c>
      <c r="F809" s="785">
        <v>42623</v>
      </c>
      <c r="G809" s="785"/>
      <c r="H809" s="786">
        <v>2456</v>
      </c>
      <c r="I809" s="787">
        <v>10349</v>
      </c>
      <c r="J809" s="786">
        <v>6087</v>
      </c>
      <c r="K809" s="785">
        <v>12780</v>
      </c>
      <c r="L809" s="787">
        <f t="shared" si="24"/>
        <v>31672</v>
      </c>
      <c r="M809" s="785"/>
      <c r="N809" s="786">
        <v>1207</v>
      </c>
      <c r="O809" s="786">
        <v>0</v>
      </c>
      <c r="P809" s="785">
        <v>0</v>
      </c>
      <c r="Q809" s="787">
        <f t="shared" si="25"/>
        <v>1207</v>
      </c>
      <c r="R809" s="785"/>
      <c r="S809" s="786">
        <v>14364</v>
      </c>
      <c r="T809" s="788">
        <v>5565</v>
      </c>
      <c r="U809" s="788">
        <v>19929</v>
      </c>
    </row>
    <row r="810" spans="1:21" x14ac:dyDescent="0.25">
      <c r="A810" s="782">
        <v>99001</v>
      </c>
      <c r="B810" s="783" t="s">
        <v>3420</v>
      </c>
      <c r="C810" s="784">
        <v>8.0949000000000004E-3</v>
      </c>
      <c r="D810" s="784">
        <v>7.8098999999999998E-3</v>
      </c>
      <c r="E810" s="800">
        <v>3574723</v>
      </c>
      <c r="F810" s="785">
        <v>12366765</v>
      </c>
      <c r="G810" s="785"/>
      <c r="H810" s="786">
        <v>712440</v>
      </c>
      <c r="I810" s="787">
        <v>3002666</v>
      </c>
      <c r="J810" s="786">
        <v>1766145</v>
      </c>
      <c r="K810" s="785">
        <v>355732</v>
      </c>
      <c r="L810" s="787">
        <f t="shared" si="24"/>
        <v>5836983</v>
      </c>
      <c r="M810" s="785"/>
      <c r="N810" s="786">
        <v>350064</v>
      </c>
      <c r="O810" s="786">
        <v>0</v>
      </c>
      <c r="P810" s="785">
        <v>0</v>
      </c>
      <c r="Q810" s="787">
        <f t="shared" si="25"/>
        <v>350064</v>
      </c>
      <c r="R810" s="785"/>
      <c r="S810" s="786">
        <v>4167611</v>
      </c>
      <c r="T810" s="788">
        <v>186049</v>
      </c>
      <c r="U810" s="788">
        <v>4353660</v>
      </c>
    </row>
    <row r="811" spans="1:21" x14ac:dyDescent="0.25">
      <c r="A811" s="782">
        <v>99011</v>
      </c>
      <c r="B811" s="783" t="s">
        <v>3421</v>
      </c>
      <c r="C811" s="784">
        <v>3.8736999999999999E-3</v>
      </c>
      <c r="D811" s="784">
        <v>3.9039000000000001E-3</v>
      </c>
      <c r="E811" s="800">
        <v>1767797</v>
      </c>
      <c r="F811" s="785">
        <v>5917941</v>
      </c>
      <c r="G811" s="785"/>
      <c r="H811" s="786">
        <v>340928</v>
      </c>
      <c r="I811" s="787">
        <v>1436883</v>
      </c>
      <c r="J811" s="786">
        <v>845164</v>
      </c>
      <c r="K811" s="785">
        <v>0</v>
      </c>
      <c r="L811" s="787">
        <f t="shared" si="24"/>
        <v>2622975</v>
      </c>
      <c r="M811" s="785"/>
      <c r="N811" s="786">
        <v>167518</v>
      </c>
      <c r="O811" s="786">
        <v>0</v>
      </c>
      <c r="P811" s="785">
        <v>396289</v>
      </c>
      <c r="Q811" s="787">
        <f t="shared" si="25"/>
        <v>563807</v>
      </c>
      <c r="R811" s="785"/>
      <c r="S811" s="786">
        <v>1994351</v>
      </c>
      <c r="T811" s="788">
        <v>-212974</v>
      </c>
      <c r="U811" s="788">
        <v>1781377</v>
      </c>
    </row>
    <row r="812" spans="1:21" x14ac:dyDescent="0.25">
      <c r="A812" s="782">
        <v>99013</v>
      </c>
      <c r="B812" s="783" t="s">
        <v>3422</v>
      </c>
      <c r="C812" s="784">
        <v>5.5999999999999999E-5</v>
      </c>
      <c r="D812" s="784">
        <v>6.02E-5</v>
      </c>
      <c r="E812" s="800">
        <v>27133</v>
      </c>
      <c r="F812" s="785">
        <v>85552</v>
      </c>
      <c r="G812" s="785"/>
      <c r="H812" s="786">
        <v>4929</v>
      </c>
      <c r="I812" s="787">
        <v>20773</v>
      </c>
      <c r="J812" s="786">
        <v>12218</v>
      </c>
      <c r="K812" s="785">
        <v>10</v>
      </c>
      <c r="L812" s="787">
        <f t="shared" si="24"/>
        <v>37930</v>
      </c>
      <c r="M812" s="785"/>
      <c r="N812" s="786">
        <v>2422</v>
      </c>
      <c r="O812" s="786">
        <v>0</v>
      </c>
      <c r="P812" s="785">
        <v>8046</v>
      </c>
      <c r="Q812" s="787">
        <f t="shared" si="25"/>
        <v>10468</v>
      </c>
      <c r="R812" s="785"/>
      <c r="S812" s="786">
        <v>28831</v>
      </c>
      <c r="T812" s="788">
        <v>-2790</v>
      </c>
      <c r="U812" s="788">
        <f>26042-1</f>
        <v>26041</v>
      </c>
    </row>
    <row r="813" spans="1:21" x14ac:dyDescent="0.25">
      <c r="A813" s="782">
        <v>99014</v>
      </c>
      <c r="B813" s="783" t="s">
        <v>3423</v>
      </c>
      <c r="C813" s="784">
        <v>2.0100000000000001E-5</v>
      </c>
      <c r="D813" s="784">
        <v>2.4199999999999999E-5</v>
      </c>
      <c r="E813" s="800">
        <v>13999</v>
      </c>
      <c r="F813" s="785">
        <v>30707</v>
      </c>
      <c r="G813" s="785"/>
      <c r="H813" s="786">
        <v>1769</v>
      </c>
      <c r="I813" s="787">
        <v>7456</v>
      </c>
      <c r="J813" s="786">
        <v>4385</v>
      </c>
      <c r="K813" s="785">
        <v>12703</v>
      </c>
      <c r="L813" s="787">
        <f t="shared" si="24"/>
        <v>26313</v>
      </c>
      <c r="M813" s="785"/>
      <c r="N813" s="786">
        <v>869</v>
      </c>
      <c r="O813" s="786">
        <v>0</v>
      </c>
      <c r="P813" s="785">
        <v>0</v>
      </c>
      <c r="Q813" s="787">
        <f t="shared" si="25"/>
        <v>869</v>
      </c>
      <c r="R813" s="785"/>
      <c r="S813" s="786">
        <v>10348</v>
      </c>
      <c r="T813" s="788">
        <v>4335</v>
      </c>
      <c r="U813" s="788">
        <v>14683</v>
      </c>
    </row>
    <row r="814" spans="1:21" x14ac:dyDescent="0.25">
      <c r="A814" s="782">
        <v>99017</v>
      </c>
      <c r="B814" s="783" t="s">
        <v>3424</v>
      </c>
      <c r="C814" s="784">
        <v>5.13E-5</v>
      </c>
      <c r="D814" s="784">
        <v>4.6999999999999997E-5</v>
      </c>
      <c r="E814" s="800">
        <v>25055</v>
      </c>
      <c r="F814" s="785">
        <v>78372</v>
      </c>
      <c r="G814" s="785"/>
      <c r="H814" s="786">
        <v>4515</v>
      </c>
      <c r="I814" s="787">
        <v>19029</v>
      </c>
      <c r="J814" s="786">
        <v>11193</v>
      </c>
      <c r="K814" s="785">
        <v>8072</v>
      </c>
      <c r="L814" s="787">
        <f t="shared" si="24"/>
        <v>42809</v>
      </c>
      <c r="M814" s="785"/>
      <c r="N814" s="786">
        <v>2218</v>
      </c>
      <c r="O814" s="786">
        <v>0</v>
      </c>
      <c r="P814" s="785">
        <v>3306</v>
      </c>
      <c r="Q814" s="787">
        <f t="shared" si="25"/>
        <v>5524</v>
      </c>
      <c r="R814" s="785"/>
      <c r="S814" s="786">
        <v>26411</v>
      </c>
      <c r="T814" s="788">
        <v>-629</v>
      </c>
      <c r="U814" s="788">
        <v>25782</v>
      </c>
    </row>
    <row r="815" spans="1:21" x14ac:dyDescent="0.25">
      <c r="A815" s="782">
        <v>99021</v>
      </c>
      <c r="B815" s="783" t="s">
        <v>3425</v>
      </c>
      <c r="C815" s="784">
        <v>1.5249999999999999E-4</v>
      </c>
      <c r="D815" s="784">
        <v>1.3420000000000001E-4</v>
      </c>
      <c r="E815" s="800">
        <v>64601</v>
      </c>
      <c r="F815" s="785">
        <v>232978</v>
      </c>
      <c r="G815" s="785"/>
      <c r="H815" s="786">
        <v>13422</v>
      </c>
      <c r="I815" s="787">
        <v>56568</v>
      </c>
      <c r="J815" s="786">
        <v>33272</v>
      </c>
      <c r="K815" s="785">
        <v>11565</v>
      </c>
      <c r="L815" s="787">
        <f t="shared" si="24"/>
        <v>114827</v>
      </c>
      <c r="M815" s="785"/>
      <c r="N815" s="786">
        <v>6595</v>
      </c>
      <c r="O815" s="786">
        <v>0</v>
      </c>
      <c r="P815" s="785">
        <v>728</v>
      </c>
      <c r="Q815" s="787">
        <f t="shared" si="25"/>
        <v>7323</v>
      </c>
      <c r="R815" s="785"/>
      <c r="S815" s="786">
        <v>78514</v>
      </c>
      <c r="T815" s="788">
        <v>3978</v>
      </c>
      <c r="U815" s="788">
        <f>82491+1</f>
        <v>82492</v>
      </c>
    </row>
    <row r="816" spans="1:21" x14ac:dyDescent="0.25">
      <c r="A816" s="782">
        <v>99022</v>
      </c>
      <c r="B816" s="783" t="s">
        <v>1935</v>
      </c>
      <c r="C816" s="784">
        <v>1.08E-5</v>
      </c>
      <c r="D816" s="784">
        <v>1.1800000000000001E-5</v>
      </c>
      <c r="E816" s="800">
        <v>11386</v>
      </c>
      <c r="F816" s="785">
        <v>16499</v>
      </c>
      <c r="G816" s="785"/>
      <c r="H816" s="786">
        <v>951</v>
      </c>
      <c r="I816" s="787">
        <v>4006</v>
      </c>
      <c r="J816" s="786">
        <v>2356</v>
      </c>
      <c r="K816" s="785">
        <v>8944</v>
      </c>
      <c r="L816" s="787">
        <f t="shared" si="24"/>
        <v>16257</v>
      </c>
      <c r="M816" s="785"/>
      <c r="N816" s="786">
        <v>467</v>
      </c>
      <c r="O816" s="786">
        <v>0</v>
      </c>
      <c r="P816" s="785">
        <v>132</v>
      </c>
      <c r="Q816" s="787">
        <f t="shared" si="25"/>
        <v>599</v>
      </c>
      <c r="R816" s="785"/>
      <c r="S816" s="786">
        <v>5560</v>
      </c>
      <c r="T816" s="788">
        <v>2896</v>
      </c>
      <c r="U816" s="788">
        <v>8456</v>
      </c>
    </row>
    <row r="817" spans="1:21" x14ac:dyDescent="0.25">
      <c r="A817" s="782">
        <v>99031</v>
      </c>
      <c r="B817" s="783" t="s">
        <v>3426</v>
      </c>
      <c r="C817" s="784">
        <v>1.518E-4</v>
      </c>
      <c r="D817" s="784">
        <v>1.5970000000000001E-4</v>
      </c>
      <c r="E817" s="800">
        <v>59833</v>
      </c>
      <c r="F817" s="785">
        <v>231908</v>
      </c>
      <c r="G817" s="785"/>
      <c r="H817" s="786">
        <v>13360</v>
      </c>
      <c r="I817" s="787">
        <v>56308</v>
      </c>
      <c r="J817" s="786">
        <v>33120</v>
      </c>
      <c r="K817" s="785">
        <v>2845</v>
      </c>
      <c r="L817" s="787">
        <f t="shared" si="24"/>
        <v>105633</v>
      </c>
      <c r="M817" s="785"/>
      <c r="N817" s="786">
        <v>6565</v>
      </c>
      <c r="O817" s="786">
        <v>0</v>
      </c>
      <c r="P817" s="785">
        <v>23907</v>
      </c>
      <c r="Q817" s="787">
        <f t="shared" si="25"/>
        <v>30472</v>
      </c>
      <c r="R817" s="785"/>
      <c r="S817" s="786">
        <v>78153</v>
      </c>
      <c r="T817" s="788">
        <v>-11727</v>
      </c>
      <c r="U817" s="788">
        <v>66426</v>
      </c>
    </row>
    <row r="818" spans="1:21" x14ac:dyDescent="0.25">
      <c r="A818" s="782">
        <v>99041</v>
      </c>
      <c r="B818" s="783" t="s">
        <v>3427</v>
      </c>
      <c r="C818" s="784">
        <v>6.3500000000000004E-4</v>
      </c>
      <c r="D818" s="784">
        <v>5.6289999999999997E-4</v>
      </c>
      <c r="E818" s="800">
        <v>254000</v>
      </c>
      <c r="F818" s="785">
        <v>970104</v>
      </c>
      <c r="G818" s="785"/>
      <c r="H818" s="786">
        <v>55887</v>
      </c>
      <c r="I818" s="787">
        <v>235543</v>
      </c>
      <c r="J818" s="786">
        <v>138544</v>
      </c>
      <c r="K818" s="785">
        <v>52920</v>
      </c>
      <c r="L818" s="787">
        <f t="shared" si="24"/>
        <v>482894</v>
      </c>
      <c r="M818" s="785"/>
      <c r="N818" s="786">
        <v>27461</v>
      </c>
      <c r="O818" s="786">
        <v>0</v>
      </c>
      <c r="P818" s="785">
        <v>0</v>
      </c>
      <c r="Q818" s="787">
        <f t="shared" si="25"/>
        <v>27461</v>
      </c>
      <c r="R818" s="785"/>
      <c r="S818" s="786">
        <v>326926</v>
      </c>
      <c r="T818" s="788">
        <v>28997</v>
      </c>
      <c r="U818" s="788">
        <v>355923</v>
      </c>
    </row>
    <row r="819" spans="1:21" x14ac:dyDescent="0.25">
      <c r="A819" s="782">
        <v>99047</v>
      </c>
      <c r="B819" s="783" t="s">
        <v>3428</v>
      </c>
      <c r="C819" s="784">
        <v>1.42E-5</v>
      </c>
      <c r="D819" s="784">
        <v>9.2E-6</v>
      </c>
      <c r="E819" s="800">
        <v>7761</v>
      </c>
      <c r="F819" s="785">
        <v>21694</v>
      </c>
      <c r="G819" s="785"/>
      <c r="H819" s="786">
        <v>1250</v>
      </c>
      <c r="I819" s="787">
        <v>5267</v>
      </c>
      <c r="J819" s="786">
        <v>3098</v>
      </c>
      <c r="K819" s="785">
        <v>6410</v>
      </c>
      <c r="L819" s="787">
        <f t="shared" si="24"/>
        <v>16025</v>
      </c>
      <c r="M819" s="785"/>
      <c r="N819" s="786">
        <v>614</v>
      </c>
      <c r="O819" s="786">
        <v>0</v>
      </c>
      <c r="P819" s="785">
        <v>0</v>
      </c>
      <c r="Q819" s="787">
        <f t="shared" si="25"/>
        <v>614</v>
      </c>
      <c r="R819" s="785"/>
      <c r="S819" s="786">
        <v>7311</v>
      </c>
      <c r="T819" s="788">
        <v>2345</v>
      </c>
      <c r="U819" s="788">
        <f>9655+1</f>
        <v>9656</v>
      </c>
    </row>
    <row r="820" spans="1:21" x14ac:dyDescent="0.25">
      <c r="A820" s="782">
        <v>99051</v>
      </c>
      <c r="B820" s="783" t="s">
        <v>3429</v>
      </c>
      <c r="C820" s="784">
        <v>3.5359999999999998E-4</v>
      </c>
      <c r="D820" s="784">
        <v>3.3349999999999997E-4</v>
      </c>
      <c r="E820" s="800">
        <v>142317</v>
      </c>
      <c r="F820" s="785">
        <v>540203</v>
      </c>
      <c r="G820" s="785"/>
      <c r="H820" s="786">
        <v>31121</v>
      </c>
      <c r="I820" s="787">
        <v>131162</v>
      </c>
      <c r="J820" s="786">
        <v>77148</v>
      </c>
      <c r="K820" s="785">
        <v>11433</v>
      </c>
      <c r="L820" s="787">
        <f t="shared" si="24"/>
        <v>250864</v>
      </c>
      <c r="M820" s="785"/>
      <c r="N820" s="786">
        <v>15291</v>
      </c>
      <c r="O820" s="786">
        <v>0</v>
      </c>
      <c r="P820" s="785">
        <v>2536</v>
      </c>
      <c r="Q820" s="787">
        <f t="shared" si="25"/>
        <v>17827</v>
      </c>
      <c r="R820" s="785"/>
      <c r="S820" s="786">
        <v>182049</v>
      </c>
      <c r="T820" s="788">
        <v>4776</v>
      </c>
      <c r="U820" s="788">
        <f>186824+1</f>
        <v>186825</v>
      </c>
    </row>
    <row r="821" spans="1:21" x14ac:dyDescent="0.25">
      <c r="A821" s="782">
        <v>99061</v>
      </c>
      <c r="B821" s="783" t="s">
        <v>3430</v>
      </c>
      <c r="C821" s="784">
        <v>8.1000000000000004E-6</v>
      </c>
      <c r="D821" s="784">
        <v>8.3999999999999992E-6</v>
      </c>
      <c r="E821" s="800">
        <v>7897</v>
      </c>
      <c r="F821" s="785">
        <v>12375</v>
      </c>
      <c r="G821" s="785"/>
      <c r="H821" s="786">
        <v>713</v>
      </c>
      <c r="I821" s="787">
        <v>3005</v>
      </c>
      <c r="J821" s="786">
        <v>1767</v>
      </c>
      <c r="K821" s="785">
        <v>7276</v>
      </c>
      <c r="L821" s="787">
        <f t="shared" si="24"/>
        <v>12761</v>
      </c>
      <c r="M821" s="785"/>
      <c r="N821" s="786">
        <v>350</v>
      </c>
      <c r="O821" s="786">
        <v>0</v>
      </c>
      <c r="P821" s="785">
        <v>0</v>
      </c>
      <c r="Q821" s="787">
        <f t="shared" si="25"/>
        <v>350</v>
      </c>
      <c r="R821" s="785"/>
      <c r="S821" s="786">
        <v>4170</v>
      </c>
      <c r="T821" s="788">
        <v>2674</v>
      </c>
      <c r="U821" s="788">
        <v>6844</v>
      </c>
    </row>
    <row r="822" spans="1:21" x14ac:dyDescent="0.25">
      <c r="A822" s="782">
        <v>99071</v>
      </c>
      <c r="B822" s="783" t="s">
        <v>3431</v>
      </c>
      <c r="C822" s="784">
        <v>3.04E-5</v>
      </c>
      <c r="D822" s="784">
        <v>3.0499999999999999E-5</v>
      </c>
      <c r="E822" s="800">
        <v>15062</v>
      </c>
      <c r="F822" s="785">
        <v>46443</v>
      </c>
      <c r="G822" s="785"/>
      <c r="H822" s="786">
        <v>2676</v>
      </c>
      <c r="I822" s="787">
        <v>11277</v>
      </c>
      <c r="J822" s="786">
        <v>6633</v>
      </c>
      <c r="K822" s="785">
        <v>818</v>
      </c>
      <c r="L822" s="787">
        <f t="shared" si="24"/>
        <v>21404</v>
      </c>
      <c r="M822" s="785"/>
      <c r="N822" s="786">
        <v>1315</v>
      </c>
      <c r="O822" s="786">
        <v>0</v>
      </c>
      <c r="P822" s="785">
        <v>2093</v>
      </c>
      <c r="Q822" s="787">
        <f t="shared" si="25"/>
        <v>3408</v>
      </c>
      <c r="R822" s="785"/>
      <c r="S822" s="786">
        <v>15651</v>
      </c>
      <c r="T822" s="788">
        <v>-1107</v>
      </c>
      <c r="U822" s="788">
        <v>14544</v>
      </c>
    </row>
    <row r="823" spans="1:21" x14ac:dyDescent="0.25">
      <c r="A823" s="782">
        <v>99081</v>
      </c>
      <c r="B823" s="783" t="s">
        <v>3432</v>
      </c>
      <c r="C823" s="784">
        <v>1.1E-5</v>
      </c>
      <c r="D823" s="784">
        <v>2.9600000000000001E-5</v>
      </c>
      <c r="E823" s="800">
        <v>10195</v>
      </c>
      <c r="F823" s="785">
        <v>16805</v>
      </c>
      <c r="G823" s="785"/>
      <c r="H823" s="786">
        <v>968</v>
      </c>
      <c r="I823" s="787">
        <v>4081</v>
      </c>
      <c r="J823" s="786">
        <v>2400</v>
      </c>
      <c r="K823" s="785">
        <v>3587</v>
      </c>
      <c r="L823" s="787">
        <f t="shared" si="24"/>
        <v>11036</v>
      </c>
      <c r="M823" s="785"/>
      <c r="N823" s="786">
        <v>476</v>
      </c>
      <c r="O823" s="786">
        <v>0</v>
      </c>
      <c r="P823" s="785">
        <v>13215</v>
      </c>
      <c r="Q823" s="787">
        <f t="shared" si="25"/>
        <v>13691</v>
      </c>
      <c r="R823" s="785"/>
      <c r="S823" s="786">
        <v>5663</v>
      </c>
      <c r="T823" s="788">
        <v>-2898</v>
      </c>
      <c r="U823" s="788">
        <f>2766-1</f>
        <v>2765</v>
      </c>
    </row>
    <row r="824" spans="1:21" x14ac:dyDescent="0.25">
      <c r="A824" s="782">
        <v>99091</v>
      </c>
      <c r="B824" s="783" t="s">
        <v>3433</v>
      </c>
      <c r="C824" s="784">
        <v>3.9999999999999998E-6</v>
      </c>
      <c r="D824" s="784">
        <v>4.1999999999999996E-6</v>
      </c>
      <c r="E824" s="800">
        <v>4831</v>
      </c>
      <c r="F824" s="785">
        <v>6111</v>
      </c>
      <c r="G824" s="785"/>
      <c r="H824" s="786">
        <v>352</v>
      </c>
      <c r="I824" s="787">
        <v>1484</v>
      </c>
      <c r="J824" s="786">
        <v>873</v>
      </c>
      <c r="K824" s="785">
        <v>4105</v>
      </c>
      <c r="L824" s="787">
        <f t="shared" si="24"/>
        <v>6814</v>
      </c>
      <c r="M824" s="785"/>
      <c r="N824" s="786">
        <v>173</v>
      </c>
      <c r="O824" s="786">
        <v>0</v>
      </c>
      <c r="P824" s="785">
        <v>3232</v>
      </c>
      <c r="Q824" s="787">
        <f t="shared" si="25"/>
        <v>3405</v>
      </c>
      <c r="R824" s="785"/>
      <c r="S824" s="786">
        <v>2059</v>
      </c>
      <c r="T824" s="788">
        <v>-1926</v>
      </c>
      <c r="U824" s="788">
        <f>134-1</f>
        <v>133</v>
      </c>
    </row>
    <row r="825" spans="1:21" x14ac:dyDescent="0.25">
      <c r="A825" s="782">
        <v>99101</v>
      </c>
      <c r="B825" s="783" t="s">
        <v>3434</v>
      </c>
      <c r="C825" s="784">
        <v>2.1724000000000001E-3</v>
      </c>
      <c r="D825" s="784">
        <v>2.0087999999999998E-3</v>
      </c>
      <c r="E825" s="800">
        <v>914274</v>
      </c>
      <c r="F825" s="785">
        <v>3318825</v>
      </c>
      <c r="G825" s="785"/>
      <c r="H825" s="786">
        <v>191195</v>
      </c>
      <c r="I825" s="787">
        <v>805815</v>
      </c>
      <c r="J825" s="786">
        <v>473974</v>
      </c>
      <c r="K825" s="785">
        <v>48335</v>
      </c>
      <c r="L825" s="787">
        <f t="shared" si="24"/>
        <v>1519319</v>
      </c>
      <c r="M825" s="785"/>
      <c r="N825" s="786">
        <v>93945</v>
      </c>
      <c r="O825" s="786">
        <v>0</v>
      </c>
      <c r="P825" s="785">
        <v>44900</v>
      </c>
      <c r="Q825" s="787">
        <f t="shared" si="25"/>
        <v>138845</v>
      </c>
      <c r="R825" s="785"/>
      <c r="S825" s="786">
        <v>1118447</v>
      </c>
      <c r="T825" s="788">
        <v>-14151</v>
      </c>
      <c r="U825" s="788">
        <v>1104296</v>
      </c>
    </row>
    <row r="826" spans="1:21" x14ac:dyDescent="0.25">
      <c r="A826" s="782">
        <v>99104</v>
      </c>
      <c r="B826" s="783" t="s">
        <v>3435</v>
      </c>
      <c r="C826" s="784">
        <v>3.3500000000000001E-5</v>
      </c>
      <c r="D826" s="784">
        <v>3.4799999999999999E-5</v>
      </c>
      <c r="E826" s="800">
        <v>22874</v>
      </c>
      <c r="F826" s="785">
        <v>51179</v>
      </c>
      <c r="G826" s="785"/>
      <c r="H826" s="786">
        <v>2948</v>
      </c>
      <c r="I826" s="787">
        <v>12426</v>
      </c>
      <c r="J826" s="786">
        <v>7309</v>
      </c>
      <c r="K826" s="785">
        <v>15217</v>
      </c>
      <c r="L826" s="787">
        <f t="shared" si="24"/>
        <v>37900</v>
      </c>
      <c r="M826" s="785"/>
      <c r="N826" s="786">
        <v>1449</v>
      </c>
      <c r="O826" s="786">
        <v>0</v>
      </c>
      <c r="P826" s="785">
        <v>0</v>
      </c>
      <c r="Q826" s="787">
        <f t="shared" si="25"/>
        <v>1449</v>
      </c>
      <c r="R826" s="785"/>
      <c r="S826" s="786">
        <v>17247</v>
      </c>
      <c r="T826" s="788">
        <v>6167</v>
      </c>
      <c r="U826" s="788">
        <f>23415-1</f>
        <v>23414</v>
      </c>
    </row>
    <row r="827" spans="1:21" x14ac:dyDescent="0.25">
      <c r="A827" s="782">
        <v>99109</v>
      </c>
      <c r="B827" s="783" t="s">
        <v>3436</v>
      </c>
      <c r="C827" s="784">
        <v>1.2339999999999999E-4</v>
      </c>
      <c r="D827" s="784">
        <v>1.1849999999999999E-4</v>
      </c>
      <c r="E827" s="800">
        <v>56338</v>
      </c>
      <c r="F827" s="785">
        <v>188521</v>
      </c>
      <c r="G827" s="785"/>
      <c r="H827" s="786">
        <v>10861</v>
      </c>
      <c r="I827" s="787">
        <v>45773</v>
      </c>
      <c r="J827" s="786">
        <v>26923</v>
      </c>
      <c r="K827" s="785">
        <v>6454</v>
      </c>
      <c r="L827" s="787">
        <f t="shared" si="24"/>
        <v>90011</v>
      </c>
      <c r="M827" s="785"/>
      <c r="N827" s="786">
        <v>5336</v>
      </c>
      <c r="O827" s="786">
        <v>0</v>
      </c>
      <c r="P827" s="785">
        <v>14208</v>
      </c>
      <c r="Q827" s="787">
        <f t="shared" si="25"/>
        <v>19544</v>
      </c>
      <c r="R827" s="785"/>
      <c r="S827" s="786">
        <v>63532</v>
      </c>
      <c r="T827" s="788">
        <v>-5391</v>
      </c>
      <c r="U827" s="788">
        <f>58140+1</f>
        <v>58141</v>
      </c>
    </row>
    <row r="828" spans="1:21" x14ac:dyDescent="0.25">
      <c r="A828" s="782">
        <v>99110</v>
      </c>
      <c r="B828" s="783" t="s">
        <v>3437</v>
      </c>
      <c r="C828" s="784">
        <v>1.7670000000000001E-4</v>
      </c>
      <c r="D828" s="784">
        <v>1.8369999999999999E-4</v>
      </c>
      <c r="E828" s="800">
        <v>119963</v>
      </c>
      <c r="F828" s="785">
        <v>269949</v>
      </c>
      <c r="G828" s="785"/>
      <c r="H828" s="786">
        <v>15552</v>
      </c>
      <c r="I828" s="787">
        <v>65544</v>
      </c>
      <c r="J828" s="786">
        <v>38552</v>
      </c>
      <c r="K828" s="785">
        <v>69046</v>
      </c>
      <c r="L828" s="787">
        <f t="shared" si="24"/>
        <v>188694</v>
      </c>
      <c r="M828" s="785"/>
      <c r="N828" s="786">
        <v>7641</v>
      </c>
      <c r="O828" s="786">
        <v>0</v>
      </c>
      <c r="P828" s="785">
        <v>0</v>
      </c>
      <c r="Q828" s="787">
        <f t="shared" si="25"/>
        <v>7641</v>
      </c>
      <c r="R828" s="785"/>
      <c r="S828" s="786">
        <v>90973</v>
      </c>
      <c r="T828" s="788">
        <v>27602</v>
      </c>
      <c r="U828" s="788">
        <v>118575</v>
      </c>
    </row>
    <row r="829" spans="1:21" x14ac:dyDescent="0.25">
      <c r="A829" s="782">
        <v>99111</v>
      </c>
      <c r="B829" s="783" t="s">
        <v>3438</v>
      </c>
      <c r="C829" s="784">
        <v>1.2618E-3</v>
      </c>
      <c r="D829" s="784">
        <v>1.2757000000000001E-3</v>
      </c>
      <c r="E829" s="800">
        <v>543583</v>
      </c>
      <c r="F829" s="785">
        <v>1927681</v>
      </c>
      <c r="G829" s="785"/>
      <c r="H829" s="786">
        <v>111052</v>
      </c>
      <c r="I829" s="787">
        <v>468043</v>
      </c>
      <c r="J829" s="786">
        <v>275300</v>
      </c>
      <c r="K829" s="785">
        <v>0</v>
      </c>
      <c r="L829" s="787">
        <f t="shared" si="24"/>
        <v>854395</v>
      </c>
      <c r="M829" s="785"/>
      <c r="N829" s="786">
        <v>54567</v>
      </c>
      <c r="O829" s="786">
        <v>0</v>
      </c>
      <c r="P829" s="785">
        <v>143900</v>
      </c>
      <c r="Q829" s="787">
        <f t="shared" si="25"/>
        <v>198467</v>
      </c>
      <c r="R829" s="785"/>
      <c r="S829" s="786">
        <v>649630</v>
      </c>
      <c r="T829" s="788">
        <v>-68554</v>
      </c>
      <c r="U829" s="788">
        <v>581076</v>
      </c>
    </row>
    <row r="830" spans="1:21" x14ac:dyDescent="0.25">
      <c r="A830" s="782">
        <v>99201</v>
      </c>
      <c r="B830" s="783" t="s">
        <v>3439</v>
      </c>
      <c r="C830" s="784">
        <v>3.3297199999999999E-2</v>
      </c>
      <c r="D830" s="784">
        <v>3.22145E-2</v>
      </c>
      <c r="E830" s="800">
        <v>15084487</v>
      </c>
      <c r="F830" s="785">
        <v>50868898</v>
      </c>
      <c r="G830" s="785"/>
      <c r="H830" s="786">
        <v>2930520</v>
      </c>
      <c r="I830" s="787">
        <v>12351030</v>
      </c>
      <c r="J830" s="786">
        <v>7264783</v>
      </c>
      <c r="K830" s="785">
        <v>1320745</v>
      </c>
      <c r="L830" s="787">
        <f t="shared" si="24"/>
        <v>23867078</v>
      </c>
      <c r="M830" s="785"/>
      <c r="N830" s="786">
        <v>1439937</v>
      </c>
      <c r="O830" s="786">
        <v>0</v>
      </c>
      <c r="P830" s="785">
        <v>241517</v>
      </c>
      <c r="Q830" s="787">
        <f t="shared" si="25"/>
        <v>1681454</v>
      </c>
      <c r="R830" s="785"/>
      <c r="S830" s="786">
        <v>17142864</v>
      </c>
      <c r="T830" s="788">
        <v>242815</v>
      </c>
      <c r="U830" s="788">
        <v>17385679</v>
      </c>
    </row>
    <row r="831" spans="1:21" x14ac:dyDescent="0.25">
      <c r="A831" s="782">
        <v>99202</v>
      </c>
      <c r="B831" s="783" t="s">
        <v>3440</v>
      </c>
      <c r="C831" s="784">
        <v>2.5855000000000001E-3</v>
      </c>
      <c r="D831" s="784">
        <v>2.5138000000000001E-3</v>
      </c>
      <c r="E831" s="800">
        <v>1072068</v>
      </c>
      <c r="F831" s="785">
        <v>3949928</v>
      </c>
      <c r="G831" s="785"/>
      <c r="H831" s="786">
        <v>227552</v>
      </c>
      <c r="I831" s="787">
        <v>959048</v>
      </c>
      <c r="J831" s="786">
        <v>564104</v>
      </c>
      <c r="K831" s="785">
        <v>0</v>
      </c>
      <c r="L831" s="787">
        <f t="shared" si="24"/>
        <v>1750704</v>
      </c>
      <c r="M831" s="785"/>
      <c r="N831" s="786">
        <v>111810</v>
      </c>
      <c r="O831" s="786">
        <v>0</v>
      </c>
      <c r="P831" s="785">
        <v>184130</v>
      </c>
      <c r="Q831" s="787">
        <f t="shared" si="25"/>
        <v>295940</v>
      </c>
      <c r="R831" s="785"/>
      <c r="S831" s="786">
        <v>1331129</v>
      </c>
      <c r="T831" s="788">
        <v>-73084</v>
      </c>
      <c r="U831" s="788">
        <v>1258045</v>
      </c>
    </row>
    <row r="832" spans="1:21" x14ac:dyDescent="0.25">
      <c r="A832" s="782">
        <v>99203</v>
      </c>
      <c r="B832" s="783" t="s">
        <v>3441</v>
      </c>
      <c r="C832" s="784">
        <v>3.0410000000000002E-4</v>
      </c>
      <c r="D832" s="784">
        <v>3.1990000000000002E-4</v>
      </c>
      <c r="E832" s="800">
        <v>126936</v>
      </c>
      <c r="F832" s="785">
        <v>464581</v>
      </c>
      <c r="G832" s="785"/>
      <c r="H832" s="786">
        <v>26764</v>
      </c>
      <c r="I832" s="787">
        <v>112801</v>
      </c>
      <c r="J832" s="786">
        <v>66349</v>
      </c>
      <c r="K832" s="785">
        <v>24433</v>
      </c>
      <c r="L832" s="787">
        <f t="shared" si="24"/>
        <v>230347</v>
      </c>
      <c r="M832" s="785"/>
      <c r="N832" s="786">
        <v>13151</v>
      </c>
      <c r="O832" s="786">
        <v>0</v>
      </c>
      <c r="P832" s="785">
        <v>20730</v>
      </c>
      <c r="Q832" s="787">
        <f t="shared" si="25"/>
        <v>33881</v>
      </c>
      <c r="R832" s="785"/>
      <c r="S832" s="786">
        <v>156564</v>
      </c>
      <c r="T832" s="788">
        <v>11213</v>
      </c>
      <c r="U832" s="788">
        <v>167777</v>
      </c>
    </row>
    <row r="833" spans="1:21" x14ac:dyDescent="0.25">
      <c r="A833" s="782">
        <v>99204</v>
      </c>
      <c r="B833" s="783" t="s">
        <v>3442</v>
      </c>
      <c r="C833" s="784">
        <v>8.3549999999999998E-4</v>
      </c>
      <c r="D833" s="784">
        <v>7.4910000000000005E-4</v>
      </c>
      <c r="E833" s="800">
        <v>375261</v>
      </c>
      <c r="F833" s="785">
        <v>1276413</v>
      </c>
      <c r="G833" s="785"/>
      <c r="H833" s="786">
        <v>73533</v>
      </c>
      <c r="I833" s="787">
        <v>309914</v>
      </c>
      <c r="J833" s="786">
        <v>182289</v>
      </c>
      <c r="K833" s="785">
        <v>108607</v>
      </c>
      <c r="L833" s="787">
        <f t="shared" si="24"/>
        <v>674343</v>
      </c>
      <c r="M833" s="785"/>
      <c r="N833" s="786">
        <v>36131</v>
      </c>
      <c r="O833" s="786">
        <v>0</v>
      </c>
      <c r="P833" s="785">
        <v>0</v>
      </c>
      <c r="Q833" s="787">
        <f t="shared" si="25"/>
        <v>36131</v>
      </c>
      <c r="R833" s="785"/>
      <c r="S833" s="786">
        <v>430152</v>
      </c>
      <c r="T833" s="788">
        <v>37657</v>
      </c>
      <c r="U833" s="788">
        <v>467809</v>
      </c>
    </row>
    <row r="834" spans="1:21" x14ac:dyDescent="0.25">
      <c r="A834" s="782">
        <v>99206</v>
      </c>
      <c r="B834" s="783" t="s">
        <v>3443</v>
      </c>
      <c r="C834" s="784">
        <v>1.6957999999999999E-3</v>
      </c>
      <c r="D834" s="784">
        <v>1.6665E-3</v>
      </c>
      <c r="E834" s="800">
        <v>1210225</v>
      </c>
      <c r="F834" s="785">
        <v>2590713</v>
      </c>
      <c r="G834" s="785"/>
      <c r="H834" s="786">
        <v>149249</v>
      </c>
      <c r="I834" s="787">
        <v>629028</v>
      </c>
      <c r="J834" s="786">
        <v>369990</v>
      </c>
      <c r="K834" s="785">
        <v>641271</v>
      </c>
      <c r="L834" s="787">
        <f t="shared" si="24"/>
        <v>1789538</v>
      </c>
      <c r="M834" s="785"/>
      <c r="N834" s="786">
        <v>73335</v>
      </c>
      <c r="O834" s="786">
        <v>0</v>
      </c>
      <c r="P834" s="785">
        <v>6741</v>
      </c>
      <c r="Q834" s="787">
        <f t="shared" si="25"/>
        <v>80076</v>
      </c>
      <c r="R834" s="785"/>
      <c r="S834" s="786">
        <v>873072</v>
      </c>
      <c r="T834" s="788">
        <v>209066</v>
      </c>
      <c r="U834" s="788">
        <f>1082139-1</f>
        <v>1082138</v>
      </c>
    </row>
    <row r="835" spans="1:21" x14ac:dyDescent="0.25">
      <c r="A835" s="782">
        <v>99207</v>
      </c>
      <c r="B835" s="783" t="s">
        <v>3675</v>
      </c>
      <c r="C835" s="784">
        <v>1.3329999999999999E-4</v>
      </c>
      <c r="D835" s="784">
        <v>1.3430000000000001E-4</v>
      </c>
      <c r="E835" s="800">
        <v>175075</v>
      </c>
      <c r="F835" s="785">
        <v>203645</v>
      </c>
      <c r="G835" s="785"/>
      <c r="H835" s="786">
        <v>11732</v>
      </c>
      <c r="I835" s="787">
        <v>49445</v>
      </c>
      <c r="J835" s="786">
        <v>29083</v>
      </c>
      <c r="K835" s="785">
        <v>145724</v>
      </c>
      <c r="L835" s="787">
        <f t="shared" si="24"/>
        <v>235984</v>
      </c>
      <c r="M835" s="785"/>
      <c r="N835" s="786">
        <v>5765</v>
      </c>
      <c r="O835" s="786">
        <v>0</v>
      </c>
      <c r="P835" s="785">
        <v>0</v>
      </c>
      <c r="Q835" s="787">
        <f t="shared" si="25"/>
        <v>5765</v>
      </c>
      <c r="R835" s="785"/>
      <c r="S835" s="786">
        <v>68629</v>
      </c>
      <c r="T835" s="788">
        <v>46901</v>
      </c>
      <c r="U835" s="788">
        <v>115530</v>
      </c>
    </row>
    <row r="836" spans="1:21" x14ac:dyDescent="0.25">
      <c r="A836" s="782">
        <v>99208</v>
      </c>
      <c r="B836" s="783" t="s">
        <v>3445</v>
      </c>
      <c r="C836" s="784">
        <v>1.4569999999999999E-4</v>
      </c>
      <c r="D836" s="784">
        <v>1.3669999999999999E-4</v>
      </c>
      <c r="E836" s="800">
        <v>57804</v>
      </c>
      <c r="F836" s="785">
        <v>222589</v>
      </c>
      <c r="G836" s="785"/>
      <c r="H836" s="786">
        <v>12823</v>
      </c>
      <c r="I836" s="787">
        <v>54045</v>
      </c>
      <c r="J836" s="786">
        <v>31789</v>
      </c>
      <c r="K836" s="785">
        <v>0</v>
      </c>
      <c r="L836" s="787">
        <f t="shared" si="24"/>
        <v>98657</v>
      </c>
      <c r="M836" s="785"/>
      <c r="N836" s="786">
        <v>6301</v>
      </c>
      <c r="O836" s="786">
        <v>0</v>
      </c>
      <c r="P836" s="785">
        <v>38521</v>
      </c>
      <c r="Q836" s="787">
        <f t="shared" si="25"/>
        <v>44822</v>
      </c>
      <c r="R836" s="785"/>
      <c r="S836" s="786">
        <v>75013</v>
      </c>
      <c r="T836" s="788">
        <v>-20543</v>
      </c>
      <c r="U836" s="788">
        <v>54470</v>
      </c>
    </row>
    <row r="837" spans="1:21" x14ac:dyDescent="0.25">
      <c r="A837" s="782">
        <v>99210</v>
      </c>
      <c r="B837" s="783" t="s">
        <v>3446</v>
      </c>
      <c r="C837" s="784">
        <v>1.5943999999999999E-3</v>
      </c>
      <c r="D837" s="784">
        <v>1.5945E-3</v>
      </c>
      <c r="E837" s="800">
        <v>789521</v>
      </c>
      <c r="F837" s="785">
        <v>2435802</v>
      </c>
      <c r="G837" s="785"/>
      <c r="H837" s="786">
        <v>140325</v>
      </c>
      <c r="I837" s="787">
        <v>591415</v>
      </c>
      <c r="J837" s="786">
        <v>347866</v>
      </c>
      <c r="K837" s="785">
        <v>99237</v>
      </c>
      <c r="L837" s="787">
        <f t="shared" si="24"/>
        <v>1178843</v>
      </c>
      <c r="M837" s="785"/>
      <c r="N837" s="786">
        <v>68950</v>
      </c>
      <c r="O837" s="786">
        <v>0</v>
      </c>
      <c r="P837" s="785">
        <v>0</v>
      </c>
      <c r="Q837" s="787">
        <f t="shared" si="25"/>
        <v>68950</v>
      </c>
      <c r="R837" s="785"/>
      <c r="S837" s="786">
        <v>820867</v>
      </c>
      <c r="T837" s="788">
        <v>39106</v>
      </c>
      <c r="U837" s="788">
        <f>859974-1</f>
        <v>859973</v>
      </c>
    </row>
    <row r="838" spans="1:21" x14ac:dyDescent="0.25">
      <c r="A838" s="782">
        <v>99211</v>
      </c>
      <c r="B838" s="783" t="s">
        <v>3447</v>
      </c>
      <c r="C838" s="784">
        <v>3.7100599999999997E-2</v>
      </c>
      <c r="D838" s="784">
        <v>3.8233999999999997E-2</v>
      </c>
      <c r="E838" s="800">
        <v>16957539</v>
      </c>
      <c r="F838" s="785">
        <v>56679440</v>
      </c>
      <c r="G838" s="785"/>
      <c r="H838" s="786">
        <v>3265261</v>
      </c>
      <c r="I838" s="787">
        <v>13761837</v>
      </c>
      <c r="J838" s="786">
        <v>8094609</v>
      </c>
      <c r="K838" s="785">
        <v>0</v>
      </c>
      <c r="L838" s="787">
        <f t="shared" si="24"/>
        <v>25121707</v>
      </c>
      <c r="M838" s="785"/>
      <c r="N838" s="786">
        <v>1604415</v>
      </c>
      <c r="O838" s="786">
        <v>0</v>
      </c>
      <c r="P838" s="785">
        <v>1838947</v>
      </c>
      <c r="Q838" s="787">
        <f t="shared" si="25"/>
        <v>3443362</v>
      </c>
      <c r="R838" s="785"/>
      <c r="S838" s="786">
        <v>19101021</v>
      </c>
      <c r="T838" s="788">
        <v>-724653</v>
      </c>
      <c r="U838" s="788">
        <f>18376369-1</f>
        <v>18376368</v>
      </c>
    </row>
    <row r="839" spans="1:21" x14ac:dyDescent="0.25">
      <c r="A839" s="782">
        <v>99212</v>
      </c>
      <c r="B839" s="783" t="s">
        <v>3448</v>
      </c>
      <c r="C839" s="784">
        <v>8.14E-5</v>
      </c>
      <c r="D839" s="784">
        <v>7.4400000000000006E-5</v>
      </c>
      <c r="E839" s="800">
        <v>31805</v>
      </c>
      <c r="F839" s="785">
        <v>124357</v>
      </c>
      <c r="G839" s="785"/>
      <c r="H839" s="786">
        <v>7164</v>
      </c>
      <c r="I839" s="787">
        <v>30194</v>
      </c>
      <c r="J839" s="786">
        <v>17760</v>
      </c>
      <c r="K839" s="785">
        <v>242</v>
      </c>
      <c r="L839" s="787">
        <f t="shared" ref="L839:L902" si="26">H839+I839+J839+K839</f>
        <v>55360</v>
      </c>
      <c r="M839" s="785"/>
      <c r="N839" s="786">
        <v>3520</v>
      </c>
      <c r="O839" s="786">
        <v>0</v>
      </c>
      <c r="P839" s="785">
        <v>34044</v>
      </c>
      <c r="Q839" s="787">
        <f t="shared" ref="Q839:Q902" si="27">N839+O839+P839</f>
        <v>37564</v>
      </c>
      <c r="R839" s="785"/>
      <c r="S839" s="786">
        <v>41908</v>
      </c>
      <c r="T839" s="788">
        <v>-15261</v>
      </c>
      <c r="U839" s="788">
        <v>26647</v>
      </c>
    </row>
    <row r="840" spans="1:21" x14ac:dyDescent="0.25">
      <c r="A840" s="782">
        <v>99213</v>
      </c>
      <c r="B840" s="783" t="s">
        <v>3449</v>
      </c>
      <c r="C840" s="784">
        <v>7.5159999999999995E-4</v>
      </c>
      <c r="D840" s="784">
        <v>8.0730000000000005E-4</v>
      </c>
      <c r="E840" s="800">
        <v>353817</v>
      </c>
      <c r="F840" s="785">
        <v>1148237</v>
      </c>
      <c r="G840" s="785"/>
      <c r="H840" s="786">
        <v>66149</v>
      </c>
      <c r="I840" s="787">
        <v>278793</v>
      </c>
      <c r="J840" s="786">
        <v>163984</v>
      </c>
      <c r="K840" s="785">
        <v>6057</v>
      </c>
      <c r="L840" s="787">
        <f t="shared" si="26"/>
        <v>514983</v>
      </c>
      <c r="M840" s="785"/>
      <c r="N840" s="786">
        <v>32503</v>
      </c>
      <c r="O840" s="786">
        <v>0</v>
      </c>
      <c r="P840" s="785">
        <v>45468</v>
      </c>
      <c r="Q840" s="787">
        <f t="shared" si="27"/>
        <v>77971</v>
      </c>
      <c r="R840" s="785"/>
      <c r="S840" s="786">
        <v>386957</v>
      </c>
      <c r="T840" s="788">
        <v>-10310</v>
      </c>
      <c r="U840" s="788">
        <f>376646+1</f>
        <v>376647</v>
      </c>
    </row>
    <row r="841" spans="1:21" x14ac:dyDescent="0.25">
      <c r="A841" s="782">
        <v>99218</v>
      </c>
      <c r="B841" s="783" t="s">
        <v>3450</v>
      </c>
      <c r="C841" s="784">
        <v>3.1162E-3</v>
      </c>
      <c r="D841" s="784">
        <v>3.1227999999999998E-3</v>
      </c>
      <c r="E841" s="800">
        <v>1493014</v>
      </c>
      <c r="F841" s="785">
        <v>4760690</v>
      </c>
      <c r="G841" s="785"/>
      <c r="H841" s="786">
        <v>274260</v>
      </c>
      <c r="I841" s="787">
        <v>1155902</v>
      </c>
      <c r="J841" s="786">
        <v>679893</v>
      </c>
      <c r="K841" s="785">
        <v>179789</v>
      </c>
      <c r="L841" s="787">
        <f t="shared" si="26"/>
        <v>2289844</v>
      </c>
      <c r="M841" s="785"/>
      <c r="N841" s="786">
        <v>134760</v>
      </c>
      <c r="O841" s="786">
        <v>0</v>
      </c>
      <c r="P841" s="785">
        <v>0</v>
      </c>
      <c r="Q841" s="787">
        <f t="shared" si="27"/>
        <v>134760</v>
      </c>
      <c r="R841" s="785"/>
      <c r="S841" s="786">
        <v>1604357</v>
      </c>
      <c r="T841" s="788">
        <v>66860</v>
      </c>
      <c r="U841" s="788">
        <v>1671217</v>
      </c>
    </row>
    <row r="842" spans="1:21" x14ac:dyDescent="0.25">
      <c r="A842" s="782">
        <v>99221</v>
      </c>
      <c r="B842" s="783" t="s">
        <v>3451</v>
      </c>
      <c r="C842" s="784">
        <v>1.27709E-2</v>
      </c>
      <c r="D842" s="784">
        <v>1.3092700000000001E-2</v>
      </c>
      <c r="E842" s="800">
        <v>5876509</v>
      </c>
      <c r="F842" s="785">
        <v>19510398</v>
      </c>
      <c r="G842" s="785"/>
      <c r="H842" s="786">
        <v>1123980</v>
      </c>
      <c r="I842" s="787">
        <v>4737148</v>
      </c>
      <c r="J842" s="786">
        <v>2786355</v>
      </c>
      <c r="K842" s="785">
        <v>0</v>
      </c>
      <c r="L842" s="787">
        <f t="shared" si="26"/>
        <v>8647483</v>
      </c>
      <c r="M842" s="785"/>
      <c r="N842" s="786">
        <v>552278</v>
      </c>
      <c r="O842" s="786">
        <v>0</v>
      </c>
      <c r="P842" s="785">
        <v>687802</v>
      </c>
      <c r="Q842" s="787">
        <f t="shared" si="27"/>
        <v>1240080</v>
      </c>
      <c r="R842" s="785"/>
      <c r="S842" s="786">
        <v>6575021</v>
      </c>
      <c r="T842" s="788">
        <v>-271922</v>
      </c>
      <c r="U842" s="788">
        <v>6303099</v>
      </c>
    </row>
    <row r="843" spans="1:21" x14ac:dyDescent="0.25">
      <c r="A843" s="782">
        <v>99222</v>
      </c>
      <c r="B843" s="783" t="s">
        <v>3452</v>
      </c>
      <c r="C843" s="784">
        <v>3.9100000000000002E-5</v>
      </c>
      <c r="D843" s="784">
        <v>4.0099999999999999E-5</v>
      </c>
      <c r="E843" s="800">
        <v>15446</v>
      </c>
      <c r="F843" s="785">
        <v>59734</v>
      </c>
      <c r="G843" s="785"/>
      <c r="H843" s="786">
        <v>3441</v>
      </c>
      <c r="I843" s="787">
        <v>14504</v>
      </c>
      <c r="J843" s="786">
        <v>8531</v>
      </c>
      <c r="K843" s="785">
        <v>2307</v>
      </c>
      <c r="L843" s="787">
        <f t="shared" si="26"/>
        <v>28783</v>
      </c>
      <c r="M843" s="785"/>
      <c r="N843" s="786">
        <v>1691</v>
      </c>
      <c r="O843" s="786">
        <v>0</v>
      </c>
      <c r="P843" s="785">
        <v>3585</v>
      </c>
      <c r="Q843" s="787">
        <f t="shared" si="27"/>
        <v>5276</v>
      </c>
      <c r="R843" s="785"/>
      <c r="S843" s="786">
        <v>20130</v>
      </c>
      <c r="T843" s="788">
        <v>281</v>
      </c>
      <c r="U843" s="788">
        <v>20411</v>
      </c>
    </row>
    <row r="844" spans="1:21" x14ac:dyDescent="0.25">
      <c r="A844" s="782">
        <v>99231</v>
      </c>
      <c r="B844" s="783" t="s">
        <v>3453</v>
      </c>
      <c r="C844" s="784">
        <v>3.7179999999999998E-4</v>
      </c>
      <c r="D844" s="784">
        <v>3.7869999999999999E-4</v>
      </c>
      <c r="E844" s="800">
        <v>156904</v>
      </c>
      <c r="F844" s="785">
        <v>568007</v>
      </c>
      <c r="G844" s="785"/>
      <c r="H844" s="786">
        <v>32722</v>
      </c>
      <c r="I844" s="787">
        <v>137913</v>
      </c>
      <c r="J844" s="786">
        <v>81119</v>
      </c>
      <c r="K844" s="785">
        <v>0</v>
      </c>
      <c r="L844" s="787">
        <f t="shared" si="26"/>
        <v>251754</v>
      </c>
      <c r="M844" s="785"/>
      <c r="N844" s="786">
        <v>16078</v>
      </c>
      <c r="O844" s="786">
        <v>0</v>
      </c>
      <c r="P844" s="785">
        <v>31773</v>
      </c>
      <c r="Q844" s="787">
        <f t="shared" si="27"/>
        <v>47851</v>
      </c>
      <c r="R844" s="785"/>
      <c r="S844" s="786">
        <v>191419</v>
      </c>
      <c r="T844" s="788">
        <v>-14995</v>
      </c>
      <c r="U844" s="788">
        <v>176424</v>
      </c>
    </row>
    <row r="845" spans="1:21" x14ac:dyDescent="0.25">
      <c r="A845" s="782">
        <v>99241</v>
      </c>
      <c r="B845" s="783" t="s">
        <v>3454</v>
      </c>
      <c r="C845" s="784">
        <v>5.5329999999999995E-4</v>
      </c>
      <c r="D845" s="784">
        <v>5.6039999999999996E-4</v>
      </c>
      <c r="E845" s="800">
        <v>226042</v>
      </c>
      <c r="F845" s="785">
        <v>845289</v>
      </c>
      <c r="G845" s="785"/>
      <c r="H845" s="786">
        <v>48696</v>
      </c>
      <c r="I845" s="787">
        <v>205238</v>
      </c>
      <c r="J845" s="786">
        <v>120719</v>
      </c>
      <c r="K845" s="785">
        <v>0</v>
      </c>
      <c r="L845" s="787">
        <f t="shared" si="26"/>
        <v>374653</v>
      </c>
      <c r="M845" s="785"/>
      <c r="N845" s="786">
        <v>23927</v>
      </c>
      <c r="O845" s="786">
        <v>0</v>
      </c>
      <c r="P845" s="785">
        <v>103885</v>
      </c>
      <c r="Q845" s="787">
        <f t="shared" si="27"/>
        <v>127812</v>
      </c>
      <c r="R845" s="785"/>
      <c r="S845" s="786">
        <v>284863</v>
      </c>
      <c r="T845" s="788">
        <v>-52289</v>
      </c>
      <c r="U845" s="788">
        <f>232575-1</f>
        <v>232574</v>
      </c>
    </row>
    <row r="846" spans="1:21" x14ac:dyDescent="0.25">
      <c r="A846" s="782">
        <v>99251</v>
      </c>
      <c r="B846" s="783" t="s">
        <v>3455</v>
      </c>
      <c r="C846" s="784">
        <v>1.6069000000000001E-3</v>
      </c>
      <c r="D846" s="784">
        <v>1.6521000000000001E-3</v>
      </c>
      <c r="E846" s="800">
        <v>745408</v>
      </c>
      <c r="F846" s="785">
        <v>2454898</v>
      </c>
      <c r="G846" s="785"/>
      <c r="H846" s="786">
        <v>141425</v>
      </c>
      <c r="I846" s="787">
        <v>596053</v>
      </c>
      <c r="J846" s="786">
        <v>350593</v>
      </c>
      <c r="K846" s="785">
        <v>2758</v>
      </c>
      <c r="L846" s="787">
        <f t="shared" si="26"/>
        <v>1090829</v>
      </c>
      <c r="M846" s="785"/>
      <c r="N846" s="786">
        <v>69490</v>
      </c>
      <c r="O846" s="786">
        <v>0</v>
      </c>
      <c r="P846" s="785">
        <v>31200</v>
      </c>
      <c r="Q846" s="787">
        <f t="shared" si="27"/>
        <v>100690</v>
      </c>
      <c r="R846" s="785"/>
      <c r="S846" s="786">
        <v>827303</v>
      </c>
      <c r="T846" s="788">
        <v>-11932</v>
      </c>
      <c r="U846" s="788">
        <v>815371</v>
      </c>
    </row>
    <row r="847" spans="1:21" x14ac:dyDescent="0.25">
      <c r="A847" s="782">
        <v>99252</v>
      </c>
      <c r="B847" s="783" t="s">
        <v>3456</v>
      </c>
      <c r="C847" s="784">
        <v>6.1269999999999999E-4</v>
      </c>
      <c r="D847" s="784">
        <v>5.8279999999999996E-4</v>
      </c>
      <c r="E847" s="800">
        <v>212386</v>
      </c>
      <c r="F847" s="785">
        <v>936036</v>
      </c>
      <c r="G847" s="785"/>
      <c r="H847" s="786">
        <v>53924</v>
      </c>
      <c r="I847" s="787">
        <v>227271</v>
      </c>
      <c r="J847" s="786">
        <v>133679</v>
      </c>
      <c r="K847" s="785">
        <v>0</v>
      </c>
      <c r="L847" s="787">
        <f t="shared" si="26"/>
        <v>414874</v>
      </c>
      <c r="M847" s="785"/>
      <c r="N847" s="786">
        <v>26496</v>
      </c>
      <c r="O847" s="786">
        <v>0</v>
      </c>
      <c r="P847" s="785">
        <v>202059</v>
      </c>
      <c r="Q847" s="787">
        <f t="shared" si="27"/>
        <v>228555</v>
      </c>
      <c r="R847" s="785"/>
      <c r="S847" s="786">
        <v>315445</v>
      </c>
      <c r="T847" s="788">
        <v>-85968</v>
      </c>
      <c r="U847" s="788">
        <v>229477</v>
      </c>
    </row>
    <row r="848" spans="1:21" x14ac:dyDescent="0.25">
      <c r="A848" s="782">
        <v>99261</v>
      </c>
      <c r="B848" s="783" t="s">
        <v>3457</v>
      </c>
      <c r="C848" s="784">
        <v>1.9938E-3</v>
      </c>
      <c r="D848" s="784">
        <v>1.9145E-3</v>
      </c>
      <c r="E848" s="800">
        <v>808835</v>
      </c>
      <c r="F848" s="785">
        <v>3045974</v>
      </c>
      <c r="G848" s="785"/>
      <c r="H848" s="786">
        <v>175476</v>
      </c>
      <c r="I848" s="787">
        <v>739566</v>
      </c>
      <c r="J848" s="786">
        <v>435007</v>
      </c>
      <c r="K848" s="785">
        <v>0</v>
      </c>
      <c r="L848" s="787">
        <f t="shared" si="26"/>
        <v>1350049</v>
      </c>
      <c r="M848" s="785"/>
      <c r="N848" s="786">
        <v>86222</v>
      </c>
      <c r="O848" s="786">
        <v>0</v>
      </c>
      <c r="P848" s="785">
        <v>148472</v>
      </c>
      <c r="Q848" s="787">
        <f t="shared" si="27"/>
        <v>234694</v>
      </c>
      <c r="R848" s="785"/>
      <c r="S848" s="786">
        <v>1026496</v>
      </c>
      <c r="T848" s="788">
        <v>-69364</v>
      </c>
      <c r="U848" s="788">
        <v>957132</v>
      </c>
    </row>
    <row r="849" spans="1:21" x14ac:dyDescent="0.25">
      <c r="A849" s="782">
        <v>99271</v>
      </c>
      <c r="B849" s="783" t="s">
        <v>3458</v>
      </c>
      <c r="C849" s="784">
        <v>4.0137000000000003E-3</v>
      </c>
      <c r="D849" s="784">
        <v>3.9248E-3</v>
      </c>
      <c r="E849" s="800">
        <v>1751675</v>
      </c>
      <c r="F849" s="785">
        <v>6131822</v>
      </c>
      <c r="G849" s="785"/>
      <c r="H849" s="786">
        <v>353250</v>
      </c>
      <c r="I849" s="787">
        <v>1488814</v>
      </c>
      <c r="J849" s="786">
        <v>875709</v>
      </c>
      <c r="K849" s="785">
        <v>0</v>
      </c>
      <c r="L849" s="787">
        <f t="shared" si="26"/>
        <v>2717773</v>
      </c>
      <c r="M849" s="785"/>
      <c r="N849" s="786">
        <v>173572</v>
      </c>
      <c r="O849" s="786">
        <v>0</v>
      </c>
      <c r="P849" s="785">
        <v>122792</v>
      </c>
      <c r="Q849" s="787">
        <f t="shared" si="27"/>
        <v>296364</v>
      </c>
      <c r="R849" s="785"/>
      <c r="S849" s="786">
        <v>2066429</v>
      </c>
      <c r="T849" s="788">
        <v>-45302</v>
      </c>
      <c r="U849" s="788">
        <v>2021127</v>
      </c>
    </row>
    <row r="850" spans="1:21" x14ac:dyDescent="0.25">
      <c r="A850" s="782">
        <v>99281</v>
      </c>
      <c r="B850" s="783" t="s">
        <v>3459</v>
      </c>
      <c r="C850" s="784">
        <v>2.2918999999999999E-3</v>
      </c>
      <c r="D850" s="784">
        <v>2.2824E-3</v>
      </c>
      <c r="E850" s="800">
        <v>984780</v>
      </c>
      <c r="F850" s="785">
        <v>3501388</v>
      </c>
      <c r="G850" s="785"/>
      <c r="H850" s="786">
        <v>201712</v>
      </c>
      <c r="I850" s="787">
        <v>850141</v>
      </c>
      <c r="J850" s="786">
        <v>500047</v>
      </c>
      <c r="K850" s="785">
        <v>6743</v>
      </c>
      <c r="L850" s="787">
        <f t="shared" si="26"/>
        <v>1558643</v>
      </c>
      <c r="M850" s="785"/>
      <c r="N850" s="786">
        <v>99113</v>
      </c>
      <c r="O850" s="786">
        <v>0</v>
      </c>
      <c r="P850" s="785">
        <v>128585</v>
      </c>
      <c r="Q850" s="787">
        <f t="shared" si="27"/>
        <v>227698</v>
      </c>
      <c r="R850" s="785"/>
      <c r="S850" s="786">
        <v>1179971</v>
      </c>
      <c r="T850" s="788">
        <v>-37280</v>
      </c>
      <c r="U850" s="788">
        <v>1142691</v>
      </c>
    </row>
    <row r="851" spans="1:21" x14ac:dyDescent="0.25">
      <c r="A851" s="782">
        <v>99291</v>
      </c>
      <c r="B851" s="783" t="s">
        <v>3460</v>
      </c>
      <c r="C851" s="784">
        <v>7.3499999999999998E-4</v>
      </c>
      <c r="D851" s="784">
        <v>7.7260000000000002E-4</v>
      </c>
      <c r="E851" s="800">
        <v>299576</v>
      </c>
      <c r="F851" s="785">
        <v>1122876</v>
      </c>
      <c r="G851" s="785"/>
      <c r="H851" s="786">
        <v>64688</v>
      </c>
      <c r="I851" s="787">
        <v>272636</v>
      </c>
      <c r="J851" s="786">
        <v>160362</v>
      </c>
      <c r="K851" s="785">
        <v>0</v>
      </c>
      <c r="L851" s="787">
        <f t="shared" si="26"/>
        <v>497686</v>
      </c>
      <c r="M851" s="785"/>
      <c r="N851" s="786">
        <v>31785</v>
      </c>
      <c r="O851" s="786">
        <v>0</v>
      </c>
      <c r="P851" s="785">
        <v>137813</v>
      </c>
      <c r="Q851" s="787">
        <f t="shared" si="27"/>
        <v>169598</v>
      </c>
      <c r="R851" s="785"/>
      <c r="S851" s="786">
        <v>378410</v>
      </c>
      <c r="T851" s="788">
        <v>-55575</v>
      </c>
      <c r="U851" s="788">
        <v>322835</v>
      </c>
    </row>
    <row r="852" spans="1:21" x14ac:dyDescent="0.25">
      <c r="A852" s="782">
        <v>99301</v>
      </c>
      <c r="B852" s="783" t="s">
        <v>3461</v>
      </c>
      <c r="C852" s="784">
        <v>1.7879E-3</v>
      </c>
      <c r="D852" s="784">
        <v>1.8458000000000001E-3</v>
      </c>
      <c r="E852" s="800">
        <v>788880</v>
      </c>
      <c r="F852" s="785">
        <v>2731416</v>
      </c>
      <c r="G852" s="785"/>
      <c r="H852" s="786">
        <v>157355</v>
      </c>
      <c r="I852" s="787">
        <v>663191</v>
      </c>
      <c r="J852" s="786">
        <v>390084</v>
      </c>
      <c r="K852" s="785">
        <v>67408</v>
      </c>
      <c r="L852" s="787">
        <f t="shared" si="26"/>
        <v>1278038</v>
      </c>
      <c r="M852" s="785"/>
      <c r="N852" s="786">
        <v>77318</v>
      </c>
      <c r="O852" s="786">
        <v>0</v>
      </c>
      <c r="P852" s="785">
        <v>65062</v>
      </c>
      <c r="Q852" s="787">
        <f t="shared" si="27"/>
        <v>142380</v>
      </c>
      <c r="R852" s="785"/>
      <c r="S852" s="786">
        <v>920490</v>
      </c>
      <c r="T852" s="788">
        <v>38686</v>
      </c>
      <c r="U852" s="788">
        <f>959175+1</f>
        <v>959176</v>
      </c>
    </row>
    <row r="853" spans="1:21" x14ac:dyDescent="0.25">
      <c r="A853" s="782">
        <v>99304</v>
      </c>
      <c r="B853" s="783" t="s">
        <v>3462</v>
      </c>
      <c r="C853" s="784">
        <v>9.2E-6</v>
      </c>
      <c r="D853" s="784">
        <v>9.9000000000000001E-6</v>
      </c>
      <c r="E853" s="800">
        <v>7554</v>
      </c>
      <c r="F853" s="785">
        <v>14055</v>
      </c>
      <c r="G853" s="785"/>
      <c r="H853" s="786">
        <v>810</v>
      </c>
      <c r="I853" s="787">
        <v>3412</v>
      </c>
      <c r="J853" s="786">
        <v>2007</v>
      </c>
      <c r="K853" s="785">
        <v>4659</v>
      </c>
      <c r="L853" s="787">
        <f t="shared" si="26"/>
        <v>10888</v>
      </c>
      <c r="M853" s="785"/>
      <c r="N853" s="786">
        <v>398</v>
      </c>
      <c r="O853" s="786">
        <v>0</v>
      </c>
      <c r="P853" s="785">
        <v>248</v>
      </c>
      <c r="Q853" s="787">
        <f t="shared" si="27"/>
        <v>646</v>
      </c>
      <c r="R853" s="785"/>
      <c r="S853" s="786">
        <v>4737</v>
      </c>
      <c r="T853" s="788">
        <v>1371</v>
      </c>
      <c r="U853" s="788">
        <f>6107+1</f>
        <v>6108</v>
      </c>
    </row>
    <row r="854" spans="1:21" x14ac:dyDescent="0.25">
      <c r="A854" s="782">
        <v>99311</v>
      </c>
      <c r="B854" s="783" t="s">
        <v>3463</v>
      </c>
      <c r="C854" s="784">
        <v>5.4299999999999998E-5</v>
      </c>
      <c r="D854" s="784">
        <v>5.7599999999999997E-5</v>
      </c>
      <c r="E854" s="800">
        <v>25361</v>
      </c>
      <c r="F854" s="785">
        <v>82955</v>
      </c>
      <c r="G854" s="785"/>
      <c r="H854" s="786">
        <v>4779</v>
      </c>
      <c r="I854" s="787">
        <v>20142</v>
      </c>
      <c r="J854" s="786">
        <v>11847</v>
      </c>
      <c r="K854" s="785">
        <v>0</v>
      </c>
      <c r="L854" s="787">
        <f t="shared" si="26"/>
        <v>36768</v>
      </c>
      <c r="M854" s="785"/>
      <c r="N854" s="786">
        <v>2348</v>
      </c>
      <c r="O854" s="786">
        <v>0</v>
      </c>
      <c r="P854" s="785">
        <v>6758</v>
      </c>
      <c r="Q854" s="787">
        <f t="shared" si="27"/>
        <v>9106</v>
      </c>
      <c r="R854" s="785"/>
      <c r="S854" s="786">
        <v>27956</v>
      </c>
      <c r="T854" s="788">
        <v>-3216</v>
      </c>
      <c r="U854" s="788">
        <v>24740</v>
      </c>
    </row>
    <row r="855" spans="1:21" x14ac:dyDescent="0.25">
      <c r="A855" s="782">
        <v>99321</v>
      </c>
      <c r="B855" s="783" t="s">
        <v>3464</v>
      </c>
      <c r="C855" s="784">
        <v>1.1E-4</v>
      </c>
      <c r="D855" s="784">
        <v>1.1909999999999999E-4</v>
      </c>
      <c r="E855" s="800">
        <v>98498</v>
      </c>
      <c r="F855" s="785">
        <v>168050</v>
      </c>
      <c r="G855" s="785"/>
      <c r="H855" s="786">
        <v>9681</v>
      </c>
      <c r="I855" s="787">
        <v>40803</v>
      </c>
      <c r="J855" s="786">
        <v>24000</v>
      </c>
      <c r="K855" s="785">
        <v>96146</v>
      </c>
      <c r="L855" s="787">
        <f t="shared" si="26"/>
        <v>170630</v>
      </c>
      <c r="M855" s="785"/>
      <c r="N855" s="786">
        <v>4757</v>
      </c>
      <c r="O855" s="786">
        <v>0</v>
      </c>
      <c r="P855" s="785">
        <v>0</v>
      </c>
      <c r="Q855" s="787">
        <f t="shared" si="27"/>
        <v>4757</v>
      </c>
      <c r="R855" s="785"/>
      <c r="S855" s="786">
        <v>56633</v>
      </c>
      <c r="T855" s="788">
        <v>41980</v>
      </c>
      <c r="U855" s="788">
        <v>98613</v>
      </c>
    </row>
    <row r="856" spans="1:21" x14ac:dyDescent="0.25">
      <c r="A856" s="782">
        <v>99401</v>
      </c>
      <c r="B856" s="783" t="s">
        <v>3465</v>
      </c>
      <c r="C856" s="784">
        <v>9.2389999999999996E-4</v>
      </c>
      <c r="D856" s="784">
        <v>9.3869999999999999E-4</v>
      </c>
      <c r="E856" s="800">
        <v>414565</v>
      </c>
      <c r="F856" s="785">
        <v>1411463</v>
      </c>
      <c r="G856" s="785"/>
      <c r="H856" s="786">
        <v>81313</v>
      </c>
      <c r="I856" s="787">
        <v>342705</v>
      </c>
      <c r="J856" s="786">
        <v>201577</v>
      </c>
      <c r="K856" s="785">
        <v>34240</v>
      </c>
      <c r="L856" s="787">
        <f t="shared" si="26"/>
        <v>659835</v>
      </c>
      <c r="M856" s="785"/>
      <c r="N856" s="786">
        <v>39954</v>
      </c>
      <c r="O856" s="786">
        <v>0</v>
      </c>
      <c r="P856" s="785">
        <v>17589</v>
      </c>
      <c r="Q856" s="787">
        <f t="shared" si="27"/>
        <v>57543</v>
      </c>
      <c r="R856" s="785"/>
      <c r="S856" s="786">
        <v>475664</v>
      </c>
      <c r="T856" s="788">
        <v>22297</v>
      </c>
      <c r="U856" s="788">
        <v>497961</v>
      </c>
    </row>
    <row r="857" spans="1:21" x14ac:dyDescent="0.25">
      <c r="A857" s="782">
        <v>99404</v>
      </c>
      <c r="B857" s="783" t="s">
        <v>3466</v>
      </c>
      <c r="C857" s="784">
        <v>9.3999999999999998E-6</v>
      </c>
      <c r="D857" s="784">
        <v>9.5999999999999996E-6</v>
      </c>
      <c r="E857" s="800">
        <v>5393</v>
      </c>
      <c r="F857" s="785">
        <v>14361</v>
      </c>
      <c r="G857" s="785"/>
      <c r="H857" s="786">
        <v>827</v>
      </c>
      <c r="I857" s="787">
        <v>3487</v>
      </c>
      <c r="J857" s="786">
        <v>2051</v>
      </c>
      <c r="K857" s="785">
        <v>1334</v>
      </c>
      <c r="L857" s="787">
        <f t="shared" si="26"/>
        <v>7699</v>
      </c>
      <c r="M857" s="785"/>
      <c r="N857" s="786">
        <v>407</v>
      </c>
      <c r="O857" s="786">
        <v>0</v>
      </c>
      <c r="P857" s="785">
        <v>0</v>
      </c>
      <c r="Q857" s="787">
        <f t="shared" si="27"/>
        <v>407</v>
      </c>
      <c r="R857" s="785"/>
      <c r="S857" s="786">
        <v>4840</v>
      </c>
      <c r="T857" s="788">
        <v>466</v>
      </c>
      <c r="U857" s="788">
        <v>5306</v>
      </c>
    </row>
    <row r="858" spans="1:21" x14ac:dyDescent="0.25">
      <c r="A858" s="782">
        <v>99405</v>
      </c>
      <c r="B858" s="783" t="s">
        <v>3467</v>
      </c>
      <c r="C858" s="784">
        <v>6.2700000000000006E-5</v>
      </c>
      <c r="D858" s="784">
        <v>5.8100000000000003E-5</v>
      </c>
      <c r="E858" s="800">
        <v>37798</v>
      </c>
      <c r="F858" s="785">
        <v>95788</v>
      </c>
      <c r="G858" s="785"/>
      <c r="H858" s="786">
        <v>5518</v>
      </c>
      <c r="I858" s="787">
        <v>23258</v>
      </c>
      <c r="J858" s="786">
        <v>13680</v>
      </c>
      <c r="K858" s="785">
        <v>18380</v>
      </c>
      <c r="L858" s="787">
        <f t="shared" si="26"/>
        <v>60836</v>
      </c>
      <c r="M858" s="785"/>
      <c r="N858" s="786">
        <v>2711</v>
      </c>
      <c r="O858" s="786">
        <v>0</v>
      </c>
      <c r="P858" s="785">
        <v>336</v>
      </c>
      <c r="Q858" s="787">
        <f t="shared" si="27"/>
        <v>3047</v>
      </c>
      <c r="R858" s="785"/>
      <c r="S858" s="786">
        <v>32281</v>
      </c>
      <c r="T858" s="788">
        <v>6084</v>
      </c>
      <c r="U858" s="788">
        <f>38364+1</f>
        <v>38365</v>
      </c>
    </row>
    <row r="859" spans="1:21" x14ac:dyDescent="0.25">
      <c r="A859" s="782">
        <v>99411</v>
      </c>
      <c r="B859" s="783" t="s">
        <v>3468</v>
      </c>
      <c r="C859" s="784">
        <v>1.583E-4</v>
      </c>
      <c r="D859" s="784">
        <v>1.2510000000000001E-4</v>
      </c>
      <c r="E859" s="800">
        <v>75833</v>
      </c>
      <c r="F859" s="785">
        <v>241839</v>
      </c>
      <c r="G859" s="785"/>
      <c r="H859" s="786">
        <v>13932</v>
      </c>
      <c r="I859" s="787">
        <v>58719</v>
      </c>
      <c r="J859" s="786">
        <v>34538</v>
      </c>
      <c r="K859" s="785">
        <v>41924</v>
      </c>
      <c r="L859" s="787">
        <f t="shared" si="26"/>
        <v>149113</v>
      </c>
      <c r="M859" s="785"/>
      <c r="N859" s="786">
        <v>6846</v>
      </c>
      <c r="O859" s="786">
        <v>0</v>
      </c>
      <c r="P859" s="785">
        <v>4400</v>
      </c>
      <c r="Q859" s="787">
        <f t="shared" si="27"/>
        <v>11246</v>
      </c>
      <c r="R859" s="785"/>
      <c r="S859" s="786">
        <v>81500</v>
      </c>
      <c r="T859" s="788">
        <v>8626</v>
      </c>
      <c r="U859" s="788">
        <v>90126</v>
      </c>
    </row>
    <row r="860" spans="1:21" x14ac:dyDescent="0.25">
      <c r="A860" s="782">
        <v>99413</v>
      </c>
      <c r="B860" s="783" t="s">
        <v>3469</v>
      </c>
      <c r="C860" s="784">
        <v>3.1099999999999997E-5</v>
      </c>
      <c r="D860" s="784">
        <v>2.76E-5</v>
      </c>
      <c r="E860" s="800">
        <v>18530</v>
      </c>
      <c r="F860" s="785">
        <v>47512</v>
      </c>
      <c r="G860" s="785"/>
      <c r="H860" s="786">
        <v>2737</v>
      </c>
      <c r="I860" s="787">
        <v>11536</v>
      </c>
      <c r="J860" s="786">
        <v>6785</v>
      </c>
      <c r="K860" s="785">
        <v>5754</v>
      </c>
      <c r="L860" s="787">
        <f t="shared" si="26"/>
        <v>26812</v>
      </c>
      <c r="M860" s="785"/>
      <c r="N860" s="786">
        <v>1345</v>
      </c>
      <c r="O860" s="786">
        <v>0</v>
      </c>
      <c r="P860" s="785">
        <v>3024</v>
      </c>
      <c r="Q860" s="787">
        <f t="shared" si="27"/>
        <v>4369</v>
      </c>
      <c r="R860" s="785"/>
      <c r="S860" s="786">
        <v>16012</v>
      </c>
      <c r="T860" s="788">
        <v>202</v>
      </c>
      <c r="U860" s="788">
        <v>16214</v>
      </c>
    </row>
    <row r="861" spans="1:21" x14ac:dyDescent="0.25">
      <c r="A861" s="782">
        <v>99421</v>
      </c>
      <c r="B861" s="783" t="s">
        <v>3470</v>
      </c>
      <c r="C861" s="784">
        <v>1.04E-5</v>
      </c>
      <c r="D861" s="784">
        <v>1.5E-5</v>
      </c>
      <c r="E861" s="800">
        <v>6211</v>
      </c>
      <c r="F861" s="785">
        <v>15888</v>
      </c>
      <c r="G861" s="785"/>
      <c r="H861" s="786">
        <v>915</v>
      </c>
      <c r="I861" s="787">
        <v>3858</v>
      </c>
      <c r="J861" s="786">
        <v>2269</v>
      </c>
      <c r="K861" s="785">
        <v>764</v>
      </c>
      <c r="L861" s="787">
        <f t="shared" si="26"/>
        <v>7806</v>
      </c>
      <c r="M861" s="785"/>
      <c r="N861" s="786">
        <v>450</v>
      </c>
      <c r="O861" s="786">
        <v>0</v>
      </c>
      <c r="P861" s="785">
        <v>5440</v>
      </c>
      <c r="Q861" s="787">
        <f t="shared" si="27"/>
        <v>5890</v>
      </c>
      <c r="R861" s="785"/>
      <c r="S861" s="786">
        <v>5354</v>
      </c>
      <c r="T861" s="788">
        <v>-1116</v>
      </c>
      <c r="U861" s="788">
        <v>4238</v>
      </c>
    </row>
    <row r="862" spans="1:21" x14ac:dyDescent="0.25">
      <c r="A862" s="782">
        <v>99431</v>
      </c>
      <c r="B862" s="783" t="s">
        <v>3471</v>
      </c>
      <c r="C862" s="784">
        <v>2.2200000000000001E-5</v>
      </c>
      <c r="D862" s="784">
        <v>2.16E-5</v>
      </c>
      <c r="E862" s="800">
        <v>7581</v>
      </c>
      <c r="F862" s="785">
        <v>33915</v>
      </c>
      <c r="G862" s="785"/>
      <c r="H862" s="786">
        <v>1954</v>
      </c>
      <c r="I862" s="787">
        <v>8235</v>
      </c>
      <c r="J862" s="786">
        <v>4844</v>
      </c>
      <c r="K862" s="785">
        <v>1071</v>
      </c>
      <c r="L862" s="787">
        <f t="shared" si="26"/>
        <v>16104</v>
      </c>
      <c r="M862" s="785"/>
      <c r="N862" s="786">
        <v>960</v>
      </c>
      <c r="O862" s="786">
        <v>0</v>
      </c>
      <c r="P862" s="785">
        <v>3001</v>
      </c>
      <c r="Q862" s="787">
        <f t="shared" si="27"/>
        <v>3961</v>
      </c>
      <c r="R862" s="785"/>
      <c r="S862" s="786">
        <v>11430</v>
      </c>
      <c r="T862" s="788">
        <v>119</v>
      </c>
      <c r="U862" s="788">
        <v>11549</v>
      </c>
    </row>
    <row r="863" spans="1:21" x14ac:dyDescent="0.25">
      <c r="A863" s="782">
        <v>99501</v>
      </c>
      <c r="B863" s="783" t="s">
        <v>3472</v>
      </c>
      <c r="C863" s="784">
        <v>1.6785000000000001E-3</v>
      </c>
      <c r="D863" s="784">
        <v>1.7390000000000001E-3</v>
      </c>
      <c r="E863" s="800">
        <v>794395</v>
      </c>
      <c r="F863" s="785">
        <v>2564283</v>
      </c>
      <c r="G863" s="785"/>
      <c r="H863" s="786">
        <v>147726</v>
      </c>
      <c r="I863" s="787">
        <v>622611</v>
      </c>
      <c r="J863" s="786">
        <v>366215</v>
      </c>
      <c r="K863" s="785">
        <v>3764</v>
      </c>
      <c r="L863" s="787">
        <f t="shared" si="26"/>
        <v>1140316</v>
      </c>
      <c r="M863" s="785"/>
      <c r="N863" s="786">
        <v>72587</v>
      </c>
      <c r="O863" s="786">
        <v>0</v>
      </c>
      <c r="P863" s="785">
        <v>21505</v>
      </c>
      <c r="Q863" s="787">
        <f t="shared" si="27"/>
        <v>94092</v>
      </c>
      <c r="R863" s="785"/>
      <c r="S863" s="786">
        <v>864166</v>
      </c>
      <c r="T863" s="788">
        <v>-3415</v>
      </c>
      <c r="U863" s="788">
        <f>860750+1</f>
        <v>860751</v>
      </c>
    </row>
    <row r="864" spans="1:21" x14ac:dyDescent="0.25">
      <c r="A864" s="782">
        <v>99502</v>
      </c>
      <c r="B864" s="783" t="s">
        <v>3473</v>
      </c>
      <c r="C864" s="784">
        <v>1.373E-4</v>
      </c>
      <c r="D864" s="784">
        <v>1.3779999999999999E-4</v>
      </c>
      <c r="E864" s="800">
        <v>65831</v>
      </c>
      <c r="F864" s="785">
        <v>209756</v>
      </c>
      <c r="G864" s="785"/>
      <c r="H864" s="786">
        <v>12084</v>
      </c>
      <c r="I864" s="787">
        <v>50929</v>
      </c>
      <c r="J864" s="786">
        <v>29956</v>
      </c>
      <c r="K864" s="785">
        <v>21393</v>
      </c>
      <c r="L864" s="787">
        <f t="shared" si="26"/>
        <v>114362</v>
      </c>
      <c r="M864" s="785"/>
      <c r="N864" s="786">
        <v>5938</v>
      </c>
      <c r="O864" s="786">
        <v>0</v>
      </c>
      <c r="P864" s="785">
        <v>71</v>
      </c>
      <c r="Q864" s="787">
        <f t="shared" si="27"/>
        <v>6009</v>
      </c>
      <c r="R864" s="785"/>
      <c r="S864" s="786">
        <v>70688</v>
      </c>
      <c r="T864" s="788">
        <v>9456</v>
      </c>
      <c r="U864" s="788">
        <v>80144</v>
      </c>
    </row>
    <row r="865" spans="1:21" x14ac:dyDescent="0.25">
      <c r="A865" s="782">
        <v>99508</v>
      </c>
      <c r="B865" s="783" t="s">
        <v>3474</v>
      </c>
      <c r="C865" s="784">
        <v>2.2099999999999998E-5</v>
      </c>
      <c r="D865" s="784">
        <v>2.1699999999999999E-5</v>
      </c>
      <c r="E865" s="800">
        <v>9857</v>
      </c>
      <c r="F865" s="785">
        <v>33763</v>
      </c>
      <c r="G865" s="785"/>
      <c r="H865" s="786">
        <v>1945</v>
      </c>
      <c r="I865" s="787">
        <v>8198</v>
      </c>
      <c r="J865" s="786">
        <v>4822</v>
      </c>
      <c r="K865" s="785">
        <v>37</v>
      </c>
      <c r="L865" s="787">
        <f t="shared" si="26"/>
        <v>15002</v>
      </c>
      <c r="M865" s="785"/>
      <c r="N865" s="786">
        <v>956</v>
      </c>
      <c r="O865" s="786">
        <v>0</v>
      </c>
      <c r="P865" s="785">
        <v>1571</v>
      </c>
      <c r="Q865" s="787">
        <f t="shared" si="27"/>
        <v>2527</v>
      </c>
      <c r="R865" s="785"/>
      <c r="S865" s="786">
        <v>11378</v>
      </c>
      <c r="T865" s="788">
        <v>-984</v>
      </c>
      <c r="U865" s="788">
        <v>10394</v>
      </c>
    </row>
    <row r="866" spans="1:21" x14ac:dyDescent="0.25">
      <c r="A866" s="782">
        <v>99509</v>
      </c>
      <c r="B866" s="783" t="s">
        <v>3475</v>
      </c>
      <c r="C866" s="784">
        <v>2.76E-5</v>
      </c>
      <c r="D866" s="784">
        <v>2.8900000000000001E-5</v>
      </c>
      <c r="E866" s="800">
        <v>11410</v>
      </c>
      <c r="F866" s="785">
        <v>42165</v>
      </c>
      <c r="G866" s="785"/>
      <c r="H866" s="786">
        <v>2429</v>
      </c>
      <c r="I866" s="787">
        <v>10238</v>
      </c>
      <c r="J866" s="786">
        <v>6022</v>
      </c>
      <c r="K866" s="785">
        <v>0</v>
      </c>
      <c r="L866" s="787">
        <f t="shared" si="26"/>
        <v>18689</v>
      </c>
      <c r="M866" s="785"/>
      <c r="N866" s="786">
        <v>1194</v>
      </c>
      <c r="O866" s="786">
        <v>0</v>
      </c>
      <c r="P866" s="785">
        <v>6512</v>
      </c>
      <c r="Q866" s="787">
        <f t="shared" si="27"/>
        <v>7706</v>
      </c>
      <c r="R866" s="785"/>
      <c r="S866" s="786">
        <v>14210</v>
      </c>
      <c r="T866" s="788">
        <v>-4301</v>
      </c>
      <c r="U866" s="788">
        <v>9909</v>
      </c>
    </row>
    <row r="867" spans="1:21" x14ac:dyDescent="0.25">
      <c r="A867" s="782">
        <v>99511</v>
      </c>
      <c r="B867" s="783" t="s">
        <v>3476</v>
      </c>
      <c r="C867" s="784">
        <v>1.4048999999999999E-3</v>
      </c>
      <c r="D867" s="784">
        <v>1.3638000000000001E-3</v>
      </c>
      <c r="E867" s="800">
        <v>579707</v>
      </c>
      <c r="F867" s="785">
        <v>2146298</v>
      </c>
      <c r="G867" s="785"/>
      <c r="H867" s="786">
        <v>123647</v>
      </c>
      <c r="I867" s="787">
        <v>521124</v>
      </c>
      <c r="J867" s="786">
        <v>306521</v>
      </c>
      <c r="K867" s="785">
        <v>4500</v>
      </c>
      <c r="L867" s="787">
        <f t="shared" si="26"/>
        <v>955792</v>
      </c>
      <c r="M867" s="785"/>
      <c r="N867" s="786">
        <v>60755</v>
      </c>
      <c r="O867" s="786">
        <v>0</v>
      </c>
      <c r="P867" s="785">
        <v>85381</v>
      </c>
      <c r="Q867" s="787">
        <f t="shared" si="27"/>
        <v>146136</v>
      </c>
      <c r="R867" s="785"/>
      <c r="S867" s="786">
        <v>723304</v>
      </c>
      <c r="T867" s="788">
        <v>-30654</v>
      </c>
      <c r="U867" s="788">
        <v>692650</v>
      </c>
    </row>
    <row r="868" spans="1:21" x14ac:dyDescent="0.25">
      <c r="A868" s="782">
        <v>99521</v>
      </c>
      <c r="B868" s="783" t="s">
        <v>3477</v>
      </c>
      <c r="C868" s="784">
        <v>4.2700000000000002E-4</v>
      </c>
      <c r="D868" s="784">
        <v>4.0180000000000001E-4</v>
      </c>
      <c r="E868" s="800">
        <v>176536</v>
      </c>
      <c r="F868" s="785">
        <v>652338</v>
      </c>
      <c r="G868" s="785"/>
      <c r="H868" s="786">
        <v>37581</v>
      </c>
      <c r="I868" s="787">
        <v>158389</v>
      </c>
      <c r="J868" s="786">
        <v>93163</v>
      </c>
      <c r="K868" s="785">
        <v>2015</v>
      </c>
      <c r="L868" s="787">
        <f t="shared" si="26"/>
        <v>291148</v>
      </c>
      <c r="M868" s="785"/>
      <c r="N868" s="786">
        <v>18466</v>
      </c>
      <c r="O868" s="786">
        <v>0</v>
      </c>
      <c r="P868" s="785">
        <v>15563</v>
      </c>
      <c r="Q868" s="787">
        <f t="shared" si="27"/>
        <v>34029</v>
      </c>
      <c r="R868" s="785"/>
      <c r="S868" s="786">
        <v>219838</v>
      </c>
      <c r="T868" s="788">
        <v>-5081</v>
      </c>
      <c r="U868" s="788">
        <v>214757</v>
      </c>
    </row>
    <row r="869" spans="1:21" x14ac:dyDescent="0.25">
      <c r="A869" s="782">
        <v>99527</v>
      </c>
      <c r="B869" s="783" t="s">
        <v>3478</v>
      </c>
      <c r="C869" s="784">
        <v>1.19E-5</v>
      </c>
      <c r="D869" s="784">
        <v>1.2099999999999999E-5</v>
      </c>
      <c r="E869" s="800">
        <v>5941</v>
      </c>
      <c r="F869" s="785">
        <v>18180</v>
      </c>
      <c r="G869" s="785"/>
      <c r="H869" s="786">
        <v>1047</v>
      </c>
      <c r="I869" s="787">
        <v>4414</v>
      </c>
      <c r="J869" s="786">
        <v>2596</v>
      </c>
      <c r="K869" s="785">
        <v>1124</v>
      </c>
      <c r="L869" s="787">
        <f t="shared" si="26"/>
        <v>9181</v>
      </c>
      <c r="M869" s="785"/>
      <c r="N869" s="786">
        <v>515</v>
      </c>
      <c r="O869" s="786">
        <v>0</v>
      </c>
      <c r="P869" s="785">
        <v>0</v>
      </c>
      <c r="Q869" s="787">
        <f t="shared" si="27"/>
        <v>515</v>
      </c>
      <c r="R869" s="785"/>
      <c r="S869" s="786">
        <v>6127</v>
      </c>
      <c r="T869" s="788">
        <v>591</v>
      </c>
      <c r="U869" s="788">
        <v>6718</v>
      </c>
    </row>
    <row r="870" spans="1:21" x14ac:dyDescent="0.25">
      <c r="A870" s="782">
        <v>99531</v>
      </c>
      <c r="B870" s="783" t="s">
        <v>3479</v>
      </c>
      <c r="C870" s="784">
        <v>9.3499999999999996E-5</v>
      </c>
      <c r="D870" s="784">
        <v>8.7600000000000002E-5</v>
      </c>
      <c r="E870" s="800">
        <v>72390</v>
      </c>
      <c r="F870" s="785">
        <v>142842</v>
      </c>
      <c r="G870" s="785"/>
      <c r="H870" s="786">
        <v>8229</v>
      </c>
      <c r="I870" s="787">
        <v>34683</v>
      </c>
      <c r="J870" s="786">
        <v>20400</v>
      </c>
      <c r="K870" s="785">
        <v>55453</v>
      </c>
      <c r="L870" s="787">
        <f t="shared" si="26"/>
        <v>118765</v>
      </c>
      <c r="M870" s="785"/>
      <c r="N870" s="786">
        <v>4043</v>
      </c>
      <c r="O870" s="786">
        <v>0</v>
      </c>
      <c r="P870" s="785">
        <v>0</v>
      </c>
      <c r="Q870" s="787">
        <f t="shared" si="27"/>
        <v>4043</v>
      </c>
      <c r="R870" s="785"/>
      <c r="S870" s="786">
        <v>48138</v>
      </c>
      <c r="T870" s="788">
        <v>18721</v>
      </c>
      <c r="U870" s="788">
        <v>66859</v>
      </c>
    </row>
    <row r="871" spans="1:21" x14ac:dyDescent="0.25">
      <c r="A871" s="782">
        <v>99601</v>
      </c>
      <c r="B871" s="783" t="s">
        <v>3480</v>
      </c>
      <c r="C871" s="784">
        <v>5.7812000000000002E-3</v>
      </c>
      <c r="D871" s="784">
        <v>5.2824999999999999E-3</v>
      </c>
      <c r="E871" s="800">
        <v>2548954</v>
      </c>
      <c r="F871" s="785">
        <v>8832072</v>
      </c>
      <c r="G871" s="785"/>
      <c r="H871" s="786">
        <v>508809</v>
      </c>
      <c r="I871" s="787">
        <v>2144438</v>
      </c>
      <c r="J871" s="786">
        <v>1261342</v>
      </c>
      <c r="K871" s="785">
        <v>289372</v>
      </c>
      <c r="L871" s="787">
        <f t="shared" si="26"/>
        <v>4203961</v>
      </c>
      <c r="M871" s="785"/>
      <c r="N871" s="786">
        <v>250008</v>
      </c>
      <c r="O871" s="786">
        <v>0</v>
      </c>
      <c r="P871" s="785">
        <v>73071</v>
      </c>
      <c r="Q871" s="787">
        <f t="shared" si="27"/>
        <v>323079</v>
      </c>
      <c r="R871" s="785"/>
      <c r="S871" s="786">
        <v>2976416</v>
      </c>
      <c r="T871" s="788">
        <v>55175</v>
      </c>
      <c r="U871" s="788">
        <f>3031592-1</f>
        <v>3031591</v>
      </c>
    </row>
    <row r="872" spans="1:21" x14ac:dyDescent="0.25">
      <c r="A872" s="782">
        <v>99602</v>
      </c>
      <c r="B872" s="783" t="s">
        <v>3481</v>
      </c>
      <c r="C872" s="784">
        <v>6.19E-5</v>
      </c>
      <c r="D872" s="784">
        <v>5.1700000000000003E-5</v>
      </c>
      <c r="E872" s="800">
        <v>28151</v>
      </c>
      <c r="F872" s="785">
        <v>94566</v>
      </c>
      <c r="G872" s="785"/>
      <c r="H872" s="786">
        <v>5448</v>
      </c>
      <c r="I872" s="787">
        <v>22961</v>
      </c>
      <c r="J872" s="786">
        <v>13505</v>
      </c>
      <c r="K872" s="785">
        <v>10306</v>
      </c>
      <c r="L872" s="787">
        <f t="shared" si="26"/>
        <v>52220</v>
      </c>
      <c r="M872" s="785"/>
      <c r="N872" s="786">
        <v>2677</v>
      </c>
      <c r="O872" s="786">
        <v>0</v>
      </c>
      <c r="P872" s="785">
        <v>2067</v>
      </c>
      <c r="Q872" s="787">
        <f t="shared" si="27"/>
        <v>4744</v>
      </c>
      <c r="R872" s="785"/>
      <c r="S872" s="786">
        <v>31869</v>
      </c>
      <c r="T872" s="788">
        <v>1298</v>
      </c>
      <c r="U872" s="788">
        <v>33167</v>
      </c>
    </row>
    <row r="873" spans="1:21" x14ac:dyDescent="0.25">
      <c r="A873" s="782">
        <v>99603</v>
      </c>
      <c r="B873" s="783" t="s">
        <v>3482</v>
      </c>
      <c r="C873" s="784">
        <v>1.615E-4</v>
      </c>
      <c r="D873" s="784">
        <v>1.4219999999999999E-4</v>
      </c>
      <c r="E873" s="800">
        <v>87237</v>
      </c>
      <c r="F873" s="785">
        <v>246727</v>
      </c>
      <c r="G873" s="785"/>
      <c r="H873" s="786">
        <v>14214</v>
      </c>
      <c r="I873" s="787">
        <v>59905</v>
      </c>
      <c r="J873" s="786">
        <v>35236</v>
      </c>
      <c r="K873" s="785">
        <v>95435</v>
      </c>
      <c r="L873" s="787">
        <f t="shared" si="26"/>
        <v>204790</v>
      </c>
      <c r="M873" s="785"/>
      <c r="N873" s="786">
        <v>6984</v>
      </c>
      <c r="O873" s="786">
        <v>0</v>
      </c>
      <c r="P873" s="785">
        <v>0</v>
      </c>
      <c r="Q873" s="787">
        <f t="shared" si="27"/>
        <v>6984</v>
      </c>
      <c r="R873" s="785"/>
      <c r="S873" s="786">
        <v>83147</v>
      </c>
      <c r="T873" s="788">
        <v>37380</v>
      </c>
      <c r="U873" s="788">
        <v>120527</v>
      </c>
    </row>
    <row r="874" spans="1:21" x14ac:dyDescent="0.25">
      <c r="A874" s="782">
        <v>99604</v>
      </c>
      <c r="B874" s="783" t="s">
        <v>3483</v>
      </c>
      <c r="C874" s="784">
        <v>1.009E-4</v>
      </c>
      <c r="D874" s="784">
        <v>9.6899999999999997E-5</v>
      </c>
      <c r="E874" s="800">
        <v>52378</v>
      </c>
      <c r="F874" s="785">
        <v>154147</v>
      </c>
      <c r="G874" s="785"/>
      <c r="H874" s="786">
        <v>8880</v>
      </c>
      <c r="I874" s="787">
        <v>37427</v>
      </c>
      <c r="J874" s="786">
        <v>22014</v>
      </c>
      <c r="K874" s="785">
        <v>20530</v>
      </c>
      <c r="L874" s="787">
        <f t="shared" si="26"/>
        <v>88851</v>
      </c>
      <c r="M874" s="785"/>
      <c r="N874" s="786">
        <v>4363</v>
      </c>
      <c r="O874" s="786">
        <v>0</v>
      </c>
      <c r="P874" s="785">
        <v>0</v>
      </c>
      <c r="Q874" s="787">
        <f t="shared" si="27"/>
        <v>4363</v>
      </c>
      <c r="R874" s="785"/>
      <c r="S874" s="786">
        <v>51948</v>
      </c>
      <c r="T874" s="788">
        <v>9479</v>
      </c>
      <c r="U874" s="788">
        <v>61427</v>
      </c>
    </row>
    <row r="875" spans="1:21" x14ac:dyDescent="0.25">
      <c r="A875" s="782">
        <v>99609</v>
      </c>
      <c r="B875" s="783" t="s">
        <v>3484</v>
      </c>
      <c r="C875" s="784">
        <v>1.52E-5</v>
      </c>
      <c r="D875" s="784">
        <v>2.0999999999999999E-5</v>
      </c>
      <c r="E875" s="800">
        <v>9935</v>
      </c>
      <c r="F875" s="785">
        <v>23221</v>
      </c>
      <c r="G875" s="785"/>
      <c r="H875" s="786">
        <v>1338</v>
      </c>
      <c r="I875" s="787">
        <v>5638</v>
      </c>
      <c r="J875" s="786">
        <v>3316</v>
      </c>
      <c r="K875" s="785">
        <v>3555</v>
      </c>
      <c r="L875" s="787">
        <f t="shared" si="26"/>
        <v>13847</v>
      </c>
      <c r="M875" s="785"/>
      <c r="N875" s="786">
        <v>657</v>
      </c>
      <c r="O875" s="786">
        <v>0</v>
      </c>
      <c r="P875" s="785">
        <v>1523</v>
      </c>
      <c r="Q875" s="787">
        <f t="shared" si="27"/>
        <v>2180</v>
      </c>
      <c r="R875" s="785"/>
      <c r="S875" s="786">
        <v>7826</v>
      </c>
      <c r="T875" s="788">
        <v>1693</v>
      </c>
      <c r="U875" s="788">
        <v>9519</v>
      </c>
    </row>
    <row r="876" spans="1:21" x14ac:dyDescent="0.25">
      <c r="A876" s="782">
        <v>99610</v>
      </c>
      <c r="B876" s="783" t="s">
        <v>3485</v>
      </c>
      <c r="C876" s="784">
        <v>1.9440000000000001E-4</v>
      </c>
      <c r="D876" s="784">
        <v>1.9440000000000001E-4</v>
      </c>
      <c r="E876" s="800">
        <v>85100</v>
      </c>
      <c r="F876" s="785">
        <v>296989</v>
      </c>
      <c r="G876" s="785"/>
      <c r="H876" s="786">
        <v>17109</v>
      </c>
      <c r="I876" s="787">
        <v>72109</v>
      </c>
      <c r="J876" s="786">
        <v>42414</v>
      </c>
      <c r="K876" s="785">
        <v>2712</v>
      </c>
      <c r="L876" s="787">
        <f t="shared" si="26"/>
        <v>134344</v>
      </c>
      <c r="M876" s="785"/>
      <c r="N876" s="786">
        <v>8407</v>
      </c>
      <c r="O876" s="786">
        <v>0</v>
      </c>
      <c r="P876" s="785">
        <v>4164</v>
      </c>
      <c r="Q876" s="787">
        <f t="shared" si="27"/>
        <v>12571</v>
      </c>
      <c r="R876" s="785"/>
      <c r="S876" s="786">
        <v>100086</v>
      </c>
      <c r="T876" s="788">
        <v>576</v>
      </c>
      <c r="U876" s="788">
        <v>100662</v>
      </c>
    </row>
    <row r="877" spans="1:21" x14ac:dyDescent="0.25">
      <c r="A877" s="782">
        <v>99611</v>
      </c>
      <c r="B877" s="783" t="s">
        <v>3486</v>
      </c>
      <c r="C877" s="784">
        <v>3.1959000000000002E-3</v>
      </c>
      <c r="D877" s="784">
        <v>3.1495999999999998E-3</v>
      </c>
      <c r="E877" s="800">
        <v>1474037</v>
      </c>
      <c r="F877" s="785">
        <v>4882450</v>
      </c>
      <c r="G877" s="785"/>
      <c r="H877" s="786">
        <v>281274</v>
      </c>
      <c r="I877" s="787">
        <v>1185465</v>
      </c>
      <c r="J877" s="786">
        <v>697281</v>
      </c>
      <c r="K877" s="785">
        <v>36523</v>
      </c>
      <c r="L877" s="787">
        <f t="shared" si="26"/>
        <v>2200543</v>
      </c>
      <c r="M877" s="785"/>
      <c r="N877" s="786">
        <v>138207</v>
      </c>
      <c r="O877" s="786">
        <v>0</v>
      </c>
      <c r="P877" s="785">
        <v>197702</v>
      </c>
      <c r="Q877" s="787">
        <f t="shared" si="27"/>
        <v>335909</v>
      </c>
      <c r="R877" s="785"/>
      <c r="S877" s="786">
        <v>1645390</v>
      </c>
      <c r="T877" s="788">
        <v>-88518</v>
      </c>
      <c r="U877" s="788">
        <v>1556872</v>
      </c>
    </row>
    <row r="878" spans="1:21" x14ac:dyDescent="0.25">
      <c r="A878" s="782">
        <v>99613</v>
      </c>
      <c r="B878" s="783" t="s">
        <v>3487</v>
      </c>
      <c r="C878" s="784">
        <v>3.2909999999999998E-4</v>
      </c>
      <c r="D878" s="784">
        <v>3.369E-4</v>
      </c>
      <c r="E878" s="800">
        <v>310915</v>
      </c>
      <c r="F878" s="785">
        <v>502774</v>
      </c>
      <c r="G878" s="785"/>
      <c r="H878" s="786">
        <v>28964</v>
      </c>
      <c r="I878" s="787">
        <v>122074</v>
      </c>
      <c r="J878" s="786">
        <v>71803</v>
      </c>
      <c r="K878" s="785">
        <v>283917</v>
      </c>
      <c r="L878" s="787">
        <f t="shared" si="26"/>
        <v>506758</v>
      </c>
      <c r="M878" s="785"/>
      <c r="N878" s="786">
        <v>14232</v>
      </c>
      <c r="O878" s="786">
        <v>0</v>
      </c>
      <c r="P878" s="785">
        <v>0</v>
      </c>
      <c r="Q878" s="787">
        <f t="shared" si="27"/>
        <v>14232</v>
      </c>
      <c r="R878" s="785"/>
      <c r="S878" s="786">
        <v>169435</v>
      </c>
      <c r="T878" s="788">
        <v>96572</v>
      </c>
      <c r="U878" s="788">
        <v>266007</v>
      </c>
    </row>
    <row r="879" spans="1:21" x14ac:dyDescent="0.25">
      <c r="A879" s="782">
        <v>99621</v>
      </c>
      <c r="B879" s="783" t="s">
        <v>3488</v>
      </c>
      <c r="C879" s="784">
        <v>3.7060000000000001E-4</v>
      </c>
      <c r="D879" s="784">
        <v>3.2850000000000002E-4</v>
      </c>
      <c r="E879" s="800">
        <v>166448</v>
      </c>
      <c r="F879" s="785">
        <v>566174</v>
      </c>
      <c r="G879" s="785"/>
      <c r="H879" s="786">
        <v>32617</v>
      </c>
      <c r="I879" s="787">
        <v>137468</v>
      </c>
      <c r="J879" s="786">
        <v>80858</v>
      </c>
      <c r="K879" s="785">
        <v>42182</v>
      </c>
      <c r="L879" s="787">
        <f t="shared" si="26"/>
        <v>293125</v>
      </c>
      <c r="M879" s="785"/>
      <c r="N879" s="786">
        <v>16027</v>
      </c>
      <c r="O879" s="786">
        <v>0</v>
      </c>
      <c r="P879" s="785">
        <v>4670</v>
      </c>
      <c r="Q879" s="787">
        <f t="shared" si="27"/>
        <v>20697</v>
      </c>
      <c r="R879" s="785"/>
      <c r="S879" s="786">
        <v>190801</v>
      </c>
      <c r="T879" s="788">
        <v>12829</v>
      </c>
      <c r="U879" s="788">
        <v>203630</v>
      </c>
    </row>
    <row r="880" spans="1:21" x14ac:dyDescent="0.25">
      <c r="A880" s="782">
        <v>99623</v>
      </c>
      <c r="B880" s="783" t="s">
        <v>3489</v>
      </c>
      <c r="C880" s="784">
        <v>2.6400000000000001E-5</v>
      </c>
      <c r="D880" s="784">
        <v>2.9200000000000002E-5</v>
      </c>
      <c r="E880" s="800">
        <v>11103</v>
      </c>
      <c r="F880" s="785">
        <v>40332</v>
      </c>
      <c r="G880" s="785"/>
      <c r="H880" s="786">
        <v>2323</v>
      </c>
      <c r="I880" s="787">
        <v>9793</v>
      </c>
      <c r="J880" s="786">
        <v>5760</v>
      </c>
      <c r="K880" s="785">
        <v>2450</v>
      </c>
      <c r="L880" s="787">
        <f t="shared" si="26"/>
        <v>20326</v>
      </c>
      <c r="M880" s="785"/>
      <c r="N880" s="786">
        <v>1142</v>
      </c>
      <c r="O880" s="786">
        <v>0</v>
      </c>
      <c r="P880" s="785">
        <v>2848</v>
      </c>
      <c r="Q880" s="787">
        <f t="shared" si="27"/>
        <v>3990</v>
      </c>
      <c r="R880" s="785"/>
      <c r="S880" s="786">
        <v>13592</v>
      </c>
      <c r="T880" s="788">
        <v>317</v>
      </c>
      <c r="U880" s="788">
        <f>13908+1</f>
        <v>13909</v>
      </c>
    </row>
    <row r="881" spans="1:21" x14ac:dyDescent="0.25">
      <c r="A881" s="782">
        <v>99631</v>
      </c>
      <c r="B881" s="783" t="s">
        <v>3490</v>
      </c>
      <c r="C881" s="784">
        <v>1.102E-4</v>
      </c>
      <c r="D881" s="784">
        <v>1.0340000000000001E-4</v>
      </c>
      <c r="E881" s="800">
        <v>46231</v>
      </c>
      <c r="F881" s="785">
        <v>168355</v>
      </c>
      <c r="G881" s="785"/>
      <c r="H881" s="786">
        <v>9699</v>
      </c>
      <c r="I881" s="787">
        <v>40877</v>
      </c>
      <c r="J881" s="786">
        <v>24043</v>
      </c>
      <c r="K881" s="785">
        <v>1071</v>
      </c>
      <c r="L881" s="787">
        <f t="shared" si="26"/>
        <v>75690</v>
      </c>
      <c r="M881" s="785"/>
      <c r="N881" s="786">
        <v>4766</v>
      </c>
      <c r="O881" s="786">
        <v>0</v>
      </c>
      <c r="P881" s="785">
        <v>5159</v>
      </c>
      <c r="Q881" s="787">
        <f t="shared" si="27"/>
        <v>9925</v>
      </c>
      <c r="R881" s="785"/>
      <c r="S881" s="786">
        <v>56736</v>
      </c>
      <c r="T881" s="788">
        <v>-3954</v>
      </c>
      <c r="U881" s="788">
        <f>52781+1</f>
        <v>52782</v>
      </c>
    </row>
    <row r="882" spans="1:21" x14ac:dyDescent="0.25">
      <c r="A882" s="782">
        <v>99651</v>
      </c>
      <c r="B882" s="783" t="s">
        <v>3491</v>
      </c>
      <c r="C882" s="784">
        <v>6.7199999999999994E-5</v>
      </c>
      <c r="D882" s="784">
        <v>6.7100000000000005E-5</v>
      </c>
      <c r="E882" s="800">
        <v>30231</v>
      </c>
      <c r="F882" s="785">
        <v>102663</v>
      </c>
      <c r="G882" s="785"/>
      <c r="H882" s="786">
        <v>5914</v>
      </c>
      <c r="I882" s="787">
        <v>24927</v>
      </c>
      <c r="J882" s="786">
        <v>14662</v>
      </c>
      <c r="K882" s="785">
        <v>5944</v>
      </c>
      <c r="L882" s="787">
        <f t="shared" si="26"/>
        <v>51447</v>
      </c>
      <c r="M882" s="785"/>
      <c r="N882" s="786">
        <v>2906</v>
      </c>
      <c r="O882" s="786">
        <v>0</v>
      </c>
      <c r="P882" s="785">
        <v>1841</v>
      </c>
      <c r="Q882" s="787">
        <f t="shared" si="27"/>
        <v>4747</v>
      </c>
      <c r="R882" s="785"/>
      <c r="S882" s="786">
        <v>34598</v>
      </c>
      <c r="T882" s="788">
        <v>1312</v>
      </c>
      <c r="U882" s="788">
        <v>35910</v>
      </c>
    </row>
    <row r="883" spans="1:21" x14ac:dyDescent="0.25">
      <c r="A883" s="782">
        <v>99661</v>
      </c>
      <c r="B883" s="783" t="s">
        <v>3492</v>
      </c>
      <c r="C883" s="784">
        <v>3.26E-5</v>
      </c>
      <c r="D883" s="784">
        <v>3.5500000000000002E-5</v>
      </c>
      <c r="E883" s="800">
        <v>34513</v>
      </c>
      <c r="F883" s="785">
        <v>49804</v>
      </c>
      <c r="G883" s="785"/>
      <c r="H883" s="786">
        <v>2869</v>
      </c>
      <c r="I883" s="787">
        <v>12092</v>
      </c>
      <c r="J883" s="786">
        <v>7113</v>
      </c>
      <c r="K883" s="785">
        <v>34726</v>
      </c>
      <c r="L883" s="787">
        <f t="shared" si="26"/>
        <v>56800</v>
      </c>
      <c r="M883" s="785"/>
      <c r="N883" s="786">
        <v>1410</v>
      </c>
      <c r="O883" s="786">
        <v>0</v>
      </c>
      <c r="P883" s="785">
        <v>0</v>
      </c>
      <c r="Q883" s="787">
        <f t="shared" si="27"/>
        <v>1410</v>
      </c>
      <c r="R883" s="785"/>
      <c r="S883" s="786">
        <v>16784</v>
      </c>
      <c r="T883" s="788">
        <v>12838</v>
      </c>
      <c r="U883" s="788">
        <v>29622</v>
      </c>
    </row>
    <row r="884" spans="1:21" x14ac:dyDescent="0.25">
      <c r="A884" s="782">
        <v>99701</v>
      </c>
      <c r="B884" s="783" t="s">
        <v>3493</v>
      </c>
      <c r="C884" s="784">
        <v>2.9190000000000002E-3</v>
      </c>
      <c r="D884" s="784">
        <v>2.8774E-3</v>
      </c>
      <c r="E884" s="800">
        <v>1295371</v>
      </c>
      <c r="F884" s="785">
        <v>4459423</v>
      </c>
      <c r="G884" s="785"/>
      <c r="H884" s="786">
        <v>256904</v>
      </c>
      <c r="I884" s="787">
        <v>1082754</v>
      </c>
      <c r="J884" s="786">
        <v>636867</v>
      </c>
      <c r="K884" s="785">
        <v>21162</v>
      </c>
      <c r="L884" s="787">
        <f t="shared" si="26"/>
        <v>1997687</v>
      </c>
      <c r="M884" s="785"/>
      <c r="N884" s="786">
        <v>126232</v>
      </c>
      <c r="O884" s="786">
        <v>0</v>
      </c>
      <c r="P884" s="785">
        <v>17651</v>
      </c>
      <c r="Q884" s="787">
        <f t="shared" si="27"/>
        <v>143883</v>
      </c>
      <c r="R884" s="785"/>
      <c r="S884" s="786">
        <v>1502830</v>
      </c>
      <c r="T884" s="788">
        <v>-1976</v>
      </c>
      <c r="U884" s="788">
        <f>1500853+1</f>
        <v>1500854</v>
      </c>
    </row>
    <row r="885" spans="1:21" x14ac:dyDescent="0.25">
      <c r="A885" s="782">
        <v>99705</v>
      </c>
      <c r="B885" s="783" t="s">
        <v>3494</v>
      </c>
      <c r="C885" s="784">
        <v>1.7229999999999999E-4</v>
      </c>
      <c r="D885" s="784">
        <v>1.7259999999999999E-4</v>
      </c>
      <c r="E885" s="800">
        <v>85451</v>
      </c>
      <c r="F885" s="785">
        <v>263227</v>
      </c>
      <c r="G885" s="785"/>
      <c r="H885" s="786">
        <v>15164</v>
      </c>
      <c r="I885" s="787">
        <v>63911</v>
      </c>
      <c r="J885" s="786">
        <v>37592</v>
      </c>
      <c r="K885" s="785">
        <v>10978</v>
      </c>
      <c r="L885" s="787">
        <f t="shared" si="26"/>
        <v>127645</v>
      </c>
      <c r="M885" s="785"/>
      <c r="N885" s="786">
        <v>7451</v>
      </c>
      <c r="O885" s="786">
        <v>0</v>
      </c>
      <c r="P885" s="785">
        <v>544</v>
      </c>
      <c r="Q885" s="787">
        <f t="shared" si="27"/>
        <v>7995</v>
      </c>
      <c r="R885" s="785"/>
      <c r="S885" s="786">
        <v>88708</v>
      </c>
      <c r="T885" s="788">
        <v>5913</v>
      </c>
      <c r="U885" s="788">
        <v>94621</v>
      </c>
    </row>
    <row r="886" spans="1:21" x14ac:dyDescent="0.25">
      <c r="A886" s="782">
        <v>99711</v>
      </c>
      <c r="B886" s="783" t="s">
        <v>3495</v>
      </c>
      <c r="C886" s="784">
        <v>4.5459999999999999E-4</v>
      </c>
      <c r="D886" s="784">
        <v>4.3540000000000001E-4</v>
      </c>
      <c r="E886" s="800">
        <v>209494</v>
      </c>
      <c r="F886" s="785">
        <v>694503</v>
      </c>
      <c r="G886" s="785"/>
      <c r="H886" s="786">
        <v>40010</v>
      </c>
      <c r="I886" s="787">
        <v>168626</v>
      </c>
      <c r="J886" s="786">
        <v>99185</v>
      </c>
      <c r="K886" s="785">
        <v>14449</v>
      </c>
      <c r="L886" s="787">
        <f t="shared" si="26"/>
        <v>322270</v>
      </c>
      <c r="M886" s="785"/>
      <c r="N886" s="786">
        <v>19659</v>
      </c>
      <c r="O886" s="786">
        <v>0</v>
      </c>
      <c r="P886" s="785">
        <v>10625</v>
      </c>
      <c r="Q886" s="787">
        <f t="shared" si="27"/>
        <v>30284</v>
      </c>
      <c r="R886" s="785"/>
      <c r="S886" s="786">
        <v>234048</v>
      </c>
      <c r="T886" s="788">
        <v>-1042</v>
      </c>
      <c r="U886" s="788">
        <v>233006</v>
      </c>
    </row>
    <row r="887" spans="1:21" x14ac:dyDescent="0.25">
      <c r="A887" s="782">
        <v>99717</v>
      </c>
      <c r="B887" s="783" t="s">
        <v>3496</v>
      </c>
      <c r="C887" s="784">
        <v>2.19E-5</v>
      </c>
      <c r="D887" s="784">
        <v>2.3200000000000001E-5</v>
      </c>
      <c r="E887" s="800">
        <v>8060</v>
      </c>
      <c r="F887" s="785">
        <v>33457</v>
      </c>
      <c r="G887" s="785"/>
      <c r="H887" s="786">
        <v>1927</v>
      </c>
      <c r="I887" s="787">
        <v>8123</v>
      </c>
      <c r="J887" s="786">
        <v>4778</v>
      </c>
      <c r="K887" s="785">
        <v>0</v>
      </c>
      <c r="L887" s="787">
        <f t="shared" si="26"/>
        <v>14828</v>
      </c>
      <c r="M887" s="785"/>
      <c r="N887" s="786">
        <v>947</v>
      </c>
      <c r="O887" s="786">
        <v>0</v>
      </c>
      <c r="P887" s="785">
        <v>3936</v>
      </c>
      <c r="Q887" s="787">
        <f t="shared" si="27"/>
        <v>4883</v>
      </c>
      <c r="R887" s="785"/>
      <c r="S887" s="786">
        <v>11275</v>
      </c>
      <c r="T887" s="788">
        <v>-1270</v>
      </c>
      <c r="U887" s="788">
        <v>10005</v>
      </c>
    </row>
    <row r="888" spans="1:21" x14ac:dyDescent="0.25">
      <c r="A888" s="782">
        <v>99721</v>
      </c>
      <c r="B888" s="783" t="s">
        <v>3497</v>
      </c>
      <c r="C888" s="784">
        <v>5.7779999999999995E-4</v>
      </c>
      <c r="D888" s="784">
        <v>6.2449999999999995E-4</v>
      </c>
      <c r="E888" s="800">
        <v>252725</v>
      </c>
      <c r="F888" s="785">
        <v>882718</v>
      </c>
      <c r="G888" s="785"/>
      <c r="H888" s="786">
        <v>50853</v>
      </c>
      <c r="I888" s="787">
        <v>214325</v>
      </c>
      <c r="J888" s="786">
        <v>126064</v>
      </c>
      <c r="K888" s="785">
        <v>0</v>
      </c>
      <c r="L888" s="787">
        <f t="shared" si="26"/>
        <v>391242</v>
      </c>
      <c r="M888" s="785"/>
      <c r="N888" s="786">
        <v>24987</v>
      </c>
      <c r="O888" s="786">
        <v>0</v>
      </c>
      <c r="P888" s="785">
        <v>48789</v>
      </c>
      <c r="Q888" s="787">
        <f t="shared" si="27"/>
        <v>73776</v>
      </c>
      <c r="R888" s="785"/>
      <c r="S888" s="786">
        <v>297477</v>
      </c>
      <c r="T888" s="788">
        <v>-14223</v>
      </c>
      <c r="U888" s="788">
        <v>283254</v>
      </c>
    </row>
    <row r="889" spans="1:21" x14ac:dyDescent="0.25">
      <c r="A889" s="782">
        <v>99727</v>
      </c>
      <c r="B889" s="783" t="s">
        <v>3498</v>
      </c>
      <c r="C889" s="784">
        <v>2.3900000000000002E-5</v>
      </c>
      <c r="D889" s="784">
        <v>2.5299999999999998E-5</v>
      </c>
      <c r="E889" s="800">
        <v>46315</v>
      </c>
      <c r="F889" s="785">
        <v>36513</v>
      </c>
      <c r="G889" s="785"/>
      <c r="H889" s="786">
        <v>2103</v>
      </c>
      <c r="I889" s="787">
        <v>8865</v>
      </c>
      <c r="J889" s="786">
        <v>5215</v>
      </c>
      <c r="K889" s="785">
        <v>59484</v>
      </c>
      <c r="L889" s="787">
        <f t="shared" si="26"/>
        <v>75667</v>
      </c>
      <c r="M889" s="785"/>
      <c r="N889" s="786">
        <v>1034</v>
      </c>
      <c r="O889" s="786">
        <v>0</v>
      </c>
      <c r="P889" s="785">
        <v>0</v>
      </c>
      <c r="Q889" s="787">
        <f t="shared" si="27"/>
        <v>1034</v>
      </c>
      <c r="R889" s="785"/>
      <c r="S889" s="786">
        <v>12305</v>
      </c>
      <c r="T889" s="788">
        <v>20983</v>
      </c>
      <c r="U889" s="788">
        <v>33288</v>
      </c>
    </row>
    <row r="890" spans="1:21" x14ac:dyDescent="0.25">
      <c r="A890" s="782">
        <v>99801</v>
      </c>
      <c r="B890" s="783" t="s">
        <v>3499</v>
      </c>
      <c r="C890" s="784">
        <v>5.1866000000000004E-3</v>
      </c>
      <c r="D890" s="784">
        <v>5.1954999999999996E-3</v>
      </c>
      <c r="E890" s="800">
        <v>2259452</v>
      </c>
      <c r="F890" s="785">
        <v>7923688</v>
      </c>
      <c r="G890" s="785"/>
      <c r="H890" s="786">
        <v>456478</v>
      </c>
      <c r="I890" s="787">
        <v>1923881</v>
      </c>
      <c r="J890" s="786">
        <v>1131612</v>
      </c>
      <c r="K890" s="785">
        <v>17042</v>
      </c>
      <c r="L890" s="787">
        <f t="shared" si="26"/>
        <v>3529013</v>
      </c>
      <c r="M890" s="785"/>
      <c r="N890" s="786">
        <v>224295</v>
      </c>
      <c r="O890" s="786">
        <v>0</v>
      </c>
      <c r="P890" s="785">
        <v>150042</v>
      </c>
      <c r="Q890" s="787">
        <f t="shared" si="27"/>
        <v>374337</v>
      </c>
      <c r="R890" s="785"/>
      <c r="S890" s="786">
        <v>2670290</v>
      </c>
      <c r="T890" s="788">
        <v>-29556</v>
      </c>
      <c r="U890" s="788">
        <f>2640733+1</f>
        <v>2640734</v>
      </c>
    </row>
    <row r="891" spans="1:21" x14ac:dyDescent="0.25">
      <c r="A891" s="782">
        <v>99802</v>
      </c>
      <c r="B891" s="783" t="s">
        <v>3500</v>
      </c>
      <c r="C891" s="784">
        <v>6.0000000000000002E-6</v>
      </c>
      <c r="D891" s="784">
        <v>6.4999999999999996E-6</v>
      </c>
      <c r="E891" s="800">
        <v>4581</v>
      </c>
      <c r="F891" s="785">
        <v>9166</v>
      </c>
      <c r="G891" s="785"/>
      <c r="H891" s="786">
        <v>528</v>
      </c>
      <c r="I891" s="787">
        <v>2226</v>
      </c>
      <c r="J891" s="786">
        <v>1309</v>
      </c>
      <c r="K891" s="785">
        <v>1378</v>
      </c>
      <c r="L891" s="787">
        <f t="shared" si="26"/>
        <v>5441</v>
      </c>
      <c r="M891" s="785"/>
      <c r="N891" s="786">
        <v>259</v>
      </c>
      <c r="O891" s="786">
        <v>0</v>
      </c>
      <c r="P891" s="785">
        <v>53</v>
      </c>
      <c r="Q891" s="787">
        <f t="shared" si="27"/>
        <v>312</v>
      </c>
      <c r="R891" s="785"/>
      <c r="S891" s="786">
        <v>3089</v>
      </c>
      <c r="T891" s="788">
        <v>334</v>
      </c>
      <c r="U891" s="788">
        <v>3423</v>
      </c>
    </row>
    <row r="892" spans="1:21" x14ac:dyDescent="0.25">
      <c r="A892" s="782">
        <v>99804</v>
      </c>
      <c r="B892" s="783" t="s">
        <v>3501</v>
      </c>
      <c r="C892" s="784">
        <v>9.0500000000000004E-5</v>
      </c>
      <c r="D892" s="784">
        <v>8.6600000000000004E-5</v>
      </c>
      <c r="E892" s="800">
        <v>46756</v>
      </c>
      <c r="F892" s="785">
        <v>138259</v>
      </c>
      <c r="G892" s="785"/>
      <c r="H892" s="786">
        <v>7965</v>
      </c>
      <c r="I892" s="787">
        <v>33569</v>
      </c>
      <c r="J892" s="786">
        <v>19745</v>
      </c>
      <c r="K892" s="785">
        <v>13689</v>
      </c>
      <c r="L892" s="787">
        <f t="shared" si="26"/>
        <v>74968</v>
      </c>
      <c r="M892" s="785"/>
      <c r="N892" s="786">
        <v>3914</v>
      </c>
      <c r="O892" s="786">
        <v>0</v>
      </c>
      <c r="P892" s="785">
        <v>0</v>
      </c>
      <c r="Q892" s="787">
        <f t="shared" si="27"/>
        <v>3914</v>
      </c>
      <c r="R892" s="785"/>
      <c r="S892" s="786">
        <v>46593</v>
      </c>
      <c r="T892" s="788">
        <v>4917</v>
      </c>
      <c r="U892" s="788">
        <v>51510</v>
      </c>
    </row>
    <row r="893" spans="1:21" x14ac:dyDescent="0.25">
      <c r="A893" s="782">
        <v>99811</v>
      </c>
      <c r="B893" s="783" t="s">
        <v>3502</v>
      </c>
      <c r="C893" s="784">
        <v>6.7026999999999998E-3</v>
      </c>
      <c r="D893" s="784">
        <v>6.8415000000000004E-3</v>
      </c>
      <c r="E893" s="800">
        <v>2884356</v>
      </c>
      <c r="F893" s="785">
        <v>10239869</v>
      </c>
      <c r="G893" s="785"/>
      <c r="H893" s="786">
        <v>589911</v>
      </c>
      <c r="I893" s="787">
        <v>2486253</v>
      </c>
      <c r="J893" s="786">
        <v>1462395</v>
      </c>
      <c r="K893" s="785">
        <v>0</v>
      </c>
      <c r="L893" s="787">
        <f t="shared" si="26"/>
        <v>4538559</v>
      </c>
      <c r="M893" s="785"/>
      <c r="N893" s="786">
        <v>289858</v>
      </c>
      <c r="O893" s="786">
        <v>0</v>
      </c>
      <c r="P893" s="785">
        <v>598680</v>
      </c>
      <c r="Q893" s="787">
        <f t="shared" si="27"/>
        <v>888538</v>
      </c>
      <c r="R893" s="785"/>
      <c r="S893" s="786">
        <v>3450845</v>
      </c>
      <c r="T893" s="788">
        <v>-236953</v>
      </c>
      <c r="U893" s="788">
        <f>3213891+1</f>
        <v>3213892</v>
      </c>
    </row>
    <row r="894" spans="1:21" x14ac:dyDescent="0.25">
      <c r="A894" s="782">
        <v>99812</v>
      </c>
      <c r="B894" s="783" t="s">
        <v>3503</v>
      </c>
      <c r="C894" s="784">
        <v>2.2099999999999998E-5</v>
      </c>
      <c r="D894" s="784">
        <v>2.5599999999999999E-5</v>
      </c>
      <c r="E894" s="800">
        <v>20069</v>
      </c>
      <c r="F894" s="785">
        <v>33763</v>
      </c>
      <c r="G894" s="785"/>
      <c r="H894" s="786">
        <v>1945</v>
      </c>
      <c r="I894" s="787">
        <v>8198</v>
      </c>
      <c r="J894" s="786">
        <v>4822</v>
      </c>
      <c r="K894" s="785">
        <v>11652</v>
      </c>
      <c r="L894" s="787">
        <f t="shared" si="26"/>
        <v>26617</v>
      </c>
      <c r="M894" s="785"/>
      <c r="N894" s="786">
        <v>956</v>
      </c>
      <c r="O894" s="786">
        <v>0</v>
      </c>
      <c r="P894" s="785">
        <v>0</v>
      </c>
      <c r="Q894" s="787">
        <f t="shared" si="27"/>
        <v>956</v>
      </c>
      <c r="R894" s="785"/>
      <c r="S894" s="786">
        <v>11378</v>
      </c>
      <c r="T894" s="788">
        <v>4237</v>
      </c>
      <c r="U894" s="788">
        <v>15615</v>
      </c>
    </row>
    <row r="895" spans="1:21" x14ac:dyDescent="0.25">
      <c r="A895" s="782">
        <v>99818</v>
      </c>
      <c r="B895" s="783" t="s">
        <v>3504</v>
      </c>
      <c r="C895" s="784">
        <v>3.1600000000000002E-5</v>
      </c>
      <c r="D895" s="784">
        <v>3.7700000000000002E-5</v>
      </c>
      <c r="E895" s="800">
        <v>14370</v>
      </c>
      <c r="F895" s="785">
        <v>48276</v>
      </c>
      <c r="G895" s="785"/>
      <c r="H895" s="786">
        <v>2781</v>
      </c>
      <c r="I895" s="787">
        <v>11722</v>
      </c>
      <c r="J895" s="786">
        <v>6894</v>
      </c>
      <c r="K895" s="785">
        <v>3054</v>
      </c>
      <c r="L895" s="787">
        <f t="shared" si="26"/>
        <v>24451</v>
      </c>
      <c r="M895" s="785"/>
      <c r="N895" s="786">
        <v>1367</v>
      </c>
      <c r="O895" s="786">
        <v>0</v>
      </c>
      <c r="P895" s="785">
        <v>6414</v>
      </c>
      <c r="Q895" s="787">
        <f t="shared" si="27"/>
        <v>7781</v>
      </c>
      <c r="R895" s="785"/>
      <c r="S895" s="786">
        <v>16269</v>
      </c>
      <c r="T895" s="788">
        <v>695</v>
      </c>
      <c r="U895" s="788">
        <v>16964</v>
      </c>
    </row>
    <row r="896" spans="1:21" x14ac:dyDescent="0.25">
      <c r="A896" s="782">
        <v>99821</v>
      </c>
      <c r="B896" s="783" t="s">
        <v>3505</v>
      </c>
      <c r="C896" s="784">
        <v>9.1100000000000005E-5</v>
      </c>
      <c r="D896" s="784">
        <v>8.2899999999999996E-5</v>
      </c>
      <c r="E896" s="800">
        <v>48801</v>
      </c>
      <c r="F896" s="785">
        <v>139176</v>
      </c>
      <c r="G896" s="785"/>
      <c r="H896" s="786">
        <v>8018</v>
      </c>
      <c r="I896" s="787">
        <v>33792</v>
      </c>
      <c r="J896" s="786">
        <v>19876</v>
      </c>
      <c r="K896" s="785">
        <v>21459</v>
      </c>
      <c r="L896" s="787">
        <f t="shared" si="26"/>
        <v>83145</v>
      </c>
      <c r="M896" s="785"/>
      <c r="N896" s="786">
        <v>3940</v>
      </c>
      <c r="O896" s="786">
        <v>0</v>
      </c>
      <c r="P896" s="785">
        <v>555</v>
      </c>
      <c r="Q896" s="787">
        <f t="shared" si="27"/>
        <v>4495</v>
      </c>
      <c r="R896" s="785"/>
      <c r="S896" s="786">
        <v>46902</v>
      </c>
      <c r="T896" s="788">
        <v>9955</v>
      </c>
      <c r="U896" s="788">
        <v>56857</v>
      </c>
    </row>
    <row r="897" spans="1:21" x14ac:dyDescent="0.25">
      <c r="A897" s="782">
        <v>99831</v>
      </c>
      <c r="B897" s="783" t="s">
        <v>3506</v>
      </c>
      <c r="C897" s="784">
        <v>6.3299999999999994E-5</v>
      </c>
      <c r="D897" s="784">
        <v>5.5899999999999997E-5</v>
      </c>
      <c r="E897" s="800">
        <v>28274</v>
      </c>
      <c r="F897" s="785">
        <v>96705</v>
      </c>
      <c r="G897" s="785"/>
      <c r="H897" s="786">
        <v>5571</v>
      </c>
      <c r="I897" s="787">
        <v>23480</v>
      </c>
      <c r="J897" s="786">
        <v>13811</v>
      </c>
      <c r="K897" s="785">
        <v>7030</v>
      </c>
      <c r="L897" s="787">
        <f t="shared" si="26"/>
        <v>49892</v>
      </c>
      <c r="M897" s="785"/>
      <c r="N897" s="786">
        <v>2737</v>
      </c>
      <c r="O897" s="786">
        <v>0</v>
      </c>
      <c r="P897" s="785">
        <v>564</v>
      </c>
      <c r="Q897" s="787">
        <f t="shared" si="27"/>
        <v>3301</v>
      </c>
      <c r="R897" s="785"/>
      <c r="S897" s="786">
        <v>32590</v>
      </c>
      <c r="T897" s="788">
        <v>1906</v>
      </c>
      <c r="U897" s="788">
        <f>34495+1</f>
        <v>34496</v>
      </c>
    </row>
    <row r="898" spans="1:21" x14ac:dyDescent="0.25">
      <c r="A898" s="782">
        <v>99841</v>
      </c>
      <c r="B898" s="783" t="s">
        <v>3507</v>
      </c>
      <c r="C898" s="784">
        <v>4.3399999999999998E-5</v>
      </c>
      <c r="D898" s="784">
        <v>4.6E-5</v>
      </c>
      <c r="E898" s="800">
        <v>19338</v>
      </c>
      <c r="F898" s="785">
        <v>66303</v>
      </c>
      <c r="G898" s="785"/>
      <c r="H898" s="786">
        <v>3820</v>
      </c>
      <c r="I898" s="787">
        <v>16098</v>
      </c>
      <c r="J898" s="786">
        <v>9469</v>
      </c>
      <c r="K898" s="785">
        <v>1271</v>
      </c>
      <c r="L898" s="787">
        <f t="shared" si="26"/>
        <v>30658</v>
      </c>
      <c r="M898" s="785"/>
      <c r="N898" s="786">
        <v>1877</v>
      </c>
      <c r="O898" s="786">
        <v>0</v>
      </c>
      <c r="P898" s="785">
        <v>4060</v>
      </c>
      <c r="Q898" s="787">
        <f t="shared" si="27"/>
        <v>5937</v>
      </c>
      <c r="R898" s="785"/>
      <c r="S898" s="786">
        <v>22344</v>
      </c>
      <c r="T898" s="788">
        <v>-1214</v>
      </c>
      <c r="U898" s="788">
        <v>21130</v>
      </c>
    </row>
    <row r="899" spans="1:21" x14ac:dyDescent="0.25">
      <c r="A899" s="782">
        <v>99851</v>
      </c>
      <c r="B899" s="783" t="s">
        <v>3508</v>
      </c>
      <c r="C899" s="784">
        <v>2.23E-5</v>
      </c>
      <c r="D899" s="784">
        <v>2.1999999999999999E-5</v>
      </c>
      <c r="E899" s="800">
        <v>7302</v>
      </c>
      <c r="F899" s="785">
        <v>34068</v>
      </c>
      <c r="G899" s="785"/>
      <c r="H899" s="786">
        <v>1963</v>
      </c>
      <c r="I899" s="787">
        <v>8272</v>
      </c>
      <c r="J899" s="786">
        <v>4865</v>
      </c>
      <c r="K899" s="785">
        <v>142</v>
      </c>
      <c r="L899" s="787">
        <f t="shared" si="26"/>
        <v>15242</v>
      </c>
      <c r="M899" s="785"/>
      <c r="N899" s="786">
        <v>964</v>
      </c>
      <c r="O899" s="786">
        <v>0</v>
      </c>
      <c r="P899" s="785">
        <v>3191</v>
      </c>
      <c r="Q899" s="787">
        <f t="shared" si="27"/>
        <v>4155</v>
      </c>
      <c r="R899" s="785"/>
      <c r="S899" s="786">
        <v>11481</v>
      </c>
      <c r="T899" s="788">
        <v>-847</v>
      </c>
      <c r="U899" s="788">
        <v>10634</v>
      </c>
    </row>
    <row r="900" spans="1:21" x14ac:dyDescent="0.25">
      <c r="A900" s="782">
        <v>99901</v>
      </c>
      <c r="B900" s="783" t="s">
        <v>3509</v>
      </c>
      <c r="C900" s="784">
        <v>1.6707E-3</v>
      </c>
      <c r="D900" s="784">
        <v>1.6371999999999999E-3</v>
      </c>
      <c r="E900" s="800">
        <v>760400</v>
      </c>
      <c r="F900" s="785">
        <v>2552367</v>
      </c>
      <c r="G900" s="785"/>
      <c r="H900" s="786">
        <v>147040</v>
      </c>
      <c r="I900" s="787">
        <v>619718</v>
      </c>
      <c r="J900" s="786">
        <v>364513</v>
      </c>
      <c r="K900" s="785">
        <v>63407</v>
      </c>
      <c r="L900" s="787">
        <f t="shared" si="26"/>
        <v>1194678</v>
      </c>
      <c r="M900" s="785"/>
      <c r="N900" s="786">
        <v>72249</v>
      </c>
      <c r="O900" s="786">
        <v>0</v>
      </c>
      <c r="P900" s="785">
        <v>12021</v>
      </c>
      <c r="Q900" s="787">
        <f t="shared" si="27"/>
        <v>84270</v>
      </c>
      <c r="R900" s="785"/>
      <c r="S900" s="786">
        <v>860150</v>
      </c>
      <c r="T900" s="788">
        <v>13114</v>
      </c>
      <c r="U900" s="788">
        <v>873264</v>
      </c>
    </row>
    <row r="901" spans="1:21" x14ac:dyDescent="0.25">
      <c r="A901" s="782">
        <v>99911</v>
      </c>
      <c r="B901" s="783" t="s">
        <v>3510</v>
      </c>
      <c r="C901" s="784">
        <v>2.5980000000000003E-4</v>
      </c>
      <c r="D901" s="784">
        <v>2.5520000000000002E-4</v>
      </c>
      <c r="E901" s="800">
        <v>122066</v>
      </c>
      <c r="F901" s="785">
        <v>396902</v>
      </c>
      <c r="G901" s="785"/>
      <c r="H901" s="786">
        <v>22865</v>
      </c>
      <c r="I901" s="787">
        <v>96368</v>
      </c>
      <c r="J901" s="786">
        <v>56683</v>
      </c>
      <c r="K901" s="785">
        <v>7168</v>
      </c>
      <c r="L901" s="787">
        <f t="shared" si="26"/>
        <v>183084</v>
      </c>
      <c r="M901" s="785"/>
      <c r="N901" s="786">
        <v>11235</v>
      </c>
      <c r="O901" s="786">
        <v>0</v>
      </c>
      <c r="P901" s="785">
        <v>12661</v>
      </c>
      <c r="Q901" s="787">
        <f t="shared" si="27"/>
        <v>23896</v>
      </c>
      <c r="R901" s="785"/>
      <c r="S901" s="786">
        <v>133756</v>
      </c>
      <c r="T901" s="788">
        <v>-5521</v>
      </c>
      <c r="U901" s="788">
        <v>128235</v>
      </c>
    </row>
    <row r="902" spans="1:21" x14ac:dyDescent="0.25">
      <c r="A902" s="782">
        <v>99921</v>
      </c>
      <c r="B902" s="783" t="s">
        <v>3511</v>
      </c>
      <c r="C902" s="784">
        <v>1.506E-4</v>
      </c>
      <c r="D902" s="784">
        <v>1.5129999999999999E-4</v>
      </c>
      <c r="E902" s="800">
        <v>65165</v>
      </c>
      <c r="F902" s="785">
        <v>230075</v>
      </c>
      <c r="G902" s="785"/>
      <c r="H902" s="786">
        <v>13254</v>
      </c>
      <c r="I902" s="787">
        <v>55863</v>
      </c>
      <c r="J902" s="786">
        <v>32858</v>
      </c>
      <c r="K902" s="785">
        <v>3258</v>
      </c>
      <c r="L902" s="787">
        <f t="shared" si="26"/>
        <v>105233</v>
      </c>
      <c r="M902" s="785"/>
      <c r="N902" s="786">
        <v>6513</v>
      </c>
      <c r="O902" s="786">
        <v>0</v>
      </c>
      <c r="P902" s="785">
        <v>7306</v>
      </c>
      <c r="Q902" s="787">
        <f t="shared" si="27"/>
        <v>13819</v>
      </c>
      <c r="R902" s="785"/>
      <c r="S902" s="786">
        <v>77536</v>
      </c>
      <c r="T902" s="788">
        <v>-3057</v>
      </c>
      <c r="U902" s="788">
        <v>74479</v>
      </c>
    </row>
    <row r="903" spans="1:21" x14ac:dyDescent="0.25">
      <c r="A903" s="782">
        <v>99931</v>
      </c>
      <c r="B903" s="783" t="s">
        <v>3512</v>
      </c>
      <c r="C903" s="784">
        <v>1.5800000000000001E-5</v>
      </c>
      <c r="D903" s="784">
        <v>2.51E-5</v>
      </c>
      <c r="E903" s="800">
        <v>8881</v>
      </c>
      <c r="F903" s="785">
        <v>24138</v>
      </c>
      <c r="G903" s="785"/>
      <c r="H903" s="786">
        <v>1391</v>
      </c>
      <c r="I903" s="787">
        <v>5860</v>
      </c>
      <c r="J903" s="786">
        <v>3447</v>
      </c>
      <c r="K903" s="785">
        <v>0</v>
      </c>
      <c r="L903" s="787">
        <f>H903+I903+J903+K903</f>
        <v>10698</v>
      </c>
      <c r="M903" s="785"/>
      <c r="N903" s="786">
        <v>683</v>
      </c>
      <c r="O903" s="786">
        <v>0</v>
      </c>
      <c r="P903" s="785">
        <v>8477</v>
      </c>
      <c r="Q903" s="787">
        <f>N903+O903+P903</f>
        <v>9160</v>
      </c>
      <c r="R903" s="785"/>
      <c r="S903" s="786">
        <v>8135</v>
      </c>
      <c r="T903" s="788">
        <v>-3271</v>
      </c>
      <c r="U903" s="788">
        <v>4864</v>
      </c>
    </row>
    <row r="904" spans="1:21" x14ac:dyDescent="0.25">
      <c r="A904" s="782">
        <v>99941</v>
      </c>
      <c r="B904" s="783" t="s">
        <v>3513</v>
      </c>
      <c r="C904" s="784">
        <v>7.5400000000000003E-5</v>
      </c>
      <c r="D904" s="784">
        <v>7.8200000000000003E-5</v>
      </c>
      <c r="E904" s="800">
        <v>32663</v>
      </c>
      <c r="F904" s="785">
        <v>115190</v>
      </c>
      <c r="G904" s="785"/>
      <c r="H904" s="786">
        <v>6636</v>
      </c>
      <c r="I904" s="787">
        <v>27969</v>
      </c>
      <c r="J904" s="786">
        <v>16451</v>
      </c>
      <c r="K904" s="785">
        <v>0</v>
      </c>
      <c r="L904" s="787">
        <f>H904+I904+J904+K904</f>
        <v>51056</v>
      </c>
      <c r="M904" s="785"/>
      <c r="N904" s="786">
        <v>3261</v>
      </c>
      <c r="O904" s="786">
        <v>0</v>
      </c>
      <c r="P904" s="785">
        <v>11647</v>
      </c>
      <c r="Q904" s="787">
        <f>N904+O904+P904</f>
        <v>14908</v>
      </c>
      <c r="R904" s="785"/>
      <c r="S904" s="786">
        <v>38819</v>
      </c>
      <c r="T904" s="788">
        <v>-4535</v>
      </c>
      <c r="U904" s="788">
        <f>34285-1</f>
        <v>34284</v>
      </c>
    </row>
    <row r="905" spans="1:21" x14ac:dyDescent="0.25">
      <c r="A905" s="782">
        <v>99991</v>
      </c>
      <c r="B905" s="783" t="s">
        <v>3514</v>
      </c>
      <c r="C905" s="784">
        <v>5.3450000000000004E-4</v>
      </c>
      <c r="D905" s="784">
        <v>5.6990000000000003E-4</v>
      </c>
      <c r="E905" s="800">
        <v>239781</v>
      </c>
      <c r="F905" s="785">
        <v>816568</v>
      </c>
      <c r="G905" s="785"/>
      <c r="H905" s="786">
        <v>47042</v>
      </c>
      <c r="I905" s="787">
        <v>198264</v>
      </c>
      <c r="J905" s="786">
        <v>116617</v>
      </c>
      <c r="K905" s="785">
        <v>28891</v>
      </c>
      <c r="L905" s="787">
        <f>H905+I905+J905+K905</f>
        <v>390814</v>
      </c>
      <c r="M905" s="785"/>
      <c r="N905" s="786">
        <v>23114</v>
      </c>
      <c r="O905" s="786">
        <v>0</v>
      </c>
      <c r="P905" s="785">
        <v>28214</v>
      </c>
      <c r="Q905" s="787">
        <f>N905+O905+P905</f>
        <v>51328</v>
      </c>
      <c r="R905" s="785"/>
      <c r="S905" s="786">
        <v>275184</v>
      </c>
      <c r="T905" s="788">
        <v>12361</v>
      </c>
      <c r="U905" s="788">
        <v>287545</v>
      </c>
    </row>
    <row r="906" spans="1:21" x14ac:dyDescent="0.25">
      <c r="A906" s="782">
        <v>99999</v>
      </c>
      <c r="B906" s="783" t="s">
        <v>3515</v>
      </c>
      <c r="C906" s="784">
        <v>8.7509999999999997E-4</v>
      </c>
      <c r="D906" s="784">
        <v>1.0101000000000001E-3</v>
      </c>
      <c r="E906" s="800">
        <v>509176</v>
      </c>
      <c r="F906" s="785">
        <v>1336910</v>
      </c>
      <c r="G906" s="785"/>
      <c r="H906" s="786">
        <v>77018</v>
      </c>
      <c r="I906" s="787">
        <v>324603</v>
      </c>
      <c r="J906" s="786">
        <v>190929</v>
      </c>
      <c r="K906" s="785">
        <v>77711</v>
      </c>
      <c r="L906" s="787">
        <f>H906+I906+J906+K906</f>
        <v>670261</v>
      </c>
      <c r="M906" s="785"/>
      <c r="N906" s="786">
        <v>37844</v>
      </c>
      <c r="O906" s="786">
        <v>0</v>
      </c>
      <c r="P906" s="785">
        <v>26259</v>
      </c>
      <c r="Q906" s="787">
        <f>N906+O906+P906</f>
        <v>64103</v>
      </c>
      <c r="R906" s="785"/>
      <c r="S906" s="786">
        <v>450540</v>
      </c>
      <c r="T906" s="788">
        <v>10651</v>
      </c>
      <c r="U906" s="788">
        <v>461191</v>
      </c>
    </row>
    <row r="907" spans="1:21" x14ac:dyDescent="0.25">
      <c r="A907" s="802" t="s">
        <v>2621</v>
      </c>
      <c r="B907" s="803" t="s">
        <v>2620</v>
      </c>
      <c r="C907" s="804">
        <v>2.6581E-3</v>
      </c>
      <c r="D907" s="804">
        <v>2.3587E-3</v>
      </c>
      <c r="E907" s="805">
        <v>1110621</v>
      </c>
      <c r="F907" s="806">
        <v>4060841</v>
      </c>
      <c r="G907" s="806"/>
      <c r="H907" s="807">
        <v>233942</v>
      </c>
      <c r="I907" s="808">
        <v>985977</v>
      </c>
      <c r="J907" s="807">
        <v>579944</v>
      </c>
      <c r="K907" s="806">
        <v>130818</v>
      </c>
      <c r="L907" s="808">
        <v>1930681</v>
      </c>
      <c r="M907" s="806"/>
      <c r="N907" s="807">
        <v>114950</v>
      </c>
      <c r="O907" s="807" t="s">
        <v>3952</v>
      </c>
      <c r="P907" s="806">
        <v>31847</v>
      </c>
      <c r="Q907" s="808">
        <v>146797</v>
      </c>
      <c r="R907" s="806"/>
      <c r="S907" s="807">
        <v>1368507</v>
      </c>
      <c r="T907" s="806">
        <v>33872</v>
      </c>
      <c r="U907" s="806">
        <v>1402379</v>
      </c>
    </row>
    <row r="908" spans="1:21" s="796" customFormat="1" x14ac:dyDescent="0.25">
      <c r="A908" s="790"/>
      <c r="B908" s="791"/>
      <c r="C908" s="792">
        <v>1</v>
      </c>
      <c r="D908" s="792">
        <v>1</v>
      </c>
      <c r="E908" s="801"/>
      <c r="F908" s="793">
        <f>SUM(F7:F906)</f>
        <v>1527723006</v>
      </c>
      <c r="G908" s="793"/>
      <c r="H908" s="794">
        <f>SUM(H7:H906)</f>
        <v>88010998</v>
      </c>
      <c r="I908" s="795">
        <v>370932998</v>
      </c>
      <c r="J908" s="794">
        <f>SUM(J7:J906)</f>
        <v>218179990</v>
      </c>
      <c r="K908" s="794">
        <f>SUM(K7:K906)</f>
        <v>44399345</v>
      </c>
      <c r="L908" s="795">
        <f>SUM(L7:L906)</f>
        <v>721523331</v>
      </c>
      <c r="M908" s="794"/>
      <c r="N908" s="794">
        <f>SUM(N7:N906)</f>
        <v>43245007</v>
      </c>
      <c r="O908" s="794">
        <f>SUM(O7:O906)</f>
        <v>0</v>
      </c>
      <c r="P908" s="794">
        <f>SUM(P7:P906)</f>
        <v>44399369</v>
      </c>
      <c r="Q908" s="795">
        <f>SUM(Q7:Q906)</f>
        <v>87644376</v>
      </c>
      <c r="R908" s="794"/>
      <c r="S908" s="794">
        <f>SUM(S7:S906)</f>
        <v>514844016</v>
      </c>
      <c r="T908" s="794">
        <f>SUM(T7:T906)</f>
        <v>36</v>
      </c>
      <c r="U908" s="794">
        <f>SUM(U7:U906)</f>
        <v>514844052</v>
      </c>
    </row>
    <row r="909" spans="1:21" s="796" customFormat="1" x14ac:dyDescent="0.25">
      <c r="A909" s="790"/>
      <c r="B909" s="791"/>
      <c r="C909" s="792"/>
      <c r="D909" s="792"/>
      <c r="E909" s="801"/>
      <c r="F909" s="793"/>
      <c r="G909" s="793"/>
      <c r="H909" s="794"/>
      <c r="I909" s="795"/>
      <c r="J909" s="794"/>
      <c r="K909" s="794"/>
      <c r="L909" s="795"/>
      <c r="M909" s="794"/>
      <c r="N909" s="794"/>
      <c r="O909" s="794"/>
      <c r="P909" s="794"/>
      <c r="Q909" s="795"/>
      <c r="R909" s="794"/>
      <c r="S909" s="794"/>
      <c r="T909" s="794"/>
      <c r="U909" s="794"/>
    </row>
    <row r="910" spans="1:21" s="796" customFormat="1" x14ac:dyDescent="0.25">
      <c r="A910" s="790"/>
      <c r="B910" s="791"/>
      <c r="C910" s="792"/>
      <c r="D910" s="792"/>
      <c r="E910" s="801"/>
      <c r="F910" s="793"/>
      <c r="G910" s="793"/>
      <c r="H910" s="794"/>
      <c r="I910" s="795"/>
      <c r="J910" s="794"/>
      <c r="K910" s="794"/>
      <c r="L910" s="795"/>
      <c r="M910" s="794"/>
      <c r="N910" s="794"/>
      <c r="O910" s="794"/>
      <c r="P910" s="794"/>
      <c r="Q910" s="795"/>
      <c r="R910" s="794"/>
      <c r="S910" s="794"/>
      <c r="T910" s="794"/>
      <c r="U910" s="794"/>
    </row>
    <row r="911" spans="1:21" x14ac:dyDescent="0.25">
      <c r="B911" s="797" t="s">
        <v>2086</v>
      </c>
      <c r="C911" s="780" t="s">
        <v>822</v>
      </c>
    </row>
    <row r="912" spans="1:21" x14ac:dyDescent="0.25">
      <c r="B912" s="798" t="s">
        <v>2101</v>
      </c>
      <c r="C912" s="782">
        <v>96331</v>
      </c>
    </row>
    <row r="913" spans="2:3" x14ac:dyDescent="0.25">
      <c r="B913" s="798" t="s">
        <v>2102</v>
      </c>
      <c r="C913" s="782">
        <v>94611</v>
      </c>
    </row>
    <row r="914" spans="2:3" x14ac:dyDescent="0.25">
      <c r="B914" s="798" t="s">
        <v>1462</v>
      </c>
      <c r="C914" s="782">
        <v>93402</v>
      </c>
    </row>
    <row r="915" spans="2:3" x14ac:dyDescent="0.25">
      <c r="B915" s="798" t="s">
        <v>2103</v>
      </c>
      <c r="C915" s="782">
        <v>90151</v>
      </c>
    </row>
    <row r="916" spans="2:3" x14ac:dyDescent="0.25">
      <c r="B916" s="798" t="s">
        <v>3676</v>
      </c>
      <c r="C916" s="782">
        <v>94109</v>
      </c>
    </row>
    <row r="917" spans="2:3" x14ac:dyDescent="0.25">
      <c r="B917" s="798" t="s">
        <v>1167</v>
      </c>
      <c r="C917" s="782">
        <v>90101</v>
      </c>
    </row>
    <row r="918" spans="2:3" x14ac:dyDescent="0.25">
      <c r="B918" s="798" t="s">
        <v>3516</v>
      </c>
      <c r="C918" s="782">
        <v>90117</v>
      </c>
    </row>
    <row r="919" spans="2:3" x14ac:dyDescent="0.25">
      <c r="B919" s="798" t="s">
        <v>2104</v>
      </c>
      <c r="C919" s="782">
        <v>98411</v>
      </c>
    </row>
    <row r="920" spans="2:3" x14ac:dyDescent="0.25">
      <c r="B920" s="798" t="s">
        <v>3677</v>
      </c>
      <c r="C920" s="782">
        <v>98417</v>
      </c>
    </row>
    <row r="921" spans="2:3" x14ac:dyDescent="0.25">
      <c r="B921" s="798" t="s">
        <v>1763</v>
      </c>
      <c r="C921" s="782">
        <v>97008</v>
      </c>
    </row>
    <row r="922" spans="2:3" x14ac:dyDescent="0.25">
      <c r="B922" s="798" t="s">
        <v>1764</v>
      </c>
      <c r="C922" s="782">
        <v>97010</v>
      </c>
    </row>
    <row r="923" spans="2:3" x14ac:dyDescent="0.25">
      <c r="B923" s="798" t="s">
        <v>3517</v>
      </c>
      <c r="C923" s="782">
        <v>90096</v>
      </c>
    </row>
    <row r="924" spans="2:3" x14ac:dyDescent="0.25">
      <c r="B924" s="798" t="s">
        <v>1214</v>
      </c>
      <c r="C924" s="782">
        <v>90805</v>
      </c>
    </row>
    <row r="925" spans="2:3" x14ac:dyDescent="0.25">
      <c r="B925" s="798" t="s">
        <v>3678</v>
      </c>
      <c r="C925" s="782">
        <v>92109</v>
      </c>
    </row>
    <row r="926" spans="2:3" x14ac:dyDescent="0.25">
      <c r="B926" s="798" t="s">
        <v>1175</v>
      </c>
      <c r="C926" s="782">
        <v>90201</v>
      </c>
    </row>
    <row r="927" spans="2:3" x14ac:dyDescent="0.25">
      <c r="B927" s="798" t="s">
        <v>3679</v>
      </c>
      <c r="C927" s="782">
        <v>90206</v>
      </c>
    </row>
    <row r="928" spans="2:3" x14ac:dyDescent="0.25">
      <c r="B928" s="798" t="s">
        <v>3680</v>
      </c>
      <c r="C928" s="782">
        <v>90203</v>
      </c>
    </row>
    <row r="929" spans="2:3" x14ac:dyDescent="0.25">
      <c r="B929" s="798" t="s">
        <v>3681</v>
      </c>
      <c r="C929" s="782">
        <v>90205</v>
      </c>
    </row>
    <row r="930" spans="2:3" x14ac:dyDescent="0.25">
      <c r="B930" s="798" t="s">
        <v>1180</v>
      </c>
      <c r="C930" s="782">
        <v>90301</v>
      </c>
    </row>
    <row r="931" spans="2:3" x14ac:dyDescent="0.25">
      <c r="B931" s="798" t="s">
        <v>3682</v>
      </c>
      <c r="C931" s="782">
        <v>93209</v>
      </c>
    </row>
    <row r="932" spans="2:3" x14ac:dyDescent="0.25">
      <c r="B932" s="798" t="s">
        <v>2105</v>
      </c>
      <c r="C932" s="782">
        <v>92021</v>
      </c>
    </row>
    <row r="933" spans="2:3" x14ac:dyDescent="0.25">
      <c r="B933" s="798" t="s">
        <v>2106</v>
      </c>
      <c r="C933" s="782">
        <v>94351</v>
      </c>
    </row>
    <row r="934" spans="2:3" x14ac:dyDescent="0.25">
      <c r="B934" s="798" t="s">
        <v>3683</v>
      </c>
      <c r="C934" s="782">
        <v>94347</v>
      </c>
    </row>
    <row r="935" spans="2:3" x14ac:dyDescent="0.25">
      <c r="B935" s="798" t="s">
        <v>1183</v>
      </c>
      <c r="C935" s="782">
        <v>90401</v>
      </c>
    </row>
    <row r="936" spans="2:3" x14ac:dyDescent="0.25">
      <c r="B936" s="798" t="s">
        <v>2107</v>
      </c>
      <c r="C936" s="782">
        <v>90451</v>
      </c>
    </row>
    <row r="937" spans="2:3" x14ac:dyDescent="0.25">
      <c r="B937" s="798" t="s">
        <v>2108</v>
      </c>
      <c r="C937" s="782">
        <v>99271</v>
      </c>
    </row>
    <row r="938" spans="2:3" x14ac:dyDescent="0.25">
      <c r="B938" s="798" t="s">
        <v>3684</v>
      </c>
      <c r="C938" s="782">
        <v>90099</v>
      </c>
    </row>
    <row r="939" spans="2:3" x14ac:dyDescent="0.25">
      <c r="B939" s="798" t="s">
        <v>2003</v>
      </c>
      <c r="C939" s="782">
        <v>99705</v>
      </c>
    </row>
    <row r="940" spans="2:3" x14ac:dyDescent="0.25">
      <c r="B940" s="798" t="s">
        <v>2109</v>
      </c>
      <c r="C940" s="782">
        <v>97651</v>
      </c>
    </row>
    <row r="941" spans="2:3" x14ac:dyDescent="0.25">
      <c r="B941" s="798" t="s">
        <v>2110</v>
      </c>
      <c r="C941" s="782">
        <v>95106</v>
      </c>
    </row>
    <row r="942" spans="2:3" x14ac:dyDescent="0.25">
      <c r="B942" s="798" t="s">
        <v>1192</v>
      </c>
      <c r="C942" s="782">
        <v>90501</v>
      </c>
    </row>
    <row r="943" spans="2:3" x14ac:dyDescent="0.25">
      <c r="B943" s="798" t="s">
        <v>2111</v>
      </c>
      <c r="C943" s="782">
        <v>97611</v>
      </c>
    </row>
    <row r="944" spans="2:3" x14ac:dyDescent="0.25">
      <c r="B944" s="798" t="s">
        <v>3685</v>
      </c>
      <c r="C944" s="782">
        <v>97607</v>
      </c>
    </row>
    <row r="945" spans="2:3" x14ac:dyDescent="0.25">
      <c r="B945" s="798" t="s">
        <v>3686</v>
      </c>
      <c r="C945" s="782">
        <v>97613</v>
      </c>
    </row>
    <row r="946" spans="2:3" x14ac:dyDescent="0.25">
      <c r="B946" s="798" t="s">
        <v>2112</v>
      </c>
      <c r="C946" s="782">
        <v>91121</v>
      </c>
    </row>
    <row r="947" spans="2:3" x14ac:dyDescent="0.25">
      <c r="B947" s="798" t="s">
        <v>3687</v>
      </c>
      <c r="C947" s="782">
        <v>91127</v>
      </c>
    </row>
    <row r="948" spans="2:3" x14ac:dyDescent="0.25">
      <c r="B948" s="798" t="s">
        <v>1266</v>
      </c>
      <c r="C948" s="782">
        <v>91128</v>
      </c>
    </row>
    <row r="949" spans="2:3" x14ac:dyDescent="0.25">
      <c r="B949" s="798" t="s">
        <v>2113</v>
      </c>
      <c r="C949" s="782">
        <v>91681</v>
      </c>
    </row>
    <row r="950" spans="2:3" x14ac:dyDescent="0.25">
      <c r="B950" s="798" t="s">
        <v>2114</v>
      </c>
      <c r="C950" s="782">
        <v>90811</v>
      </c>
    </row>
    <row r="951" spans="2:3" x14ac:dyDescent="0.25">
      <c r="B951" s="798" t="s">
        <v>2115</v>
      </c>
      <c r="C951" s="782">
        <v>90721</v>
      </c>
    </row>
    <row r="952" spans="2:3" x14ac:dyDescent="0.25">
      <c r="B952" s="798" t="s">
        <v>2116</v>
      </c>
      <c r="C952" s="782">
        <v>98271</v>
      </c>
    </row>
    <row r="953" spans="2:3" x14ac:dyDescent="0.25">
      <c r="B953" s="798" t="s">
        <v>1196</v>
      </c>
      <c r="C953" s="782">
        <v>90601</v>
      </c>
    </row>
    <row r="954" spans="2:3" x14ac:dyDescent="0.25">
      <c r="B954" s="798" t="s">
        <v>3688</v>
      </c>
      <c r="C954" s="782">
        <v>90602</v>
      </c>
    </row>
    <row r="955" spans="2:3" x14ac:dyDescent="0.25">
      <c r="B955" s="798" t="s">
        <v>3689</v>
      </c>
      <c r="C955" s="782">
        <v>90605</v>
      </c>
    </row>
    <row r="956" spans="2:3" x14ac:dyDescent="0.25">
      <c r="B956" s="798" t="s">
        <v>2117</v>
      </c>
      <c r="C956" s="782">
        <v>97461</v>
      </c>
    </row>
    <row r="957" spans="2:3" x14ac:dyDescent="0.25">
      <c r="B957" s="798" t="s">
        <v>1796</v>
      </c>
      <c r="C957" s="782">
        <v>97463</v>
      </c>
    </row>
    <row r="958" spans="2:3" x14ac:dyDescent="0.25">
      <c r="B958" s="798" t="s">
        <v>3690</v>
      </c>
      <c r="C958" s="782">
        <v>90705</v>
      </c>
    </row>
    <row r="959" spans="2:3" x14ac:dyDescent="0.25">
      <c r="B959" s="798" t="s">
        <v>2118</v>
      </c>
      <c r="C959" s="782">
        <v>98451</v>
      </c>
    </row>
    <row r="960" spans="2:3" x14ac:dyDescent="0.25">
      <c r="B960" s="798" t="s">
        <v>2119</v>
      </c>
      <c r="C960" s="782">
        <v>96451</v>
      </c>
    </row>
    <row r="961" spans="2:3" x14ac:dyDescent="0.25">
      <c r="B961" s="798" t="s">
        <v>2120</v>
      </c>
      <c r="C961" s="782">
        <v>96121</v>
      </c>
    </row>
    <row r="962" spans="2:3" x14ac:dyDescent="0.25">
      <c r="B962" s="798" t="s">
        <v>2121</v>
      </c>
      <c r="C962" s="782">
        <v>91091</v>
      </c>
    </row>
    <row r="963" spans="2:3" x14ac:dyDescent="0.25">
      <c r="B963" s="798" t="s">
        <v>2122</v>
      </c>
      <c r="C963" s="782">
        <v>90611</v>
      </c>
    </row>
    <row r="964" spans="2:3" x14ac:dyDescent="0.25">
      <c r="B964" s="798" t="s">
        <v>1758</v>
      </c>
      <c r="C964" s="782">
        <v>96918</v>
      </c>
    </row>
    <row r="965" spans="2:3" x14ac:dyDescent="0.25">
      <c r="B965" s="798" t="s">
        <v>2123</v>
      </c>
      <c r="C965" s="782">
        <v>96911</v>
      </c>
    </row>
    <row r="966" spans="2:3" x14ac:dyDescent="0.25">
      <c r="B966" s="798" t="s">
        <v>1955</v>
      </c>
      <c r="C966" s="782">
        <v>99208</v>
      </c>
    </row>
    <row r="967" spans="2:3" x14ac:dyDescent="0.25">
      <c r="B967" s="798" t="s">
        <v>2124</v>
      </c>
      <c r="C967" s="782">
        <v>91631</v>
      </c>
    </row>
    <row r="968" spans="2:3" x14ac:dyDescent="0.25">
      <c r="B968" s="798" t="s">
        <v>1204</v>
      </c>
      <c r="C968" s="782">
        <v>90701</v>
      </c>
    </row>
    <row r="969" spans="2:3" x14ac:dyDescent="0.25">
      <c r="B969" s="798" t="s">
        <v>3691</v>
      </c>
      <c r="C969" s="782">
        <v>90704</v>
      </c>
    </row>
    <row r="970" spans="2:3" x14ac:dyDescent="0.25">
      <c r="B970" s="798" t="s">
        <v>3692</v>
      </c>
      <c r="C970" s="782">
        <v>91633</v>
      </c>
    </row>
    <row r="971" spans="2:3" x14ac:dyDescent="0.25">
      <c r="B971" s="798" t="s">
        <v>2125</v>
      </c>
      <c r="C971" s="782">
        <v>90631</v>
      </c>
    </row>
    <row r="972" spans="2:3" x14ac:dyDescent="0.25">
      <c r="B972" s="798" t="s">
        <v>2126</v>
      </c>
      <c r="C972" s="782">
        <v>90731</v>
      </c>
    </row>
    <row r="973" spans="2:3" x14ac:dyDescent="0.25">
      <c r="B973" s="798" t="s">
        <v>2127</v>
      </c>
      <c r="C973" s="782">
        <v>93621</v>
      </c>
    </row>
    <row r="974" spans="2:3" x14ac:dyDescent="0.25">
      <c r="B974" s="798" t="s">
        <v>1488</v>
      </c>
      <c r="C974" s="782">
        <v>93623</v>
      </c>
    </row>
    <row r="975" spans="2:3" x14ac:dyDescent="0.25">
      <c r="B975" s="798" t="s">
        <v>2128</v>
      </c>
      <c r="C975" s="782">
        <v>91020</v>
      </c>
    </row>
    <row r="976" spans="2:3" x14ac:dyDescent="0.25">
      <c r="B976" s="798" t="s">
        <v>2129</v>
      </c>
      <c r="C976" s="782">
        <v>95141</v>
      </c>
    </row>
    <row r="977" spans="2:3" x14ac:dyDescent="0.25">
      <c r="B977" s="798" t="s">
        <v>1606</v>
      </c>
      <c r="C977" s="782">
        <v>95103</v>
      </c>
    </row>
    <row r="978" spans="2:3" x14ac:dyDescent="0.25">
      <c r="B978" s="798" t="s">
        <v>2130</v>
      </c>
      <c r="C978" s="782">
        <v>93021</v>
      </c>
    </row>
    <row r="979" spans="2:3" x14ac:dyDescent="0.25">
      <c r="B979" s="798" t="s">
        <v>1212</v>
      </c>
      <c r="C979" s="782">
        <v>90801</v>
      </c>
    </row>
    <row r="980" spans="2:3" x14ac:dyDescent="0.25">
      <c r="B980" s="798" t="s">
        <v>3693</v>
      </c>
      <c r="C980" s="782">
        <v>90804</v>
      </c>
    </row>
    <row r="981" spans="2:3" x14ac:dyDescent="0.25">
      <c r="B981" s="798" t="s">
        <v>1215</v>
      </c>
      <c r="C981" s="782">
        <v>90808</v>
      </c>
    </row>
    <row r="982" spans="2:3" x14ac:dyDescent="0.25">
      <c r="B982" s="798" t="s">
        <v>2131</v>
      </c>
      <c r="C982" s="782">
        <v>93671</v>
      </c>
    </row>
    <row r="983" spans="2:3" x14ac:dyDescent="0.25">
      <c r="B983" s="798" t="s">
        <v>2132</v>
      </c>
      <c r="C983" s="782">
        <v>93677</v>
      </c>
    </row>
    <row r="984" spans="2:3" x14ac:dyDescent="0.25">
      <c r="B984" s="798" t="s">
        <v>2133</v>
      </c>
      <c r="C984" s="782">
        <v>97441</v>
      </c>
    </row>
    <row r="985" spans="2:3" x14ac:dyDescent="0.25">
      <c r="B985" s="798" t="s">
        <v>2134</v>
      </c>
      <c r="C985" s="782">
        <v>93111</v>
      </c>
    </row>
    <row r="986" spans="2:3" x14ac:dyDescent="0.25">
      <c r="B986" s="798" t="s">
        <v>2135</v>
      </c>
      <c r="C986" s="782">
        <v>91111</v>
      </c>
    </row>
    <row r="987" spans="2:3" x14ac:dyDescent="0.25">
      <c r="B987" s="798" t="s">
        <v>2136</v>
      </c>
      <c r="C987" s="782">
        <v>96231</v>
      </c>
    </row>
    <row r="988" spans="2:3" x14ac:dyDescent="0.25">
      <c r="B988" s="798" t="s">
        <v>2137</v>
      </c>
      <c r="C988" s="782">
        <v>99831</v>
      </c>
    </row>
    <row r="989" spans="2:3" x14ac:dyDescent="0.25">
      <c r="B989" s="798" t="s">
        <v>2138</v>
      </c>
      <c r="C989" s="782">
        <v>91151</v>
      </c>
    </row>
    <row r="990" spans="2:3" x14ac:dyDescent="0.25">
      <c r="B990" s="798" t="s">
        <v>3694</v>
      </c>
      <c r="C990" s="782">
        <v>91154</v>
      </c>
    </row>
    <row r="991" spans="2:3" x14ac:dyDescent="0.25">
      <c r="B991" s="798" t="s">
        <v>1220</v>
      </c>
      <c r="C991" s="782">
        <v>90901</v>
      </c>
    </row>
    <row r="992" spans="2:3" x14ac:dyDescent="0.25">
      <c r="B992" s="798" t="s">
        <v>2139</v>
      </c>
      <c r="C992" s="782">
        <v>90941</v>
      </c>
    </row>
    <row r="993" spans="2:3" x14ac:dyDescent="0.25">
      <c r="B993" s="798" t="s">
        <v>2140</v>
      </c>
      <c r="C993" s="782">
        <v>99521</v>
      </c>
    </row>
    <row r="994" spans="2:3" x14ac:dyDescent="0.25">
      <c r="B994" s="798" t="s">
        <v>3695</v>
      </c>
      <c r="C994" s="782">
        <v>99527</v>
      </c>
    </row>
    <row r="995" spans="2:3" x14ac:dyDescent="0.25">
      <c r="B995" s="798" t="s">
        <v>1984</v>
      </c>
      <c r="C995" s="782">
        <v>99508</v>
      </c>
    </row>
    <row r="996" spans="2:3" x14ac:dyDescent="0.25">
      <c r="B996" s="798" t="s">
        <v>1573</v>
      </c>
      <c r="C996" s="782">
        <v>94532</v>
      </c>
    </row>
    <row r="997" spans="2:3" x14ac:dyDescent="0.25">
      <c r="B997" s="798" t="s">
        <v>3696</v>
      </c>
      <c r="C997" s="782">
        <v>91071</v>
      </c>
    </row>
    <row r="998" spans="2:3" x14ac:dyDescent="0.25">
      <c r="B998" s="798" t="s">
        <v>3697</v>
      </c>
      <c r="C998" s="782">
        <v>91077</v>
      </c>
    </row>
    <row r="999" spans="2:3" x14ac:dyDescent="0.25">
      <c r="B999" s="798" t="s">
        <v>2141</v>
      </c>
      <c r="C999" s="782">
        <v>92331</v>
      </c>
    </row>
    <row r="1000" spans="2:3" x14ac:dyDescent="0.25">
      <c r="B1000" s="798" t="s">
        <v>2142</v>
      </c>
      <c r="C1000" s="782">
        <v>92414</v>
      </c>
    </row>
    <row r="1001" spans="2:3" x14ac:dyDescent="0.25">
      <c r="B1001" s="798" t="s">
        <v>2143</v>
      </c>
      <c r="C1001" s="782">
        <v>99511</v>
      </c>
    </row>
    <row r="1002" spans="2:3" x14ac:dyDescent="0.25">
      <c r="B1002" s="798" t="s">
        <v>2144</v>
      </c>
      <c r="C1002" s="782">
        <v>99941</v>
      </c>
    </row>
    <row r="1003" spans="2:3" x14ac:dyDescent="0.25">
      <c r="B1003" s="798" t="s">
        <v>1710</v>
      </c>
      <c r="C1003" s="782">
        <v>96405</v>
      </c>
    </row>
    <row r="1004" spans="2:3" x14ac:dyDescent="0.25">
      <c r="B1004" s="798" t="s">
        <v>2145</v>
      </c>
      <c r="C1004" s="782">
        <v>98811</v>
      </c>
    </row>
    <row r="1005" spans="2:3" x14ac:dyDescent="0.25">
      <c r="B1005" s="798" t="s">
        <v>3698</v>
      </c>
      <c r="C1005" s="782">
        <v>98817</v>
      </c>
    </row>
    <row r="1006" spans="2:3" x14ac:dyDescent="0.25">
      <c r="B1006" s="798" t="s">
        <v>2146</v>
      </c>
      <c r="C1006" s="782">
        <v>92561</v>
      </c>
    </row>
    <row r="1007" spans="2:3" x14ac:dyDescent="0.25">
      <c r="B1007" s="798" t="s">
        <v>1869</v>
      </c>
      <c r="C1007" s="782">
        <v>98102</v>
      </c>
    </row>
    <row r="1008" spans="2:3" x14ac:dyDescent="0.25">
      <c r="B1008" s="798" t="s">
        <v>2147</v>
      </c>
      <c r="C1008" s="782">
        <v>95321</v>
      </c>
    </row>
    <row r="1009" spans="2:3" x14ac:dyDescent="0.25">
      <c r="B1009" s="798" t="s">
        <v>2148</v>
      </c>
      <c r="C1009" s="782">
        <v>91861</v>
      </c>
    </row>
    <row r="1010" spans="2:3" x14ac:dyDescent="0.25">
      <c r="B1010" s="798" t="s">
        <v>2149</v>
      </c>
      <c r="C1010" s="782">
        <v>92421</v>
      </c>
    </row>
    <row r="1011" spans="2:3" x14ac:dyDescent="0.25">
      <c r="B1011" s="798" t="s">
        <v>3699</v>
      </c>
      <c r="C1011" s="782">
        <v>91006</v>
      </c>
    </row>
    <row r="1012" spans="2:3" x14ac:dyDescent="0.25">
      <c r="B1012" s="798" t="s">
        <v>3700</v>
      </c>
      <c r="C1012" s="782">
        <v>91003</v>
      </c>
    </row>
    <row r="1013" spans="2:3" x14ac:dyDescent="0.25">
      <c r="B1013" s="798" t="s">
        <v>1227</v>
      </c>
      <c r="C1013" s="782">
        <v>91001</v>
      </c>
    </row>
    <row r="1014" spans="2:3" x14ac:dyDescent="0.25">
      <c r="B1014" s="798" t="s">
        <v>3701</v>
      </c>
      <c r="C1014" s="782">
        <v>91004</v>
      </c>
    </row>
    <row r="1015" spans="2:3" x14ac:dyDescent="0.25">
      <c r="B1015" s="798" t="s">
        <v>3702</v>
      </c>
      <c r="C1015" s="782">
        <v>91009</v>
      </c>
    </row>
    <row r="1016" spans="2:3" x14ac:dyDescent="0.25">
      <c r="B1016" s="798" t="s">
        <v>3703</v>
      </c>
      <c r="C1016" s="782">
        <v>91042</v>
      </c>
    </row>
    <row r="1017" spans="2:3" x14ac:dyDescent="0.25">
      <c r="B1017" s="798" t="s">
        <v>2150</v>
      </c>
      <c r="C1017" s="782">
        <v>98711</v>
      </c>
    </row>
    <row r="1018" spans="2:3" x14ac:dyDescent="0.25">
      <c r="B1018" s="798" t="s">
        <v>3704</v>
      </c>
      <c r="C1018" s="782">
        <v>98717</v>
      </c>
    </row>
    <row r="1019" spans="2:3" x14ac:dyDescent="0.25">
      <c r="B1019" s="798" t="s">
        <v>1255</v>
      </c>
      <c r="C1019" s="782">
        <v>91101</v>
      </c>
    </row>
    <row r="1020" spans="2:3" x14ac:dyDescent="0.25">
      <c r="B1020" s="798" t="s">
        <v>2151</v>
      </c>
      <c r="C1020" s="782">
        <v>93531</v>
      </c>
    </row>
    <row r="1021" spans="2:3" x14ac:dyDescent="0.25">
      <c r="B1021" s="798" t="s">
        <v>3705</v>
      </c>
      <c r="C1021" s="782">
        <v>93537</v>
      </c>
    </row>
    <row r="1022" spans="2:3" x14ac:dyDescent="0.25">
      <c r="B1022" s="798" t="s">
        <v>2152</v>
      </c>
      <c r="C1022" s="782">
        <v>97111</v>
      </c>
    </row>
    <row r="1023" spans="2:3" x14ac:dyDescent="0.25">
      <c r="B1023" s="798" t="s">
        <v>3706</v>
      </c>
      <c r="C1023" s="782">
        <v>91206</v>
      </c>
    </row>
    <row r="1024" spans="2:3" x14ac:dyDescent="0.25">
      <c r="B1024" s="798" t="s">
        <v>3707</v>
      </c>
      <c r="C1024" s="782">
        <v>91203</v>
      </c>
    </row>
    <row r="1025" spans="2:3" x14ac:dyDescent="0.25">
      <c r="B1025" s="798" t="s">
        <v>1274</v>
      </c>
      <c r="C1025" s="782">
        <v>91201</v>
      </c>
    </row>
    <row r="1026" spans="2:3" x14ac:dyDescent="0.25">
      <c r="B1026" s="798" t="s">
        <v>3708</v>
      </c>
      <c r="C1026" s="782">
        <v>91208</v>
      </c>
    </row>
    <row r="1027" spans="2:3" x14ac:dyDescent="0.25">
      <c r="B1027" s="798" t="s">
        <v>3709</v>
      </c>
      <c r="C1027" s="782">
        <v>91202</v>
      </c>
    </row>
    <row r="1028" spans="2:3" x14ac:dyDescent="0.25">
      <c r="B1028" s="798" t="s">
        <v>2153</v>
      </c>
      <c r="C1028" s="782">
        <v>90111</v>
      </c>
    </row>
    <row r="1029" spans="2:3" x14ac:dyDescent="0.25">
      <c r="B1029" s="798" t="s">
        <v>2154</v>
      </c>
      <c r="C1029" s="782">
        <v>90011</v>
      </c>
    </row>
    <row r="1030" spans="2:3" x14ac:dyDescent="0.25">
      <c r="B1030" s="798" t="s">
        <v>2155</v>
      </c>
      <c r="C1030" s="782">
        <v>93931</v>
      </c>
    </row>
    <row r="1031" spans="2:3" x14ac:dyDescent="0.25">
      <c r="B1031" s="798" t="s">
        <v>3710</v>
      </c>
      <c r="C1031" s="782">
        <v>91306</v>
      </c>
    </row>
    <row r="1032" spans="2:3" x14ac:dyDescent="0.25">
      <c r="B1032" s="798" t="s">
        <v>1288</v>
      </c>
      <c r="C1032" s="782">
        <v>91301</v>
      </c>
    </row>
    <row r="1033" spans="2:3" x14ac:dyDescent="0.25">
      <c r="B1033" s="798" t="s">
        <v>3711</v>
      </c>
      <c r="C1033" s="782">
        <v>91308</v>
      </c>
    </row>
    <row r="1034" spans="2:3" x14ac:dyDescent="0.25">
      <c r="B1034" s="798" t="s">
        <v>3712</v>
      </c>
      <c r="C1034" s="782">
        <v>91461</v>
      </c>
    </row>
    <row r="1035" spans="2:3" x14ac:dyDescent="0.25">
      <c r="B1035" s="798" t="s">
        <v>2156</v>
      </c>
      <c r="C1035" s="782">
        <v>91010</v>
      </c>
    </row>
    <row r="1036" spans="2:3" x14ac:dyDescent="0.25">
      <c r="B1036" s="798" t="s">
        <v>3713</v>
      </c>
      <c r="C1036" s="782">
        <v>91007</v>
      </c>
    </row>
    <row r="1037" spans="2:3" x14ac:dyDescent="0.25">
      <c r="B1037" s="798" t="s">
        <v>1298</v>
      </c>
      <c r="C1037" s="782">
        <v>91401</v>
      </c>
    </row>
    <row r="1038" spans="2:3" x14ac:dyDescent="0.25">
      <c r="B1038" s="798" t="s">
        <v>2157</v>
      </c>
      <c r="C1038" s="782">
        <v>93171</v>
      </c>
    </row>
    <row r="1039" spans="2:3" x14ac:dyDescent="0.25">
      <c r="B1039" s="798" t="s">
        <v>1308</v>
      </c>
      <c r="C1039" s="782">
        <v>91501</v>
      </c>
    </row>
    <row r="1040" spans="2:3" x14ac:dyDescent="0.25">
      <c r="B1040" s="798" t="s">
        <v>3714</v>
      </c>
      <c r="C1040" s="782">
        <v>91504</v>
      </c>
    </row>
    <row r="1041" spans="2:3" x14ac:dyDescent="0.25">
      <c r="B1041" s="798" t="s">
        <v>2158</v>
      </c>
      <c r="C1041" s="782">
        <v>96312</v>
      </c>
    </row>
    <row r="1042" spans="2:3" x14ac:dyDescent="0.25">
      <c r="B1042" s="798" t="s">
        <v>2159</v>
      </c>
      <c r="C1042" s="782">
        <v>96241</v>
      </c>
    </row>
    <row r="1043" spans="2:3" x14ac:dyDescent="0.25">
      <c r="B1043" s="798" t="s">
        <v>2160</v>
      </c>
      <c r="C1043" s="782">
        <v>94431</v>
      </c>
    </row>
    <row r="1044" spans="2:3" x14ac:dyDescent="0.25">
      <c r="B1044" s="798" t="s">
        <v>3715</v>
      </c>
      <c r="C1044" s="782">
        <v>94437</v>
      </c>
    </row>
    <row r="1045" spans="2:3" x14ac:dyDescent="0.25">
      <c r="B1045" s="798" t="s">
        <v>2161</v>
      </c>
      <c r="C1045" s="782">
        <v>91671</v>
      </c>
    </row>
    <row r="1046" spans="2:3" x14ac:dyDescent="0.25">
      <c r="B1046" s="798" t="s">
        <v>1232</v>
      </c>
      <c r="C1046" s="782">
        <v>91008</v>
      </c>
    </row>
    <row r="1047" spans="2:3" x14ac:dyDescent="0.25">
      <c r="B1047" s="798" t="s">
        <v>1724</v>
      </c>
      <c r="C1047" s="782">
        <v>96512</v>
      </c>
    </row>
    <row r="1048" spans="2:3" x14ac:dyDescent="0.25">
      <c r="B1048" s="798" t="s">
        <v>1721</v>
      </c>
      <c r="C1048" s="782">
        <v>96507</v>
      </c>
    </row>
    <row r="1049" spans="2:3" x14ac:dyDescent="0.25">
      <c r="B1049" s="798" t="s">
        <v>2162</v>
      </c>
      <c r="C1049" s="782">
        <v>96521</v>
      </c>
    </row>
    <row r="1050" spans="2:3" x14ac:dyDescent="0.25">
      <c r="B1050" s="798" t="s">
        <v>2163</v>
      </c>
      <c r="C1050" s="782">
        <v>91024</v>
      </c>
    </row>
    <row r="1051" spans="2:3" x14ac:dyDescent="0.25">
      <c r="B1051" s="798" t="s">
        <v>2164</v>
      </c>
      <c r="C1051" s="782">
        <v>96821</v>
      </c>
    </row>
    <row r="1052" spans="2:3" x14ac:dyDescent="0.25">
      <c r="B1052" s="798" t="s">
        <v>1310</v>
      </c>
      <c r="C1052" s="782">
        <v>91601</v>
      </c>
    </row>
    <row r="1053" spans="2:3" x14ac:dyDescent="0.25">
      <c r="B1053" s="798" t="s">
        <v>3716</v>
      </c>
      <c r="C1053" s="782">
        <v>91604</v>
      </c>
    </row>
    <row r="1054" spans="2:3" x14ac:dyDescent="0.25">
      <c r="B1054" s="798" t="s">
        <v>2165</v>
      </c>
      <c r="C1054" s="782">
        <v>96391</v>
      </c>
    </row>
    <row r="1055" spans="2:3" x14ac:dyDescent="0.25">
      <c r="B1055" s="798" t="s">
        <v>2166</v>
      </c>
      <c r="C1055" s="782">
        <v>99221</v>
      </c>
    </row>
    <row r="1056" spans="2:3" x14ac:dyDescent="0.25">
      <c r="B1056" s="798" t="s">
        <v>2167</v>
      </c>
      <c r="C1056" s="782">
        <v>91051</v>
      </c>
    </row>
    <row r="1057" spans="2:3" x14ac:dyDescent="0.25">
      <c r="B1057" s="798" t="s">
        <v>3717</v>
      </c>
      <c r="C1057" s="782">
        <v>91706</v>
      </c>
    </row>
    <row r="1058" spans="2:3" x14ac:dyDescent="0.25">
      <c r="B1058" s="798" t="s">
        <v>1323</v>
      </c>
      <c r="C1058" s="782">
        <v>91701</v>
      </c>
    </row>
    <row r="1059" spans="2:3" x14ac:dyDescent="0.25">
      <c r="B1059" s="798" t="s">
        <v>3718</v>
      </c>
      <c r="C1059" s="782">
        <v>91704</v>
      </c>
    </row>
    <row r="1060" spans="2:3" x14ac:dyDescent="0.25">
      <c r="B1060" s="798" t="s">
        <v>2168</v>
      </c>
      <c r="C1060" s="782">
        <v>91881</v>
      </c>
    </row>
    <row r="1061" spans="2:3" x14ac:dyDescent="0.25">
      <c r="B1061" s="798" t="s">
        <v>1326</v>
      </c>
      <c r="C1061" s="782">
        <v>91801</v>
      </c>
    </row>
    <row r="1062" spans="2:3" x14ac:dyDescent="0.25">
      <c r="B1062" s="798" t="s">
        <v>3719</v>
      </c>
      <c r="C1062" s="782">
        <v>91804</v>
      </c>
    </row>
    <row r="1063" spans="2:3" x14ac:dyDescent="0.25">
      <c r="B1063" s="798" t="s">
        <v>2169</v>
      </c>
      <c r="C1063" s="782">
        <v>91691</v>
      </c>
    </row>
    <row r="1064" spans="2:3" x14ac:dyDescent="0.25">
      <c r="B1064" s="798" t="s">
        <v>3720</v>
      </c>
      <c r="C1064" s="782">
        <v>99222</v>
      </c>
    </row>
    <row r="1065" spans="2:3" x14ac:dyDescent="0.25">
      <c r="B1065" s="798" t="s">
        <v>3522</v>
      </c>
      <c r="C1065" s="782">
        <v>93408</v>
      </c>
    </row>
    <row r="1066" spans="2:3" x14ac:dyDescent="0.25">
      <c r="B1066" s="798" t="s">
        <v>1672</v>
      </c>
      <c r="C1066" s="782">
        <v>96009</v>
      </c>
    </row>
    <row r="1067" spans="2:3" x14ac:dyDescent="0.25">
      <c r="B1067" s="798" t="s">
        <v>2170</v>
      </c>
      <c r="C1067" s="782">
        <v>92441</v>
      </c>
    </row>
    <row r="1068" spans="2:3" x14ac:dyDescent="0.25">
      <c r="B1068" s="798" t="s">
        <v>2171</v>
      </c>
      <c r="C1068" s="782">
        <v>96811</v>
      </c>
    </row>
    <row r="1069" spans="2:3" x14ac:dyDescent="0.25">
      <c r="B1069" s="798" t="s">
        <v>2172</v>
      </c>
      <c r="C1069" s="782">
        <v>96011</v>
      </c>
    </row>
    <row r="1070" spans="2:3" x14ac:dyDescent="0.25">
      <c r="B1070" s="798" t="s">
        <v>3721</v>
      </c>
      <c r="C1070" s="782">
        <v>96018</v>
      </c>
    </row>
    <row r="1071" spans="2:3" x14ac:dyDescent="0.25">
      <c r="B1071" s="798" t="s">
        <v>3722</v>
      </c>
      <c r="C1071" s="782">
        <v>96003</v>
      </c>
    </row>
    <row r="1072" spans="2:3" x14ac:dyDescent="0.25">
      <c r="B1072" s="798" t="s">
        <v>3723</v>
      </c>
      <c r="C1072" s="782">
        <v>96005</v>
      </c>
    </row>
    <row r="1073" spans="2:3" x14ac:dyDescent="0.25">
      <c r="B1073" s="798" t="s">
        <v>3523</v>
      </c>
      <c r="C1073" s="782">
        <v>96012</v>
      </c>
    </row>
    <row r="1074" spans="2:3" x14ac:dyDescent="0.25">
      <c r="B1074" s="798" t="s">
        <v>3724</v>
      </c>
      <c r="C1074" s="782">
        <v>91903</v>
      </c>
    </row>
    <row r="1075" spans="2:3" x14ac:dyDescent="0.25">
      <c r="B1075" s="798" t="s">
        <v>1340</v>
      </c>
      <c r="C1075" s="782">
        <v>91901</v>
      </c>
    </row>
    <row r="1076" spans="2:3" x14ac:dyDescent="0.25">
      <c r="B1076" s="798" t="s">
        <v>3725</v>
      </c>
      <c r="C1076" s="782">
        <v>91904</v>
      </c>
    </row>
    <row r="1077" spans="2:3" x14ac:dyDescent="0.25">
      <c r="B1077" s="798" t="s">
        <v>1347</v>
      </c>
      <c r="C1077" s="782">
        <v>92001</v>
      </c>
    </row>
    <row r="1078" spans="2:3" x14ac:dyDescent="0.25">
      <c r="B1078" s="798" t="s">
        <v>2173</v>
      </c>
      <c r="C1078" s="782">
        <v>93641</v>
      </c>
    </row>
    <row r="1079" spans="2:3" x14ac:dyDescent="0.25">
      <c r="B1079" s="798" t="s">
        <v>3726</v>
      </c>
      <c r="C1079" s="782">
        <v>93647</v>
      </c>
    </row>
    <row r="1080" spans="2:3" x14ac:dyDescent="0.25">
      <c r="B1080" s="798" t="s">
        <v>2174</v>
      </c>
      <c r="C1080" s="782">
        <v>98041</v>
      </c>
    </row>
    <row r="1081" spans="2:3" x14ac:dyDescent="0.25">
      <c r="B1081" s="798" t="s">
        <v>3727</v>
      </c>
      <c r="C1081" s="782">
        <v>96612</v>
      </c>
    </row>
    <row r="1082" spans="2:3" x14ac:dyDescent="0.25">
      <c r="B1082" s="798" t="s">
        <v>2175</v>
      </c>
      <c r="C1082" s="782">
        <v>90751</v>
      </c>
    </row>
    <row r="1083" spans="2:3" x14ac:dyDescent="0.25">
      <c r="B1083" s="798" t="s">
        <v>1352</v>
      </c>
      <c r="C1083" s="782">
        <v>92101</v>
      </c>
    </row>
    <row r="1084" spans="2:3" x14ac:dyDescent="0.25">
      <c r="B1084" s="798" t="s">
        <v>3728</v>
      </c>
      <c r="C1084" s="782">
        <v>92104</v>
      </c>
    </row>
    <row r="1085" spans="2:3" x14ac:dyDescent="0.25">
      <c r="B1085" s="798" t="s">
        <v>2176</v>
      </c>
      <c r="C1085" s="782">
        <v>91821</v>
      </c>
    </row>
    <row r="1086" spans="2:3" x14ac:dyDescent="0.25">
      <c r="B1086" s="798" t="s">
        <v>2177</v>
      </c>
      <c r="C1086" s="782">
        <v>90931</v>
      </c>
    </row>
    <row r="1087" spans="2:3" x14ac:dyDescent="0.25">
      <c r="B1087" s="798" t="s">
        <v>1357</v>
      </c>
      <c r="C1087" s="782">
        <v>92201</v>
      </c>
    </row>
    <row r="1088" spans="2:3" x14ac:dyDescent="0.25">
      <c r="B1088" s="798" t="s">
        <v>2178</v>
      </c>
      <c r="C1088" s="782">
        <v>95131</v>
      </c>
    </row>
    <row r="1089" spans="2:3" x14ac:dyDescent="0.25">
      <c r="B1089" s="798" t="s">
        <v>2179</v>
      </c>
      <c r="C1089" s="782">
        <v>93441</v>
      </c>
    </row>
    <row r="1090" spans="2:3" x14ac:dyDescent="0.25">
      <c r="B1090" s="798" t="s">
        <v>1469</v>
      </c>
      <c r="C1090" s="782">
        <v>93442</v>
      </c>
    </row>
    <row r="1091" spans="2:3" x14ac:dyDescent="0.25">
      <c r="B1091" s="798" t="s">
        <v>2180</v>
      </c>
      <c r="C1091" s="782">
        <v>98091</v>
      </c>
    </row>
    <row r="1092" spans="2:3" x14ac:dyDescent="0.25">
      <c r="B1092" s="798" t="s">
        <v>1358</v>
      </c>
      <c r="C1092" s="782">
        <v>92301</v>
      </c>
    </row>
    <row r="1093" spans="2:3" x14ac:dyDescent="0.25">
      <c r="B1093" s="798" t="s">
        <v>3729</v>
      </c>
      <c r="C1093" s="782">
        <v>92302</v>
      </c>
    </row>
    <row r="1094" spans="2:3" x14ac:dyDescent="0.25">
      <c r="B1094" s="798" t="s">
        <v>2181</v>
      </c>
      <c r="C1094" s="782">
        <v>98211</v>
      </c>
    </row>
    <row r="1095" spans="2:3" x14ac:dyDescent="0.25">
      <c r="B1095" s="798" t="s">
        <v>3730</v>
      </c>
      <c r="C1095" s="782">
        <v>98218</v>
      </c>
    </row>
    <row r="1096" spans="2:3" x14ac:dyDescent="0.25">
      <c r="B1096" s="798" t="s">
        <v>3731</v>
      </c>
      <c r="C1096" s="782">
        <v>92506</v>
      </c>
    </row>
    <row r="1097" spans="2:3" x14ac:dyDescent="0.25">
      <c r="B1097" s="798" t="s">
        <v>3732</v>
      </c>
      <c r="C1097" s="782">
        <v>92508</v>
      </c>
    </row>
    <row r="1098" spans="2:3" x14ac:dyDescent="0.25">
      <c r="B1098" s="798" t="s">
        <v>2182</v>
      </c>
      <c r="C1098" s="782">
        <v>94341</v>
      </c>
    </row>
    <row r="1099" spans="2:3" x14ac:dyDescent="0.25">
      <c r="B1099" s="798" t="s">
        <v>2183</v>
      </c>
      <c r="C1099" s="782">
        <v>94641</v>
      </c>
    </row>
    <row r="1100" spans="2:3" x14ac:dyDescent="0.25">
      <c r="B1100" s="798" t="s">
        <v>2184</v>
      </c>
      <c r="C1100" s="782">
        <v>90813</v>
      </c>
    </row>
    <row r="1101" spans="2:3" x14ac:dyDescent="0.25">
      <c r="B1101" s="798" t="s">
        <v>1534</v>
      </c>
      <c r="C1101" s="782">
        <v>94168</v>
      </c>
    </row>
    <row r="1102" spans="2:3" x14ac:dyDescent="0.25">
      <c r="B1102" s="798" t="s">
        <v>2185</v>
      </c>
      <c r="C1102" s="782">
        <v>98911</v>
      </c>
    </row>
    <row r="1103" spans="2:3" x14ac:dyDescent="0.25">
      <c r="B1103" s="798" t="s">
        <v>2186</v>
      </c>
      <c r="C1103" s="782">
        <v>97521</v>
      </c>
    </row>
    <row r="1104" spans="2:3" x14ac:dyDescent="0.25">
      <c r="B1104" s="798" t="s">
        <v>1367</v>
      </c>
      <c r="C1104" s="782">
        <v>92401</v>
      </c>
    </row>
    <row r="1105" spans="2:3" x14ac:dyDescent="0.25">
      <c r="B1105" s="798" t="s">
        <v>2187</v>
      </c>
      <c r="C1105" s="782">
        <v>91311</v>
      </c>
    </row>
    <row r="1106" spans="2:3" x14ac:dyDescent="0.25">
      <c r="B1106" s="798" t="s">
        <v>3733</v>
      </c>
      <c r="C1106" s="782">
        <v>91317</v>
      </c>
    </row>
    <row r="1107" spans="2:3" x14ac:dyDescent="0.25">
      <c r="B1107" s="798" t="s">
        <v>2188</v>
      </c>
      <c r="C1107" s="782">
        <v>91261</v>
      </c>
    </row>
    <row r="1108" spans="2:3" x14ac:dyDescent="0.25">
      <c r="B1108" s="798" t="s">
        <v>2189</v>
      </c>
      <c r="C1108" s="782">
        <v>91851</v>
      </c>
    </row>
    <row r="1109" spans="2:3" x14ac:dyDescent="0.25">
      <c r="B1109" s="798" t="s">
        <v>3734</v>
      </c>
      <c r="C1109" s="782">
        <v>97408</v>
      </c>
    </row>
    <row r="1110" spans="2:3" x14ac:dyDescent="0.25">
      <c r="B1110" s="798" t="s">
        <v>2190</v>
      </c>
      <c r="C1110" s="782">
        <v>96641</v>
      </c>
    </row>
    <row r="1111" spans="2:3" x14ac:dyDescent="0.25">
      <c r="B1111" s="798" t="s">
        <v>2191</v>
      </c>
      <c r="C1111" s="782">
        <v>93031</v>
      </c>
    </row>
    <row r="1112" spans="2:3" x14ac:dyDescent="0.25">
      <c r="B1112" s="798" t="s">
        <v>3735</v>
      </c>
      <c r="C1112" s="782">
        <v>93027</v>
      </c>
    </row>
    <row r="1113" spans="2:3" x14ac:dyDescent="0.25">
      <c r="B1113" s="798" t="s">
        <v>2192</v>
      </c>
      <c r="C1113" s="782">
        <v>96051</v>
      </c>
    </row>
    <row r="1114" spans="2:3" x14ac:dyDescent="0.25">
      <c r="B1114" s="798" t="s">
        <v>3736</v>
      </c>
      <c r="C1114" s="782">
        <v>94501</v>
      </c>
    </row>
    <row r="1115" spans="2:3" x14ac:dyDescent="0.25">
      <c r="B1115" s="798" t="s">
        <v>2193</v>
      </c>
      <c r="C1115" s="782">
        <v>92571</v>
      </c>
    </row>
    <row r="1116" spans="2:3" x14ac:dyDescent="0.25">
      <c r="B1116" s="798" t="s">
        <v>2194</v>
      </c>
      <c r="C1116" s="782">
        <v>93631</v>
      </c>
    </row>
    <row r="1117" spans="2:3" x14ac:dyDescent="0.25">
      <c r="B1117" s="798" t="s">
        <v>3737</v>
      </c>
      <c r="C1117" s="782">
        <v>92504</v>
      </c>
    </row>
    <row r="1118" spans="2:3" x14ac:dyDescent="0.25">
      <c r="B1118" s="798" t="s">
        <v>1378</v>
      </c>
      <c r="C1118" s="782">
        <v>92501</v>
      </c>
    </row>
    <row r="1119" spans="2:3" x14ac:dyDescent="0.25">
      <c r="B1119" s="798" t="s">
        <v>1381</v>
      </c>
      <c r="C1119" s="782">
        <v>92505</v>
      </c>
    </row>
    <row r="1120" spans="2:3" x14ac:dyDescent="0.25">
      <c r="B1120" s="798" t="s">
        <v>2195</v>
      </c>
      <c r="C1120" s="782">
        <v>93921</v>
      </c>
    </row>
    <row r="1121" spans="2:3" x14ac:dyDescent="0.25">
      <c r="B1121" s="798" t="s">
        <v>2196</v>
      </c>
      <c r="C1121" s="782">
        <v>99431</v>
      </c>
    </row>
    <row r="1122" spans="2:3" x14ac:dyDescent="0.25">
      <c r="B1122" s="798" t="s">
        <v>3738</v>
      </c>
      <c r="C1122" s="782">
        <v>92604</v>
      </c>
    </row>
    <row r="1123" spans="2:3" x14ac:dyDescent="0.25">
      <c r="B1123" s="798" t="s">
        <v>1392</v>
      </c>
      <c r="C1123" s="782">
        <v>92601</v>
      </c>
    </row>
    <row r="1124" spans="2:3" x14ac:dyDescent="0.25">
      <c r="B1124" s="798" t="s">
        <v>1395</v>
      </c>
      <c r="C1124" s="782">
        <v>92608</v>
      </c>
    </row>
    <row r="1125" spans="2:3" x14ac:dyDescent="0.25">
      <c r="B1125" s="798" t="s">
        <v>3739</v>
      </c>
      <c r="C1125" s="782">
        <v>92704</v>
      </c>
    </row>
    <row r="1126" spans="2:3" x14ac:dyDescent="0.25">
      <c r="B1126" s="798" t="s">
        <v>1406</v>
      </c>
      <c r="C1126" s="782">
        <v>92701</v>
      </c>
    </row>
    <row r="1127" spans="2:3" x14ac:dyDescent="0.25">
      <c r="B1127" s="798" t="s">
        <v>2197</v>
      </c>
      <c r="C1127" s="782">
        <v>93651</v>
      </c>
    </row>
    <row r="1128" spans="2:3" x14ac:dyDescent="0.25">
      <c r="B1128" s="798" t="s">
        <v>1408</v>
      </c>
      <c r="C1128" s="782">
        <v>92801</v>
      </c>
    </row>
    <row r="1129" spans="2:3" x14ac:dyDescent="0.25">
      <c r="B1129" s="798" t="s">
        <v>3740</v>
      </c>
      <c r="C1129" s="782">
        <v>92804</v>
      </c>
    </row>
    <row r="1130" spans="2:3" x14ac:dyDescent="0.25">
      <c r="B1130" s="798" t="s">
        <v>1409</v>
      </c>
      <c r="C1130" s="782">
        <v>92802</v>
      </c>
    </row>
    <row r="1131" spans="2:3" x14ac:dyDescent="0.25">
      <c r="B1131" s="798" t="s">
        <v>2198</v>
      </c>
      <c r="C1131" s="782">
        <v>96081</v>
      </c>
    </row>
    <row r="1132" spans="2:3" x14ac:dyDescent="0.25">
      <c r="B1132" s="798" t="s">
        <v>1417</v>
      </c>
      <c r="C1132" s="782">
        <v>92901</v>
      </c>
    </row>
    <row r="1133" spans="2:3" x14ac:dyDescent="0.25">
      <c r="B1133" s="798" t="s">
        <v>1424</v>
      </c>
      <c r="C1133" s="782">
        <v>93001</v>
      </c>
    </row>
    <row r="1134" spans="2:3" x14ac:dyDescent="0.25">
      <c r="B1134" s="798" t="s">
        <v>3741</v>
      </c>
      <c r="C1134" s="782">
        <v>93009</v>
      </c>
    </row>
    <row r="1135" spans="2:3" x14ac:dyDescent="0.25">
      <c r="B1135" s="798" t="s">
        <v>2199</v>
      </c>
      <c r="C1135" s="782">
        <v>92921</v>
      </c>
    </row>
    <row r="1136" spans="2:3" x14ac:dyDescent="0.25">
      <c r="B1136" s="798" t="s">
        <v>2200</v>
      </c>
      <c r="C1136" s="782">
        <v>98621</v>
      </c>
    </row>
    <row r="1137" spans="2:3" x14ac:dyDescent="0.25">
      <c r="B1137" s="798" t="s">
        <v>3742</v>
      </c>
      <c r="C1137" s="782">
        <v>98627</v>
      </c>
    </row>
    <row r="1138" spans="2:3" x14ac:dyDescent="0.25">
      <c r="B1138" s="798" t="s">
        <v>2201</v>
      </c>
      <c r="C1138" s="782">
        <v>91221</v>
      </c>
    </row>
    <row r="1139" spans="2:3" x14ac:dyDescent="0.25">
      <c r="B1139" s="798" t="s">
        <v>2202</v>
      </c>
      <c r="C1139" s="782">
        <v>92861</v>
      </c>
    </row>
    <row r="1140" spans="2:3" x14ac:dyDescent="0.25">
      <c r="B1140" s="798" t="s">
        <v>2203</v>
      </c>
      <c r="C1140" s="782">
        <v>94311</v>
      </c>
    </row>
    <row r="1141" spans="2:3" x14ac:dyDescent="0.25">
      <c r="B1141" s="798" t="s">
        <v>3743</v>
      </c>
      <c r="C1141" s="782">
        <v>94317</v>
      </c>
    </row>
    <row r="1142" spans="2:3" x14ac:dyDescent="0.25">
      <c r="B1142" s="798" t="s">
        <v>1549</v>
      </c>
      <c r="C1142" s="782">
        <v>94313</v>
      </c>
    </row>
    <row r="1143" spans="2:3" x14ac:dyDescent="0.25">
      <c r="B1143" s="798" t="s">
        <v>1430</v>
      </c>
      <c r="C1143" s="782">
        <v>93101</v>
      </c>
    </row>
    <row r="1144" spans="2:3" x14ac:dyDescent="0.25">
      <c r="B1144" s="798" t="s">
        <v>2204</v>
      </c>
      <c r="C1144" s="782">
        <v>93103</v>
      </c>
    </row>
    <row r="1145" spans="2:3" x14ac:dyDescent="0.25">
      <c r="B1145" s="798" t="s">
        <v>2205</v>
      </c>
      <c r="C1145" s="782">
        <v>93211</v>
      </c>
    </row>
    <row r="1146" spans="2:3" x14ac:dyDescent="0.25">
      <c r="B1146" s="798" t="s">
        <v>3744</v>
      </c>
      <c r="C1146" s="782">
        <v>93212</v>
      </c>
    </row>
    <row r="1147" spans="2:3" x14ac:dyDescent="0.25">
      <c r="B1147" s="798" t="s">
        <v>1443</v>
      </c>
      <c r="C1147" s="782">
        <v>93201</v>
      </c>
    </row>
    <row r="1148" spans="2:3" x14ac:dyDescent="0.25">
      <c r="B1148" s="798" t="s">
        <v>3745</v>
      </c>
      <c r="C1148" s="782">
        <v>93204</v>
      </c>
    </row>
    <row r="1149" spans="2:3" x14ac:dyDescent="0.25">
      <c r="B1149" s="798" t="s">
        <v>3746</v>
      </c>
      <c r="C1149" s="782">
        <v>99212</v>
      </c>
    </row>
    <row r="1150" spans="2:3" x14ac:dyDescent="0.25">
      <c r="B1150" s="798" t="s">
        <v>1762</v>
      </c>
      <c r="C1150" s="782">
        <v>97005</v>
      </c>
    </row>
    <row r="1151" spans="2:3" x14ac:dyDescent="0.25">
      <c r="B1151" s="798" t="s">
        <v>2206</v>
      </c>
      <c r="C1151" s="782">
        <v>99931</v>
      </c>
    </row>
    <row r="1152" spans="2:3" x14ac:dyDescent="0.25">
      <c r="B1152" s="798" t="s">
        <v>2207</v>
      </c>
      <c r="C1152" s="782">
        <v>98021</v>
      </c>
    </row>
    <row r="1153" spans="2:3" x14ac:dyDescent="0.25">
      <c r="B1153" s="798" t="s">
        <v>1860</v>
      </c>
      <c r="C1153" s="782">
        <v>98023</v>
      </c>
    </row>
    <row r="1154" spans="2:3" x14ac:dyDescent="0.25">
      <c r="B1154" s="798" t="s">
        <v>1157</v>
      </c>
      <c r="C1154" s="782">
        <v>70505</v>
      </c>
    </row>
    <row r="1155" spans="2:3" x14ac:dyDescent="0.25">
      <c r="B1155" s="798" t="s">
        <v>3747</v>
      </c>
      <c r="C1155" s="782">
        <v>99603</v>
      </c>
    </row>
    <row r="1156" spans="2:3" x14ac:dyDescent="0.25">
      <c r="B1156" s="798" t="s">
        <v>3748</v>
      </c>
      <c r="C1156" s="782">
        <v>99610</v>
      </c>
    </row>
    <row r="1157" spans="2:3" x14ac:dyDescent="0.25">
      <c r="B1157" s="798" t="s">
        <v>2208</v>
      </c>
      <c r="C1157" s="782">
        <v>92681</v>
      </c>
    </row>
    <row r="1158" spans="2:3" x14ac:dyDescent="0.25">
      <c r="B1158" s="798" t="s">
        <v>3526</v>
      </c>
      <c r="C1158" s="782">
        <v>93108</v>
      </c>
    </row>
    <row r="1159" spans="2:3" x14ac:dyDescent="0.25">
      <c r="B1159" s="798" t="s">
        <v>2209</v>
      </c>
      <c r="C1159" s="782">
        <v>97951</v>
      </c>
    </row>
    <row r="1160" spans="2:3" x14ac:dyDescent="0.25">
      <c r="B1160" s="798" t="s">
        <v>3749</v>
      </c>
      <c r="C1160" s="782">
        <v>97957</v>
      </c>
    </row>
    <row r="1161" spans="2:3" x14ac:dyDescent="0.25">
      <c r="B1161" s="798" t="s">
        <v>2210</v>
      </c>
      <c r="C1161" s="782">
        <v>92111</v>
      </c>
    </row>
    <row r="1162" spans="2:3" x14ac:dyDescent="0.25">
      <c r="B1162" s="798" t="s">
        <v>1450</v>
      </c>
      <c r="C1162" s="782">
        <v>93301</v>
      </c>
    </row>
    <row r="1163" spans="2:3" x14ac:dyDescent="0.25">
      <c r="B1163" s="798" t="s">
        <v>3750</v>
      </c>
      <c r="C1163" s="782">
        <v>93304</v>
      </c>
    </row>
    <row r="1164" spans="2:3" x14ac:dyDescent="0.25">
      <c r="B1164" s="798" t="s">
        <v>3751</v>
      </c>
      <c r="C1164" s="782">
        <v>93305</v>
      </c>
    </row>
    <row r="1165" spans="2:3" x14ac:dyDescent="0.25">
      <c r="B1165" s="798" t="s">
        <v>3752</v>
      </c>
      <c r="C1165" s="782">
        <v>99210</v>
      </c>
    </row>
    <row r="1166" spans="2:3" x14ac:dyDescent="0.25">
      <c r="B1166" s="798" t="s">
        <v>1765</v>
      </c>
      <c r="C1166" s="782">
        <v>97011</v>
      </c>
    </row>
    <row r="1167" spans="2:3" x14ac:dyDescent="0.25">
      <c r="B1167" s="798" t="s">
        <v>3753</v>
      </c>
      <c r="C1167" s="782">
        <v>97013</v>
      </c>
    </row>
    <row r="1168" spans="2:3" x14ac:dyDescent="0.25">
      <c r="B1168" s="798" t="s">
        <v>3754</v>
      </c>
      <c r="C1168" s="782">
        <v>97012</v>
      </c>
    </row>
    <row r="1169" spans="2:3" x14ac:dyDescent="0.25">
      <c r="B1169" s="798" t="s">
        <v>3755</v>
      </c>
      <c r="C1169" s="782">
        <v>97018</v>
      </c>
    </row>
    <row r="1170" spans="2:3" x14ac:dyDescent="0.25">
      <c r="B1170" s="798" t="s">
        <v>2211</v>
      </c>
      <c r="C1170" s="782">
        <v>90911</v>
      </c>
    </row>
    <row r="1171" spans="2:3" x14ac:dyDescent="0.25">
      <c r="B1171" s="798" t="s">
        <v>3756</v>
      </c>
      <c r="C1171" s="782">
        <v>90917</v>
      </c>
    </row>
    <row r="1172" spans="2:3" x14ac:dyDescent="0.25">
      <c r="B1172" s="798" t="s">
        <v>2212</v>
      </c>
      <c r="C1172" s="782">
        <v>90641</v>
      </c>
    </row>
    <row r="1173" spans="2:3" x14ac:dyDescent="0.25">
      <c r="B1173" s="798" t="s">
        <v>2213</v>
      </c>
      <c r="C1173" s="782">
        <v>98641</v>
      </c>
    </row>
    <row r="1174" spans="2:3" x14ac:dyDescent="0.25">
      <c r="B1174" s="798" t="s">
        <v>2214</v>
      </c>
      <c r="C1174" s="782">
        <v>98161</v>
      </c>
    </row>
    <row r="1175" spans="2:3" x14ac:dyDescent="0.25">
      <c r="B1175" s="798" t="s">
        <v>2215</v>
      </c>
      <c r="C1175" s="782">
        <v>97731</v>
      </c>
    </row>
    <row r="1176" spans="2:3" x14ac:dyDescent="0.25">
      <c r="B1176" s="798" t="s">
        <v>2216</v>
      </c>
      <c r="C1176" s="782">
        <v>99851</v>
      </c>
    </row>
    <row r="1177" spans="2:3" x14ac:dyDescent="0.25">
      <c r="B1177" s="798" t="s">
        <v>3757</v>
      </c>
      <c r="C1177" s="782">
        <v>90131</v>
      </c>
    </row>
    <row r="1178" spans="2:3" x14ac:dyDescent="0.25">
      <c r="B1178" s="798" t="s">
        <v>2217</v>
      </c>
      <c r="C1178" s="782">
        <v>91651</v>
      </c>
    </row>
    <row r="1179" spans="2:3" x14ac:dyDescent="0.25">
      <c r="B1179" s="798" t="s">
        <v>2218</v>
      </c>
      <c r="C1179" s="782">
        <v>94211</v>
      </c>
    </row>
    <row r="1180" spans="2:3" x14ac:dyDescent="0.25">
      <c r="B1180" s="798" t="s">
        <v>2219</v>
      </c>
      <c r="C1180" s="782">
        <v>94331</v>
      </c>
    </row>
    <row r="1181" spans="2:3" x14ac:dyDescent="0.25">
      <c r="B1181" s="798" t="s">
        <v>2220</v>
      </c>
      <c r="C1181" s="782">
        <v>92431</v>
      </c>
    </row>
    <row r="1182" spans="2:3" x14ac:dyDescent="0.25">
      <c r="B1182" s="798" t="s">
        <v>2221</v>
      </c>
      <c r="C1182" s="782">
        <v>97821</v>
      </c>
    </row>
    <row r="1183" spans="2:3" x14ac:dyDescent="0.25">
      <c r="B1183" s="798" t="s">
        <v>1832</v>
      </c>
      <c r="C1183" s="782">
        <v>97823</v>
      </c>
    </row>
    <row r="1184" spans="2:3" x14ac:dyDescent="0.25">
      <c r="B1184" s="798" t="s">
        <v>2222</v>
      </c>
      <c r="C1184" s="782">
        <v>93141</v>
      </c>
    </row>
    <row r="1185" spans="2:3" x14ac:dyDescent="0.25">
      <c r="B1185" s="798" t="s">
        <v>2223</v>
      </c>
      <c r="C1185" s="782">
        <v>98081</v>
      </c>
    </row>
    <row r="1186" spans="2:3" x14ac:dyDescent="0.25">
      <c r="B1186" s="798" t="s">
        <v>2224</v>
      </c>
      <c r="C1186" s="782">
        <v>92671</v>
      </c>
    </row>
    <row r="1187" spans="2:3" x14ac:dyDescent="0.25">
      <c r="B1187" s="798" t="s">
        <v>2225</v>
      </c>
      <c r="C1187" s="782">
        <v>97421</v>
      </c>
    </row>
    <row r="1188" spans="2:3" x14ac:dyDescent="0.25">
      <c r="B1188" s="798" t="s">
        <v>1791</v>
      </c>
      <c r="C1188" s="782">
        <v>97423</v>
      </c>
    </row>
    <row r="1189" spans="2:3" x14ac:dyDescent="0.25">
      <c r="B1189" s="798" t="s">
        <v>2226</v>
      </c>
      <c r="C1189" s="782">
        <v>92611</v>
      </c>
    </row>
    <row r="1190" spans="2:3" x14ac:dyDescent="0.25">
      <c r="B1190" s="798" t="s">
        <v>3758</v>
      </c>
      <c r="C1190" s="782">
        <v>92613</v>
      </c>
    </row>
    <row r="1191" spans="2:3" x14ac:dyDescent="0.25">
      <c r="B1191" s="798" t="s">
        <v>3759</v>
      </c>
      <c r="C1191" s="782">
        <v>92502</v>
      </c>
    </row>
    <row r="1192" spans="2:3" x14ac:dyDescent="0.25">
      <c r="B1192" s="798" t="s">
        <v>2227</v>
      </c>
      <c r="C1192" s="782">
        <v>94531</v>
      </c>
    </row>
    <row r="1193" spans="2:3" x14ac:dyDescent="0.25">
      <c r="B1193" s="798" t="s">
        <v>2228</v>
      </c>
      <c r="C1193" s="782">
        <v>94541</v>
      </c>
    </row>
    <row r="1194" spans="2:3" x14ac:dyDescent="0.25">
      <c r="B1194" s="798" t="s">
        <v>3760</v>
      </c>
      <c r="C1194" s="782">
        <v>94547</v>
      </c>
    </row>
    <row r="1195" spans="2:3" x14ac:dyDescent="0.25">
      <c r="B1195" s="798" t="s">
        <v>1601</v>
      </c>
      <c r="C1195" s="782">
        <v>95005</v>
      </c>
    </row>
    <row r="1196" spans="2:3" x14ac:dyDescent="0.25">
      <c r="B1196" s="798" t="s">
        <v>1873</v>
      </c>
      <c r="C1196" s="782">
        <v>98111</v>
      </c>
    </row>
    <row r="1197" spans="2:3" x14ac:dyDescent="0.25">
      <c r="B1197" s="798" t="s">
        <v>3761</v>
      </c>
      <c r="C1197" s="782">
        <v>98107</v>
      </c>
    </row>
    <row r="1198" spans="2:3" x14ac:dyDescent="0.25">
      <c r="B1198" s="798" t="s">
        <v>1874</v>
      </c>
      <c r="C1198" s="782">
        <v>98113</v>
      </c>
    </row>
    <row r="1199" spans="2:3" x14ac:dyDescent="0.25">
      <c r="B1199" s="798" t="s">
        <v>3762</v>
      </c>
      <c r="C1199" s="782">
        <v>99602</v>
      </c>
    </row>
    <row r="1200" spans="2:3" x14ac:dyDescent="0.25">
      <c r="B1200" s="798" t="s">
        <v>1461</v>
      </c>
      <c r="C1200" s="782">
        <v>93401</v>
      </c>
    </row>
    <row r="1201" spans="2:3" x14ac:dyDescent="0.25">
      <c r="B1201" s="798" t="s">
        <v>3763</v>
      </c>
      <c r="C1201" s="782">
        <v>97491</v>
      </c>
    </row>
    <row r="1202" spans="2:3" x14ac:dyDescent="0.25">
      <c r="B1202" s="798" t="s">
        <v>2229</v>
      </c>
      <c r="C1202" s="782">
        <v>95151</v>
      </c>
    </row>
    <row r="1203" spans="2:3" x14ac:dyDescent="0.25">
      <c r="B1203" s="798" t="s">
        <v>1706</v>
      </c>
      <c r="C1203" s="782">
        <v>96381</v>
      </c>
    </row>
    <row r="1204" spans="2:3" x14ac:dyDescent="0.25">
      <c r="B1204" s="798" t="s">
        <v>2230</v>
      </c>
      <c r="C1204" s="782">
        <v>95611</v>
      </c>
    </row>
    <row r="1205" spans="2:3" x14ac:dyDescent="0.25">
      <c r="B1205" s="798" t="s">
        <v>1473</v>
      </c>
      <c r="C1205" s="782">
        <v>93501</v>
      </c>
    </row>
    <row r="1206" spans="2:3" x14ac:dyDescent="0.25">
      <c r="B1206" s="798" t="s">
        <v>2231</v>
      </c>
      <c r="C1206" s="782">
        <v>93511</v>
      </c>
    </row>
    <row r="1207" spans="2:3" x14ac:dyDescent="0.25">
      <c r="B1207" s="798" t="s">
        <v>3764</v>
      </c>
      <c r="C1207" s="782">
        <v>93517</v>
      </c>
    </row>
    <row r="1208" spans="2:3" x14ac:dyDescent="0.25">
      <c r="B1208" s="798" t="s">
        <v>2232</v>
      </c>
      <c r="C1208" s="782">
        <v>99631</v>
      </c>
    </row>
    <row r="1209" spans="2:3" x14ac:dyDescent="0.25">
      <c r="B1209" s="798" t="s">
        <v>2233</v>
      </c>
      <c r="C1209" s="782">
        <v>99261</v>
      </c>
    </row>
    <row r="1210" spans="2:3" x14ac:dyDescent="0.25">
      <c r="B1210" s="798" t="s">
        <v>2234</v>
      </c>
      <c r="C1210" s="782">
        <v>98241</v>
      </c>
    </row>
    <row r="1211" spans="2:3" x14ac:dyDescent="0.25">
      <c r="B1211" s="798" t="s">
        <v>2235</v>
      </c>
      <c r="C1211" s="782">
        <v>99251</v>
      </c>
    </row>
    <row r="1212" spans="2:3" x14ac:dyDescent="0.25">
      <c r="B1212" s="798" t="s">
        <v>3765</v>
      </c>
      <c r="C1212" s="782">
        <v>99252</v>
      </c>
    </row>
    <row r="1213" spans="2:3" x14ac:dyDescent="0.25">
      <c r="B1213" s="798" t="s">
        <v>2236</v>
      </c>
      <c r="C1213" s="782">
        <v>96631</v>
      </c>
    </row>
    <row r="1214" spans="2:3" x14ac:dyDescent="0.25">
      <c r="B1214" s="798" t="s">
        <v>2237</v>
      </c>
      <c r="C1214" s="782">
        <v>96651</v>
      </c>
    </row>
    <row r="1215" spans="2:3" x14ac:dyDescent="0.25">
      <c r="B1215" s="798" t="s">
        <v>1481</v>
      </c>
      <c r="C1215" s="782">
        <v>93601</v>
      </c>
    </row>
    <row r="1216" spans="2:3" x14ac:dyDescent="0.25">
      <c r="B1216" s="798" t="s">
        <v>3766</v>
      </c>
      <c r="C1216" s="782">
        <v>93618</v>
      </c>
    </row>
    <row r="1217" spans="2:3" x14ac:dyDescent="0.25">
      <c r="B1217" s="798" t="s">
        <v>2238</v>
      </c>
      <c r="C1217" s="782">
        <v>93611</v>
      </c>
    </row>
    <row r="1218" spans="2:3" x14ac:dyDescent="0.25">
      <c r="B1218" s="798" t="s">
        <v>3767</v>
      </c>
      <c r="C1218" s="782">
        <v>93617</v>
      </c>
    </row>
    <row r="1219" spans="2:3" x14ac:dyDescent="0.25">
      <c r="B1219" s="798" t="s">
        <v>1498</v>
      </c>
      <c r="C1219" s="782">
        <v>93701</v>
      </c>
    </row>
    <row r="1220" spans="2:3" x14ac:dyDescent="0.25">
      <c r="B1220" s="798" t="s">
        <v>3768</v>
      </c>
      <c r="C1220" s="782">
        <v>93704</v>
      </c>
    </row>
    <row r="1221" spans="2:3" x14ac:dyDescent="0.25">
      <c r="B1221" s="798" t="s">
        <v>2239</v>
      </c>
      <c r="C1221" s="782">
        <v>98331</v>
      </c>
    </row>
    <row r="1222" spans="2:3" x14ac:dyDescent="0.25">
      <c r="B1222" s="798" t="s">
        <v>2240</v>
      </c>
      <c r="C1222" s="782">
        <v>94151</v>
      </c>
    </row>
    <row r="1223" spans="2:3" x14ac:dyDescent="0.25">
      <c r="B1223" s="798" t="s">
        <v>3769</v>
      </c>
      <c r="C1223" s="782">
        <v>94157</v>
      </c>
    </row>
    <row r="1224" spans="2:3" x14ac:dyDescent="0.25">
      <c r="B1224" s="798" t="s">
        <v>2241</v>
      </c>
      <c r="C1224" s="782">
        <v>91241</v>
      </c>
    </row>
    <row r="1225" spans="2:3" x14ac:dyDescent="0.25">
      <c r="B1225" s="798" t="s">
        <v>1635</v>
      </c>
      <c r="C1225" s="782">
        <v>95412</v>
      </c>
    </row>
    <row r="1226" spans="2:3" x14ac:dyDescent="0.25">
      <c r="B1226" s="798" t="s">
        <v>2242</v>
      </c>
      <c r="C1226" s="782">
        <v>99611</v>
      </c>
    </row>
    <row r="1227" spans="2:3" x14ac:dyDescent="0.25">
      <c r="B1227" s="798" t="s">
        <v>1343</v>
      </c>
      <c r="C1227" s="782">
        <v>91908</v>
      </c>
    </row>
    <row r="1228" spans="2:3" x14ac:dyDescent="0.25">
      <c r="B1228" s="798" t="s">
        <v>2243</v>
      </c>
      <c r="C1228" s="782">
        <v>90121</v>
      </c>
    </row>
    <row r="1229" spans="2:3" x14ac:dyDescent="0.25">
      <c r="B1229" s="798" t="s">
        <v>3770</v>
      </c>
      <c r="C1229" s="782">
        <v>93803</v>
      </c>
    </row>
    <row r="1230" spans="2:3" x14ac:dyDescent="0.25">
      <c r="B1230" s="798" t="s">
        <v>1500</v>
      </c>
      <c r="C1230" s="782">
        <v>93801</v>
      </c>
    </row>
    <row r="1231" spans="2:3" x14ac:dyDescent="0.25">
      <c r="B1231" s="798" t="s">
        <v>3771</v>
      </c>
      <c r="C1231" s="782">
        <v>93806</v>
      </c>
    </row>
    <row r="1232" spans="2:3" x14ac:dyDescent="0.25">
      <c r="B1232" s="798" t="s">
        <v>2244</v>
      </c>
      <c r="C1232" s="782">
        <v>91411</v>
      </c>
    </row>
    <row r="1233" spans="2:3" x14ac:dyDescent="0.25">
      <c r="B1233" s="798" t="s">
        <v>3772</v>
      </c>
      <c r="C1233" s="782">
        <v>91417</v>
      </c>
    </row>
    <row r="1234" spans="2:3" x14ac:dyDescent="0.25">
      <c r="B1234" s="798" t="s">
        <v>2245</v>
      </c>
      <c r="C1234" s="782">
        <v>98061</v>
      </c>
    </row>
    <row r="1235" spans="2:3" x14ac:dyDescent="0.25">
      <c r="B1235" s="798" t="s">
        <v>3773</v>
      </c>
      <c r="C1235" s="782">
        <v>93904</v>
      </c>
    </row>
    <row r="1236" spans="2:3" x14ac:dyDescent="0.25">
      <c r="B1236" s="798" t="s">
        <v>1503</v>
      </c>
      <c r="C1236" s="782">
        <v>93901</v>
      </c>
    </row>
    <row r="1237" spans="2:3" x14ac:dyDescent="0.25">
      <c r="B1237" s="798" t="s">
        <v>1505</v>
      </c>
      <c r="C1237" s="782">
        <v>93906</v>
      </c>
    </row>
    <row r="1238" spans="2:3" x14ac:dyDescent="0.25">
      <c r="B1238" s="798" t="s">
        <v>3774</v>
      </c>
      <c r="C1238" s="782">
        <v>93908</v>
      </c>
    </row>
    <row r="1239" spans="2:3" x14ac:dyDescent="0.25">
      <c r="B1239" s="798" t="s">
        <v>3775</v>
      </c>
      <c r="C1239" s="782">
        <v>94908</v>
      </c>
    </row>
    <row r="1240" spans="2:3" x14ac:dyDescent="0.25">
      <c r="B1240" s="798" t="s">
        <v>2246</v>
      </c>
      <c r="C1240" s="782">
        <v>90161</v>
      </c>
    </row>
    <row r="1241" spans="2:3" x14ac:dyDescent="0.25">
      <c r="B1241" s="798" t="s">
        <v>1513</v>
      </c>
      <c r="C1241" s="782">
        <v>94001</v>
      </c>
    </row>
    <row r="1242" spans="2:3" x14ac:dyDescent="0.25">
      <c r="B1242" s="798" t="s">
        <v>3776</v>
      </c>
      <c r="C1242" s="782">
        <v>94004</v>
      </c>
    </row>
    <row r="1243" spans="2:3" x14ac:dyDescent="0.25">
      <c r="B1243" s="798" t="s">
        <v>2247</v>
      </c>
      <c r="C1243" s="782">
        <v>94111</v>
      </c>
    </row>
    <row r="1244" spans="2:3" x14ac:dyDescent="0.25">
      <c r="B1244" s="798" t="s">
        <v>3777</v>
      </c>
      <c r="C1244" s="782">
        <v>94117</v>
      </c>
    </row>
    <row r="1245" spans="2:3" x14ac:dyDescent="0.25">
      <c r="B1245" s="798" t="s">
        <v>2248</v>
      </c>
      <c r="C1245" s="782">
        <v>97411</v>
      </c>
    </row>
    <row r="1246" spans="2:3" x14ac:dyDescent="0.25">
      <c r="B1246" s="798" t="s">
        <v>1789</v>
      </c>
      <c r="C1246" s="782">
        <v>97413</v>
      </c>
    </row>
    <row r="1247" spans="2:3" x14ac:dyDescent="0.25">
      <c r="B1247" s="798" t="s">
        <v>1788</v>
      </c>
      <c r="C1247" s="782">
        <v>97412</v>
      </c>
    </row>
    <row r="1248" spans="2:3" x14ac:dyDescent="0.25">
      <c r="B1248" s="798" t="s">
        <v>2249</v>
      </c>
      <c r="C1248" s="782">
        <v>97431</v>
      </c>
    </row>
    <row r="1249" spans="2:3" x14ac:dyDescent="0.25">
      <c r="B1249" s="798" t="s">
        <v>2250</v>
      </c>
      <c r="C1249" s="782">
        <v>97471</v>
      </c>
    </row>
    <row r="1250" spans="2:3" x14ac:dyDescent="0.25">
      <c r="B1250" s="798" t="s">
        <v>2251</v>
      </c>
      <c r="C1250" s="782">
        <v>92351</v>
      </c>
    </row>
    <row r="1251" spans="2:3" x14ac:dyDescent="0.25">
      <c r="B1251" s="798" t="s">
        <v>2252</v>
      </c>
      <c r="C1251" s="782">
        <v>94101</v>
      </c>
    </row>
    <row r="1252" spans="2:3" x14ac:dyDescent="0.25">
      <c r="B1252" s="798" t="s">
        <v>3778</v>
      </c>
      <c r="C1252" s="782">
        <v>94118</v>
      </c>
    </row>
    <row r="1253" spans="2:3" x14ac:dyDescent="0.25">
      <c r="B1253" s="798" t="s">
        <v>1521</v>
      </c>
      <c r="C1253" s="782">
        <v>94102</v>
      </c>
    </row>
    <row r="1254" spans="2:3" x14ac:dyDescent="0.25">
      <c r="B1254" s="798" t="s">
        <v>1537</v>
      </c>
      <c r="C1254" s="782">
        <v>94201</v>
      </c>
    </row>
    <row r="1255" spans="2:3" x14ac:dyDescent="0.25">
      <c r="B1255" s="798" t="s">
        <v>3779</v>
      </c>
      <c r="C1255" s="782">
        <v>94204</v>
      </c>
    </row>
    <row r="1256" spans="2:3" x14ac:dyDescent="0.25">
      <c r="B1256" s="798" t="s">
        <v>1539</v>
      </c>
      <c r="C1256" s="782">
        <v>94205</v>
      </c>
    </row>
    <row r="1257" spans="2:3" x14ac:dyDescent="0.25">
      <c r="B1257" s="798" t="s">
        <v>2253</v>
      </c>
      <c r="C1257" s="782">
        <v>95831</v>
      </c>
    </row>
    <row r="1258" spans="2:3" x14ac:dyDescent="0.25">
      <c r="B1258" s="798" t="s">
        <v>2254</v>
      </c>
      <c r="C1258" s="782">
        <v>97721</v>
      </c>
    </row>
    <row r="1259" spans="2:3" x14ac:dyDescent="0.25">
      <c r="B1259" s="798" t="s">
        <v>3780</v>
      </c>
      <c r="C1259" s="782">
        <v>97717</v>
      </c>
    </row>
    <row r="1260" spans="2:3" x14ac:dyDescent="0.25">
      <c r="B1260" s="798" t="s">
        <v>1547</v>
      </c>
      <c r="C1260" s="782">
        <v>94301</v>
      </c>
    </row>
    <row r="1261" spans="2:3" x14ac:dyDescent="0.25">
      <c r="B1261" s="798" t="s">
        <v>2255</v>
      </c>
      <c r="C1261" s="782">
        <v>91441</v>
      </c>
    </row>
    <row r="1262" spans="2:3" x14ac:dyDescent="0.25">
      <c r="B1262" s="798" t="s">
        <v>2256</v>
      </c>
      <c r="C1262" s="782">
        <v>92531</v>
      </c>
    </row>
    <row r="1263" spans="2:3" x14ac:dyDescent="0.25">
      <c r="B1263" s="798" t="s">
        <v>2257</v>
      </c>
      <c r="C1263" s="782">
        <v>90141</v>
      </c>
    </row>
    <row r="1264" spans="2:3" x14ac:dyDescent="0.25">
      <c r="B1264" s="798" t="s">
        <v>1556</v>
      </c>
      <c r="C1264" s="782">
        <v>94401</v>
      </c>
    </row>
    <row r="1265" spans="2:3" x14ac:dyDescent="0.25">
      <c r="B1265" s="798" t="s">
        <v>3781</v>
      </c>
      <c r="C1265" s="782">
        <v>94403</v>
      </c>
    </row>
    <row r="1266" spans="2:3" x14ac:dyDescent="0.25">
      <c r="B1266" s="798" t="s">
        <v>1557</v>
      </c>
      <c r="C1266" s="782">
        <v>94402</v>
      </c>
    </row>
    <row r="1267" spans="2:3" x14ac:dyDescent="0.25">
      <c r="B1267" s="798" t="s">
        <v>2258</v>
      </c>
      <c r="C1267" s="782">
        <v>99111</v>
      </c>
    </row>
    <row r="1268" spans="2:3" x14ac:dyDescent="0.25">
      <c r="B1268" s="798" t="s">
        <v>2259</v>
      </c>
      <c r="C1268" s="782">
        <v>94511</v>
      </c>
    </row>
    <row r="1269" spans="2:3" x14ac:dyDescent="0.25">
      <c r="B1269" s="798" t="s">
        <v>3782</v>
      </c>
      <c r="C1269" s="782">
        <v>94517</v>
      </c>
    </row>
    <row r="1270" spans="2:3" x14ac:dyDescent="0.25">
      <c r="B1270" s="798" t="s">
        <v>1568</v>
      </c>
      <c r="C1270" s="782">
        <v>94512</v>
      </c>
    </row>
    <row r="1271" spans="2:3" x14ac:dyDescent="0.25">
      <c r="B1271" s="798" t="s">
        <v>2260</v>
      </c>
      <c r="C1271" s="782">
        <v>97211</v>
      </c>
    </row>
    <row r="1272" spans="2:3" x14ac:dyDescent="0.25">
      <c r="B1272" s="798" t="s">
        <v>3783</v>
      </c>
      <c r="C1272" s="782">
        <v>97217</v>
      </c>
    </row>
    <row r="1273" spans="2:3" x14ac:dyDescent="0.25">
      <c r="B1273" s="798" t="s">
        <v>1577</v>
      </c>
      <c r="C1273" s="782">
        <v>94601</v>
      </c>
    </row>
    <row r="1274" spans="2:3" x14ac:dyDescent="0.25">
      <c r="B1274" s="798" t="s">
        <v>3784</v>
      </c>
      <c r="C1274" s="782">
        <v>94604</v>
      </c>
    </row>
    <row r="1275" spans="2:3" x14ac:dyDescent="0.25">
      <c r="B1275" s="798" t="s">
        <v>1579</v>
      </c>
      <c r="C1275" s="782">
        <v>94606</v>
      </c>
    </row>
    <row r="1276" spans="2:3" x14ac:dyDescent="0.25">
      <c r="B1276" s="798" t="s">
        <v>3785</v>
      </c>
      <c r="C1276" s="782">
        <v>97213</v>
      </c>
    </row>
    <row r="1277" spans="2:3" x14ac:dyDescent="0.25">
      <c r="B1277" s="798" t="s">
        <v>2261</v>
      </c>
      <c r="C1277" s="782">
        <v>91811</v>
      </c>
    </row>
    <row r="1278" spans="2:3" x14ac:dyDescent="0.25">
      <c r="B1278" s="798" t="s">
        <v>3786</v>
      </c>
      <c r="C1278" s="782">
        <v>91812</v>
      </c>
    </row>
    <row r="1279" spans="2:3" x14ac:dyDescent="0.25">
      <c r="B1279" s="798" t="s">
        <v>3787</v>
      </c>
      <c r="C1279" s="782">
        <v>91813</v>
      </c>
    </row>
    <row r="1280" spans="2:3" x14ac:dyDescent="0.25">
      <c r="B1280" s="798" t="s">
        <v>3788</v>
      </c>
      <c r="C1280" s="782">
        <v>90617</v>
      </c>
    </row>
    <row r="1281" spans="2:3" x14ac:dyDescent="0.25">
      <c r="B1281" s="798" t="s">
        <v>3789</v>
      </c>
      <c r="C1281" s="782">
        <v>94127</v>
      </c>
    </row>
    <row r="1282" spans="2:3" x14ac:dyDescent="0.25">
      <c r="B1282" s="798" t="s">
        <v>2262</v>
      </c>
      <c r="C1282" s="782">
        <v>95621</v>
      </c>
    </row>
    <row r="1283" spans="2:3" x14ac:dyDescent="0.25">
      <c r="B1283" s="798" t="s">
        <v>3790</v>
      </c>
      <c r="C1283" s="782">
        <v>95617</v>
      </c>
    </row>
    <row r="1284" spans="2:3" x14ac:dyDescent="0.25">
      <c r="B1284" s="798" t="s">
        <v>3791</v>
      </c>
      <c r="C1284" s="782">
        <v>94121</v>
      </c>
    </row>
    <row r="1285" spans="2:3" x14ac:dyDescent="0.25">
      <c r="B1285" s="798" t="s">
        <v>3792</v>
      </c>
      <c r="C1285" s="782">
        <v>91251</v>
      </c>
    </row>
    <row r="1286" spans="2:3" x14ac:dyDescent="0.25">
      <c r="B1286" s="798" t="s">
        <v>2263</v>
      </c>
      <c r="C1286" s="782">
        <v>96831</v>
      </c>
    </row>
    <row r="1287" spans="2:3" x14ac:dyDescent="0.25">
      <c r="B1287" s="798" t="s">
        <v>2264</v>
      </c>
      <c r="C1287" s="782">
        <v>94251</v>
      </c>
    </row>
    <row r="1288" spans="2:3" x14ac:dyDescent="0.25">
      <c r="B1288" s="798" t="s">
        <v>1584</v>
      </c>
      <c r="C1288" s="782">
        <v>94701</v>
      </c>
    </row>
    <row r="1289" spans="2:3" x14ac:dyDescent="0.25">
      <c r="B1289" s="798" t="s">
        <v>3793</v>
      </c>
      <c r="C1289" s="782">
        <v>94704</v>
      </c>
    </row>
    <row r="1290" spans="2:3" x14ac:dyDescent="0.25">
      <c r="B1290" s="798" t="s">
        <v>2265</v>
      </c>
      <c r="C1290" s="782">
        <v>91014</v>
      </c>
    </row>
    <row r="1291" spans="2:3" x14ac:dyDescent="0.25">
      <c r="B1291" s="798" t="s">
        <v>2266</v>
      </c>
      <c r="C1291" s="782">
        <v>96731</v>
      </c>
    </row>
    <row r="1292" spans="2:3" x14ac:dyDescent="0.25">
      <c r="B1292" s="798" t="s">
        <v>1746</v>
      </c>
      <c r="C1292" s="782">
        <v>96733</v>
      </c>
    </row>
    <row r="1293" spans="2:3" x14ac:dyDescent="0.25">
      <c r="B1293" s="798" t="s">
        <v>2267</v>
      </c>
      <c r="C1293" s="782">
        <v>99202</v>
      </c>
    </row>
    <row r="1294" spans="2:3" x14ac:dyDescent="0.25">
      <c r="B1294" s="798" t="s">
        <v>2268</v>
      </c>
      <c r="C1294" s="782">
        <v>94011</v>
      </c>
    </row>
    <row r="1295" spans="2:3" x14ac:dyDescent="0.25">
      <c r="B1295" s="798" t="s">
        <v>2269</v>
      </c>
      <c r="C1295" s="782">
        <v>92631</v>
      </c>
    </row>
    <row r="1296" spans="2:3" x14ac:dyDescent="0.25">
      <c r="B1296" s="798" t="s">
        <v>1652</v>
      </c>
      <c r="C1296" s="782">
        <v>95733</v>
      </c>
    </row>
    <row r="1297" spans="2:3" x14ac:dyDescent="0.25">
      <c r="B1297" s="798" t="s">
        <v>3794</v>
      </c>
      <c r="C1297" s="782">
        <v>95413</v>
      </c>
    </row>
    <row r="1298" spans="2:3" x14ac:dyDescent="0.25">
      <c r="B1298" s="798" t="s">
        <v>3795</v>
      </c>
      <c r="C1298" s="782">
        <v>98013</v>
      </c>
    </row>
    <row r="1299" spans="2:3" x14ac:dyDescent="0.25">
      <c r="B1299" s="798" t="s">
        <v>3796</v>
      </c>
      <c r="C1299" s="782">
        <v>99613</v>
      </c>
    </row>
    <row r="1300" spans="2:3" x14ac:dyDescent="0.25">
      <c r="B1300" s="798" t="s">
        <v>2270</v>
      </c>
      <c r="C1300" s="782">
        <v>91431</v>
      </c>
    </row>
    <row r="1301" spans="2:3" x14ac:dyDescent="0.25">
      <c r="B1301" s="798" t="s">
        <v>2271</v>
      </c>
      <c r="C1301" s="782">
        <v>96041</v>
      </c>
    </row>
    <row r="1302" spans="2:3" x14ac:dyDescent="0.25">
      <c r="B1302" s="798" t="s">
        <v>1587</v>
      </c>
      <c r="C1302" s="782">
        <v>94801</v>
      </c>
    </row>
    <row r="1303" spans="2:3" x14ac:dyDescent="0.25">
      <c r="B1303" s="798" t="s">
        <v>3797</v>
      </c>
      <c r="C1303" s="782">
        <v>94804</v>
      </c>
    </row>
    <row r="1304" spans="2:3" x14ac:dyDescent="0.25">
      <c r="B1304" s="798" t="s">
        <v>2272</v>
      </c>
      <c r="C1304" s="782">
        <v>91661</v>
      </c>
    </row>
    <row r="1305" spans="2:3" x14ac:dyDescent="0.25">
      <c r="B1305" s="798" t="s">
        <v>2273</v>
      </c>
      <c r="C1305" s="782">
        <v>99051</v>
      </c>
    </row>
    <row r="1306" spans="2:3" x14ac:dyDescent="0.25">
      <c r="B1306" s="798" t="s">
        <v>3529</v>
      </c>
      <c r="C1306" s="782">
        <v>99014</v>
      </c>
    </row>
    <row r="1307" spans="2:3" x14ac:dyDescent="0.25">
      <c r="B1307" s="798" t="s">
        <v>1590</v>
      </c>
      <c r="C1307" s="782">
        <v>94901</v>
      </c>
    </row>
    <row r="1308" spans="2:3" x14ac:dyDescent="0.25">
      <c r="B1308" s="798" t="s">
        <v>3798</v>
      </c>
      <c r="C1308" s="782">
        <v>98109</v>
      </c>
    </row>
    <row r="1309" spans="2:3" x14ac:dyDescent="0.25">
      <c r="B1309" s="798" t="s">
        <v>3799</v>
      </c>
      <c r="C1309" s="782">
        <v>98205</v>
      </c>
    </row>
    <row r="1310" spans="2:3" x14ac:dyDescent="0.25">
      <c r="B1310" s="798" t="s">
        <v>2274</v>
      </c>
      <c r="C1310" s="782">
        <v>96661</v>
      </c>
    </row>
    <row r="1311" spans="2:3" x14ac:dyDescent="0.25">
      <c r="B1311" s="798" t="s">
        <v>1599</v>
      </c>
      <c r="C1311" s="782">
        <v>95001</v>
      </c>
    </row>
    <row r="1312" spans="2:3" x14ac:dyDescent="0.25">
      <c r="B1312" s="798" t="s">
        <v>3530</v>
      </c>
      <c r="C1312" s="782">
        <v>95017</v>
      </c>
    </row>
    <row r="1313" spans="2:3" x14ac:dyDescent="0.25">
      <c r="B1313" s="798" t="s">
        <v>2275</v>
      </c>
      <c r="C1313" s="782">
        <v>96711</v>
      </c>
    </row>
    <row r="1314" spans="2:3" x14ac:dyDescent="0.25">
      <c r="B1314" s="798" t="s">
        <v>2276</v>
      </c>
      <c r="C1314" s="782">
        <v>94131</v>
      </c>
    </row>
    <row r="1315" spans="2:3" x14ac:dyDescent="0.25">
      <c r="B1315" s="798" t="s">
        <v>2277</v>
      </c>
      <c r="C1315" s="782">
        <v>95841</v>
      </c>
    </row>
    <row r="1316" spans="2:3" x14ac:dyDescent="0.25">
      <c r="B1316" s="798" t="s">
        <v>2278</v>
      </c>
      <c r="C1316" s="782">
        <v>90511</v>
      </c>
    </row>
    <row r="1317" spans="2:3" x14ac:dyDescent="0.25">
      <c r="B1317" s="798" t="s">
        <v>1605</v>
      </c>
      <c r="C1317" s="782">
        <v>95101</v>
      </c>
    </row>
    <row r="1318" spans="2:3" x14ac:dyDescent="0.25">
      <c r="B1318" s="798" t="s">
        <v>3800</v>
      </c>
      <c r="C1318" s="782">
        <v>95104</v>
      </c>
    </row>
    <row r="1319" spans="2:3" x14ac:dyDescent="0.25">
      <c r="B1319" s="798" t="s">
        <v>3531</v>
      </c>
      <c r="C1319" s="782">
        <v>95110</v>
      </c>
    </row>
    <row r="1320" spans="2:3" x14ac:dyDescent="0.25">
      <c r="B1320" s="798" t="s">
        <v>1622</v>
      </c>
      <c r="C1320" s="782">
        <v>95201</v>
      </c>
    </row>
    <row r="1321" spans="2:3" x14ac:dyDescent="0.25">
      <c r="B1321" s="798" t="s">
        <v>3801</v>
      </c>
      <c r="C1321" s="782">
        <v>95204</v>
      </c>
    </row>
    <row r="1322" spans="2:3" x14ac:dyDescent="0.25">
      <c r="B1322" s="798" t="s">
        <v>2279</v>
      </c>
      <c r="C1322" s="782">
        <v>99921</v>
      </c>
    </row>
    <row r="1323" spans="2:3" x14ac:dyDescent="0.25">
      <c r="B1323" s="798" t="s">
        <v>1558</v>
      </c>
      <c r="C1323" s="782">
        <v>94408</v>
      </c>
    </row>
    <row r="1324" spans="2:3" x14ac:dyDescent="0.25">
      <c r="B1324" s="798" t="s">
        <v>2280</v>
      </c>
      <c r="C1324" s="782">
        <v>91331</v>
      </c>
    </row>
    <row r="1325" spans="2:3" x14ac:dyDescent="0.25">
      <c r="B1325" s="798" t="s">
        <v>2281</v>
      </c>
      <c r="C1325" s="782">
        <v>93121</v>
      </c>
    </row>
    <row r="1326" spans="2:3" x14ac:dyDescent="0.25">
      <c r="B1326" s="798" t="s">
        <v>3802</v>
      </c>
      <c r="C1326" s="782">
        <v>93127</v>
      </c>
    </row>
    <row r="1327" spans="2:3" x14ac:dyDescent="0.25">
      <c r="B1327" s="798" t="s">
        <v>2282</v>
      </c>
      <c r="C1327" s="782">
        <v>95171</v>
      </c>
    </row>
    <row r="1328" spans="2:3" x14ac:dyDescent="0.25">
      <c r="B1328" s="798" t="s">
        <v>2283</v>
      </c>
      <c r="C1328" s="782">
        <v>93421</v>
      </c>
    </row>
    <row r="1329" spans="2:3" x14ac:dyDescent="0.25">
      <c r="B1329" s="798" t="s">
        <v>3803</v>
      </c>
      <c r="C1329" s="782">
        <v>99110</v>
      </c>
    </row>
    <row r="1330" spans="2:3" x14ac:dyDescent="0.25">
      <c r="B1330" s="798" t="s">
        <v>3804</v>
      </c>
      <c r="C1330" s="782">
        <v>99109</v>
      </c>
    </row>
    <row r="1331" spans="2:3" x14ac:dyDescent="0.25">
      <c r="B1331" s="798" t="s">
        <v>2284</v>
      </c>
      <c r="C1331" s="782">
        <v>92821</v>
      </c>
    </row>
    <row r="1332" spans="2:3" x14ac:dyDescent="0.25">
      <c r="B1332" s="798" t="s">
        <v>2285</v>
      </c>
      <c r="C1332" s="782">
        <v>98521</v>
      </c>
    </row>
    <row r="1333" spans="2:3" x14ac:dyDescent="0.25">
      <c r="B1333" s="798" t="s">
        <v>3805</v>
      </c>
      <c r="C1333" s="782">
        <v>92327</v>
      </c>
    </row>
    <row r="1334" spans="2:3" x14ac:dyDescent="0.25">
      <c r="B1334" s="798" t="s">
        <v>3806</v>
      </c>
      <c r="C1334" s="782">
        <v>92321</v>
      </c>
    </row>
    <row r="1335" spans="2:3" x14ac:dyDescent="0.25">
      <c r="B1335" s="798" t="s">
        <v>2286</v>
      </c>
      <c r="C1335" s="782">
        <v>95411</v>
      </c>
    </row>
    <row r="1336" spans="2:3" x14ac:dyDescent="0.25">
      <c r="B1336" s="798" t="s">
        <v>3807</v>
      </c>
      <c r="C1336" s="782">
        <v>95415</v>
      </c>
    </row>
    <row r="1337" spans="2:3" x14ac:dyDescent="0.25">
      <c r="B1337" s="798" t="s">
        <v>2287</v>
      </c>
      <c r="C1337" s="782">
        <v>92851</v>
      </c>
    </row>
    <row r="1338" spans="2:3" x14ac:dyDescent="0.25">
      <c r="B1338" s="798" t="s">
        <v>2288</v>
      </c>
      <c r="C1338" s="782">
        <v>99291</v>
      </c>
    </row>
    <row r="1339" spans="2:3" x14ac:dyDescent="0.25">
      <c r="B1339" s="798" t="s">
        <v>2289</v>
      </c>
      <c r="C1339" s="782">
        <v>96541</v>
      </c>
    </row>
    <row r="1340" spans="2:3" x14ac:dyDescent="0.25">
      <c r="B1340" s="798" t="s">
        <v>2290</v>
      </c>
      <c r="C1340" s="782">
        <v>95431</v>
      </c>
    </row>
    <row r="1341" spans="2:3" x14ac:dyDescent="0.25">
      <c r="B1341" s="798" t="s">
        <v>2291</v>
      </c>
      <c r="C1341" s="782">
        <v>98131</v>
      </c>
    </row>
    <row r="1342" spans="2:3" x14ac:dyDescent="0.25">
      <c r="B1342" s="798" t="s">
        <v>3808</v>
      </c>
      <c r="C1342" s="782">
        <v>92461</v>
      </c>
    </row>
    <row r="1343" spans="2:3" x14ac:dyDescent="0.25">
      <c r="B1343" s="798" t="s">
        <v>3809</v>
      </c>
      <c r="C1343" s="782">
        <v>92427</v>
      </c>
    </row>
    <row r="1344" spans="2:3" x14ac:dyDescent="0.25">
      <c r="B1344" s="798" t="s">
        <v>2292</v>
      </c>
      <c r="C1344" s="782">
        <v>98051</v>
      </c>
    </row>
    <row r="1345" spans="2:3" x14ac:dyDescent="0.25">
      <c r="B1345" s="798" t="s">
        <v>1256</v>
      </c>
      <c r="C1345" s="782">
        <v>91102</v>
      </c>
    </row>
    <row r="1346" spans="2:3" x14ac:dyDescent="0.25">
      <c r="B1346" s="798" t="s">
        <v>2293</v>
      </c>
      <c r="C1346" s="782">
        <v>94521</v>
      </c>
    </row>
    <row r="1347" spans="2:3" x14ac:dyDescent="0.25">
      <c r="B1347" s="798" t="s">
        <v>3810</v>
      </c>
      <c r="C1347" s="782">
        <v>94527</v>
      </c>
    </row>
    <row r="1348" spans="2:3" x14ac:dyDescent="0.25">
      <c r="B1348" s="798" t="s">
        <v>2294</v>
      </c>
      <c r="C1348" s="782">
        <v>98311</v>
      </c>
    </row>
    <row r="1349" spans="2:3" x14ac:dyDescent="0.25">
      <c r="B1349" s="798" t="s">
        <v>3811</v>
      </c>
      <c r="C1349" s="782">
        <v>98313</v>
      </c>
    </row>
    <row r="1350" spans="2:3" x14ac:dyDescent="0.25">
      <c r="B1350" s="798" t="s">
        <v>1893</v>
      </c>
      <c r="C1350" s="782">
        <v>98308</v>
      </c>
    </row>
    <row r="1351" spans="2:3" x14ac:dyDescent="0.25">
      <c r="B1351" s="798" t="s">
        <v>2295</v>
      </c>
      <c r="C1351" s="782">
        <v>92341</v>
      </c>
    </row>
    <row r="1352" spans="2:3" x14ac:dyDescent="0.25">
      <c r="B1352" s="798" t="s">
        <v>1627</v>
      </c>
      <c r="C1352" s="782">
        <v>95301</v>
      </c>
    </row>
    <row r="1353" spans="2:3" x14ac:dyDescent="0.25">
      <c r="B1353" s="798" t="s">
        <v>2296</v>
      </c>
      <c r="C1353" s="782">
        <v>91002</v>
      </c>
    </row>
    <row r="1354" spans="2:3" x14ac:dyDescent="0.25">
      <c r="B1354" s="798" t="s">
        <v>2297</v>
      </c>
      <c r="C1354" s="782">
        <v>91451</v>
      </c>
    </row>
    <row r="1355" spans="2:3" x14ac:dyDescent="0.25">
      <c r="B1355" s="798" t="s">
        <v>1631</v>
      </c>
      <c r="C1355" s="782">
        <v>95401</v>
      </c>
    </row>
    <row r="1356" spans="2:3" x14ac:dyDescent="0.25">
      <c r="B1356" s="798" t="s">
        <v>3812</v>
      </c>
      <c r="C1356" s="782">
        <v>95404</v>
      </c>
    </row>
    <row r="1357" spans="2:3" x14ac:dyDescent="0.25">
      <c r="B1357" s="798" t="s">
        <v>1302</v>
      </c>
      <c r="C1357" s="782">
        <v>91423</v>
      </c>
    </row>
    <row r="1358" spans="2:3" x14ac:dyDescent="0.25">
      <c r="B1358" s="798" t="s">
        <v>3813</v>
      </c>
      <c r="C1358" s="782">
        <v>91457</v>
      </c>
    </row>
    <row r="1359" spans="2:3" x14ac:dyDescent="0.25">
      <c r="B1359" s="798" t="s">
        <v>3814</v>
      </c>
      <c r="C1359" s="782">
        <v>90861</v>
      </c>
    </row>
    <row r="1360" spans="2:3" x14ac:dyDescent="0.25">
      <c r="B1360" s="798" t="s">
        <v>2298</v>
      </c>
      <c r="C1360" s="782">
        <v>93451</v>
      </c>
    </row>
    <row r="1361" spans="2:3" x14ac:dyDescent="0.25">
      <c r="B1361" s="798" t="s">
        <v>2299</v>
      </c>
      <c r="C1361" s="782">
        <v>92931</v>
      </c>
    </row>
    <row r="1362" spans="2:3" x14ac:dyDescent="0.25">
      <c r="B1362" s="798" t="s">
        <v>3815</v>
      </c>
      <c r="C1362" s="782">
        <v>92917</v>
      </c>
    </row>
    <row r="1363" spans="2:3" x14ac:dyDescent="0.25">
      <c r="B1363" s="798" t="s">
        <v>2300</v>
      </c>
      <c r="C1363" s="782">
        <v>97631</v>
      </c>
    </row>
    <row r="1364" spans="2:3" x14ac:dyDescent="0.25">
      <c r="B1364" s="798" t="s">
        <v>3816</v>
      </c>
      <c r="C1364" s="782">
        <v>97637</v>
      </c>
    </row>
    <row r="1365" spans="2:3" x14ac:dyDescent="0.25">
      <c r="B1365" s="798" t="s">
        <v>2301</v>
      </c>
      <c r="C1365" s="782">
        <v>90421</v>
      </c>
    </row>
    <row r="1366" spans="2:3" x14ac:dyDescent="0.25">
      <c r="B1366" s="798" t="s">
        <v>2302</v>
      </c>
      <c r="C1366" s="782">
        <v>94321</v>
      </c>
    </row>
    <row r="1367" spans="2:3" x14ac:dyDescent="0.25">
      <c r="B1367" s="798" t="s">
        <v>1640</v>
      </c>
      <c r="C1367" s="782">
        <v>95501</v>
      </c>
    </row>
    <row r="1368" spans="2:3" x14ac:dyDescent="0.25">
      <c r="B1368" s="798" t="s">
        <v>3817</v>
      </c>
      <c r="C1368" s="782">
        <v>95504</v>
      </c>
    </row>
    <row r="1369" spans="2:3" x14ac:dyDescent="0.25">
      <c r="B1369" s="798" t="s">
        <v>2303</v>
      </c>
      <c r="C1369" s="782">
        <v>95511</v>
      </c>
    </row>
    <row r="1370" spans="2:3" x14ac:dyDescent="0.25">
      <c r="B1370" s="798" t="s">
        <v>3818</v>
      </c>
      <c r="C1370" s="782">
        <v>95517</v>
      </c>
    </row>
    <row r="1371" spans="2:3" x14ac:dyDescent="0.25">
      <c r="B1371" s="798" t="s">
        <v>1643</v>
      </c>
      <c r="C1371" s="782">
        <v>95513</v>
      </c>
    </row>
    <row r="1372" spans="2:3" x14ac:dyDescent="0.25">
      <c r="B1372" s="798" t="s">
        <v>2304</v>
      </c>
      <c r="C1372" s="782">
        <v>92651</v>
      </c>
    </row>
    <row r="1373" spans="2:3" x14ac:dyDescent="0.25">
      <c r="B1373" s="798" t="s">
        <v>2305</v>
      </c>
      <c r="C1373" s="782">
        <v>94261</v>
      </c>
    </row>
    <row r="1374" spans="2:3" x14ac:dyDescent="0.25">
      <c r="B1374" s="798" t="s">
        <v>2306</v>
      </c>
      <c r="C1374" s="782">
        <v>98431</v>
      </c>
    </row>
    <row r="1375" spans="2:3" x14ac:dyDescent="0.25">
      <c r="B1375" s="798" t="s">
        <v>3819</v>
      </c>
      <c r="C1375" s="782">
        <v>98404</v>
      </c>
    </row>
    <row r="1376" spans="2:3" x14ac:dyDescent="0.25">
      <c r="B1376" s="798" t="s">
        <v>3820</v>
      </c>
      <c r="C1376" s="782">
        <v>91841</v>
      </c>
    </row>
    <row r="1377" spans="2:3" x14ac:dyDescent="0.25">
      <c r="B1377" s="798" t="s">
        <v>2307</v>
      </c>
      <c r="C1377" s="782">
        <v>93521</v>
      </c>
    </row>
    <row r="1378" spans="2:3" x14ac:dyDescent="0.25">
      <c r="B1378" s="798" t="s">
        <v>3821</v>
      </c>
      <c r="C1378" s="782">
        <v>93527</v>
      </c>
    </row>
    <row r="1379" spans="2:3" x14ac:dyDescent="0.25">
      <c r="B1379" s="798" t="s">
        <v>2308</v>
      </c>
      <c r="C1379" s="782">
        <v>93661</v>
      </c>
    </row>
    <row r="1380" spans="2:3" x14ac:dyDescent="0.25">
      <c r="B1380" s="798" t="s">
        <v>1722</v>
      </c>
      <c r="C1380" s="782">
        <v>96508</v>
      </c>
    </row>
    <row r="1381" spans="2:3" x14ac:dyDescent="0.25">
      <c r="B1381" s="798" t="s">
        <v>2309</v>
      </c>
      <c r="C1381" s="782">
        <v>99841</v>
      </c>
    </row>
    <row r="1382" spans="2:3" x14ac:dyDescent="0.25">
      <c r="B1382" s="798" t="s">
        <v>1825</v>
      </c>
      <c r="C1382" s="782">
        <v>97802</v>
      </c>
    </row>
    <row r="1383" spans="2:3" x14ac:dyDescent="0.25">
      <c r="B1383" s="798" t="s">
        <v>2310</v>
      </c>
      <c r="C1383" s="782">
        <v>97811</v>
      </c>
    </row>
    <row r="1384" spans="2:3" x14ac:dyDescent="0.25">
      <c r="B1384" s="798" t="s">
        <v>3822</v>
      </c>
      <c r="C1384" s="782">
        <v>97817</v>
      </c>
    </row>
    <row r="1385" spans="2:3" x14ac:dyDescent="0.25">
      <c r="B1385" s="798" t="s">
        <v>3823</v>
      </c>
      <c r="C1385" s="782">
        <v>97818</v>
      </c>
    </row>
    <row r="1386" spans="2:3" x14ac:dyDescent="0.25">
      <c r="B1386" s="798" t="s">
        <v>2311</v>
      </c>
      <c r="C1386" s="782">
        <v>93341</v>
      </c>
    </row>
    <row r="1387" spans="2:3" x14ac:dyDescent="0.25">
      <c r="B1387" s="798" t="s">
        <v>1645</v>
      </c>
      <c r="C1387" s="782">
        <v>95601</v>
      </c>
    </row>
    <row r="1388" spans="2:3" x14ac:dyDescent="0.25">
      <c r="B1388" s="798" t="s">
        <v>2312</v>
      </c>
      <c r="C1388" s="782">
        <v>97941</v>
      </c>
    </row>
    <row r="1389" spans="2:3" x14ac:dyDescent="0.25">
      <c r="B1389" s="798" t="s">
        <v>3824</v>
      </c>
      <c r="C1389" s="782">
        <v>97947</v>
      </c>
    </row>
    <row r="1390" spans="2:3" x14ac:dyDescent="0.25">
      <c r="B1390" s="798" t="s">
        <v>1649</v>
      </c>
      <c r="C1390" s="782">
        <v>95701</v>
      </c>
    </row>
    <row r="1391" spans="2:3" x14ac:dyDescent="0.25">
      <c r="B1391" s="798" t="s">
        <v>1850</v>
      </c>
      <c r="C1391" s="782">
        <v>97948</v>
      </c>
    </row>
    <row r="1392" spans="2:3" x14ac:dyDescent="0.25">
      <c r="B1392" s="798" t="s">
        <v>2313</v>
      </c>
      <c r="C1392" s="782">
        <v>94421</v>
      </c>
    </row>
    <row r="1393" spans="2:3" x14ac:dyDescent="0.25">
      <c r="B1393" s="798" t="s">
        <v>3825</v>
      </c>
      <c r="C1393" s="782">
        <v>94427</v>
      </c>
    </row>
    <row r="1394" spans="2:3" x14ac:dyDescent="0.25">
      <c r="B1394" s="798" t="s">
        <v>3826</v>
      </c>
      <c r="C1394" s="782">
        <v>94428</v>
      </c>
    </row>
    <row r="1395" spans="2:3" x14ac:dyDescent="0.25">
      <c r="B1395" s="798" t="s">
        <v>2314</v>
      </c>
      <c r="C1395" s="782">
        <v>93191</v>
      </c>
    </row>
    <row r="1396" spans="2:3" x14ac:dyDescent="0.25">
      <c r="B1396" s="798" t="s">
        <v>2315</v>
      </c>
      <c r="C1396" s="782">
        <v>91831</v>
      </c>
    </row>
    <row r="1397" spans="2:3" x14ac:dyDescent="0.25">
      <c r="B1397" s="798" t="s">
        <v>2316</v>
      </c>
      <c r="C1397" s="782">
        <v>92831</v>
      </c>
    </row>
    <row r="1398" spans="2:3" x14ac:dyDescent="0.25">
      <c r="B1398" s="798" t="s">
        <v>2317</v>
      </c>
      <c r="C1398" s="782">
        <v>95911</v>
      </c>
    </row>
    <row r="1399" spans="2:3" x14ac:dyDescent="0.25">
      <c r="B1399" s="798" t="s">
        <v>3827</v>
      </c>
      <c r="C1399" s="782">
        <v>95917</v>
      </c>
    </row>
    <row r="1400" spans="2:3" x14ac:dyDescent="0.25">
      <c r="B1400" s="798" t="s">
        <v>2318</v>
      </c>
      <c r="C1400" s="782">
        <v>95711</v>
      </c>
    </row>
    <row r="1401" spans="2:3" x14ac:dyDescent="0.25">
      <c r="B1401" s="798" t="s">
        <v>2319</v>
      </c>
      <c r="C1401" s="782">
        <v>95721</v>
      </c>
    </row>
    <row r="1402" spans="2:3" x14ac:dyDescent="0.25">
      <c r="B1402" s="798" t="s">
        <v>2320</v>
      </c>
      <c r="C1402" s="782">
        <v>99021</v>
      </c>
    </row>
    <row r="1403" spans="2:3" x14ac:dyDescent="0.25">
      <c r="B1403" s="798" t="s">
        <v>3828</v>
      </c>
      <c r="C1403" s="782">
        <v>95802</v>
      </c>
    </row>
    <row r="1404" spans="2:3" x14ac:dyDescent="0.25">
      <c r="B1404" s="798" t="s">
        <v>1653</v>
      </c>
      <c r="C1404" s="782">
        <v>95801</v>
      </c>
    </row>
    <row r="1405" spans="2:3" x14ac:dyDescent="0.25">
      <c r="B1405" s="798" t="s">
        <v>3829</v>
      </c>
      <c r="C1405" s="782">
        <v>95804</v>
      </c>
    </row>
    <row r="1406" spans="2:3" x14ac:dyDescent="0.25">
      <c r="B1406" s="798" t="s">
        <v>3830</v>
      </c>
      <c r="C1406" s="782">
        <v>90092</v>
      </c>
    </row>
    <row r="1407" spans="2:3" x14ac:dyDescent="0.25">
      <c r="B1407" s="798" t="s">
        <v>2321</v>
      </c>
      <c r="C1407" s="782">
        <v>99081</v>
      </c>
    </row>
    <row r="1408" spans="2:3" x14ac:dyDescent="0.25">
      <c r="B1408" s="798" t="s">
        <v>2322</v>
      </c>
      <c r="C1408" s="782">
        <v>96071</v>
      </c>
    </row>
    <row r="1409" spans="2:3" x14ac:dyDescent="0.25">
      <c r="B1409" s="798" t="s">
        <v>1514</v>
      </c>
      <c r="C1409" s="782">
        <v>94002</v>
      </c>
    </row>
    <row r="1410" spans="2:3" x14ac:dyDescent="0.25">
      <c r="B1410" s="798" t="s">
        <v>2323</v>
      </c>
      <c r="C1410" s="782">
        <v>97840</v>
      </c>
    </row>
    <row r="1411" spans="2:3" x14ac:dyDescent="0.25">
      <c r="B1411" s="798" t="s">
        <v>3831</v>
      </c>
      <c r="C1411" s="782">
        <v>97847</v>
      </c>
    </row>
    <row r="1412" spans="2:3" x14ac:dyDescent="0.25">
      <c r="B1412" s="798" t="s">
        <v>2324</v>
      </c>
      <c r="C1412" s="782">
        <v>97921</v>
      </c>
    </row>
    <row r="1413" spans="2:3" x14ac:dyDescent="0.25">
      <c r="B1413" s="798" t="s">
        <v>2325</v>
      </c>
      <c r="C1413" s="782">
        <v>95221</v>
      </c>
    </row>
    <row r="1414" spans="2:3" x14ac:dyDescent="0.25">
      <c r="B1414" s="798" t="s">
        <v>2326</v>
      </c>
      <c r="C1414" s="782">
        <v>93610</v>
      </c>
    </row>
    <row r="1415" spans="2:3" x14ac:dyDescent="0.25">
      <c r="B1415" s="798" t="s">
        <v>3832</v>
      </c>
      <c r="C1415" s="782">
        <v>95901</v>
      </c>
    </row>
    <row r="1416" spans="2:3" x14ac:dyDescent="0.25">
      <c r="B1416" s="798" t="s">
        <v>2084</v>
      </c>
      <c r="C1416" s="782">
        <v>90114</v>
      </c>
    </row>
    <row r="1417" spans="2:3" x14ac:dyDescent="0.25">
      <c r="B1417" s="798" t="s">
        <v>1667</v>
      </c>
      <c r="C1417" s="782">
        <v>96001</v>
      </c>
    </row>
    <row r="1418" spans="2:3" x14ac:dyDescent="0.25">
      <c r="B1418" s="798" t="s">
        <v>3833</v>
      </c>
      <c r="C1418" s="782">
        <v>96004</v>
      </c>
    </row>
    <row r="1419" spans="2:3" x14ac:dyDescent="0.25">
      <c r="B1419" s="798" t="s">
        <v>3834</v>
      </c>
      <c r="C1419" s="782">
        <v>96008</v>
      </c>
    </row>
    <row r="1420" spans="2:3" x14ac:dyDescent="0.25">
      <c r="B1420" s="798" t="s">
        <v>1259</v>
      </c>
      <c r="C1420" s="782">
        <v>91108</v>
      </c>
    </row>
    <row r="1421" spans="2:3" x14ac:dyDescent="0.25">
      <c r="B1421" s="798" t="s">
        <v>3835</v>
      </c>
      <c r="C1421" s="782">
        <v>94941</v>
      </c>
    </row>
    <row r="1422" spans="2:3" x14ac:dyDescent="0.25">
      <c r="B1422" s="798" t="s">
        <v>2327</v>
      </c>
      <c r="C1422" s="782">
        <v>95122</v>
      </c>
    </row>
    <row r="1423" spans="2:3" x14ac:dyDescent="0.25">
      <c r="B1423" s="798" t="s">
        <v>3836</v>
      </c>
      <c r="C1423" s="782">
        <v>92607</v>
      </c>
    </row>
    <row r="1424" spans="2:3" x14ac:dyDescent="0.25">
      <c r="B1424" s="798" t="s">
        <v>2328</v>
      </c>
      <c r="C1424" s="782">
        <v>96431</v>
      </c>
    </row>
    <row r="1425" spans="2:3" x14ac:dyDescent="0.25">
      <c r="B1425" s="798" t="s">
        <v>3534</v>
      </c>
      <c r="C1425" s="782">
        <v>90709</v>
      </c>
    </row>
    <row r="1426" spans="2:3" x14ac:dyDescent="0.25">
      <c r="B1426" s="798" t="s">
        <v>2329</v>
      </c>
      <c r="C1426" s="782">
        <v>91341</v>
      </c>
    </row>
    <row r="1427" spans="2:3" x14ac:dyDescent="0.25">
      <c r="B1427" s="798" t="s">
        <v>2330</v>
      </c>
      <c r="C1427" s="782">
        <v>92941</v>
      </c>
    </row>
    <row r="1428" spans="2:3" x14ac:dyDescent="0.25">
      <c r="B1428" s="798" t="s">
        <v>2331</v>
      </c>
      <c r="C1428" s="782">
        <v>94551</v>
      </c>
    </row>
    <row r="1429" spans="2:3" x14ac:dyDescent="0.25">
      <c r="B1429" s="798" t="s">
        <v>2332</v>
      </c>
      <c r="C1429" s="782">
        <v>99022</v>
      </c>
    </row>
    <row r="1430" spans="2:3" x14ac:dyDescent="0.25">
      <c r="B1430" s="798" t="s">
        <v>2333</v>
      </c>
      <c r="C1430" s="782">
        <v>96031</v>
      </c>
    </row>
    <row r="1431" spans="2:3" x14ac:dyDescent="0.25">
      <c r="B1431" s="798" t="s">
        <v>2334</v>
      </c>
      <c r="C1431" s="782">
        <v>98414</v>
      </c>
    </row>
    <row r="1432" spans="2:3" x14ac:dyDescent="0.25">
      <c r="B1432" s="798" t="s">
        <v>1682</v>
      </c>
      <c r="C1432" s="782">
        <v>96101</v>
      </c>
    </row>
    <row r="1433" spans="2:3" x14ac:dyDescent="0.25">
      <c r="B1433" s="798" t="s">
        <v>3837</v>
      </c>
      <c r="C1433" s="782">
        <v>96102</v>
      </c>
    </row>
    <row r="1434" spans="2:3" x14ac:dyDescent="0.25">
      <c r="B1434" s="798" t="s">
        <v>2335</v>
      </c>
      <c r="C1434" s="782">
        <v>93011</v>
      </c>
    </row>
    <row r="1435" spans="2:3" x14ac:dyDescent="0.25">
      <c r="B1435" s="798" t="s">
        <v>2336</v>
      </c>
      <c r="C1435" s="782">
        <v>99011</v>
      </c>
    </row>
    <row r="1436" spans="2:3" x14ac:dyDescent="0.25">
      <c r="B1436" s="798" t="s">
        <v>3838</v>
      </c>
      <c r="C1436" s="782">
        <v>99017</v>
      </c>
    </row>
    <row r="1437" spans="2:3" x14ac:dyDescent="0.25">
      <c r="B1437" s="798" t="s">
        <v>3839</v>
      </c>
      <c r="C1437" s="782">
        <v>99013</v>
      </c>
    </row>
    <row r="1438" spans="2:3" x14ac:dyDescent="0.25">
      <c r="B1438" s="798" t="s">
        <v>1686</v>
      </c>
      <c r="C1438" s="782">
        <v>96201</v>
      </c>
    </row>
    <row r="1439" spans="2:3" x14ac:dyDescent="0.25">
      <c r="B1439" s="798" t="s">
        <v>3840</v>
      </c>
      <c r="C1439" s="782">
        <v>96204</v>
      </c>
    </row>
    <row r="1440" spans="2:3" x14ac:dyDescent="0.25">
      <c r="B1440" s="798" t="s">
        <v>2337</v>
      </c>
      <c r="C1440" s="782">
        <v>91161</v>
      </c>
    </row>
    <row r="1441" spans="2:3" x14ac:dyDescent="0.25">
      <c r="B1441" s="798" t="s">
        <v>1693</v>
      </c>
      <c r="C1441" s="782">
        <v>96301</v>
      </c>
    </row>
    <row r="1442" spans="2:3" x14ac:dyDescent="0.25">
      <c r="B1442" s="798" t="s">
        <v>3841</v>
      </c>
      <c r="C1442" s="782">
        <v>96304</v>
      </c>
    </row>
    <row r="1443" spans="2:3" x14ac:dyDescent="0.25">
      <c r="B1443" s="798" t="s">
        <v>1697</v>
      </c>
      <c r="C1443" s="782">
        <v>96310</v>
      </c>
    </row>
    <row r="1444" spans="2:3" x14ac:dyDescent="0.25">
      <c r="B1444" s="798" t="s">
        <v>3842</v>
      </c>
      <c r="C1444" s="782">
        <v>96305</v>
      </c>
    </row>
    <row r="1445" spans="2:3" x14ac:dyDescent="0.25">
      <c r="B1445" s="798" t="s">
        <v>2338</v>
      </c>
      <c r="C1445" s="782">
        <v>94921</v>
      </c>
    </row>
    <row r="1446" spans="2:3" x14ac:dyDescent="0.25">
      <c r="B1446" s="798" t="s">
        <v>3843</v>
      </c>
      <c r="C1446" s="782">
        <v>94927</v>
      </c>
    </row>
    <row r="1447" spans="2:3" x14ac:dyDescent="0.25">
      <c r="B1447" s="798" t="s">
        <v>1595</v>
      </c>
      <c r="C1447" s="782">
        <v>94923</v>
      </c>
    </row>
    <row r="1448" spans="2:3" x14ac:dyDescent="0.25">
      <c r="B1448" s="798" t="s">
        <v>2339</v>
      </c>
      <c r="C1448" s="782">
        <v>91611</v>
      </c>
    </row>
    <row r="1449" spans="2:3" x14ac:dyDescent="0.25">
      <c r="B1449" s="798" t="s">
        <v>2340</v>
      </c>
      <c r="C1449" s="782">
        <v>91231</v>
      </c>
    </row>
    <row r="1450" spans="2:3" x14ac:dyDescent="0.25">
      <c r="B1450" s="798" t="s">
        <v>3844</v>
      </c>
      <c r="C1450" s="782">
        <v>91217</v>
      </c>
    </row>
    <row r="1451" spans="2:3" x14ac:dyDescent="0.25">
      <c r="B1451" s="798" t="s">
        <v>1284</v>
      </c>
      <c r="C1451" s="782">
        <v>91233</v>
      </c>
    </row>
    <row r="1452" spans="2:3" x14ac:dyDescent="0.25">
      <c r="B1452" s="798" t="s">
        <v>2341</v>
      </c>
      <c r="C1452" s="782">
        <v>99206</v>
      </c>
    </row>
    <row r="1453" spans="2:3" x14ac:dyDescent="0.25">
      <c r="B1453" s="798" t="s">
        <v>2342</v>
      </c>
      <c r="C1453" s="782">
        <v>90461</v>
      </c>
    </row>
    <row r="1454" spans="2:3" x14ac:dyDescent="0.25">
      <c r="B1454" s="798" t="s">
        <v>3845</v>
      </c>
      <c r="C1454" s="782">
        <v>98637</v>
      </c>
    </row>
    <row r="1455" spans="2:3" x14ac:dyDescent="0.25">
      <c r="B1455" s="798" t="s">
        <v>2343</v>
      </c>
      <c r="C1455" s="782">
        <v>96251</v>
      </c>
    </row>
    <row r="1456" spans="2:3" x14ac:dyDescent="0.25">
      <c r="B1456" s="798" t="s">
        <v>2344</v>
      </c>
      <c r="C1456" s="782">
        <v>99621</v>
      </c>
    </row>
    <row r="1457" spans="2:3" x14ac:dyDescent="0.25">
      <c r="B1457" s="798" t="s">
        <v>2345</v>
      </c>
      <c r="C1457" s="782">
        <v>91321</v>
      </c>
    </row>
    <row r="1458" spans="2:3" x14ac:dyDescent="0.25">
      <c r="B1458" s="798" t="s">
        <v>3846</v>
      </c>
      <c r="C1458" s="782">
        <v>98631</v>
      </c>
    </row>
    <row r="1459" spans="2:3" x14ac:dyDescent="0.25">
      <c r="B1459" s="798" t="s">
        <v>3847</v>
      </c>
      <c r="C1459" s="782">
        <v>93691</v>
      </c>
    </row>
    <row r="1460" spans="2:3" x14ac:dyDescent="0.25">
      <c r="B1460" s="798" t="s">
        <v>3848</v>
      </c>
      <c r="C1460" s="782">
        <v>99623</v>
      </c>
    </row>
    <row r="1461" spans="2:3" x14ac:dyDescent="0.25">
      <c r="B1461" s="798" t="s">
        <v>3849</v>
      </c>
      <c r="C1461" s="782">
        <v>91327</v>
      </c>
    </row>
    <row r="1462" spans="2:3" x14ac:dyDescent="0.25">
      <c r="B1462" s="798" t="s">
        <v>2346</v>
      </c>
      <c r="C1462" s="782">
        <v>94621</v>
      </c>
    </row>
    <row r="1463" spans="2:3" x14ac:dyDescent="0.25">
      <c r="B1463" s="798" t="s">
        <v>2347</v>
      </c>
      <c r="C1463" s="782">
        <v>92011</v>
      </c>
    </row>
    <row r="1464" spans="2:3" x14ac:dyDescent="0.25">
      <c r="B1464" s="798" t="s">
        <v>3850</v>
      </c>
      <c r="C1464" s="782">
        <v>92017</v>
      </c>
    </row>
    <row r="1465" spans="2:3" x14ac:dyDescent="0.25">
      <c r="B1465" s="798" t="s">
        <v>3851</v>
      </c>
      <c r="C1465" s="782">
        <v>99991</v>
      </c>
    </row>
    <row r="1466" spans="2:3" x14ac:dyDescent="0.25">
      <c r="B1466" s="798" t="s">
        <v>3852</v>
      </c>
      <c r="C1466" s="782">
        <v>99999</v>
      </c>
    </row>
    <row r="1467" spans="2:3" x14ac:dyDescent="0.25">
      <c r="B1467" s="798" t="s">
        <v>2348</v>
      </c>
      <c r="C1467" s="782">
        <v>92811</v>
      </c>
    </row>
    <row r="1468" spans="2:3" x14ac:dyDescent="0.25">
      <c r="B1468" s="798" t="s">
        <v>1348</v>
      </c>
      <c r="C1468" s="782">
        <v>92005</v>
      </c>
    </row>
    <row r="1469" spans="2:3" x14ac:dyDescent="0.25">
      <c r="B1469" s="798" t="s">
        <v>1708</v>
      </c>
      <c r="C1469" s="782">
        <v>96401</v>
      </c>
    </row>
    <row r="1470" spans="2:3" x14ac:dyDescent="0.25">
      <c r="B1470" s="798" t="s">
        <v>3853</v>
      </c>
      <c r="C1470" s="782">
        <v>96404</v>
      </c>
    </row>
    <row r="1471" spans="2:3" x14ac:dyDescent="0.25">
      <c r="B1471" s="798" t="s">
        <v>2349</v>
      </c>
      <c r="C1471" s="782">
        <v>96421</v>
      </c>
    </row>
    <row r="1472" spans="2:3" x14ac:dyDescent="0.25">
      <c r="B1472" s="798" t="s">
        <v>2350</v>
      </c>
      <c r="C1472" s="782">
        <v>91026</v>
      </c>
    </row>
    <row r="1473" spans="2:3" x14ac:dyDescent="0.25">
      <c r="B1473" s="798" t="s">
        <v>1633</v>
      </c>
      <c r="C1473" s="782">
        <v>95405</v>
      </c>
    </row>
    <row r="1474" spans="2:3" x14ac:dyDescent="0.25">
      <c r="B1474" s="798" t="s">
        <v>3854</v>
      </c>
      <c r="C1474" s="782">
        <v>94005</v>
      </c>
    </row>
    <row r="1475" spans="2:3" x14ac:dyDescent="0.25">
      <c r="B1475" s="798" t="s">
        <v>3855</v>
      </c>
      <c r="C1475" s="782">
        <v>95205</v>
      </c>
    </row>
    <row r="1476" spans="2:3" x14ac:dyDescent="0.25">
      <c r="B1476" s="798" t="s">
        <v>1383</v>
      </c>
      <c r="C1476" s="782">
        <v>92507</v>
      </c>
    </row>
    <row r="1477" spans="2:3" x14ac:dyDescent="0.25">
      <c r="B1477" s="798" t="s">
        <v>3856</v>
      </c>
      <c r="C1477" s="782">
        <v>92113</v>
      </c>
    </row>
    <row r="1478" spans="2:3" x14ac:dyDescent="0.25">
      <c r="B1478" s="798" t="s">
        <v>3857</v>
      </c>
      <c r="C1478" s="782">
        <v>96502</v>
      </c>
    </row>
    <row r="1479" spans="2:3" x14ac:dyDescent="0.25">
      <c r="B1479" s="798" t="s">
        <v>1717</v>
      </c>
      <c r="C1479" s="782">
        <v>96501</v>
      </c>
    </row>
    <row r="1480" spans="2:3" x14ac:dyDescent="0.25">
      <c r="B1480" s="798" t="s">
        <v>3858</v>
      </c>
      <c r="C1480" s="782">
        <v>96504</v>
      </c>
    </row>
    <row r="1481" spans="2:3" x14ac:dyDescent="0.25">
      <c r="B1481" s="798" t="s">
        <v>3859</v>
      </c>
      <c r="C1481" s="782">
        <v>97913</v>
      </c>
    </row>
    <row r="1482" spans="2:3" x14ac:dyDescent="0.25">
      <c r="B1482" s="798" t="s">
        <v>3860</v>
      </c>
      <c r="C1482" s="782">
        <v>92511</v>
      </c>
    </row>
    <row r="1483" spans="2:3" x14ac:dyDescent="0.25">
      <c r="B1483" s="798" t="s">
        <v>2351</v>
      </c>
      <c r="C1483" s="782">
        <v>90621</v>
      </c>
    </row>
    <row r="1484" spans="2:3" x14ac:dyDescent="0.25">
      <c r="B1484" s="798" t="s">
        <v>2352</v>
      </c>
      <c r="C1484" s="782">
        <v>91621</v>
      </c>
    </row>
    <row r="1485" spans="2:3" x14ac:dyDescent="0.25">
      <c r="B1485" s="798" t="s">
        <v>2353</v>
      </c>
      <c r="C1485" s="782">
        <v>91871</v>
      </c>
    </row>
    <row r="1486" spans="2:3" x14ac:dyDescent="0.25">
      <c r="B1486" s="798" t="s">
        <v>2354</v>
      </c>
      <c r="C1486" s="782">
        <v>98231</v>
      </c>
    </row>
    <row r="1487" spans="2:3" x14ac:dyDescent="0.25">
      <c r="B1487" s="798" t="s">
        <v>2355</v>
      </c>
      <c r="C1487" s="782">
        <v>99311</v>
      </c>
    </row>
    <row r="1488" spans="2:3" x14ac:dyDescent="0.25">
      <c r="B1488" s="798" t="s">
        <v>2356</v>
      </c>
      <c r="C1488" s="782">
        <v>96751</v>
      </c>
    </row>
    <row r="1489" spans="2:3" x14ac:dyDescent="0.25">
      <c r="B1489" s="798" t="s">
        <v>2357</v>
      </c>
      <c r="C1489" s="782">
        <v>99711</v>
      </c>
    </row>
    <row r="1490" spans="2:3" x14ac:dyDescent="0.25">
      <c r="B1490" s="798" t="s">
        <v>3861</v>
      </c>
      <c r="C1490" s="782">
        <v>99717</v>
      </c>
    </row>
    <row r="1491" spans="2:3" x14ac:dyDescent="0.25">
      <c r="B1491" s="798" t="s">
        <v>1729</v>
      </c>
      <c r="C1491" s="782">
        <v>96601</v>
      </c>
    </row>
    <row r="1492" spans="2:3" x14ac:dyDescent="0.25">
      <c r="B1492" s="798" t="s">
        <v>3862</v>
      </c>
      <c r="C1492" s="782">
        <v>96604</v>
      </c>
    </row>
    <row r="1493" spans="2:3" x14ac:dyDescent="0.25">
      <c r="B1493" s="798" t="s">
        <v>2358</v>
      </c>
      <c r="C1493" s="782">
        <v>91012</v>
      </c>
    </row>
    <row r="1494" spans="2:3" x14ac:dyDescent="0.25">
      <c r="B1494" s="798" t="s">
        <v>1181</v>
      </c>
      <c r="C1494" s="782">
        <v>90305</v>
      </c>
    </row>
    <row r="1495" spans="2:3" x14ac:dyDescent="0.25">
      <c r="B1495" s="798" t="s">
        <v>2359</v>
      </c>
      <c r="C1495" s="782">
        <v>98421</v>
      </c>
    </row>
    <row r="1496" spans="2:3" x14ac:dyDescent="0.25">
      <c r="B1496" s="798" t="s">
        <v>3863</v>
      </c>
      <c r="C1496" s="782">
        <v>98427</v>
      </c>
    </row>
    <row r="1497" spans="2:3" x14ac:dyDescent="0.25">
      <c r="B1497" s="798" t="s">
        <v>2360</v>
      </c>
      <c r="C1497" s="782">
        <v>95821</v>
      </c>
    </row>
    <row r="1498" spans="2:3" x14ac:dyDescent="0.25">
      <c r="B1498" s="798" t="s">
        <v>2361</v>
      </c>
      <c r="C1498" s="782">
        <v>91021</v>
      </c>
    </row>
    <row r="1499" spans="2:3" x14ac:dyDescent="0.25">
      <c r="B1499" s="798" t="s">
        <v>3864</v>
      </c>
      <c r="C1499" s="782">
        <v>91027</v>
      </c>
    </row>
    <row r="1500" spans="2:3" x14ac:dyDescent="0.25">
      <c r="B1500" s="798" t="s">
        <v>2362</v>
      </c>
      <c r="C1500" s="782">
        <v>94161</v>
      </c>
    </row>
    <row r="1501" spans="2:3" x14ac:dyDescent="0.25">
      <c r="B1501" s="798" t="s">
        <v>2363</v>
      </c>
      <c r="C1501" s="782">
        <v>98441</v>
      </c>
    </row>
    <row r="1502" spans="2:3" x14ac:dyDescent="0.25">
      <c r="B1502" s="798" t="s">
        <v>2364</v>
      </c>
      <c r="C1502" s="782">
        <v>91061</v>
      </c>
    </row>
    <row r="1503" spans="2:3" x14ac:dyDescent="0.25">
      <c r="B1503" s="798" t="s">
        <v>3865</v>
      </c>
      <c r="C1503" s="782">
        <v>91067</v>
      </c>
    </row>
    <row r="1504" spans="2:3" x14ac:dyDescent="0.25">
      <c r="B1504" s="798" t="s">
        <v>3866</v>
      </c>
      <c r="C1504" s="782">
        <v>94812</v>
      </c>
    </row>
    <row r="1505" spans="2:3" x14ac:dyDescent="0.25">
      <c r="B1505" s="798" t="s">
        <v>2365</v>
      </c>
      <c r="C1505" s="782">
        <v>95921</v>
      </c>
    </row>
    <row r="1506" spans="2:3" x14ac:dyDescent="0.25">
      <c r="B1506" s="798" t="s">
        <v>1740</v>
      </c>
      <c r="C1506" s="782">
        <v>96701</v>
      </c>
    </row>
    <row r="1507" spans="2:3" x14ac:dyDescent="0.25">
      <c r="B1507" s="798" t="s">
        <v>3867</v>
      </c>
      <c r="C1507" s="782">
        <v>96704</v>
      </c>
    </row>
    <row r="1508" spans="2:3" x14ac:dyDescent="0.25">
      <c r="B1508" s="798" t="s">
        <v>3868</v>
      </c>
      <c r="C1508" s="782">
        <v>96708</v>
      </c>
    </row>
    <row r="1509" spans="2:3" x14ac:dyDescent="0.25">
      <c r="B1509" s="798" t="s">
        <v>1749</v>
      </c>
      <c r="C1509" s="782">
        <v>96801</v>
      </c>
    </row>
    <row r="1510" spans="2:3" x14ac:dyDescent="0.25">
      <c r="B1510" s="798" t="s">
        <v>3869</v>
      </c>
      <c r="C1510" s="782">
        <v>96804</v>
      </c>
    </row>
    <row r="1511" spans="2:3" x14ac:dyDescent="0.25">
      <c r="B1511" s="798" t="s">
        <v>3870</v>
      </c>
      <c r="C1511" s="782">
        <v>96808</v>
      </c>
    </row>
    <row r="1512" spans="2:3" x14ac:dyDescent="0.25">
      <c r="B1512" s="798" t="s">
        <v>2366</v>
      </c>
      <c r="C1512" s="782">
        <v>96912</v>
      </c>
    </row>
    <row r="1513" spans="2:3" x14ac:dyDescent="0.25">
      <c r="B1513" s="798" t="s">
        <v>2367</v>
      </c>
      <c r="C1513" s="782">
        <v>93911</v>
      </c>
    </row>
    <row r="1514" spans="2:3" x14ac:dyDescent="0.25">
      <c r="B1514" s="798" t="s">
        <v>1509</v>
      </c>
      <c r="C1514" s="782">
        <v>93913</v>
      </c>
    </row>
    <row r="1515" spans="2:3" x14ac:dyDescent="0.25">
      <c r="B1515" s="798" t="s">
        <v>1755</v>
      </c>
      <c r="C1515" s="782">
        <v>96901</v>
      </c>
    </row>
    <row r="1516" spans="2:3" x14ac:dyDescent="0.25">
      <c r="B1516" s="798" t="s">
        <v>3871</v>
      </c>
      <c r="C1516" s="782">
        <v>97841</v>
      </c>
    </row>
    <row r="1517" spans="2:3" x14ac:dyDescent="0.25">
      <c r="B1517" s="798" t="s">
        <v>1444</v>
      </c>
      <c r="C1517" s="782">
        <v>93202</v>
      </c>
    </row>
    <row r="1518" spans="2:3" x14ac:dyDescent="0.25">
      <c r="B1518" s="798" t="s">
        <v>3537</v>
      </c>
      <c r="C1518" s="782">
        <v>93609</v>
      </c>
    </row>
    <row r="1519" spans="2:3" x14ac:dyDescent="0.25">
      <c r="B1519" s="798" t="s">
        <v>3872</v>
      </c>
      <c r="C1519" s="782">
        <v>97004</v>
      </c>
    </row>
    <row r="1520" spans="2:3" x14ac:dyDescent="0.25">
      <c r="B1520" s="798" t="s">
        <v>1759</v>
      </c>
      <c r="C1520" s="782">
        <v>97001</v>
      </c>
    </row>
    <row r="1521" spans="2:3" x14ac:dyDescent="0.25">
      <c r="B1521" s="798" t="s">
        <v>1760</v>
      </c>
      <c r="C1521" s="782">
        <v>97002</v>
      </c>
    </row>
    <row r="1522" spans="2:3" x14ac:dyDescent="0.25">
      <c r="B1522" s="798" t="s">
        <v>1768</v>
      </c>
      <c r="C1522" s="782">
        <v>97015</v>
      </c>
    </row>
    <row r="1523" spans="2:3" x14ac:dyDescent="0.25">
      <c r="B1523" s="798" t="s">
        <v>2368</v>
      </c>
      <c r="C1523" s="782">
        <v>90441</v>
      </c>
    </row>
    <row r="1524" spans="2:3" x14ac:dyDescent="0.25">
      <c r="B1524" s="798" t="s">
        <v>2369</v>
      </c>
      <c r="C1524" s="782">
        <v>97851</v>
      </c>
    </row>
    <row r="1525" spans="2:3" x14ac:dyDescent="0.25">
      <c r="B1525" s="798" t="s">
        <v>1838</v>
      </c>
      <c r="C1525" s="782">
        <v>97853</v>
      </c>
    </row>
    <row r="1526" spans="2:3" x14ac:dyDescent="0.25">
      <c r="B1526" s="798" t="s">
        <v>1770</v>
      </c>
      <c r="C1526" s="782">
        <v>97101</v>
      </c>
    </row>
    <row r="1527" spans="2:3" x14ac:dyDescent="0.25">
      <c r="B1527" s="798" t="s">
        <v>3873</v>
      </c>
      <c r="C1527" s="782">
        <v>97104</v>
      </c>
    </row>
    <row r="1528" spans="2:3" x14ac:dyDescent="0.25">
      <c r="B1528" s="798" t="s">
        <v>1775</v>
      </c>
      <c r="C1528" s="782">
        <v>97201</v>
      </c>
    </row>
    <row r="1529" spans="2:3" x14ac:dyDescent="0.25">
      <c r="B1529" s="798" t="s">
        <v>3874</v>
      </c>
      <c r="C1529" s="782">
        <v>97304</v>
      </c>
    </row>
    <row r="1530" spans="2:3" x14ac:dyDescent="0.25">
      <c r="B1530" s="798" t="s">
        <v>1780</v>
      </c>
      <c r="C1530" s="782">
        <v>97301</v>
      </c>
    </row>
    <row r="1531" spans="2:3" x14ac:dyDescent="0.25">
      <c r="B1531" s="798" t="s">
        <v>1977</v>
      </c>
      <c r="C1531" s="782">
        <v>99405</v>
      </c>
    </row>
    <row r="1532" spans="2:3" x14ac:dyDescent="0.25">
      <c r="B1532" s="798" t="s">
        <v>1159</v>
      </c>
      <c r="C1532" s="782">
        <v>72265</v>
      </c>
    </row>
    <row r="1533" spans="2:3" x14ac:dyDescent="0.25">
      <c r="B1533" s="798" t="s">
        <v>3875</v>
      </c>
      <c r="C1533" s="782">
        <v>94112</v>
      </c>
    </row>
    <row r="1534" spans="2:3" x14ac:dyDescent="0.25">
      <c r="B1534" s="798" t="s">
        <v>1463</v>
      </c>
      <c r="C1534" s="782">
        <v>93406</v>
      </c>
    </row>
    <row r="1535" spans="2:3" x14ac:dyDescent="0.25">
      <c r="B1535" s="798" t="s">
        <v>2370</v>
      </c>
      <c r="C1535" s="782">
        <v>99651</v>
      </c>
    </row>
    <row r="1536" spans="2:3" x14ac:dyDescent="0.25">
      <c r="B1536" s="798" t="s">
        <v>2371</v>
      </c>
      <c r="C1536" s="782">
        <v>98611</v>
      </c>
    </row>
    <row r="1537" spans="2:3" x14ac:dyDescent="0.25">
      <c r="B1537" s="798" t="s">
        <v>3876</v>
      </c>
      <c r="C1537" s="782">
        <v>98607</v>
      </c>
    </row>
    <row r="1538" spans="2:3" x14ac:dyDescent="0.25">
      <c r="B1538" s="798" t="s">
        <v>2372</v>
      </c>
      <c r="C1538" s="782">
        <v>91641</v>
      </c>
    </row>
    <row r="1539" spans="2:3" x14ac:dyDescent="0.25">
      <c r="B1539" s="798" t="s">
        <v>2373</v>
      </c>
      <c r="C1539" s="782">
        <v>95161</v>
      </c>
    </row>
    <row r="1540" spans="2:3" x14ac:dyDescent="0.25">
      <c r="B1540" s="798" t="s">
        <v>2374</v>
      </c>
      <c r="C1540" s="782">
        <v>96361</v>
      </c>
    </row>
    <row r="1541" spans="2:3" x14ac:dyDescent="0.25">
      <c r="B1541" s="798" t="s">
        <v>3877</v>
      </c>
      <c r="C1541" s="782">
        <v>94108</v>
      </c>
    </row>
    <row r="1542" spans="2:3" x14ac:dyDescent="0.25">
      <c r="B1542" s="798" t="s">
        <v>2375</v>
      </c>
      <c r="C1542" s="782">
        <v>96351</v>
      </c>
    </row>
    <row r="1543" spans="2:3" x14ac:dyDescent="0.25">
      <c r="B1543" s="798" t="s">
        <v>2376</v>
      </c>
      <c r="C1543" s="782">
        <v>93331</v>
      </c>
    </row>
    <row r="1544" spans="2:3" x14ac:dyDescent="0.25">
      <c r="B1544" s="798" t="s">
        <v>2377</v>
      </c>
      <c r="C1544" s="782">
        <v>96021</v>
      </c>
    </row>
    <row r="1545" spans="2:3" x14ac:dyDescent="0.25">
      <c r="B1545" s="798" t="s">
        <v>2378</v>
      </c>
      <c r="C1545" s="782">
        <v>95421</v>
      </c>
    </row>
    <row r="1546" spans="2:3" x14ac:dyDescent="0.25">
      <c r="B1546" s="798" t="s">
        <v>1783</v>
      </c>
      <c r="C1546" s="782">
        <v>97401</v>
      </c>
    </row>
    <row r="1547" spans="2:3" x14ac:dyDescent="0.25">
      <c r="B1547" s="798" t="s">
        <v>3878</v>
      </c>
      <c r="C1547" s="782">
        <v>97404</v>
      </c>
    </row>
    <row r="1548" spans="2:3" x14ac:dyDescent="0.25">
      <c r="B1548" s="798" t="s">
        <v>3879</v>
      </c>
      <c r="C1548" s="782">
        <v>97402</v>
      </c>
    </row>
    <row r="1549" spans="2:3" x14ac:dyDescent="0.25">
      <c r="B1549" s="798" t="s">
        <v>2379</v>
      </c>
      <c r="C1549" s="782">
        <v>91921</v>
      </c>
    </row>
    <row r="1550" spans="2:3" x14ac:dyDescent="0.25">
      <c r="B1550" s="798" t="s">
        <v>3880</v>
      </c>
      <c r="C1550" s="782">
        <v>95908</v>
      </c>
    </row>
    <row r="1551" spans="2:3" x14ac:dyDescent="0.25">
      <c r="B1551" s="798" t="s">
        <v>2380</v>
      </c>
      <c r="C1551" s="782">
        <v>99411</v>
      </c>
    </row>
    <row r="1552" spans="2:3" x14ac:dyDescent="0.25">
      <c r="B1552" s="798" t="s">
        <v>1979</v>
      </c>
      <c r="C1552" s="782">
        <v>99413</v>
      </c>
    </row>
    <row r="1553" spans="2:3" x14ac:dyDescent="0.25">
      <c r="B1553" s="798" t="s">
        <v>1800</v>
      </c>
      <c r="C1553" s="782">
        <v>97501</v>
      </c>
    </row>
    <row r="1554" spans="2:3" x14ac:dyDescent="0.25">
      <c r="B1554" s="798" t="s">
        <v>2381</v>
      </c>
      <c r="C1554" s="782">
        <v>90431</v>
      </c>
    </row>
    <row r="1555" spans="2:3" x14ac:dyDescent="0.25">
      <c r="B1555" s="798" t="s">
        <v>2382</v>
      </c>
      <c r="C1555" s="782">
        <v>95211</v>
      </c>
    </row>
    <row r="1556" spans="2:3" x14ac:dyDescent="0.25">
      <c r="B1556" s="798" t="s">
        <v>2383</v>
      </c>
      <c r="C1556" s="782">
        <v>95181</v>
      </c>
    </row>
    <row r="1557" spans="2:3" x14ac:dyDescent="0.25">
      <c r="B1557" s="798" t="s">
        <v>2384</v>
      </c>
      <c r="C1557" s="782">
        <v>93351</v>
      </c>
    </row>
    <row r="1558" spans="2:3" x14ac:dyDescent="0.25">
      <c r="B1558" s="798" t="s">
        <v>3881</v>
      </c>
      <c r="C1558" s="782">
        <v>95105</v>
      </c>
    </row>
    <row r="1559" spans="2:3" x14ac:dyDescent="0.25">
      <c r="B1559" s="798" t="s">
        <v>3882</v>
      </c>
      <c r="C1559" s="782">
        <v>92614</v>
      </c>
    </row>
    <row r="1560" spans="2:3" x14ac:dyDescent="0.25">
      <c r="B1560" s="798" t="s">
        <v>2385</v>
      </c>
      <c r="C1560" s="782">
        <v>94711</v>
      </c>
    </row>
    <row r="1561" spans="2:3" x14ac:dyDescent="0.25">
      <c r="B1561" s="798" t="s">
        <v>2386</v>
      </c>
      <c r="C1561" s="782">
        <v>99211</v>
      </c>
    </row>
    <row r="1562" spans="2:3" x14ac:dyDescent="0.25">
      <c r="B1562" s="798" t="s">
        <v>1960</v>
      </c>
      <c r="C1562" s="782">
        <v>99218</v>
      </c>
    </row>
    <row r="1563" spans="2:3" x14ac:dyDescent="0.25">
      <c r="B1563" s="798" t="s">
        <v>3883</v>
      </c>
      <c r="C1563" s="782">
        <v>99213</v>
      </c>
    </row>
    <row r="1564" spans="2:3" x14ac:dyDescent="0.25">
      <c r="B1564" s="798" t="s">
        <v>2387</v>
      </c>
      <c r="C1564" s="782">
        <v>97641</v>
      </c>
    </row>
    <row r="1565" spans="2:3" x14ac:dyDescent="0.25">
      <c r="B1565" s="798" t="s">
        <v>2388</v>
      </c>
      <c r="C1565" s="782">
        <v>97621</v>
      </c>
    </row>
    <row r="1566" spans="2:3" x14ac:dyDescent="0.25">
      <c r="B1566" s="798" t="s">
        <v>3884</v>
      </c>
      <c r="C1566" s="782">
        <v>97627</v>
      </c>
    </row>
    <row r="1567" spans="2:3" x14ac:dyDescent="0.25">
      <c r="B1567" s="798" t="s">
        <v>3885</v>
      </c>
      <c r="C1567" s="782">
        <v>97623</v>
      </c>
    </row>
    <row r="1568" spans="2:3" x14ac:dyDescent="0.25">
      <c r="B1568" s="798" t="s">
        <v>1804</v>
      </c>
      <c r="C1568" s="782">
        <v>97601</v>
      </c>
    </row>
    <row r="1569" spans="2:3" x14ac:dyDescent="0.25">
      <c r="B1569" s="798" t="s">
        <v>2389</v>
      </c>
      <c r="C1569" s="782">
        <v>93681</v>
      </c>
    </row>
    <row r="1570" spans="2:3" x14ac:dyDescent="0.25">
      <c r="B1570" s="798" t="s">
        <v>2390</v>
      </c>
      <c r="C1570" s="782">
        <v>97871</v>
      </c>
    </row>
    <row r="1571" spans="2:3" x14ac:dyDescent="0.25">
      <c r="B1571" s="798" t="s">
        <v>3886</v>
      </c>
      <c r="C1571" s="782">
        <v>97877</v>
      </c>
    </row>
    <row r="1572" spans="2:3" x14ac:dyDescent="0.25">
      <c r="B1572" s="798" t="s">
        <v>1983</v>
      </c>
      <c r="C1572" s="782">
        <v>99502</v>
      </c>
    </row>
    <row r="1573" spans="2:3" x14ac:dyDescent="0.25">
      <c r="B1573" s="798" t="s">
        <v>2391</v>
      </c>
      <c r="C1573" s="782">
        <v>97911</v>
      </c>
    </row>
    <row r="1574" spans="2:3" x14ac:dyDescent="0.25">
      <c r="B1574" s="798" t="s">
        <v>3887</v>
      </c>
      <c r="C1574" s="782">
        <v>97917</v>
      </c>
    </row>
    <row r="1575" spans="2:3" x14ac:dyDescent="0.25">
      <c r="B1575" s="798" t="s">
        <v>2392</v>
      </c>
      <c r="C1575" s="782">
        <v>96611</v>
      </c>
    </row>
    <row r="1576" spans="2:3" x14ac:dyDescent="0.25">
      <c r="B1576" s="798" t="s">
        <v>2393</v>
      </c>
      <c r="C1576" s="782">
        <v>96741</v>
      </c>
    </row>
    <row r="1577" spans="2:3" x14ac:dyDescent="0.25">
      <c r="B1577" s="798" t="s">
        <v>1816</v>
      </c>
      <c r="C1577" s="782">
        <v>97701</v>
      </c>
    </row>
    <row r="1578" spans="2:3" x14ac:dyDescent="0.25">
      <c r="B1578" s="798" t="s">
        <v>2394</v>
      </c>
      <c r="C1578" s="782">
        <v>92541</v>
      </c>
    </row>
    <row r="1579" spans="2:3" x14ac:dyDescent="0.25">
      <c r="B1579" s="798" t="s">
        <v>1540</v>
      </c>
      <c r="C1579" s="782">
        <v>94209</v>
      </c>
    </row>
    <row r="1580" spans="2:3" x14ac:dyDescent="0.25">
      <c r="B1580" s="798" t="s">
        <v>3888</v>
      </c>
      <c r="C1580" s="782">
        <v>94221</v>
      </c>
    </row>
    <row r="1581" spans="2:3" x14ac:dyDescent="0.25">
      <c r="B1581" s="798" t="s">
        <v>2395</v>
      </c>
      <c r="C1581" s="782">
        <v>96341</v>
      </c>
    </row>
    <row r="1582" spans="2:3" x14ac:dyDescent="0.25">
      <c r="B1582" s="798" t="s">
        <v>2396</v>
      </c>
      <c r="C1582" s="782">
        <v>93821</v>
      </c>
    </row>
    <row r="1583" spans="2:3" x14ac:dyDescent="0.25">
      <c r="B1583" s="798" t="s">
        <v>2397</v>
      </c>
      <c r="C1583" s="782">
        <v>95851</v>
      </c>
    </row>
    <row r="1584" spans="2:3" x14ac:dyDescent="0.25">
      <c r="B1584" s="798" t="s">
        <v>1662</v>
      </c>
      <c r="C1584" s="782">
        <v>95853</v>
      </c>
    </row>
    <row r="1585" spans="2:3" x14ac:dyDescent="0.25">
      <c r="B1585" s="798" t="s">
        <v>1824</v>
      </c>
      <c r="C1585" s="782">
        <v>97801</v>
      </c>
    </row>
    <row r="1586" spans="2:3" x14ac:dyDescent="0.25">
      <c r="B1586" s="798" t="s">
        <v>1826</v>
      </c>
      <c r="C1586" s="782">
        <v>97803</v>
      </c>
    </row>
    <row r="1587" spans="2:3" x14ac:dyDescent="0.25">
      <c r="B1587" s="798" t="s">
        <v>1827</v>
      </c>
      <c r="C1587" s="782">
        <v>97805</v>
      </c>
    </row>
    <row r="1588" spans="2:3" x14ac:dyDescent="0.25">
      <c r="B1588" s="798" t="s">
        <v>2398</v>
      </c>
      <c r="C1588" s="782">
        <v>97711</v>
      </c>
    </row>
    <row r="1589" spans="2:3" x14ac:dyDescent="0.25">
      <c r="B1589" s="798" t="s">
        <v>1842</v>
      </c>
      <c r="C1589" s="782">
        <v>97901</v>
      </c>
    </row>
    <row r="1590" spans="2:3" x14ac:dyDescent="0.25">
      <c r="B1590" s="798" t="s">
        <v>1819</v>
      </c>
      <c r="C1590" s="782">
        <v>97713</v>
      </c>
    </row>
    <row r="1591" spans="2:3" x14ac:dyDescent="0.25">
      <c r="B1591" s="798" t="s">
        <v>3889</v>
      </c>
      <c r="C1591" s="782">
        <v>97727</v>
      </c>
    </row>
    <row r="1592" spans="2:3" x14ac:dyDescent="0.25">
      <c r="B1592" s="798" t="s">
        <v>2399</v>
      </c>
      <c r="C1592" s="782">
        <v>98071</v>
      </c>
    </row>
    <row r="1593" spans="2:3" x14ac:dyDescent="0.25">
      <c r="B1593" s="798" t="s">
        <v>1456</v>
      </c>
      <c r="C1593" s="782">
        <v>93323</v>
      </c>
    </row>
    <row r="1594" spans="2:3" x14ac:dyDescent="0.25">
      <c r="B1594" s="798" t="s">
        <v>3890</v>
      </c>
      <c r="C1594" s="782">
        <v>93333</v>
      </c>
    </row>
    <row r="1595" spans="2:3" x14ac:dyDescent="0.25">
      <c r="B1595" s="798" t="s">
        <v>3891</v>
      </c>
      <c r="C1595" s="782">
        <v>93321</v>
      </c>
    </row>
    <row r="1596" spans="2:3" x14ac:dyDescent="0.25">
      <c r="B1596" s="798" t="s">
        <v>2400</v>
      </c>
      <c r="C1596" s="782">
        <v>99203</v>
      </c>
    </row>
    <row r="1597" spans="2:3" x14ac:dyDescent="0.25">
      <c r="B1597" s="798" t="s">
        <v>2401</v>
      </c>
      <c r="C1597" s="782">
        <v>99421</v>
      </c>
    </row>
    <row r="1598" spans="2:3" x14ac:dyDescent="0.25">
      <c r="B1598" s="798" t="s">
        <v>2402</v>
      </c>
      <c r="C1598" s="782">
        <v>93161</v>
      </c>
    </row>
    <row r="1599" spans="2:3" x14ac:dyDescent="0.25">
      <c r="B1599" s="798" t="s">
        <v>2403</v>
      </c>
      <c r="C1599" s="782">
        <v>98261</v>
      </c>
    </row>
    <row r="1600" spans="2:3" x14ac:dyDescent="0.25">
      <c r="B1600" s="798" t="s">
        <v>3892</v>
      </c>
      <c r="C1600" s="782">
        <v>98237</v>
      </c>
    </row>
    <row r="1601" spans="2:3" x14ac:dyDescent="0.25">
      <c r="B1601" s="798" t="s">
        <v>3893</v>
      </c>
      <c r="C1601" s="782">
        <v>98003</v>
      </c>
    </row>
    <row r="1602" spans="2:3" x14ac:dyDescent="0.25">
      <c r="B1602" s="798" t="s">
        <v>3894</v>
      </c>
      <c r="C1602" s="782">
        <v>98008</v>
      </c>
    </row>
    <row r="1603" spans="2:3" x14ac:dyDescent="0.25">
      <c r="B1603" s="798" t="s">
        <v>3895</v>
      </c>
      <c r="C1603" s="782">
        <v>98002</v>
      </c>
    </row>
    <row r="1604" spans="2:3" x14ac:dyDescent="0.25">
      <c r="B1604" s="798" t="s">
        <v>1853</v>
      </c>
      <c r="C1604" s="782">
        <v>98001</v>
      </c>
    </row>
    <row r="1605" spans="2:3" x14ac:dyDescent="0.25">
      <c r="B1605" s="798" t="s">
        <v>3896</v>
      </c>
      <c r="C1605" s="782">
        <v>98004</v>
      </c>
    </row>
    <row r="1606" spans="2:3" x14ac:dyDescent="0.25">
      <c r="B1606" s="798" t="s">
        <v>2404</v>
      </c>
      <c r="C1606" s="782">
        <v>97861</v>
      </c>
    </row>
    <row r="1607" spans="2:3" x14ac:dyDescent="0.25">
      <c r="B1607" s="798" t="s">
        <v>2405</v>
      </c>
      <c r="C1607" s="782">
        <v>97311</v>
      </c>
    </row>
    <row r="1608" spans="2:3" x14ac:dyDescent="0.25">
      <c r="B1608" s="798" t="s">
        <v>2406</v>
      </c>
      <c r="C1608" s="782">
        <v>93431</v>
      </c>
    </row>
    <row r="1609" spans="2:3" x14ac:dyDescent="0.25">
      <c r="B1609" s="798" t="s">
        <v>2407</v>
      </c>
      <c r="C1609" s="782">
        <v>91214</v>
      </c>
    </row>
    <row r="1610" spans="2:3" x14ac:dyDescent="0.25">
      <c r="B1610" s="798" t="s">
        <v>1868</v>
      </c>
      <c r="C1610" s="782">
        <v>98101</v>
      </c>
    </row>
    <row r="1611" spans="2:3" x14ac:dyDescent="0.25">
      <c r="B1611" s="798" t="s">
        <v>3897</v>
      </c>
      <c r="C1611" s="782">
        <v>98103</v>
      </c>
    </row>
    <row r="1612" spans="2:3" x14ac:dyDescent="0.25">
      <c r="B1612" s="798" t="s">
        <v>2408</v>
      </c>
      <c r="C1612" s="782">
        <v>98141</v>
      </c>
    </row>
    <row r="1613" spans="2:3" x14ac:dyDescent="0.25">
      <c r="B1613" s="798" t="s">
        <v>3898</v>
      </c>
      <c r="C1613" s="782">
        <v>98147</v>
      </c>
    </row>
    <row r="1614" spans="2:3" x14ac:dyDescent="0.25">
      <c r="B1614" s="798" t="s">
        <v>2409</v>
      </c>
      <c r="C1614" s="782">
        <v>98221</v>
      </c>
    </row>
    <row r="1615" spans="2:3" x14ac:dyDescent="0.25">
      <c r="B1615" s="798" t="s">
        <v>2410</v>
      </c>
      <c r="C1615" s="782">
        <v>98011</v>
      </c>
    </row>
    <row r="1616" spans="2:3" x14ac:dyDescent="0.25">
      <c r="B1616" s="798" t="s">
        <v>2411</v>
      </c>
      <c r="C1616" s="782">
        <v>97531</v>
      </c>
    </row>
    <row r="1617" spans="2:3" x14ac:dyDescent="0.25">
      <c r="B1617" s="798" t="s">
        <v>1880</v>
      </c>
      <c r="C1617" s="782">
        <v>98201</v>
      </c>
    </row>
    <row r="1618" spans="2:3" x14ac:dyDescent="0.25">
      <c r="B1618" s="798" t="s">
        <v>1817</v>
      </c>
      <c r="C1618" s="782">
        <v>97705</v>
      </c>
    </row>
    <row r="1619" spans="2:3" x14ac:dyDescent="0.25">
      <c r="B1619" s="798" t="s">
        <v>3539</v>
      </c>
      <c r="C1619" s="782">
        <v>96318</v>
      </c>
    </row>
    <row r="1620" spans="2:3" x14ac:dyDescent="0.25">
      <c r="B1620" s="798" t="s">
        <v>2412</v>
      </c>
      <c r="C1620" s="782">
        <v>95311</v>
      </c>
    </row>
    <row r="1621" spans="2:3" x14ac:dyDescent="0.25">
      <c r="B1621" s="798" t="s">
        <v>3899</v>
      </c>
      <c r="C1621" s="782">
        <v>95317</v>
      </c>
    </row>
    <row r="1622" spans="2:3" x14ac:dyDescent="0.25">
      <c r="B1622" s="798" t="s">
        <v>2413</v>
      </c>
      <c r="C1622" s="782">
        <v>91421</v>
      </c>
    </row>
    <row r="1623" spans="2:3" x14ac:dyDescent="0.25">
      <c r="B1623" s="798" t="s">
        <v>1891</v>
      </c>
      <c r="C1623" s="782">
        <v>98301</v>
      </c>
    </row>
    <row r="1624" spans="2:3" x14ac:dyDescent="0.25">
      <c r="B1624" s="798" t="s">
        <v>3900</v>
      </c>
      <c r="C1624" s="782">
        <v>98304</v>
      </c>
    </row>
    <row r="1625" spans="2:3" x14ac:dyDescent="0.25">
      <c r="B1625" s="798" t="s">
        <v>2414</v>
      </c>
      <c r="C1625" s="782">
        <v>94241</v>
      </c>
    </row>
    <row r="1626" spans="2:3" x14ac:dyDescent="0.25">
      <c r="B1626" s="798" t="s">
        <v>2415</v>
      </c>
      <c r="C1626" s="782">
        <v>96681</v>
      </c>
    </row>
    <row r="1627" spans="2:3" x14ac:dyDescent="0.25">
      <c r="B1627" s="798" t="s">
        <v>3901</v>
      </c>
      <c r="C1627" s="782">
        <v>72593</v>
      </c>
    </row>
    <row r="1628" spans="2:3" x14ac:dyDescent="0.25">
      <c r="B1628" s="798" t="s">
        <v>2416</v>
      </c>
      <c r="C1628" s="782">
        <v>95121</v>
      </c>
    </row>
    <row r="1629" spans="2:3" x14ac:dyDescent="0.25">
      <c r="B1629" s="798" t="s">
        <v>1614</v>
      </c>
      <c r="C1629" s="782">
        <v>95123</v>
      </c>
    </row>
    <row r="1630" spans="2:3" x14ac:dyDescent="0.25">
      <c r="B1630" s="798" t="s">
        <v>2417</v>
      </c>
      <c r="C1630" s="782">
        <v>99531</v>
      </c>
    </row>
    <row r="1631" spans="2:3" x14ac:dyDescent="0.25">
      <c r="B1631" s="798" t="s">
        <v>2418</v>
      </c>
      <c r="C1631" s="782">
        <v>96671</v>
      </c>
    </row>
    <row r="1632" spans="2:3" x14ac:dyDescent="0.25">
      <c r="B1632" s="798" t="s">
        <v>2419</v>
      </c>
      <c r="C1632" s="782">
        <v>91081</v>
      </c>
    </row>
    <row r="1633" spans="2:3" x14ac:dyDescent="0.25">
      <c r="B1633" s="798" t="s">
        <v>3902</v>
      </c>
      <c r="C1633" s="782">
        <v>91057</v>
      </c>
    </row>
    <row r="1634" spans="2:3" x14ac:dyDescent="0.25">
      <c r="B1634" s="798" t="s">
        <v>2420</v>
      </c>
      <c r="C1634" s="782">
        <v>96461</v>
      </c>
    </row>
    <row r="1635" spans="2:3" x14ac:dyDescent="0.25">
      <c r="B1635" s="798" t="s">
        <v>2421</v>
      </c>
      <c r="C1635" s="782">
        <v>92311</v>
      </c>
    </row>
    <row r="1636" spans="2:3" x14ac:dyDescent="0.25">
      <c r="B1636" s="798" t="s">
        <v>3903</v>
      </c>
      <c r="C1636" s="782">
        <v>92317</v>
      </c>
    </row>
    <row r="1637" spans="2:3" x14ac:dyDescent="0.25">
      <c r="B1637" s="798" t="s">
        <v>1786</v>
      </c>
      <c r="C1637" s="782">
        <v>97405</v>
      </c>
    </row>
    <row r="1638" spans="2:3" x14ac:dyDescent="0.25">
      <c r="B1638" s="798" t="s">
        <v>2422</v>
      </c>
      <c r="C1638" s="782">
        <v>91911</v>
      </c>
    </row>
    <row r="1639" spans="2:3" x14ac:dyDescent="0.25">
      <c r="B1639" s="798" t="s">
        <v>3904</v>
      </c>
      <c r="C1639" s="782">
        <v>91917</v>
      </c>
    </row>
    <row r="1640" spans="2:3" x14ac:dyDescent="0.25">
      <c r="B1640" s="798" t="s">
        <v>2423</v>
      </c>
      <c r="C1640" s="782">
        <v>97481</v>
      </c>
    </row>
    <row r="1641" spans="2:3" x14ac:dyDescent="0.25">
      <c r="B1641" s="798" t="s">
        <v>3905</v>
      </c>
      <c r="C1641" s="782">
        <v>91138</v>
      </c>
    </row>
    <row r="1642" spans="2:3" x14ac:dyDescent="0.25">
      <c r="B1642" s="798" t="s">
        <v>2424</v>
      </c>
      <c r="C1642" s="782">
        <v>95111</v>
      </c>
    </row>
    <row r="1643" spans="2:3" x14ac:dyDescent="0.25">
      <c r="B1643" s="798" t="s">
        <v>1611</v>
      </c>
      <c r="C1643" s="782">
        <v>95113</v>
      </c>
    </row>
    <row r="1644" spans="2:3" x14ac:dyDescent="0.25">
      <c r="B1644" s="798" t="s">
        <v>2425</v>
      </c>
      <c r="C1644" s="782">
        <v>94021</v>
      </c>
    </row>
    <row r="1645" spans="2:3" x14ac:dyDescent="0.25">
      <c r="B1645" s="798" t="s">
        <v>3906</v>
      </c>
      <c r="C1645" s="782">
        <v>90918</v>
      </c>
    </row>
    <row r="1646" spans="2:3" x14ac:dyDescent="0.25">
      <c r="B1646" s="798" t="s">
        <v>3907</v>
      </c>
      <c r="C1646" s="782">
        <v>93910</v>
      </c>
    </row>
    <row r="1647" spans="2:3" x14ac:dyDescent="0.25">
      <c r="B1647" s="798" t="s">
        <v>3540</v>
      </c>
      <c r="C1647" s="782">
        <v>91013</v>
      </c>
    </row>
    <row r="1648" spans="2:3" x14ac:dyDescent="0.25">
      <c r="B1648" s="798" t="s">
        <v>2426</v>
      </c>
      <c r="C1648" s="782">
        <v>96311</v>
      </c>
    </row>
    <row r="1649" spans="2:3" x14ac:dyDescent="0.25">
      <c r="B1649" s="798" t="s">
        <v>2427</v>
      </c>
      <c r="C1649" s="782">
        <v>92841</v>
      </c>
    </row>
    <row r="1650" spans="2:3" x14ac:dyDescent="0.25">
      <c r="B1650" s="798" t="s">
        <v>1994</v>
      </c>
      <c r="C1650" s="782">
        <v>99609</v>
      </c>
    </row>
    <row r="1651" spans="2:3" x14ac:dyDescent="0.25">
      <c r="B1651" s="798" t="s">
        <v>2428</v>
      </c>
      <c r="C1651" s="782">
        <v>91011</v>
      </c>
    </row>
    <row r="1652" spans="2:3" x14ac:dyDescent="0.25">
      <c r="B1652" s="798" t="s">
        <v>3908</v>
      </c>
      <c r="C1652" s="782">
        <v>91017</v>
      </c>
    </row>
    <row r="1653" spans="2:3" x14ac:dyDescent="0.25">
      <c r="B1653" s="798" t="s">
        <v>3909</v>
      </c>
      <c r="C1653" s="782">
        <v>95008</v>
      </c>
    </row>
    <row r="1654" spans="2:3" x14ac:dyDescent="0.25">
      <c r="B1654" s="798" t="s">
        <v>2429</v>
      </c>
      <c r="C1654" s="782">
        <v>72657</v>
      </c>
    </row>
    <row r="1655" spans="2:3" x14ac:dyDescent="0.25">
      <c r="B1655" s="798" t="s">
        <v>3910</v>
      </c>
      <c r="C1655" s="782">
        <v>90307</v>
      </c>
    </row>
    <row r="1656" spans="2:3" x14ac:dyDescent="0.25">
      <c r="B1656" s="798" t="s">
        <v>2430</v>
      </c>
      <c r="C1656" s="782">
        <v>98031</v>
      </c>
    </row>
    <row r="1657" spans="2:3" x14ac:dyDescent="0.25">
      <c r="B1657" s="798" t="s">
        <v>2431</v>
      </c>
      <c r="C1657" s="782">
        <v>98121</v>
      </c>
    </row>
    <row r="1658" spans="2:3" x14ac:dyDescent="0.25">
      <c r="B1658" s="798" t="s">
        <v>2432</v>
      </c>
      <c r="C1658" s="782">
        <v>96411</v>
      </c>
    </row>
    <row r="1659" spans="2:3" x14ac:dyDescent="0.25">
      <c r="B1659" s="798" t="s">
        <v>2433</v>
      </c>
      <c r="C1659" s="782">
        <v>92661</v>
      </c>
    </row>
    <row r="1660" spans="2:3" x14ac:dyDescent="0.25">
      <c r="B1660" s="798" t="s">
        <v>2434</v>
      </c>
      <c r="C1660" s="782">
        <v>96111</v>
      </c>
    </row>
    <row r="1661" spans="2:3" x14ac:dyDescent="0.25">
      <c r="B1661" s="798" t="s">
        <v>3911</v>
      </c>
      <c r="C1661" s="782">
        <v>91032</v>
      </c>
    </row>
    <row r="1662" spans="2:3" x14ac:dyDescent="0.25">
      <c r="B1662" s="798" t="s">
        <v>3912</v>
      </c>
      <c r="C1662" s="782">
        <v>97831</v>
      </c>
    </row>
    <row r="1663" spans="2:3" x14ac:dyDescent="0.25">
      <c r="B1663" s="798" t="s">
        <v>3913</v>
      </c>
      <c r="C1663" s="782">
        <v>97837</v>
      </c>
    </row>
    <row r="1664" spans="2:3" x14ac:dyDescent="0.25">
      <c r="B1664" s="798" t="s">
        <v>2435</v>
      </c>
      <c r="C1664" s="782">
        <v>96061</v>
      </c>
    </row>
    <row r="1665" spans="2:3" x14ac:dyDescent="0.25">
      <c r="B1665" s="798" t="s">
        <v>2436</v>
      </c>
      <c r="C1665" s="782">
        <v>98481</v>
      </c>
    </row>
    <row r="1666" spans="2:3" x14ac:dyDescent="0.25">
      <c r="B1666" s="798" t="s">
        <v>2437</v>
      </c>
      <c r="C1666" s="782">
        <v>93602</v>
      </c>
    </row>
    <row r="1667" spans="2:3" x14ac:dyDescent="0.25">
      <c r="B1667" s="798" t="s">
        <v>1898</v>
      </c>
      <c r="C1667" s="782">
        <v>98401</v>
      </c>
    </row>
    <row r="1668" spans="2:3" x14ac:dyDescent="0.25">
      <c r="B1668" s="798" t="s">
        <v>2438</v>
      </c>
      <c r="C1668" s="782">
        <v>99821</v>
      </c>
    </row>
    <row r="1669" spans="2:3" x14ac:dyDescent="0.25">
      <c r="B1669" s="798" t="s">
        <v>2439</v>
      </c>
      <c r="C1669" s="782">
        <v>96211</v>
      </c>
    </row>
    <row r="1670" spans="2:3" x14ac:dyDescent="0.25">
      <c r="B1670" s="798" t="s">
        <v>2440</v>
      </c>
      <c r="C1670" s="782">
        <v>94911</v>
      </c>
    </row>
    <row r="1671" spans="2:3" x14ac:dyDescent="0.25">
      <c r="B1671" s="798" t="s">
        <v>3914</v>
      </c>
      <c r="C1671" s="782">
        <v>94917</v>
      </c>
    </row>
    <row r="1672" spans="2:3" x14ac:dyDescent="0.25">
      <c r="B1672" s="798" t="s">
        <v>2441</v>
      </c>
      <c r="C1672" s="782">
        <v>92621</v>
      </c>
    </row>
    <row r="1673" spans="2:3" x14ac:dyDescent="0.25">
      <c r="B1673" s="798" t="s">
        <v>1907</v>
      </c>
      <c r="C1673" s="782">
        <v>98501</v>
      </c>
    </row>
    <row r="1674" spans="2:3" x14ac:dyDescent="0.25">
      <c r="B1674" s="798" t="s">
        <v>2442</v>
      </c>
      <c r="C1674" s="782">
        <v>97931</v>
      </c>
    </row>
    <row r="1675" spans="2:3" x14ac:dyDescent="0.25">
      <c r="B1675" s="798" t="s">
        <v>2443</v>
      </c>
      <c r="C1675" s="782">
        <v>93914</v>
      </c>
    </row>
    <row r="1676" spans="2:3" x14ac:dyDescent="0.25">
      <c r="B1676" s="798" t="s">
        <v>2444</v>
      </c>
      <c r="C1676" s="782">
        <v>90651</v>
      </c>
    </row>
    <row r="1677" spans="2:3" x14ac:dyDescent="0.25">
      <c r="B1677" s="798" t="s">
        <v>2445</v>
      </c>
      <c r="C1677" s="782">
        <v>94171</v>
      </c>
    </row>
    <row r="1678" spans="2:3" x14ac:dyDescent="0.25">
      <c r="B1678" s="798" t="s">
        <v>1536</v>
      </c>
      <c r="C1678" s="782">
        <v>94172</v>
      </c>
    </row>
    <row r="1679" spans="2:3" x14ac:dyDescent="0.25">
      <c r="B1679" s="798" t="s">
        <v>2446</v>
      </c>
      <c r="C1679" s="782">
        <v>91041</v>
      </c>
    </row>
    <row r="1680" spans="2:3" x14ac:dyDescent="0.25">
      <c r="B1680" s="798" t="s">
        <v>3915</v>
      </c>
      <c r="C1680" s="782">
        <v>91047</v>
      </c>
    </row>
    <row r="1681" spans="2:3" x14ac:dyDescent="0.25">
      <c r="B1681" s="798" t="s">
        <v>1774</v>
      </c>
      <c r="C1681" s="782">
        <v>97131</v>
      </c>
    </row>
    <row r="1682" spans="2:3" x14ac:dyDescent="0.25">
      <c r="B1682" s="798" t="s">
        <v>1911</v>
      </c>
      <c r="C1682" s="782">
        <v>98601</v>
      </c>
    </row>
    <row r="1683" spans="2:3" x14ac:dyDescent="0.25">
      <c r="B1683" s="798" t="s">
        <v>1921</v>
      </c>
      <c r="C1683" s="782">
        <v>98701</v>
      </c>
    </row>
    <row r="1684" spans="2:3" x14ac:dyDescent="0.25">
      <c r="B1684" s="798" t="s">
        <v>2447</v>
      </c>
      <c r="C1684" s="782">
        <v>96721</v>
      </c>
    </row>
    <row r="1685" spans="2:3" x14ac:dyDescent="0.25">
      <c r="B1685" s="798" t="s">
        <v>2448</v>
      </c>
      <c r="C1685" s="782">
        <v>95011</v>
      </c>
    </row>
    <row r="1686" spans="2:3" x14ac:dyDescent="0.25">
      <c r="B1686" s="798" t="s">
        <v>2449</v>
      </c>
      <c r="C1686" s="782">
        <v>92451</v>
      </c>
    </row>
    <row r="1687" spans="2:3" x14ac:dyDescent="0.25">
      <c r="B1687" s="798" t="s">
        <v>2450</v>
      </c>
      <c r="C1687" s="782">
        <v>93311</v>
      </c>
    </row>
    <row r="1688" spans="2:3" x14ac:dyDescent="0.25">
      <c r="B1688" s="798" t="s">
        <v>1454</v>
      </c>
      <c r="C1688" s="782">
        <v>93317</v>
      </c>
    </row>
    <row r="1689" spans="2:3" x14ac:dyDescent="0.25">
      <c r="B1689" s="798" t="s">
        <v>2451</v>
      </c>
      <c r="C1689" s="782">
        <v>90211</v>
      </c>
    </row>
    <row r="1690" spans="2:3" x14ac:dyDescent="0.25">
      <c r="B1690" s="798" t="s">
        <v>2452</v>
      </c>
      <c r="C1690" s="782">
        <v>96302</v>
      </c>
    </row>
    <row r="1691" spans="2:3" x14ac:dyDescent="0.25">
      <c r="B1691" s="798" t="s">
        <v>2453</v>
      </c>
      <c r="C1691" s="782">
        <v>93181</v>
      </c>
    </row>
    <row r="1692" spans="2:3" x14ac:dyDescent="0.25">
      <c r="B1692" s="798" t="s">
        <v>2454</v>
      </c>
      <c r="C1692" s="782">
        <v>92911</v>
      </c>
    </row>
    <row r="1693" spans="2:3" x14ac:dyDescent="0.25">
      <c r="B1693" s="798" t="s">
        <v>3916</v>
      </c>
      <c r="C1693" s="782">
        <v>92914</v>
      </c>
    </row>
    <row r="1694" spans="2:3" x14ac:dyDescent="0.25">
      <c r="B1694" s="798" t="s">
        <v>1419</v>
      </c>
      <c r="C1694" s="782">
        <v>92913</v>
      </c>
    </row>
    <row r="1695" spans="2:3" x14ac:dyDescent="0.25">
      <c r="B1695" s="798" t="s">
        <v>2455</v>
      </c>
      <c r="C1695" s="782">
        <v>93471</v>
      </c>
    </row>
    <row r="1696" spans="2:3" x14ac:dyDescent="0.25">
      <c r="B1696" s="798" t="s">
        <v>3917</v>
      </c>
      <c r="C1696" s="782">
        <v>90098</v>
      </c>
    </row>
    <row r="1697" spans="2:3" x14ac:dyDescent="0.25">
      <c r="B1697" s="798" t="s">
        <v>2456</v>
      </c>
      <c r="C1697" s="782">
        <v>97121</v>
      </c>
    </row>
    <row r="1698" spans="2:3" x14ac:dyDescent="0.25">
      <c r="B1698" s="798" t="s">
        <v>1924</v>
      </c>
      <c r="C1698" s="782">
        <v>98801</v>
      </c>
    </row>
    <row r="1699" spans="2:3" x14ac:dyDescent="0.25">
      <c r="B1699" s="798" t="s">
        <v>2457</v>
      </c>
      <c r="C1699" s="782">
        <v>92521</v>
      </c>
    </row>
    <row r="1700" spans="2:3" x14ac:dyDescent="0.25">
      <c r="B1700" s="798" t="s">
        <v>3541</v>
      </c>
      <c r="C1700" s="782">
        <v>93417</v>
      </c>
    </row>
    <row r="1701" spans="2:3" x14ac:dyDescent="0.25">
      <c r="B1701" s="798" t="s">
        <v>1449</v>
      </c>
      <c r="C1701" s="782">
        <v>93219</v>
      </c>
    </row>
    <row r="1702" spans="2:3" x14ac:dyDescent="0.25">
      <c r="B1702" s="798" t="s">
        <v>3542</v>
      </c>
      <c r="C1702" s="782">
        <v>92513</v>
      </c>
    </row>
    <row r="1703" spans="2:3" x14ac:dyDescent="0.25">
      <c r="B1703" s="798" t="s">
        <v>2458</v>
      </c>
      <c r="C1703" s="782">
        <v>97661</v>
      </c>
    </row>
    <row r="1704" spans="2:3" x14ac:dyDescent="0.25">
      <c r="B1704" s="798" t="s">
        <v>2459</v>
      </c>
      <c r="C1704" s="782">
        <v>94931</v>
      </c>
    </row>
    <row r="1705" spans="2:3" x14ac:dyDescent="0.25">
      <c r="B1705" s="798" t="s">
        <v>2460</v>
      </c>
      <c r="C1705" s="782">
        <v>96221</v>
      </c>
    </row>
    <row r="1706" spans="2:3" x14ac:dyDescent="0.25">
      <c r="B1706" s="798" t="s">
        <v>2461</v>
      </c>
      <c r="C1706" s="782">
        <v>97511</v>
      </c>
    </row>
    <row r="1707" spans="2:3" x14ac:dyDescent="0.25">
      <c r="B1707" s="798" t="s">
        <v>3918</v>
      </c>
      <c r="C1707" s="782">
        <v>95002</v>
      </c>
    </row>
    <row r="1708" spans="2:3" x14ac:dyDescent="0.25">
      <c r="B1708" s="798" t="s">
        <v>2462</v>
      </c>
      <c r="C1708" s="782">
        <v>98251</v>
      </c>
    </row>
    <row r="1709" spans="2:3" x14ac:dyDescent="0.25">
      <c r="B1709" s="798" t="s">
        <v>3919</v>
      </c>
      <c r="C1709" s="782">
        <v>98904</v>
      </c>
    </row>
    <row r="1710" spans="2:3" x14ac:dyDescent="0.25">
      <c r="B1710" s="798" t="s">
        <v>1927</v>
      </c>
      <c r="C1710" s="782">
        <v>98901</v>
      </c>
    </row>
    <row r="1711" spans="2:3" x14ac:dyDescent="0.25">
      <c r="B1711" s="798" t="s">
        <v>1930</v>
      </c>
      <c r="C1711" s="782">
        <v>99001</v>
      </c>
    </row>
    <row r="1712" spans="2:3" x14ac:dyDescent="0.25">
      <c r="B1712" s="798" t="s">
        <v>2463</v>
      </c>
      <c r="C1712" s="782">
        <v>99061</v>
      </c>
    </row>
    <row r="1713" spans="2:3" x14ac:dyDescent="0.25">
      <c r="B1713" s="798" t="s">
        <v>3920</v>
      </c>
      <c r="C1713" s="782">
        <v>93309</v>
      </c>
    </row>
    <row r="1714" spans="2:3" x14ac:dyDescent="0.25">
      <c r="B1714" s="798" t="s">
        <v>2464</v>
      </c>
      <c r="C1714" s="782">
        <v>91211</v>
      </c>
    </row>
    <row r="1715" spans="2:3" x14ac:dyDescent="0.25">
      <c r="B1715" s="798" t="s">
        <v>1279</v>
      </c>
      <c r="C1715" s="782">
        <v>91213</v>
      </c>
    </row>
    <row r="1716" spans="2:3" x14ac:dyDescent="0.25">
      <c r="B1716" s="798" t="s">
        <v>1944</v>
      </c>
      <c r="C1716" s="782">
        <v>99101</v>
      </c>
    </row>
    <row r="1717" spans="2:3" x14ac:dyDescent="0.25">
      <c r="B1717" s="798" t="s">
        <v>3921</v>
      </c>
      <c r="C1717" s="782">
        <v>99104</v>
      </c>
    </row>
    <row r="1718" spans="2:3" x14ac:dyDescent="0.25">
      <c r="B1718" s="798" t="s">
        <v>2465</v>
      </c>
      <c r="C1718" s="782">
        <v>92551</v>
      </c>
    </row>
    <row r="1719" spans="2:3" x14ac:dyDescent="0.25">
      <c r="B1719" s="798" t="s">
        <v>2466</v>
      </c>
      <c r="C1719" s="782">
        <v>96321</v>
      </c>
    </row>
    <row r="1720" spans="2:3" x14ac:dyDescent="0.25">
      <c r="B1720" s="798" t="s">
        <v>3922</v>
      </c>
      <c r="C1720" s="782">
        <v>95009</v>
      </c>
    </row>
    <row r="1721" spans="2:3" x14ac:dyDescent="0.25">
      <c r="B1721" s="798" t="s">
        <v>2467</v>
      </c>
      <c r="C1721" s="782">
        <v>92641</v>
      </c>
    </row>
    <row r="1722" spans="2:3" x14ac:dyDescent="0.25">
      <c r="B1722" s="798" t="s">
        <v>2468</v>
      </c>
      <c r="C1722" s="782">
        <v>90411</v>
      </c>
    </row>
    <row r="1723" spans="2:3" x14ac:dyDescent="0.25">
      <c r="B1723" s="798" t="s">
        <v>3923</v>
      </c>
      <c r="C1723" s="782">
        <v>90417</v>
      </c>
    </row>
    <row r="1724" spans="2:3" x14ac:dyDescent="0.25">
      <c r="B1724" s="798" t="s">
        <v>1185</v>
      </c>
      <c r="C1724" s="782">
        <v>90413</v>
      </c>
    </row>
    <row r="1725" spans="2:3" x14ac:dyDescent="0.25">
      <c r="B1725" s="798" t="s">
        <v>2469</v>
      </c>
      <c r="C1725" s="782">
        <v>98321</v>
      </c>
    </row>
    <row r="1726" spans="2:3" x14ac:dyDescent="0.25">
      <c r="B1726" s="798" t="s">
        <v>1949</v>
      </c>
      <c r="C1726" s="782">
        <v>99201</v>
      </c>
    </row>
    <row r="1727" spans="2:3" x14ac:dyDescent="0.25">
      <c r="B1727" s="798" t="s">
        <v>3924</v>
      </c>
      <c r="C1727" s="782">
        <v>99204</v>
      </c>
    </row>
    <row r="1728" spans="2:3" x14ac:dyDescent="0.25">
      <c r="B1728" s="798" t="s">
        <v>1954</v>
      </c>
      <c r="C1728" s="782">
        <v>99207</v>
      </c>
    </row>
    <row r="1729" spans="2:3" x14ac:dyDescent="0.25">
      <c r="B1729" s="798" t="s">
        <v>2470</v>
      </c>
      <c r="C1729" s="782">
        <v>99281</v>
      </c>
    </row>
    <row r="1730" spans="2:3" x14ac:dyDescent="0.25">
      <c r="B1730" s="798" t="s">
        <v>2471</v>
      </c>
      <c r="C1730" s="782">
        <v>93461</v>
      </c>
    </row>
    <row r="1731" spans="2:3" x14ac:dyDescent="0.25">
      <c r="B1731" s="798" t="s">
        <v>2472</v>
      </c>
      <c r="C1731" s="782">
        <v>93151</v>
      </c>
    </row>
    <row r="1732" spans="2:3" x14ac:dyDescent="0.25">
      <c r="B1732" s="798" t="s">
        <v>3925</v>
      </c>
      <c r="C1732" s="782">
        <v>93157</v>
      </c>
    </row>
    <row r="1733" spans="2:3" x14ac:dyDescent="0.25">
      <c r="B1733" s="798" t="s">
        <v>2473</v>
      </c>
      <c r="C1733" s="782">
        <v>98511</v>
      </c>
    </row>
    <row r="1734" spans="2:3" x14ac:dyDescent="0.25">
      <c r="B1734" s="798" t="s">
        <v>3926</v>
      </c>
      <c r="C1734" s="782">
        <v>98517</v>
      </c>
    </row>
    <row r="1735" spans="2:3" x14ac:dyDescent="0.25">
      <c r="B1735" s="798" t="s">
        <v>2474</v>
      </c>
      <c r="C1735" s="782">
        <v>99661</v>
      </c>
    </row>
    <row r="1736" spans="2:3" x14ac:dyDescent="0.25">
      <c r="B1736" s="798" t="s">
        <v>2475</v>
      </c>
      <c r="C1736" s="782">
        <v>94031</v>
      </c>
    </row>
    <row r="1737" spans="2:3" x14ac:dyDescent="0.25">
      <c r="B1737" s="798" t="s">
        <v>1971</v>
      </c>
      <c r="C1737" s="782">
        <v>99301</v>
      </c>
    </row>
    <row r="1738" spans="2:3" x14ac:dyDescent="0.25">
      <c r="B1738" s="798" t="s">
        <v>3927</v>
      </c>
      <c r="C1738" s="782">
        <v>99304</v>
      </c>
    </row>
    <row r="1739" spans="2:3" x14ac:dyDescent="0.25">
      <c r="B1739" s="798" t="s">
        <v>2476</v>
      </c>
      <c r="C1739" s="782">
        <v>99321</v>
      </c>
    </row>
    <row r="1740" spans="2:3" x14ac:dyDescent="0.25">
      <c r="B1740" s="798" t="s">
        <v>2477</v>
      </c>
      <c r="C1740" s="782">
        <v>93131</v>
      </c>
    </row>
    <row r="1741" spans="2:3" x14ac:dyDescent="0.25">
      <c r="B1741" s="798" t="s">
        <v>3928</v>
      </c>
      <c r="C1741" s="782">
        <v>93137</v>
      </c>
    </row>
    <row r="1742" spans="2:3" x14ac:dyDescent="0.25">
      <c r="B1742" s="798" t="s">
        <v>2478</v>
      </c>
      <c r="C1742" s="782">
        <v>90711</v>
      </c>
    </row>
    <row r="1743" spans="2:3" x14ac:dyDescent="0.25">
      <c r="B1743" s="798" t="s">
        <v>1975</v>
      </c>
      <c r="C1743" s="782">
        <v>99401</v>
      </c>
    </row>
    <row r="1744" spans="2:3" x14ac:dyDescent="0.25">
      <c r="B1744" s="798" t="s">
        <v>3929</v>
      </c>
      <c r="C1744" s="782">
        <v>99404</v>
      </c>
    </row>
    <row r="1745" spans="2:3" x14ac:dyDescent="0.25">
      <c r="B1745" s="798" t="s">
        <v>2479</v>
      </c>
      <c r="C1745" s="782">
        <v>90741</v>
      </c>
    </row>
    <row r="1746" spans="2:3" x14ac:dyDescent="0.25">
      <c r="B1746" s="798" t="s">
        <v>1982</v>
      </c>
      <c r="C1746" s="782">
        <v>99501</v>
      </c>
    </row>
    <row r="1747" spans="2:3" x14ac:dyDescent="0.25">
      <c r="B1747" s="798" t="s">
        <v>3930</v>
      </c>
      <c r="C1747" s="782">
        <v>99509</v>
      </c>
    </row>
    <row r="1748" spans="2:3" x14ac:dyDescent="0.25">
      <c r="B1748" s="798" t="s">
        <v>3931</v>
      </c>
      <c r="C1748" s="782">
        <v>91302</v>
      </c>
    </row>
    <row r="1749" spans="2:3" x14ac:dyDescent="0.25">
      <c r="B1749" s="798" t="s">
        <v>2480</v>
      </c>
      <c r="C1749" s="782">
        <v>99041</v>
      </c>
    </row>
    <row r="1750" spans="2:3" x14ac:dyDescent="0.25">
      <c r="B1750" s="798" t="s">
        <v>3932</v>
      </c>
      <c r="C1750" s="782">
        <v>99047</v>
      </c>
    </row>
    <row r="1751" spans="2:3" x14ac:dyDescent="0.25">
      <c r="B1751" s="798" t="s">
        <v>1990</v>
      </c>
      <c r="C1751" s="782">
        <v>99601</v>
      </c>
    </row>
    <row r="1752" spans="2:3" x14ac:dyDescent="0.25">
      <c r="B1752" s="798" t="s">
        <v>3933</v>
      </c>
      <c r="C1752" s="782">
        <v>99604</v>
      </c>
    </row>
    <row r="1753" spans="2:3" x14ac:dyDescent="0.25">
      <c r="B1753" s="798" t="s">
        <v>2481</v>
      </c>
      <c r="C1753" s="782">
        <v>94411</v>
      </c>
    </row>
    <row r="1754" spans="2:3" x14ac:dyDescent="0.25">
      <c r="B1754" s="798" t="s">
        <v>3934</v>
      </c>
      <c r="C1754" s="782">
        <v>94412</v>
      </c>
    </row>
    <row r="1755" spans="2:3" x14ac:dyDescent="0.25">
      <c r="B1755" s="798" t="s">
        <v>2482</v>
      </c>
      <c r="C1755" s="782">
        <v>91141</v>
      </c>
    </row>
    <row r="1756" spans="2:3" x14ac:dyDescent="0.25">
      <c r="B1756" s="798" t="s">
        <v>3935</v>
      </c>
      <c r="C1756" s="782">
        <v>91147</v>
      </c>
    </row>
    <row r="1757" spans="2:3" x14ac:dyDescent="0.25">
      <c r="B1757" s="798" t="s">
        <v>2483</v>
      </c>
      <c r="C1757" s="782">
        <v>99071</v>
      </c>
    </row>
    <row r="1758" spans="2:3" x14ac:dyDescent="0.25">
      <c r="B1758" s="798" t="s">
        <v>2484</v>
      </c>
      <c r="C1758" s="782">
        <v>94231</v>
      </c>
    </row>
    <row r="1759" spans="2:3" x14ac:dyDescent="0.25">
      <c r="B1759" s="798" t="s">
        <v>2485</v>
      </c>
      <c r="C1759" s="782">
        <v>99231</v>
      </c>
    </row>
    <row r="1760" spans="2:3" x14ac:dyDescent="0.25">
      <c r="B1760" s="798" t="s">
        <v>2486</v>
      </c>
      <c r="C1760" s="782">
        <v>99091</v>
      </c>
    </row>
    <row r="1761" spans="2:3" x14ac:dyDescent="0.25">
      <c r="B1761" s="798" t="s">
        <v>3936</v>
      </c>
      <c r="C1761" s="782">
        <v>91120</v>
      </c>
    </row>
    <row r="1762" spans="2:3" x14ac:dyDescent="0.25">
      <c r="B1762" s="798" t="s">
        <v>3544</v>
      </c>
      <c r="C1762" s="782">
        <v>92444</v>
      </c>
    </row>
    <row r="1763" spans="2:3" x14ac:dyDescent="0.25">
      <c r="B1763" s="798" t="s">
        <v>2487</v>
      </c>
      <c r="C1763" s="782">
        <v>90521</v>
      </c>
    </row>
    <row r="1764" spans="2:3" x14ac:dyDescent="0.25">
      <c r="B1764" s="798" t="s">
        <v>3937</v>
      </c>
      <c r="C1764" s="782">
        <v>90507</v>
      </c>
    </row>
    <row r="1765" spans="2:3" x14ac:dyDescent="0.25">
      <c r="B1765" s="798" t="s">
        <v>3938</v>
      </c>
      <c r="C1765" s="782">
        <v>92602</v>
      </c>
    </row>
    <row r="1766" spans="2:3" x14ac:dyDescent="0.25">
      <c r="B1766" s="798" t="s">
        <v>3939</v>
      </c>
      <c r="C1766" s="782">
        <v>91608</v>
      </c>
    </row>
    <row r="1767" spans="2:3" x14ac:dyDescent="0.25">
      <c r="B1767" s="798" t="s">
        <v>2488</v>
      </c>
      <c r="C1767" s="782">
        <v>91119</v>
      </c>
    </row>
    <row r="1768" spans="2:3" x14ac:dyDescent="0.25">
      <c r="B1768" s="798" t="s">
        <v>3940</v>
      </c>
      <c r="C1768" s="782">
        <v>91107</v>
      </c>
    </row>
    <row r="1769" spans="2:3" x14ac:dyDescent="0.25">
      <c r="B1769" s="798" t="s">
        <v>3941</v>
      </c>
      <c r="C1769" s="782">
        <v>91818</v>
      </c>
    </row>
    <row r="1770" spans="2:3" x14ac:dyDescent="0.25">
      <c r="B1770" s="798" t="s">
        <v>1332</v>
      </c>
      <c r="C1770" s="782">
        <v>91819</v>
      </c>
    </row>
    <row r="1771" spans="2:3" x14ac:dyDescent="0.25">
      <c r="B1771" s="798" t="s">
        <v>2489</v>
      </c>
      <c r="C1771" s="782">
        <v>96371</v>
      </c>
    </row>
    <row r="1772" spans="2:3" x14ac:dyDescent="0.25">
      <c r="B1772" s="798" t="s">
        <v>2490</v>
      </c>
      <c r="C1772" s="782">
        <v>96441</v>
      </c>
    </row>
    <row r="1773" spans="2:3" x14ac:dyDescent="0.25">
      <c r="B1773" s="798" t="s">
        <v>2491</v>
      </c>
      <c r="C1773" s="782">
        <v>90921</v>
      </c>
    </row>
    <row r="1774" spans="2:3" x14ac:dyDescent="0.25">
      <c r="B1774" s="798" t="s">
        <v>2492</v>
      </c>
      <c r="C1774" s="782">
        <v>92411</v>
      </c>
    </row>
    <row r="1775" spans="2:3" x14ac:dyDescent="0.25">
      <c r="B1775" s="798" t="s">
        <v>3942</v>
      </c>
      <c r="C1775" s="782">
        <v>92417</v>
      </c>
    </row>
    <row r="1776" spans="2:3" x14ac:dyDescent="0.25">
      <c r="B1776" s="798" t="s">
        <v>1368</v>
      </c>
      <c r="C1776" s="782">
        <v>92403</v>
      </c>
    </row>
    <row r="1777" spans="2:3" x14ac:dyDescent="0.25">
      <c r="B1777" s="798" t="s">
        <v>2002</v>
      </c>
      <c r="C1777" s="782">
        <v>99701</v>
      </c>
    </row>
    <row r="1778" spans="2:3" x14ac:dyDescent="0.25">
      <c r="B1778" s="798" t="s">
        <v>2493</v>
      </c>
      <c r="C1778" s="782">
        <v>99721</v>
      </c>
    </row>
    <row r="1779" spans="2:3" x14ac:dyDescent="0.25">
      <c r="B1779" s="798" t="s">
        <v>3943</v>
      </c>
      <c r="C1779" s="782">
        <v>99727</v>
      </c>
    </row>
    <row r="1780" spans="2:3" x14ac:dyDescent="0.25">
      <c r="B1780" s="798" t="s">
        <v>2494</v>
      </c>
      <c r="C1780" s="782">
        <v>95811</v>
      </c>
    </row>
    <row r="1781" spans="2:3" x14ac:dyDescent="0.25">
      <c r="B1781" s="798" t="s">
        <v>1657</v>
      </c>
      <c r="C1781" s="782">
        <v>95813</v>
      </c>
    </row>
    <row r="1782" spans="2:3" x14ac:dyDescent="0.25">
      <c r="B1782" s="798" t="s">
        <v>2495</v>
      </c>
      <c r="C1782" s="782">
        <v>96531</v>
      </c>
    </row>
    <row r="1783" spans="2:3" x14ac:dyDescent="0.25">
      <c r="B1783" s="798" t="s">
        <v>1719</v>
      </c>
      <c r="C1783" s="782">
        <v>96503</v>
      </c>
    </row>
    <row r="1784" spans="2:3" x14ac:dyDescent="0.25">
      <c r="B1784" s="798" t="s">
        <v>2496</v>
      </c>
      <c r="C1784" s="782">
        <v>99811</v>
      </c>
    </row>
    <row r="1785" spans="2:3" x14ac:dyDescent="0.25">
      <c r="B1785" s="798" t="s">
        <v>3944</v>
      </c>
      <c r="C1785" s="782">
        <v>99818</v>
      </c>
    </row>
    <row r="1786" spans="2:3" x14ac:dyDescent="0.25">
      <c r="B1786" s="798" t="s">
        <v>2008</v>
      </c>
      <c r="C1786" s="782">
        <v>99801</v>
      </c>
    </row>
    <row r="1787" spans="2:3" x14ac:dyDescent="0.25">
      <c r="B1787" s="798" t="s">
        <v>3945</v>
      </c>
      <c r="C1787" s="782">
        <v>99804</v>
      </c>
    </row>
    <row r="1788" spans="2:3" x14ac:dyDescent="0.25">
      <c r="B1788" s="798" t="s">
        <v>3946</v>
      </c>
      <c r="C1788" s="782">
        <v>99802</v>
      </c>
    </row>
    <row r="1789" spans="2:3" x14ac:dyDescent="0.25">
      <c r="B1789" s="798" t="s">
        <v>3947</v>
      </c>
      <c r="C1789" s="782">
        <v>99812</v>
      </c>
    </row>
    <row r="1790" spans="2:3" x14ac:dyDescent="0.25">
      <c r="B1790" s="798" t="s">
        <v>3948</v>
      </c>
      <c r="C1790" s="782">
        <v>95191</v>
      </c>
    </row>
    <row r="1791" spans="2:3" x14ac:dyDescent="0.25">
      <c r="B1791" s="798" t="s">
        <v>2497</v>
      </c>
      <c r="C1791" s="782">
        <v>90812</v>
      </c>
    </row>
    <row r="1792" spans="2:3" x14ac:dyDescent="0.25">
      <c r="B1792" s="798" t="s">
        <v>2498</v>
      </c>
      <c r="C1792" s="782">
        <v>97221</v>
      </c>
    </row>
    <row r="1793" spans="2:3" x14ac:dyDescent="0.25">
      <c r="B1793" s="798" t="s">
        <v>2499</v>
      </c>
      <c r="C1793" s="782">
        <v>99031</v>
      </c>
    </row>
    <row r="1794" spans="2:3" x14ac:dyDescent="0.25">
      <c r="B1794" s="798" t="s">
        <v>2500</v>
      </c>
      <c r="C1794" s="782">
        <v>93411</v>
      </c>
    </row>
    <row r="1795" spans="2:3" x14ac:dyDescent="0.25">
      <c r="B1795" s="798" t="s">
        <v>1465</v>
      </c>
      <c r="C1795" s="782">
        <v>93413</v>
      </c>
    </row>
    <row r="1796" spans="2:3" x14ac:dyDescent="0.25">
      <c r="B1796" s="798" t="s">
        <v>2501</v>
      </c>
      <c r="C1796" s="782">
        <v>97451</v>
      </c>
    </row>
    <row r="1797" spans="2:3" x14ac:dyDescent="0.25">
      <c r="B1797" s="798" t="s">
        <v>2502</v>
      </c>
      <c r="C1797" s="782">
        <v>94631</v>
      </c>
    </row>
    <row r="1798" spans="2:3" x14ac:dyDescent="0.25">
      <c r="B1798" s="798" t="s">
        <v>2503</v>
      </c>
      <c r="C1798" s="782">
        <v>91171</v>
      </c>
    </row>
    <row r="1799" spans="2:3" x14ac:dyDescent="0.25">
      <c r="B1799" s="798" t="s">
        <v>1257</v>
      </c>
      <c r="C1799" s="782">
        <v>91104</v>
      </c>
    </row>
    <row r="1800" spans="2:3" x14ac:dyDescent="0.25">
      <c r="B1800" s="798" t="s">
        <v>3949</v>
      </c>
      <c r="C1800" s="782">
        <v>91109</v>
      </c>
    </row>
    <row r="1801" spans="2:3" x14ac:dyDescent="0.25">
      <c r="B1801" s="798" t="s">
        <v>2504</v>
      </c>
      <c r="C1801" s="782">
        <v>96621</v>
      </c>
    </row>
    <row r="1802" spans="2:3" x14ac:dyDescent="0.25">
      <c r="B1802" s="798" t="s">
        <v>2505</v>
      </c>
      <c r="C1802" s="782">
        <v>96511</v>
      </c>
    </row>
    <row r="1803" spans="2:3" x14ac:dyDescent="0.25">
      <c r="B1803" s="798" t="s">
        <v>2018</v>
      </c>
      <c r="C1803" s="782">
        <v>99901</v>
      </c>
    </row>
    <row r="1804" spans="2:3" x14ac:dyDescent="0.25">
      <c r="B1804" s="798" t="s">
        <v>3545</v>
      </c>
      <c r="C1804" s="782">
        <v>98604</v>
      </c>
    </row>
    <row r="1805" spans="2:3" x14ac:dyDescent="0.25">
      <c r="B1805" s="798" t="s">
        <v>1913</v>
      </c>
      <c r="C1805" s="782">
        <v>98608</v>
      </c>
    </row>
    <row r="1806" spans="2:3" x14ac:dyDescent="0.25">
      <c r="B1806" s="798" t="s">
        <v>2506</v>
      </c>
      <c r="C1806" s="782">
        <v>99911</v>
      </c>
    </row>
    <row r="1807" spans="2:3" x14ac:dyDescent="0.25">
      <c r="B1807" s="798" t="s">
        <v>1161</v>
      </c>
      <c r="C1807" s="782">
        <v>90001</v>
      </c>
    </row>
    <row r="1808" spans="2:3" x14ac:dyDescent="0.25">
      <c r="B1808" s="798" t="s">
        <v>3950</v>
      </c>
      <c r="C1808" s="782">
        <v>90002</v>
      </c>
    </row>
    <row r="1809" spans="2:3" x14ac:dyDescent="0.25">
      <c r="B1809" s="798" t="s">
        <v>2507</v>
      </c>
      <c r="C1809" s="782">
        <v>91719</v>
      </c>
    </row>
    <row r="1810" spans="2:3" x14ac:dyDescent="0.25">
      <c r="B1810" s="798" t="s">
        <v>2508</v>
      </c>
      <c r="C1810" s="782">
        <v>93541</v>
      </c>
    </row>
    <row r="1811" spans="2:3" x14ac:dyDescent="0.25">
      <c r="B1811" s="798" t="s">
        <v>2509</v>
      </c>
      <c r="C1811" s="782">
        <v>99241</v>
      </c>
    </row>
  </sheetData>
  <customSheetViews>
    <customSheetView guid="{D2B860EA-92EC-4999-9A59-C624E1F8C7FB}" fitToPage="1" state="hidden">
      <selection activeCell="B6" sqref="B6"/>
      <pageMargins left="0.7" right="0.7" top="0.75" bottom="0.75" header="0.3" footer="0.3"/>
      <pageSetup paperSize="5" scale="40" fitToHeight="0" orientation="landscape" r:id="rId1"/>
    </customSheetView>
    <customSheetView guid="{C1197650-3ED8-49E4-8E4C-0D1D4B503FC0}" fitToPage="1" state="hidden">
      <selection activeCell="B6" sqref="B6"/>
      <pageMargins left="0.7" right="0.7" top="0.75" bottom="0.75" header="0.3" footer="0.3"/>
      <pageSetup paperSize="5" scale="40" fitToHeight="0" orientation="landscape" r:id="rId2"/>
    </customSheetView>
  </customSheetViews>
  <pageMargins left="0.7" right="0.7" top="0.75" bottom="0.75" header="0.3" footer="0.3"/>
  <pageSetup paperSize="5" scale="40" fitToHeight="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813"/>
  <sheetViews>
    <sheetView workbookViewId="0"/>
  </sheetViews>
  <sheetFormatPr defaultColWidth="9.140625" defaultRowHeight="15" x14ac:dyDescent="0.25"/>
  <cols>
    <col min="1" max="1" width="10.5703125" style="774" customWidth="1"/>
    <col min="2" max="2" width="43.7109375" style="774" customWidth="1"/>
    <col min="3" max="4" width="13.85546875" style="774" customWidth="1"/>
    <col min="5" max="5" width="13.85546875" style="814" customWidth="1"/>
    <col min="6" max="6" width="15.42578125" style="799" bestFit="1" customWidth="1"/>
    <col min="7" max="7" width="18.28515625" style="774" customWidth="1"/>
    <col min="8" max="8" width="3.85546875" style="774" customWidth="1"/>
    <col min="9" max="9" width="18.28515625" style="774" customWidth="1"/>
    <col min="10" max="10" width="20" style="775" customWidth="1"/>
    <col min="11" max="11" width="14.42578125" style="774" customWidth="1"/>
    <col min="12" max="12" width="19.42578125" style="774" customWidth="1"/>
    <col min="13" max="13" width="3.85546875" style="774" customWidth="1"/>
    <col min="14" max="15" width="18.28515625" style="774" customWidth="1"/>
    <col min="16" max="16" width="11.85546875" style="774" customWidth="1"/>
    <col min="17" max="17" width="19.42578125" style="774" customWidth="1"/>
    <col min="18" max="18" width="3.85546875" style="774" customWidth="1"/>
    <col min="19" max="19" width="13.85546875" style="774" customWidth="1"/>
    <col min="20" max="20" width="22.42578125" style="774" customWidth="1"/>
    <col min="21" max="21" width="14.85546875" style="774" bestFit="1" customWidth="1"/>
    <col min="22" max="16384" width="9.140625" style="774"/>
  </cols>
  <sheetData>
    <row r="1" spans="1:21" x14ac:dyDescent="0.25">
      <c r="A1" s="774" t="s">
        <v>3657</v>
      </c>
      <c r="J1" s="774"/>
    </row>
    <row r="2" spans="1:21" x14ac:dyDescent="0.25">
      <c r="A2" s="774" t="s">
        <v>3658</v>
      </c>
      <c r="J2" s="774"/>
    </row>
    <row r="3" spans="1:21" x14ac:dyDescent="0.25">
      <c r="C3">
        <v>3</v>
      </c>
      <c r="D3">
        <v>4</v>
      </c>
      <c r="E3">
        <v>5</v>
      </c>
      <c r="F3">
        <v>6</v>
      </c>
      <c r="G3">
        <v>7</v>
      </c>
      <c r="H3">
        <v>8</v>
      </c>
      <c r="I3">
        <v>9</v>
      </c>
      <c r="J3">
        <v>10</v>
      </c>
      <c r="K3">
        <v>11</v>
      </c>
      <c r="L3">
        <v>12</v>
      </c>
      <c r="M3">
        <v>13</v>
      </c>
      <c r="N3">
        <v>14</v>
      </c>
      <c r="O3">
        <v>15</v>
      </c>
      <c r="P3">
        <v>16</v>
      </c>
      <c r="Q3">
        <v>17</v>
      </c>
      <c r="R3">
        <v>18</v>
      </c>
      <c r="S3">
        <v>19</v>
      </c>
      <c r="T3">
        <v>20</v>
      </c>
      <c r="U3">
        <v>21</v>
      </c>
    </row>
    <row r="4" spans="1:21" x14ac:dyDescent="0.25">
      <c r="I4" s="776" t="s">
        <v>1144</v>
      </c>
      <c r="J4" s="776"/>
      <c r="K4" s="776"/>
      <c r="L4" s="776"/>
      <c r="N4" s="776" t="s">
        <v>1145</v>
      </c>
      <c r="O4" s="776"/>
      <c r="P4" s="776"/>
      <c r="Q4" s="776"/>
      <c r="S4" s="776" t="s">
        <v>1146</v>
      </c>
      <c r="T4" s="776"/>
      <c r="U4" s="776"/>
    </row>
    <row r="5" spans="1:21" ht="120" x14ac:dyDescent="0.25">
      <c r="A5" s="778" t="s">
        <v>1147</v>
      </c>
      <c r="B5" s="778" t="s">
        <v>1148</v>
      </c>
      <c r="C5" s="778" t="s">
        <v>2087</v>
      </c>
      <c r="D5" s="778" t="s">
        <v>2088</v>
      </c>
      <c r="E5" s="815" t="s">
        <v>3951</v>
      </c>
      <c r="F5" s="644" t="s">
        <v>2626</v>
      </c>
      <c r="G5" s="644" t="s">
        <v>1149</v>
      </c>
      <c r="H5" s="778"/>
      <c r="I5" s="778" t="s">
        <v>1150</v>
      </c>
      <c r="J5" s="779" t="s">
        <v>1151</v>
      </c>
      <c r="K5" s="778" t="s">
        <v>1152</v>
      </c>
      <c r="L5" s="778" t="s">
        <v>1153</v>
      </c>
      <c r="M5" s="778"/>
      <c r="N5" s="778" t="s">
        <v>1150</v>
      </c>
      <c r="O5" s="563" t="s">
        <v>1151</v>
      </c>
      <c r="P5" s="778" t="s">
        <v>1152</v>
      </c>
      <c r="Q5" s="778" t="s">
        <v>1153</v>
      </c>
      <c r="R5" s="778"/>
      <c r="S5" s="778" t="s">
        <v>1154</v>
      </c>
      <c r="T5" s="778" t="s">
        <v>1155</v>
      </c>
      <c r="U5" s="778" t="s">
        <v>1156</v>
      </c>
    </row>
    <row r="6" spans="1:21" x14ac:dyDescent="0.25">
      <c r="A6" s="780" t="s">
        <v>822</v>
      </c>
      <c r="B6" s="781" t="s">
        <v>2086</v>
      </c>
      <c r="C6" s="778"/>
      <c r="D6" s="778"/>
      <c r="E6" s="815">
        <v>0</v>
      </c>
      <c r="F6" s="800"/>
      <c r="G6" s="778"/>
      <c r="H6" s="778"/>
      <c r="I6" s="778"/>
      <c r="J6" s="779"/>
      <c r="K6" s="778"/>
      <c r="L6" s="778"/>
      <c r="M6" s="778"/>
      <c r="N6" s="778"/>
      <c r="O6" s="778"/>
      <c r="P6" s="778"/>
      <c r="Q6" s="778"/>
      <c r="R6" s="778"/>
      <c r="S6" s="778"/>
      <c r="T6" s="778"/>
      <c r="U6" s="778"/>
    </row>
    <row r="7" spans="1:21" x14ac:dyDescent="0.25">
      <c r="A7" s="782">
        <v>70505</v>
      </c>
      <c r="B7" s="783" t="s">
        <v>2627</v>
      </c>
      <c r="C7" s="784">
        <v>4.147E-4</v>
      </c>
      <c r="D7" s="784">
        <v>4.6880000000000001E-4</v>
      </c>
      <c r="E7" s="815">
        <v>195765</v>
      </c>
      <c r="F7" s="818">
        <v>994951</v>
      </c>
      <c r="G7" s="785">
        <v>633547</v>
      </c>
      <c r="H7" s="785"/>
      <c r="I7" s="786">
        <v>36498</v>
      </c>
      <c r="J7" s="787">
        <v>153826</v>
      </c>
      <c r="K7" s="786">
        <v>90479</v>
      </c>
      <c r="L7" s="785">
        <v>0</v>
      </c>
      <c r="M7" s="785"/>
      <c r="N7" s="786">
        <v>17934</v>
      </c>
      <c r="O7" s="786">
        <v>0</v>
      </c>
      <c r="P7" s="786">
        <v>0</v>
      </c>
      <c r="Q7" s="785">
        <v>53472</v>
      </c>
      <c r="R7" s="785"/>
      <c r="S7" s="786">
        <v>213506</v>
      </c>
      <c r="T7" s="788">
        <v>-18259</v>
      </c>
      <c r="U7" s="788">
        <v>195247</v>
      </c>
    </row>
    <row r="8" spans="1:21" x14ac:dyDescent="0.25">
      <c r="A8" s="782">
        <v>72265</v>
      </c>
      <c r="B8" s="783" t="s">
        <v>2629</v>
      </c>
      <c r="C8" s="784">
        <v>1.4009999999999999E-4</v>
      </c>
      <c r="D8" s="784">
        <v>1.327E-4</v>
      </c>
      <c r="E8" s="815">
        <v>61817</v>
      </c>
      <c r="F8" s="818">
        <v>281634</v>
      </c>
      <c r="G8" s="785">
        <v>214034</v>
      </c>
      <c r="H8" s="785"/>
      <c r="I8" s="786">
        <v>12330</v>
      </c>
      <c r="J8" s="787">
        <v>51967</v>
      </c>
      <c r="K8" s="786">
        <v>30567</v>
      </c>
      <c r="L8" s="785">
        <v>6550</v>
      </c>
      <c r="M8" s="785"/>
      <c r="N8" s="786">
        <v>6059</v>
      </c>
      <c r="O8" s="786">
        <v>0</v>
      </c>
      <c r="P8" s="786">
        <v>0</v>
      </c>
      <c r="Q8" s="785">
        <v>3729</v>
      </c>
      <c r="R8" s="785"/>
      <c r="S8" s="786">
        <v>72130</v>
      </c>
      <c r="T8" s="788">
        <v>3031</v>
      </c>
      <c r="U8" s="788">
        <v>75161</v>
      </c>
    </row>
    <row r="9" spans="1:21" x14ac:dyDescent="0.25">
      <c r="A9" s="782">
        <v>72593</v>
      </c>
      <c r="B9" s="783" t="s">
        <v>3661</v>
      </c>
      <c r="C9" s="784">
        <v>5.9000000000000003E-6</v>
      </c>
      <c r="D9" s="784">
        <v>0</v>
      </c>
      <c r="E9" s="815">
        <v>1531</v>
      </c>
      <c r="F9" s="818">
        <v>0</v>
      </c>
      <c r="G9" s="785">
        <v>9014</v>
      </c>
      <c r="H9" s="785"/>
      <c r="I9" s="786">
        <v>519</v>
      </c>
      <c r="J9" s="787">
        <v>2188</v>
      </c>
      <c r="K9" s="786">
        <v>1287</v>
      </c>
      <c r="L9" s="785">
        <v>3014</v>
      </c>
      <c r="M9" s="785"/>
      <c r="N9" s="786">
        <v>255</v>
      </c>
      <c r="O9" s="786">
        <v>0</v>
      </c>
      <c r="P9" s="786">
        <v>0</v>
      </c>
      <c r="Q9" s="785">
        <v>0</v>
      </c>
      <c r="R9" s="785"/>
      <c r="S9" s="786">
        <v>3038</v>
      </c>
      <c r="T9" s="788">
        <v>753</v>
      </c>
      <c r="U9" s="788">
        <v>3791</v>
      </c>
    </row>
    <row r="10" spans="1:21" x14ac:dyDescent="0.25">
      <c r="A10" s="782">
        <v>72657</v>
      </c>
      <c r="B10" s="783" t="s">
        <v>2630</v>
      </c>
      <c r="C10" s="784">
        <v>3.9900000000000001E-5</v>
      </c>
      <c r="D10" s="784">
        <v>4.2799999999999997E-5</v>
      </c>
      <c r="E10" s="815">
        <v>16620</v>
      </c>
      <c r="F10" s="818">
        <v>90836</v>
      </c>
      <c r="G10" s="785">
        <v>60956</v>
      </c>
      <c r="H10" s="785"/>
      <c r="I10" s="786">
        <v>3512</v>
      </c>
      <c r="J10" s="787">
        <v>14801</v>
      </c>
      <c r="K10" s="786">
        <v>8705</v>
      </c>
      <c r="L10" s="785">
        <v>3272</v>
      </c>
      <c r="M10" s="785"/>
      <c r="N10" s="786">
        <v>1725</v>
      </c>
      <c r="O10" s="786">
        <v>0</v>
      </c>
      <c r="P10" s="786">
        <v>0</v>
      </c>
      <c r="Q10" s="785">
        <v>6366</v>
      </c>
      <c r="R10" s="785"/>
      <c r="S10" s="786">
        <v>20542</v>
      </c>
      <c r="T10" s="788">
        <v>900</v>
      </c>
      <c r="U10" s="788">
        <v>21442</v>
      </c>
    </row>
    <row r="11" spans="1:21" x14ac:dyDescent="0.25">
      <c r="A11" s="782">
        <v>90001</v>
      </c>
      <c r="B11" s="783" t="s">
        <v>2631</v>
      </c>
      <c r="C11" s="784">
        <v>8.6030000000000004E-4</v>
      </c>
      <c r="D11" s="784">
        <v>8.6910000000000004E-4</v>
      </c>
      <c r="E11" s="815">
        <v>386652</v>
      </c>
      <c r="F11" s="818">
        <v>1844521</v>
      </c>
      <c r="G11" s="785">
        <v>1314300</v>
      </c>
      <c r="H11" s="785"/>
      <c r="I11" s="786">
        <v>75716</v>
      </c>
      <c r="J11" s="787">
        <v>319114</v>
      </c>
      <c r="K11" s="786">
        <v>187700</v>
      </c>
      <c r="L11" s="785">
        <v>11972</v>
      </c>
      <c r="M11" s="785"/>
      <c r="N11" s="786">
        <v>37204</v>
      </c>
      <c r="O11" s="786">
        <v>0</v>
      </c>
      <c r="P11" s="786">
        <v>0</v>
      </c>
      <c r="Q11" s="785">
        <v>15474</v>
      </c>
      <c r="R11" s="785"/>
      <c r="S11" s="786">
        <v>442920</v>
      </c>
      <c r="T11" s="788">
        <v>891</v>
      </c>
      <c r="U11" s="788">
        <f>443812-1</f>
        <v>443811</v>
      </c>
    </row>
    <row r="12" spans="1:21" x14ac:dyDescent="0.25">
      <c r="A12" s="782">
        <v>90002</v>
      </c>
      <c r="B12" s="783" t="s">
        <v>2632</v>
      </c>
      <c r="C12" s="784">
        <v>1.06E-5</v>
      </c>
      <c r="D12" s="784">
        <v>1.15E-5</v>
      </c>
      <c r="E12" s="815">
        <v>6253</v>
      </c>
      <c r="F12" s="818">
        <v>24407</v>
      </c>
      <c r="G12" s="785">
        <v>16194</v>
      </c>
      <c r="H12" s="785"/>
      <c r="I12" s="786">
        <v>933</v>
      </c>
      <c r="J12" s="787">
        <v>3932</v>
      </c>
      <c r="K12" s="786">
        <v>2313</v>
      </c>
      <c r="L12" s="785">
        <v>1497</v>
      </c>
      <c r="M12" s="785"/>
      <c r="N12" s="786">
        <v>458</v>
      </c>
      <c r="O12" s="786">
        <v>0</v>
      </c>
      <c r="P12" s="786">
        <v>0</v>
      </c>
      <c r="Q12" s="785">
        <v>0</v>
      </c>
      <c r="R12" s="785"/>
      <c r="S12" s="786">
        <v>5457</v>
      </c>
      <c r="T12" s="788">
        <v>563</v>
      </c>
      <c r="U12" s="788">
        <v>6020</v>
      </c>
    </row>
    <row r="13" spans="1:21" x14ac:dyDescent="0.25">
      <c r="A13" s="782">
        <v>90011</v>
      </c>
      <c r="B13" s="783" t="s">
        <v>2633</v>
      </c>
      <c r="C13" s="784">
        <v>1.974E-4</v>
      </c>
      <c r="D13" s="784">
        <v>2.0819999999999999E-4</v>
      </c>
      <c r="E13" s="815">
        <v>84205</v>
      </c>
      <c r="F13" s="818">
        <v>441870</v>
      </c>
      <c r="G13" s="785">
        <v>301573</v>
      </c>
      <c r="H13" s="785"/>
      <c r="I13" s="786">
        <v>17373</v>
      </c>
      <c r="J13" s="787">
        <v>73222</v>
      </c>
      <c r="K13" s="786">
        <v>43069</v>
      </c>
      <c r="L13" s="785">
        <v>2300</v>
      </c>
      <c r="M13" s="785"/>
      <c r="N13" s="786">
        <v>8537</v>
      </c>
      <c r="O13" s="786">
        <v>0</v>
      </c>
      <c r="P13" s="786">
        <v>0</v>
      </c>
      <c r="Q13" s="785">
        <v>30094</v>
      </c>
      <c r="R13" s="785"/>
      <c r="S13" s="786">
        <v>101630</v>
      </c>
      <c r="T13" s="788">
        <v>-7615</v>
      </c>
      <c r="U13" s="788">
        <v>94015</v>
      </c>
    </row>
    <row r="14" spans="1:21" x14ac:dyDescent="0.25">
      <c r="A14" s="782">
        <v>90092</v>
      </c>
      <c r="B14" s="783" t="s">
        <v>2634</v>
      </c>
      <c r="C14" s="784">
        <v>3.5349999999999997E-4</v>
      </c>
      <c r="D14" s="784">
        <v>3.946E-4</v>
      </c>
      <c r="E14" s="815">
        <v>186641</v>
      </c>
      <c r="F14" s="818">
        <v>837473</v>
      </c>
      <c r="G14" s="785">
        <v>540050</v>
      </c>
      <c r="H14" s="785"/>
      <c r="I14" s="786">
        <v>31112</v>
      </c>
      <c r="J14" s="787">
        <v>131125</v>
      </c>
      <c r="K14" s="786">
        <v>77127</v>
      </c>
      <c r="L14" s="785">
        <v>0</v>
      </c>
      <c r="M14" s="785"/>
      <c r="N14" s="786">
        <v>15287</v>
      </c>
      <c r="O14" s="786">
        <v>0</v>
      </c>
      <c r="P14" s="786">
        <v>0</v>
      </c>
      <c r="Q14" s="785">
        <v>83168</v>
      </c>
      <c r="R14" s="785"/>
      <c r="S14" s="786">
        <v>181997</v>
      </c>
      <c r="T14" s="788">
        <v>-42793</v>
      </c>
      <c r="U14" s="788">
        <f>139205-1</f>
        <v>139204</v>
      </c>
    </row>
    <row r="15" spans="1:21" x14ac:dyDescent="0.25">
      <c r="A15" s="782">
        <v>90096</v>
      </c>
      <c r="B15" s="783" t="s">
        <v>2635</v>
      </c>
      <c r="C15" s="784">
        <v>9.7559999999999997E-4</v>
      </c>
      <c r="D15" s="784">
        <v>1.3860999999999999E-3</v>
      </c>
      <c r="E15" s="815">
        <v>535127</v>
      </c>
      <c r="F15" s="818">
        <v>2941769</v>
      </c>
      <c r="G15" s="785">
        <v>1490447</v>
      </c>
      <c r="H15" s="785"/>
      <c r="I15" s="786">
        <v>85864</v>
      </c>
      <c r="J15" s="787">
        <v>361882</v>
      </c>
      <c r="K15" s="786">
        <v>212856</v>
      </c>
      <c r="L15" s="785">
        <v>43597</v>
      </c>
      <c r="M15" s="785"/>
      <c r="N15" s="786">
        <v>42190</v>
      </c>
      <c r="O15" s="786">
        <v>0</v>
      </c>
      <c r="P15" s="786">
        <v>0</v>
      </c>
      <c r="Q15" s="785">
        <v>238564</v>
      </c>
      <c r="R15" s="785"/>
      <c r="S15" s="786">
        <v>502282</v>
      </c>
      <c r="T15" s="788">
        <v>-27538</v>
      </c>
      <c r="U15" s="788">
        <v>474744</v>
      </c>
    </row>
    <row r="16" spans="1:21" x14ac:dyDescent="0.25">
      <c r="A16" s="782">
        <v>90098</v>
      </c>
      <c r="B16" s="783" t="s">
        <v>2636</v>
      </c>
      <c r="C16" s="784">
        <v>2.9599999999999998E-4</v>
      </c>
      <c r="D16" s="784">
        <v>2.9280000000000002E-4</v>
      </c>
      <c r="E16" s="815">
        <v>140184</v>
      </c>
      <c r="F16" s="818">
        <v>621420</v>
      </c>
      <c r="G16" s="785">
        <v>452206</v>
      </c>
      <c r="H16" s="785"/>
      <c r="I16" s="786">
        <v>26051</v>
      </c>
      <c r="J16" s="787">
        <v>109796</v>
      </c>
      <c r="K16" s="786">
        <v>64581</v>
      </c>
      <c r="L16" s="785">
        <v>5581</v>
      </c>
      <c r="M16" s="785"/>
      <c r="N16" s="786">
        <v>12801</v>
      </c>
      <c r="O16" s="786">
        <v>0</v>
      </c>
      <c r="P16" s="786">
        <v>0</v>
      </c>
      <c r="Q16" s="785">
        <v>110893</v>
      </c>
      <c r="R16" s="785"/>
      <c r="S16" s="786">
        <v>152394</v>
      </c>
      <c r="T16" s="788">
        <v>-51374</v>
      </c>
      <c r="U16" s="788">
        <v>101020</v>
      </c>
    </row>
    <row r="17" spans="1:21" x14ac:dyDescent="0.25">
      <c r="A17" s="782">
        <v>90099</v>
      </c>
      <c r="B17" s="783" t="s">
        <v>2637</v>
      </c>
      <c r="C17" s="784">
        <v>6.6330000000000002E-4</v>
      </c>
      <c r="D17" s="784">
        <v>4.9330000000000001E-4</v>
      </c>
      <c r="E17" s="815">
        <v>271208</v>
      </c>
      <c r="F17" s="818">
        <v>1046948</v>
      </c>
      <c r="G17" s="785">
        <v>1013339</v>
      </c>
      <c r="H17" s="785"/>
      <c r="I17" s="786">
        <v>58378</v>
      </c>
      <c r="J17" s="787">
        <v>246040</v>
      </c>
      <c r="K17" s="786">
        <v>144719</v>
      </c>
      <c r="L17" s="785">
        <v>89744</v>
      </c>
      <c r="M17" s="785"/>
      <c r="N17" s="786">
        <v>28684</v>
      </c>
      <c r="O17" s="786">
        <v>0</v>
      </c>
      <c r="P17" s="786">
        <v>0</v>
      </c>
      <c r="Q17" s="785">
        <v>44006</v>
      </c>
      <c r="R17" s="785"/>
      <c r="S17" s="786">
        <v>341496</v>
      </c>
      <c r="T17" s="788">
        <v>7780</v>
      </c>
      <c r="U17" s="788">
        <v>349276</v>
      </c>
    </row>
    <row r="18" spans="1:21" x14ac:dyDescent="0.25">
      <c r="A18" s="782">
        <v>90101</v>
      </c>
      <c r="B18" s="783" t="s">
        <v>2638</v>
      </c>
      <c r="C18" s="784">
        <v>6.6312000000000003E-3</v>
      </c>
      <c r="D18" s="784">
        <v>6.3996000000000001E-3</v>
      </c>
      <c r="E18" s="815">
        <v>2960721</v>
      </c>
      <c r="F18" s="818">
        <v>13582095</v>
      </c>
      <c r="G18" s="785">
        <v>10130637</v>
      </c>
      <c r="H18" s="785"/>
      <c r="I18" s="786">
        <v>583619</v>
      </c>
      <c r="J18" s="787">
        <v>2459731</v>
      </c>
      <c r="K18" s="786">
        <v>1446795</v>
      </c>
      <c r="L18" s="785">
        <v>245836</v>
      </c>
      <c r="M18" s="785"/>
      <c r="N18" s="786">
        <v>286766</v>
      </c>
      <c r="O18" s="786">
        <v>0</v>
      </c>
      <c r="P18" s="786">
        <v>0</v>
      </c>
      <c r="Q18" s="785">
        <v>25616</v>
      </c>
      <c r="R18" s="785"/>
      <c r="S18" s="786">
        <v>3414034</v>
      </c>
      <c r="T18" s="788">
        <v>67895</v>
      </c>
      <c r="U18" s="788">
        <f>3481928+1</f>
        <v>3481929</v>
      </c>
    </row>
    <row r="19" spans="1:21" x14ac:dyDescent="0.25">
      <c r="A19" s="782">
        <v>90111</v>
      </c>
      <c r="B19" s="783" t="s">
        <v>2639</v>
      </c>
      <c r="C19" s="784">
        <v>4.9740000000000001E-3</v>
      </c>
      <c r="D19" s="784">
        <v>4.8874000000000001E-3</v>
      </c>
      <c r="E19" s="815">
        <v>2229766</v>
      </c>
      <c r="F19" s="818">
        <v>10372700</v>
      </c>
      <c r="G19" s="785">
        <v>7598894</v>
      </c>
      <c r="H19" s="785"/>
      <c r="I19" s="786">
        <v>437767</v>
      </c>
      <c r="J19" s="787">
        <v>1845021</v>
      </c>
      <c r="K19" s="786">
        <v>1085227</v>
      </c>
      <c r="L19" s="785">
        <v>15088</v>
      </c>
      <c r="M19" s="785"/>
      <c r="N19" s="786">
        <v>215101</v>
      </c>
      <c r="O19" s="786">
        <v>0</v>
      </c>
      <c r="P19" s="786">
        <v>0</v>
      </c>
      <c r="Q19" s="785">
        <v>106602</v>
      </c>
      <c r="R19" s="785"/>
      <c r="S19" s="786">
        <v>2560834</v>
      </c>
      <c r="T19" s="788">
        <v>-53609</v>
      </c>
      <c r="U19" s="788">
        <v>2507225</v>
      </c>
    </row>
    <row r="20" spans="1:21" x14ac:dyDescent="0.25">
      <c r="A20" s="782">
        <v>90114</v>
      </c>
      <c r="B20" s="783" t="s">
        <v>2640</v>
      </c>
      <c r="C20" s="784">
        <v>1.0919E-3</v>
      </c>
      <c r="D20" s="784">
        <v>1.0681E-3</v>
      </c>
      <c r="E20" s="815">
        <v>1108464</v>
      </c>
      <c r="F20" s="818">
        <v>2266866</v>
      </c>
      <c r="G20" s="785">
        <v>1668121</v>
      </c>
      <c r="H20" s="785"/>
      <c r="I20" s="786">
        <v>96099</v>
      </c>
      <c r="J20" s="787">
        <v>405022</v>
      </c>
      <c r="K20" s="786">
        <v>238231</v>
      </c>
      <c r="L20" s="785">
        <v>1077044</v>
      </c>
      <c r="M20" s="785"/>
      <c r="N20" s="786">
        <v>47219</v>
      </c>
      <c r="O20" s="786">
        <v>0</v>
      </c>
      <c r="P20" s="786">
        <v>0</v>
      </c>
      <c r="Q20" s="785">
        <v>0</v>
      </c>
      <c r="R20" s="785"/>
      <c r="S20" s="786">
        <v>562158</v>
      </c>
      <c r="T20" s="788">
        <v>371192</v>
      </c>
      <c r="U20" s="788">
        <v>933350</v>
      </c>
    </row>
    <row r="21" spans="1:21" x14ac:dyDescent="0.25">
      <c r="A21" s="782">
        <v>90117</v>
      </c>
      <c r="B21" s="783" t="s">
        <v>2641</v>
      </c>
      <c r="C21" s="784">
        <v>1.407E-4</v>
      </c>
      <c r="D21" s="784">
        <v>1.35E-4</v>
      </c>
      <c r="E21" s="815">
        <v>80147</v>
      </c>
      <c r="F21" s="818">
        <v>286515</v>
      </c>
      <c r="G21" s="785">
        <v>214951</v>
      </c>
      <c r="H21" s="785"/>
      <c r="I21" s="786">
        <v>12383</v>
      </c>
      <c r="J21" s="787">
        <v>52190</v>
      </c>
      <c r="K21" s="786">
        <v>30698</v>
      </c>
      <c r="L21" s="785">
        <v>44526</v>
      </c>
      <c r="M21" s="785"/>
      <c r="N21" s="786">
        <v>6085</v>
      </c>
      <c r="O21" s="786">
        <v>0</v>
      </c>
      <c r="P21" s="786">
        <v>0</v>
      </c>
      <c r="Q21" s="785">
        <v>0</v>
      </c>
      <c r="R21" s="785"/>
      <c r="S21" s="786">
        <v>72439</v>
      </c>
      <c r="T21" s="788">
        <v>18359</v>
      </c>
      <c r="U21" s="788">
        <f>90797+1</f>
        <v>90798</v>
      </c>
    </row>
    <row r="22" spans="1:21" x14ac:dyDescent="0.25">
      <c r="A22" s="782">
        <v>90121</v>
      </c>
      <c r="B22" s="783" t="s">
        <v>2642</v>
      </c>
      <c r="C22" s="784">
        <v>1.0991E-3</v>
      </c>
      <c r="D22" s="784">
        <v>1.0789E-3</v>
      </c>
      <c r="E22" s="815">
        <v>452142</v>
      </c>
      <c r="F22" s="818">
        <v>2289787</v>
      </c>
      <c r="G22" s="785">
        <v>1679120</v>
      </c>
      <c r="H22" s="785"/>
      <c r="I22" s="786">
        <v>96733</v>
      </c>
      <c r="J22" s="787">
        <v>407692</v>
      </c>
      <c r="K22" s="786">
        <v>239802</v>
      </c>
      <c r="L22" s="785">
        <v>3244</v>
      </c>
      <c r="M22" s="785"/>
      <c r="N22" s="786">
        <v>47531</v>
      </c>
      <c r="O22" s="786">
        <v>0</v>
      </c>
      <c r="P22" s="786">
        <v>0</v>
      </c>
      <c r="Q22" s="785">
        <v>81552</v>
      </c>
      <c r="R22" s="785"/>
      <c r="S22" s="786">
        <v>565865</v>
      </c>
      <c r="T22" s="788">
        <v>-25049</v>
      </c>
      <c r="U22" s="788">
        <v>540816</v>
      </c>
    </row>
    <row r="23" spans="1:21" x14ac:dyDescent="0.25">
      <c r="A23" s="782">
        <v>90131</v>
      </c>
      <c r="B23" s="783" t="s">
        <v>2643</v>
      </c>
      <c r="C23" s="784">
        <v>4.7639999999999998E-4</v>
      </c>
      <c r="D23" s="784">
        <v>5.0440000000000001E-4</v>
      </c>
      <c r="E23" s="815">
        <v>207243</v>
      </c>
      <c r="F23" s="818">
        <v>1070506</v>
      </c>
      <c r="G23" s="785">
        <v>727807</v>
      </c>
      <c r="H23" s="785"/>
      <c r="I23" s="786">
        <v>41928</v>
      </c>
      <c r="J23" s="787">
        <v>176712</v>
      </c>
      <c r="K23" s="786">
        <v>103941</v>
      </c>
      <c r="L23" s="785">
        <v>0</v>
      </c>
      <c r="M23" s="785"/>
      <c r="N23" s="786">
        <v>20602</v>
      </c>
      <c r="O23" s="786">
        <v>0</v>
      </c>
      <c r="P23" s="786">
        <v>0</v>
      </c>
      <c r="Q23" s="785">
        <v>42066</v>
      </c>
      <c r="R23" s="785"/>
      <c r="S23" s="786">
        <v>245272</v>
      </c>
      <c r="T23" s="788">
        <v>-15937</v>
      </c>
      <c r="U23" s="788">
        <v>229335</v>
      </c>
    </row>
    <row r="24" spans="1:21" x14ac:dyDescent="0.25">
      <c r="A24" s="782">
        <v>90141</v>
      </c>
      <c r="B24" s="783" t="s">
        <v>2644</v>
      </c>
      <c r="C24" s="784">
        <v>1.4779999999999999E-4</v>
      </c>
      <c r="D24" s="784">
        <v>1.306E-4</v>
      </c>
      <c r="E24" s="815">
        <v>62655</v>
      </c>
      <c r="F24" s="818">
        <v>277177</v>
      </c>
      <c r="G24" s="785">
        <v>225797</v>
      </c>
      <c r="H24" s="785"/>
      <c r="I24" s="786">
        <v>13008</v>
      </c>
      <c r="J24" s="787">
        <v>54824</v>
      </c>
      <c r="K24" s="786">
        <v>32247</v>
      </c>
      <c r="L24" s="785">
        <v>8660</v>
      </c>
      <c r="M24" s="785"/>
      <c r="N24" s="786">
        <v>6392</v>
      </c>
      <c r="O24" s="786">
        <v>0</v>
      </c>
      <c r="P24" s="786">
        <v>0</v>
      </c>
      <c r="Q24" s="785">
        <v>10174</v>
      </c>
      <c r="R24" s="785"/>
      <c r="S24" s="786">
        <v>76094</v>
      </c>
      <c r="T24" s="788">
        <v>-857</v>
      </c>
      <c r="U24" s="788">
        <v>75237</v>
      </c>
    </row>
    <row r="25" spans="1:21" x14ac:dyDescent="0.25">
      <c r="A25" s="782">
        <v>90151</v>
      </c>
      <c r="B25" s="783" t="s">
        <v>2645</v>
      </c>
      <c r="C25" s="784">
        <v>9.9000000000000001E-6</v>
      </c>
      <c r="D25" s="784">
        <v>1.0000000000000001E-5</v>
      </c>
      <c r="E25" s="815">
        <v>3085</v>
      </c>
      <c r="F25" s="818">
        <v>21223</v>
      </c>
      <c r="G25" s="785">
        <v>15124</v>
      </c>
      <c r="H25" s="785"/>
      <c r="I25" s="786">
        <v>871</v>
      </c>
      <c r="J25" s="787">
        <v>3672</v>
      </c>
      <c r="K25" s="786">
        <v>2160</v>
      </c>
      <c r="L25" s="785">
        <v>0</v>
      </c>
      <c r="M25" s="785"/>
      <c r="N25" s="786">
        <v>428</v>
      </c>
      <c r="O25" s="786">
        <v>0</v>
      </c>
      <c r="P25" s="786">
        <v>0</v>
      </c>
      <c r="Q25" s="785">
        <v>2719</v>
      </c>
      <c r="R25" s="785"/>
      <c r="S25" s="786">
        <v>5097</v>
      </c>
      <c r="T25" s="788">
        <v>-1090</v>
      </c>
      <c r="U25" s="788">
        <v>4007</v>
      </c>
    </row>
    <row r="26" spans="1:21" x14ac:dyDescent="0.25">
      <c r="A26" s="782">
        <v>90161</v>
      </c>
      <c r="B26" s="783" t="s">
        <v>2646</v>
      </c>
      <c r="C26" s="784">
        <v>3.4199999999999998E-5</v>
      </c>
      <c r="D26" s="784">
        <v>3.4799999999999999E-5</v>
      </c>
      <c r="E26" s="815">
        <v>15627</v>
      </c>
      <c r="F26" s="818">
        <v>73857</v>
      </c>
      <c r="G26" s="785">
        <v>52248</v>
      </c>
      <c r="H26" s="785"/>
      <c r="I26" s="786">
        <v>3010</v>
      </c>
      <c r="J26" s="787">
        <v>12686</v>
      </c>
      <c r="K26" s="786">
        <v>7462</v>
      </c>
      <c r="L26" s="785">
        <v>4022</v>
      </c>
      <c r="M26" s="785"/>
      <c r="N26" s="786">
        <v>1479</v>
      </c>
      <c r="O26" s="786">
        <v>0</v>
      </c>
      <c r="P26" s="786">
        <v>0</v>
      </c>
      <c r="Q26" s="785">
        <v>462</v>
      </c>
      <c r="R26" s="785"/>
      <c r="S26" s="786">
        <v>17608</v>
      </c>
      <c r="T26" s="788">
        <v>1591</v>
      </c>
      <c r="U26" s="788">
        <v>19199</v>
      </c>
    </row>
    <row r="27" spans="1:21" x14ac:dyDescent="0.25">
      <c r="A27" s="782">
        <v>90201</v>
      </c>
      <c r="B27" s="783" t="s">
        <v>2647</v>
      </c>
      <c r="C27" s="784">
        <v>1.2126999999999999E-3</v>
      </c>
      <c r="D27" s="784">
        <v>1.2419E-3</v>
      </c>
      <c r="E27" s="815">
        <v>536124</v>
      </c>
      <c r="F27" s="818">
        <v>2635728</v>
      </c>
      <c r="G27" s="785">
        <v>1852670</v>
      </c>
      <c r="H27" s="785"/>
      <c r="I27" s="786">
        <v>106731</v>
      </c>
      <c r="J27" s="787">
        <v>449830</v>
      </c>
      <c r="K27" s="786">
        <v>264587</v>
      </c>
      <c r="L27" s="785">
        <v>36621</v>
      </c>
      <c r="M27" s="785"/>
      <c r="N27" s="786">
        <v>52443</v>
      </c>
      <c r="O27" s="786">
        <v>0</v>
      </c>
      <c r="P27" s="786">
        <v>0</v>
      </c>
      <c r="Q27" s="785">
        <v>36396</v>
      </c>
      <c r="R27" s="785"/>
      <c r="S27" s="786">
        <v>624351</v>
      </c>
      <c r="T27" s="788">
        <v>24941</v>
      </c>
      <c r="U27" s="788">
        <v>649292</v>
      </c>
    </row>
    <row r="28" spans="1:21" x14ac:dyDescent="0.25">
      <c r="A28" s="782">
        <v>90203</v>
      </c>
      <c r="B28" s="783" t="s">
        <v>2648</v>
      </c>
      <c r="C28" s="784">
        <v>1.994E-4</v>
      </c>
      <c r="D28" s="784">
        <v>2.3680000000000001E-4</v>
      </c>
      <c r="E28" s="815">
        <v>91056</v>
      </c>
      <c r="F28" s="818">
        <v>502569</v>
      </c>
      <c r="G28" s="785">
        <v>304628</v>
      </c>
      <c r="H28" s="785"/>
      <c r="I28" s="786">
        <v>17549</v>
      </c>
      <c r="J28" s="787">
        <v>73964</v>
      </c>
      <c r="K28" s="786">
        <v>43505</v>
      </c>
      <c r="L28" s="785">
        <v>2154</v>
      </c>
      <c r="M28" s="785"/>
      <c r="N28" s="786">
        <v>8623</v>
      </c>
      <c r="O28" s="786">
        <v>0</v>
      </c>
      <c r="P28" s="786">
        <v>0</v>
      </c>
      <c r="Q28" s="785">
        <v>49077</v>
      </c>
      <c r="R28" s="785"/>
      <c r="S28" s="786">
        <v>102660</v>
      </c>
      <c r="T28" s="788">
        <v>-18026</v>
      </c>
      <c r="U28" s="788">
        <v>84634</v>
      </c>
    </row>
    <row r="29" spans="1:21" x14ac:dyDescent="0.25">
      <c r="A29" s="782">
        <v>90205</v>
      </c>
      <c r="B29" s="783" t="s">
        <v>2649</v>
      </c>
      <c r="C29" s="784">
        <v>3.0000000000000001E-5</v>
      </c>
      <c r="D29" s="784">
        <v>3.3599999999999997E-5</v>
      </c>
      <c r="E29" s="815">
        <v>14233</v>
      </c>
      <c r="F29" s="818">
        <v>71310</v>
      </c>
      <c r="G29" s="785">
        <v>45832</v>
      </c>
      <c r="H29" s="785"/>
      <c r="I29" s="786">
        <v>2640</v>
      </c>
      <c r="J29" s="787">
        <v>11128</v>
      </c>
      <c r="K29" s="786">
        <v>6545</v>
      </c>
      <c r="L29" s="785">
        <v>769</v>
      </c>
      <c r="M29" s="785"/>
      <c r="N29" s="786">
        <v>1297</v>
      </c>
      <c r="O29" s="786">
        <v>0</v>
      </c>
      <c r="P29" s="786">
        <v>0</v>
      </c>
      <c r="Q29" s="785">
        <v>2625</v>
      </c>
      <c r="R29" s="785"/>
      <c r="S29" s="786">
        <v>15445</v>
      </c>
      <c r="T29" s="788">
        <v>-105</v>
      </c>
      <c r="U29" s="788">
        <v>15340</v>
      </c>
    </row>
    <row r="30" spans="1:21" x14ac:dyDescent="0.25">
      <c r="A30" s="782">
        <v>90206</v>
      </c>
      <c r="B30" s="783" t="s">
        <v>2650</v>
      </c>
      <c r="C30" s="784">
        <v>4.2069999999999998E-4</v>
      </c>
      <c r="D30" s="784">
        <v>4.347E-4</v>
      </c>
      <c r="E30" s="815">
        <v>184249</v>
      </c>
      <c r="F30" s="818">
        <v>922579</v>
      </c>
      <c r="G30" s="785">
        <v>642713</v>
      </c>
      <c r="H30" s="785"/>
      <c r="I30" s="786">
        <v>37026</v>
      </c>
      <c r="J30" s="787">
        <v>156051</v>
      </c>
      <c r="K30" s="786">
        <v>91788</v>
      </c>
      <c r="L30" s="785">
        <v>8978</v>
      </c>
      <c r="M30" s="785"/>
      <c r="N30" s="786">
        <v>18193</v>
      </c>
      <c r="O30" s="786">
        <v>0</v>
      </c>
      <c r="P30" s="786">
        <v>0</v>
      </c>
      <c r="Q30" s="785">
        <v>25382</v>
      </c>
      <c r="R30" s="785"/>
      <c r="S30" s="786">
        <v>216595</v>
      </c>
      <c r="T30" s="788">
        <v>1315</v>
      </c>
      <c r="U30" s="788">
        <v>217910</v>
      </c>
    </row>
    <row r="31" spans="1:21" x14ac:dyDescent="0.25">
      <c r="A31" s="782">
        <v>90211</v>
      </c>
      <c r="B31" s="783" t="s">
        <v>2651</v>
      </c>
      <c r="C31" s="784">
        <v>1.4799999999999999E-4</v>
      </c>
      <c r="D31" s="784">
        <v>1.5689999999999999E-4</v>
      </c>
      <c r="E31" s="815">
        <v>71260</v>
      </c>
      <c r="F31" s="818">
        <v>332994</v>
      </c>
      <c r="G31" s="785">
        <v>226103</v>
      </c>
      <c r="H31" s="785"/>
      <c r="I31" s="786">
        <v>13026</v>
      </c>
      <c r="J31" s="787">
        <v>54898</v>
      </c>
      <c r="K31" s="786">
        <v>32291</v>
      </c>
      <c r="L31" s="785">
        <v>0</v>
      </c>
      <c r="M31" s="785"/>
      <c r="N31" s="786">
        <v>6400</v>
      </c>
      <c r="O31" s="786">
        <v>0</v>
      </c>
      <c r="P31" s="786">
        <v>0</v>
      </c>
      <c r="Q31" s="785">
        <v>15344</v>
      </c>
      <c r="R31" s="785"/>
      <c r="S31" s="786">
        <v>76197</v>
      </c>
      <c r="T31" s="788">
        <v>-6134</v>
      </c>
      <c r="U31" s="788">
        <v>70063</v>
      </c>
    </row>
    <row r="32" spans="1:21" x14ac:dyDescent="0.25">
      <c r="A32" s="782">
        <v>90301</v>
      </c>
      <c r="B32" s="783" t="s">
        <v>2652</v>
      </c>
      <c r="C32" s="784">
        <v>6.7040000000000003E-4</v>
      </c>
      <c r="D32" s="784">
        <v>6.4000000000000005E-4</v>
      </c>
      <c r="E32" s="815">
        <v>280575</v>
      </c>
      <c r="F32" s="818">
        <v>1358294</v>
      </c>
      <c r="G32" s="785">
        <v>1024185</v>
      </c>
      <c r="H32" s="785"/>
      <c r="I32" s="786">
        <v>59003</v>
      </c>
      <c r="J32" s="787">
        <v>248673</v>
      </c>
      <c r="K32" s="786">
        <v>146268</v>
      </c>
      <c r="L32" s="785">
        <v>4314</v>
      </c>
      <c r="M32" s="785"/>
      <c r="N32" s="786">
        <v>28991</v>
      </c>
      <c r="O32" s="786">
        <v>0</v>
      </c>
      <c r="P32" s="786">
        <v>0</v>
      </c>
      <c r="Q32" s="785">
        <v>13341</v>
      </c>
      <c r="R32" s="785"/>
      <c r="S32" s="786">
        <v>345151</v>
      </c>
      <c r="T32" s="788">
        <v>-5567</v>
      </c>
      <c r="U32" s="788">
        <v>339584</v>
      </c>
    </row>
    <row r="33" spans="1:21" x14ac:dyDescent="0.25">
      <c r="A33" s="782">
        <v>90305</v>
      </c>
      <c r="B33" s="783" t="s">
        <v>2653</v>
      </c>
      <c r="C33" s="784">
        <v>1.617E-4</v>
      </c>
      <c r="D33" s="784">
        <v>1.7009999999999999E-4</v>
      </c>
      <c r="E33" s="815">
        <v>85892</v>
      </c>
      <c r="F33" s="818">
        <v>361009</v>
      </c>
      <c r="G33" s="785">
        <v>247033</v>
      </c>
      <c r="H33" s="785"/>
      <c r="I33" s="786">
        <v>14231</v>
      </c>
      <c r="J33" s="787">
        <v>59980</v>
      </c>
      <c r="K33" s="786">
        <v>35280</v>
      </c>
      <c r="L33" s="785">
        <v>20715</v>
      </c>
      <c r="M33" s="785"/>
      <c r="N33" s="786">
        <v>6993</v>
      </c>
      <c r="O33" s="786">
        <v>0</v>
      </c>
      <c r="P33" s="786">
        <v>0</v>
      </c>
      <c r="Q33" s="785">
        <v>0</v>
      </c>
      <c r="R33" s="785"/>
      <c r="S33" s="786">
        <v>83250</v>
      </c>
      <c r="T33" s="788">
        <v>10025</v>
      </c>
      <c r="U33" s="788">
        <v>93275</v>
      </c>
    </row>
    <row r="34" spans="1:21" x14ac:dyDescent="0.25">
      <c r="A34" s="782">
        <v>90307</v>
      </c>
      <c r="B34" s="783" t="s">
        <v>2654</v>
      </c>
      <c r="C34" s="784">
        <v>7.7999999999999999E-6</v>
      </c>
      <c r="D34" s="784">
        <v>7.7000000000000008E-6</v>
      </c>
      <c r="E34" s="815">
        <v>4130</v>
      </c>
      <c r="F34" s="818">
        <v>16342</v>
      </c>
      <c r="G34" s="785">
        <v>11916</v>
      </c>
      <c r="H34" s="785"/>
      <c r="I34" s="786">
        <v>686</v>
      </c>
      <c r="J34" s="787">
        <v>2893</v>
      </c>
      <c r="K34" s="786">
        <v>1702</v>
      </c>
      <c r="L34" s="785">
        <v>647</v>
      </c>
      <c r="M34" s="785"/>
      <c r="N34" s="786">
        <v>337</v>
      </c>
      <c r="O34" s="786">
        <v>0</v>
      </c>
      <c r="P34" s="786">
        <v>0</v>
      </c>
      <c r="Q34" s="785">
        <v>40</v>
      </c>
      <c r="R34" s="785"/>
      <c r="S34" s="786">
        <v>4016</v>
      </c>
      <c r="T34" s="788">
        <v>160</v>
      </c>
      <c r="U34" s="788">
        <v>4176</v>
      </c>
    </row>
    <row r="35" spans="1:21" x14ac:dyDescent="0.25">
      <c r="A35" s="782">
        <v>90401</v>
      </c>
      <c r="B35" s="783" t="s">
        <v>2655</v>
      </c>
      <c r="C35" s="784">
        <v>1.3270999999999999E-3</v>
      </c>
      <c r="D35" s="784">
        <v>1.3626999999999999E-3</v>
      </c>
      <c r="E35" s="815">
        <v>624955</v>
      </c>
      <c r="F35" s="818">
        <v>2892106</v>
      </c>
      <c r="G35" s="785">
        <v>2027441</v>
      </c>
      <c r="H35" s="785"/>
      <c r="I35" s="786">
        <v>116799</v>
      </c>
      <c r="J35" s="787">
        <v>492266</v>
      </c>
      <c r="K35" s="786">
        <v>289547</v>
      </c>
      <c r="L35" s="785">
        <v>44019</v>
      </c>
      <c r="M35" s="785"/>
      <c r="N35" s="786">
        <v>57390</v>
      </c>
      <c r="O35" s="786">
        <v>0</v>
      </c>
      <c r="P35" s="786">
        <v>0</v>
      </c>
      <c r="Q35" s="785">
        <v>11305</v>
      </c>
      <c r="R35" s="785"/>
      <c r="S35" s="786">
        <v>683249</v>
      </c>
      <c r="T35" s="788">
        <v>23981</v>
      </c>
      <c r="U35" s="788">
        <v>707230</v>
      </c>
    </row>
    <row r="36" spans="1:21" x14ac:dyDescent="0.25">
      <c r="A36" s="782">
        <v>90411</v>
      </c>
      <c r="B36" s="783" t="s">
        <v>2656</v>
      </c>
      <c r="C36" s="784">
        <v>3.5100000000000002E-4</v>
      </c>
      <c r="D36" s="784">
        <v>3.5490000000000001E-4</v>
      </c>
      <c r="E36" s="815">
        <v>152317</v>
      </c>
      <c r="F36" s="818">
        <v>753217</v>
      </c>
      <c r="G36" s="785">
        <v>536231</v>
      </c>
      <c r="H36" s="785"/>
      <c r="I36" s="786">
        <v>30892</v>
      </c>
      <c r="J36" s="787">
        <v>130197</v>
      </c>
      <c r="K36" s="786">
        <v>76581</v>
      </c>
      <c r="L36" s="785">
        <v>0</v>
      </c>
      <c r="M36" s="785"/>
      <c r="N36" s="786">
        <v>15179</v>
      </c>
      <c r="O36" s="786">
        <v>0</v>
      </c>
      <c r="P36" s="786">
        <v>0</v>
      </c>
      <c r="Q36" s="785">
        <v>41985</v>
      </c>
      <c r="R36" s="785"/>
      <c r="S36" s="786">
        <v>180710</v>
      </c>
      <c r="T36" s="788">
        <v>-15971</v>
      </c>
      <c r="U36" s="788">
        <v>164739</v>
      </c>
    </row>
    <row r="37" spans="1:21" x14ac:dyDescent="0.25">
      <c r="A37" s="782">
        <v>90413</v>
      </c>
      <c r="B37" s="783" t="s">
        <v>2657</v>
      </c>
      <c r="C37" s="784">
        <v>3.4600000000000001E-5</v>
      </c>
      <c r="D37" s="784">
        <v>3.7299999999999999E-5</v>
      </c>
      <c r="E37" s="815">
        <v>17002</v>
      </c>
      <c r="F37" s="818">
        <v>79163</v>
      </c>
      <c r="G37" s="785">
        <v>52859</v>
      </c>
      <c r="H37" s="785"/>
      <c r="I37" s="786">
        <v>3045</v>
      </c>
      <c r="J37" s="787">
        <v>12834</v>
      </c>
      <c r="K37" s="786">
        <v>7549</v>
      </c>
      <c r="L37" s="785">
        <v>5923</v>
      </c>
      <c r="M37" s="785"/>
      <c r="N37" s="786">
        <v>1496</v>
      </c>
      <c r="O37" s="786">
        <v>0</v>
      </c>
      <c r="P37" s="786">
        <v>0</v>
      </c>
      <c r="Q37" s="785">
        <v>916</v>
      </c>
      <c r="R37" s="785"/>
      <c r="S37" s="786">
        <v>17814</v>
      </c>
      <c r="T37" s="788">
        <v>3416</v>
      </c>
      <c r="U37" s="788">
        <v>21230</v>
      </c>
    </row>
    <row r="38" spans="1:21" x14ac:dyDescent="0.25">
      <c r="A38" s="782">
        <v>90417</v>
      </c>
      <c r="B38" s="783" t="s">
        <v>2658</v>
      </c>
      <c r="C38" s="784">
        <v>1.17E-5</v>
      </c>
      <c r="D38" s="784">
        <v>1.2099999999999999E-5</v>
      </c>
      <c r="E38" s="815">
        <v>8372</v>
      </c>
      <c r="F38" s="818">
        <v>25680</v>
      </c>
      <c r="G38" s="785">
        <v>17874</v>
      </c>
      <c r="H38" s="785"/>
      <c r="I38" s="786">
        <v>1030</v>
      </c>
      <c r="J38" s="787">
        <v>4340</v>
      </c>
      <c r="K38" s="786">
        <v>2553</v>
      </c>
      <c r="L38" s="785">
        <v>3477</v>
      </c>
      <c r="M38" s="785"/>
      <c r="N38" s="786">
        <v>506</v>
      </c>
      <c r="O38" s="786">
        <v>0</v>
      </c>
      <c r="P38" s="786">
        <v>0</v>
      </c>
      <c r="Q38" s="785">
        <v>0</v>
      </c>
      <c r="R38" s="785"/>
      <c r="S38" s="786">
        <v>6024</v>
      </c>
      <c r="T38" s="788">
        <v>1221</v>
      </c>
      <c r="U38" s="788">
        <f>7244+1</f>
        <v>7245</v>
      </c>
    </row>
    <row r="39" spans="1:21" x14ac:dyDescent="0.25">
      <c r="A39" s="782">
        <v>90421</v>
      </c>
      <c r="B39" s="783" t="s">
        <v>2659</v>
      </c>
      <c r="C39" s="784">
        <v>2.19E-5</v>
      </c>
      <c r="D39" s="784">
        <v>2.3600000000000001E-5</v>
      </c>
      <c r="E39" s="815">
        <v>8534</v>
      </c>
      <c r="F39" s="818">
        <v>50087</v>
      </c>
      <c r="G39" s="785">
        <v>33457</v>
      </c>
      <c r="H39" s="785"/>
      <c r="I39" s="786">
        <v>1927</v>
      </c>
      <c r="J39" s="787">
        <v>8123</v>
      </c>
      <c r="K39" s="786">
        <v>4778</v>
      </c>
      <c r="L39" s="785">
        <v>0</v>
      </c>
      <c r="M39" s="785"/>
      <c r="N39" s="786">
        <v>947</v>
      </c>
      <c r="O39" s="786">
        <v>0</v>
      </c>
      <c r="P39" s="786">
        <v>0</v>
      </c>
      <c r="Q39" s="785">
        <v>4721</v>
      </c>
      <c r="R39" s="785"/>
      <c r="S39" s="786">
        <v>11275</v>
      </c>
      <c r="T39" s="788">
        <v>-1814</v>
      </c>
      <c r="U39" s="788">
        <v>9461</v>
      </c>
    </row>
    <row r="40" spans="1:21" x14ac:dyDescent="0.25">
      <c r="A40" s="782">
        <v>90431</v>
      </c>
      <c r="B40" s="783" t="s">
        <v>2660</v>
      </c>
      <c r="C40" s="784">
        <v>4.8300000000000002E-5</v>
      </c>
      <c r="D40" s="784">
        <v>4.2799999999999997E-5</v>
      </c>
      <c r="E40" s="815">
        <v>21844</v>
      </c>
      <c r="F40" s="818">
        <v>90836</v>
      </c>
      <c r="G40" s="785">
        <v>73789</v>
      </c>
      <c r="H40" s="785"/>
      <c r="I40" s="786">
        <v>4251</v>
      </c>
      <c r="J40" s="787">
        <v>17916</v>
      </c>
      <c r="K40" s="786">
        <v>10538</v>
      </c>
      <c r="L40" s="785">
        <v>8663</v>
      </c>
      <c r="M40" s="785"/>
      <c r="N40" s="786">
        <v>2089</v>
      </c>
      <c r="O40" s="786">
        <v>0</v>
      </c>
      <c r="P40" s="786">
        <v>0</v>
      </c>
      <c r="Q40" s="785">
        <v>1273</v>
      </c>
      <c r="R40" s="785"/>
      <c r="S40" s="786">
        <v>24867</v>
      </c>
      <c r="T40" s="788">
        <v>3649</v>
      </c>
      <c r="U40" s="788">
        <v>28516</v>
      </c>
    </row>
    <row r="41" spans="1:21" x14ac:dyDescent="0.25">
      <c r="A41" s="782">
        <v>90441</v>
      </c>
      <c r="B41" s="783" t="s">
        <v>2661</v>
      </c>
      <c r="C41" s="784">
        <v>8.3999999999999992E-6</v>
      </c>
      <c r="D41" s="784">
        <v>9.3999999999999998E-6</v>
      </c>
      <c r="E41" s="815">
        <v>4910</v>
      </c>
      <c r="F41" s="818">
        <v>19950</v>
      </c>
      <c r="G41" s="785">
        <v>12833</v>
      </c>
      <c r="H41" s="785"/>
      <c r="I41" s="786">
        <v>739</v>
      </c>
      <c r="J41" s="787">
        <v>3115</v>
      </c>
      <c r="K41" s="786">
        <v>1833</v>
      </c>
      <c r="L41" s="785">
        <v>890</v>
      </c>
      <c r="M41" s="785"/>
      <c r="N41" s="786">
        <v>363</v>
      </c>
      <c r="O41" s="786">
        <v>0</v>
      </c>
      <c r="P41" s="786">
        <v>0</v>
      </c>
      <c r="Q41" s="785">
        <v>129</v>
      </c>
      <c r="R41" s="785"/>
      <c r="S41" s="786">
        <v>4325</v>
      </c>
      <c r="T41" s="788">
        <v>621</v>
      </c>
      <c r="U41" s="788">
        <v>4946</v>
      </c>
    </row>
    <row r="42" spans="1:21" x14ac:dyDescent="0.25">
      <c r="A42" s="782">
        <v>90451</v>
      </c>
      <c r="B42" s="783" t="s">
        <v>2662</v>
      </c>
      <c r="C42" s="784">
        <v>1.6699999999999999E-5</v>
      </c>
      <c r="D42" s="784">
        <v>1.7900000000000001E-5</v>
      </c>
      <c r="E42" s="815">
        <v>7776</v>
      </c>
      <c r="F42" s="818">
        <v>37990</v>
      </c>
      <c r="G42" s="785">
        <v>25513</v>
      </c>
      <c r="H42" s="785"/>
      <c r="I42" s="786">
        <v>1470</v>
      </c>
      <c r="J42" s="787">
        <v>6194</v>
      </c>
      <c r="K42" s="786">
        <v>3644</v>
      </c>
      <c r="L42" s="785">
        <v>2202</v>
      </c>
      <c r="M42" s="785"/>
      <c r="N42" s="786">
        <v>722</v>
      </c>
      <c r="O42" s="786">
        <v>0</v>
      </c>
      <c r="P42" s="786">
        <v>0</v>
      </c>
      <c r="Q42" s="785">
        <v>903</v>
      </c>
      <c r="R42" s="785"/>
      <c r="S42" s="786">
        <v>8598</v>
      </c>
      <c r="T42" s="788">
        <v>635</v>
      </c>
      <c r="U42" s="788">
        <f>9232+1</f>
        <v>9233</v>
      </c>
    </row>
    <row r="43" spans="1:21" x14ac:dyDescent="0.25">
      <c r="A43" s="782">
        <v>90461</v>
      </c>
      <c r="B43" s="783" t="s">
        <v>2663</v>
      </c>
      <c r="C43" s="784">
        <v>7.4000000000000003E-6</v>
      </c>
      <c r="D43" s="784">
        <v>1.7200000000000001E-5</v>
      </c>
      <c r="E43" s="815">
        <v>3691</v>
      </c>
      <c r="F43" s="818">
        <v>36504</v>
      </c>
      <c r="G43" s="785">
        <v>11305</v>
      </c>
      <c r="H43" s="785"/>
      <c r="I43" s="786">
        <v>651</v>
      </c>
      <c r="J43" s="787">
        <v>2745</v>
      </c>
      <c r="K43" s="786">
        <v>1615</v>
      </c>
      <c r="L43" s="785">
        <v>3066</v>
      </c>
      <c r="M43" s="785"/>
      <c r="N43" s="786">
        <v>320</v>
      </c>
      <c r="O43" s="786">
        <v>0</v>
      </c>
      <c r="P43" s="786">
        <v>0</v>
      </c>
      <c r="Q43" s="785">
        <v>7660</v>
      </c>
      <c r="R43" s="785"/>
      <c r="S43" s="786">
        <v>3810</v>
      </c>
      <c r="T43" s="788">
        <v>-1001</v>
      </c>
      <c r="U43" s="788">
        <f>2808+1</f>
        <v>2809</v>
      </c>
    </row>
    <row r="44" spans="1:21" x14ac:dyDescent="0.25">
      <c r="A44" s="782">
        <v>90501</v>
      </c>
      <c r="B44" s="783" t="s">
        <v>2664</v>
      </c>
      <c r="C44" s="784">
        <v>1.4176E-3</v>
      </c>
      <c r="D44" s="784">
        <v>1.4001E-3</v>
      </c>
      <c r="E44" s="815">
        <v>670210</v>
      </c>
      <c r="F44" s="818">
        <v>2971481</v>
      </c>
      <c r="G44" s="785">
        <v>2165700</v>
      </c>
      <c r="H44" s="785"/>
      <c r="I44" s="786">
        <v>124764</v>
      </c>
      <c r="J44" s="787">
        <v>525835</v>
      </c>
      <c r="K44" s="786">
        <v>309292</v>
      </c>
      <c r="L44" s="785">
        <v>53925</v>
      </c>
      <c r="M44" s="785"/>
      <c r="N44" s="786">
        <v>61304</v>
      </c>
      <c r="O44" s="786">
        <v>0</v>
      </c>
      <c r="P44" s="786">
        <v>0</v>
      </c>
      <c r="Q44" s="785">
        <v>0</v>
      </c>
      <c r="R44" s="785"/>
      <c r="S44" s="786">
        <v>729843</v>
      </c>
      <c r="T44" s="788">
        <v>27148</v>
      </c>
      <c r="U44" s="788">
        <v>756991</v>
      </c>
    </row>
    <row r="45" spans="1:21" x14ac:dyDescent="0.25">
      <c r="A45" s="782">
        <v>90507</v>
      </c>
      <c r="B45" s="783" t="s">
        <v>1193</v>
      </c>
      <c r="C45" s="784">
        <v>6.6000000000000003E-6</v>
      </c>
      <c r="D45" s="784">
        <v>7.3000000000000004E-6</v>
      </c>
      <c r="E45" s="815">
        <v>10408</v>
      </c>
      <c r="F45" s="818">
        <v>15493</v>
      </c>
      <c r="G45" s="785">
        <v>10083</v>
      </c>
      <c r="H45" s="785"/>
      <c r="I45" s="786">
        <v>581</v>
      </c>
      <c r="J45" s="787">
        <v>2448</v>
      </c>
      <c r="K45" s="786">
        <v>1440</v>
      </c>
      <c r="L45" s="785">
        <v>11545</v>
      </c>
      <c r="M45" s="785"/>
      <c r="N45" s="786">
        <v>285</v>
      </c>
      <c r="O45" s="786">
        <v>0</v>
      </c>
      <c r="P45" s="786">
        <v>0</v>
      </c>
      <c r="Q45" s="785">
        <v>0</v>
      </c>
      <c r="R45" s="785"/>
      <c r="S45" s="786">
        <v>3398</v>
      </c>
      <c r="T45" s="788">
        <v>4117</v>
      </c>
      <c r="U45" s="788">
        <v>7515</v>
      </c>
    </row>
    <row r="46" spans="1:21" x14ac:dyDescent="0.25">
      <c r="A46" s="782">
        <v>90511</v>
      </c>
      <c r="B46" s="783" t="s">
        <v>2665</v>
      </c>
      <c r="C46" s="784">
        <v>8.7000000000000001E-5</v>
      </c>
      <c r="D46" s="784">
        <v>9.5500000000000004E-5</v>
      </c>
      <c r="E46" s="815">
        <v>52403</v>
      </c>
      <c r="F46" s="818">
        <v>202683</v>
      </c>
      <c r="G46" s="785">
        <v>132912</v>
      </c>
      <c r="H46" s="785"/>
      <c r="I46" s="786">
        <v>7657</v>
      </c>
      <c r="J46" s="787">
        <v>32271</v>
      </c>
      <c r="K46" s="786">
        <v>18982</v>
      </c>
      <c r="L46" s="785">
        <v>14433</v>
      </c>
      <c r="M46" s="785"/>
      <c r="N46" s="786">
        <v>3762</v>
      </c>
      <c r="O46" s="786">
        <v>0</v>
      </c>
      <c r="P46" s="786">
        <v>0</v>
      </c>
      <c r="Q46" s="785">
        <v>0</v>
      </c>
      <c r="R46" s="785"/>
      <c r="S46" s="786">
        <v>44791</v>
      </c>
      <c r="T46" s="788">
        <v>6485</v>
      </c>
      <c r="U46" s="788">
        <f>51277-1</f>
        <v>51276</v>
      </c>
    </row>
    <row r="47" spans="1:21" x14ac:dyDescent="0.25">
      <c r="A47" s="782">
        <v>90521</v>
      </c>
      <c r="B47" s="783" t="s">
        <v>2666</v>
      </c>
      <c r="C47" s="784">
        <v>1.3880000000000001E-4</v>
      </c>
      <c r="D47" s="784">
        <v>1.395E-4</v>
      </c>
      <c r="E47" s="815">
        <v>56198</v>
      </c>
      <c r="F47" s="818">
        <v>296066</v>
      </c>
      <c r="G47" s="785">
        <v>212048</v>
      </c>
      <c r="H47" s="785"/>
      <c r="I47" s="786">
        <v>12216</v>
      </c>
      <c r="J47" s="787">
        <v>51485</v>
      </c>
      <c r="K47" s="786">
        <v>30283</v>
      </c>
      <c r="L47" s="785">
        <v>0</v>
      </c>
      <c r="M47" s="785"/>
      <c r="N47" s="786">
        <v>6002</v>
      </c>
      <c r="O47" s="786">
        <v>0</v>
      </c>
      <c r="P47" s="786">
        <v>0</v>
      </c>
      <c r="Q47" s="785">
        <v>18446</v>
      </c>
      <c r="R47" s="785"/>
      <c r="S47" s="786">
        <v>71460</v>
      </c>
      <c r="T47" s="788">
        <v>-7131</v>
      </c>
      <c r="U47" s="788">
        <v>64329</v>
      </c>
    </row>
    <row r="48" spans="1:21" x14ac:dyDescent="0.25">
      <c r="A48" s="782">
        <v>90601</v>
      </c>
      <c r="B48" s="783" t="s">
        <v>2667</v>
      </c>
      <c r="C48" s="784">
        <v>1.1888000000000001E-3</v>
      </c>
      <c r="D48" s="784">
        <v>1.1785999999999999E-3</v>
      </c>
      <c r="E48" s="815">
        <v>540985</v>
      </c>
      <c r="F48" s="818">
        <v>2501384</v>
      </c>
      <c r="G48" s="785">
        <v>1816157</v>
      </c>
      <c r="H48" s="785"/>
      <c r="I48" s="786">
        <v>104627</v>
      </c>
      <c r="J48" s="787">
        <v>440965</v>
      </c>
      <c r="K48" s="786">
        <v>259372</v>
      </c>
      <c r="L48" s="785">
        <v>20795</v>
      </c>
      <c r="M48" s="785"/>
      <c r="N48" s="786">
        <v>51410</v>
      </c>
      <c r="O48" s="786">
        <v>0</v>
      </c>
      <c r="P48" s="786">
        <v>0</v>
      </c>
      <c r="Q48" s="785">
        <v>19784</v>
      </c>
      <c r="R48" s="785"/>
      <c r="S48" s="786">
        <v>612047</v>
      </c>
      <c r="T48" s="788">
        <v>8359</v>
      </c>
      <c r="U48" s="788">
        <v>620406</v>
      </c>
    </row>
    <row r="49" spans="1:21" x14ac:dyDescent="0.25">
      <c r="A49" s="782">
        <v>90602</v>
      </c>
      <c r="B49" s="783" t="s">
        <v>2099</v>
      </c>
      <c r="C49" s="784">
        <v>6.3899999999999995E-5</v>
      </c>
      <c r="D49" s="784">
        <v>6.3299999999999994E-5</v>
      </c>
      <c r="E49" s="815">
        <v>34828</v>
      </c>
      <c r="F49" s="818">
        <v>134344</v>
      </c>
      <c r="G49" s="785">
        <v>97621</v>
      </c>
      <c r="H49" s="785"/>
      <c r="I49" s="786">
        <v>5624</v>
      </c>
      <c r="J49" s="787">
        <v>23703</v>
      </c>
      <c r="K49" s="786">
        <v>13942</v>
      </c>
      <c r="L49" s="785">
        <v>38810</v>
      </c>
      <c r="M49" s="785"/>
      <c r="N49" s="786">
        <v>2763</v>
      </c>
      <c r="O49" s="786">
        <v>0</v>
      </c>
      <c r="P49" s="786">
        <v>0</v>
      </c>
      <c r="Q49" s="785">
        <v>0</v>
      </c>
      <c r="R49" s="785"/>
      <c r="S49" s="786">
        <v>32899</v>
      </c>
      <c r="T49" s="788">
        <v>14161</v>
      </c>
      <c r="U49" s="788">
        <f>47059+1</f>
        <v>47060</v>
      </c>
    </row>
    <row r="50" spans="1:21" x14ac:dyDescent="0.25">
      <c r="A50" s="782">
        <v>90605</v>
      </c>
      <c r="B50" s="783" t="s">
        <v>2668</v>
      </c>
      <c r="C50" s="784">
        <v>4.1999999999999998E-5</v>
      </c>
      <c r="D50" s="784">
        <v>3.8399999999999998E-5</v>
      </c>
      <c r="E50" s="815">
        <v>25461</v>
      </c>
      <c r="F50" s="818">
        <v>81498</v>
      </c>
      <c r="G50" s="785">
        <v>64164</v>
      </c>
      <c r="H50" s="785"/>
      <c r="I50" s="786">
        <v>3696</v>
      </c>
      <c r="J50" s="787">
        <v>15579</v>
      </c>
      <c r="K50" s="786">
        <v>9164</v>
      </c>
      <c r="L50" s="785">
        <v>15425</v>
      </c>
      <c r="M50" s="785"/>
      <c r="N50" s="786">
        <v>1816</v>
      </c>
      <c r="O50" s="786">
        <v>0</v>
      </c>
      <c r="P50" s="786">
        <v>0</v>
      </c>
      <c r="Q50" s="785">
        <v>0</v>
      </c>
      <c r="R50" s="785"/>
      <c r="S50" s="786">
        <v>21623</v>
      </c>
      <c r="T50" s="788">
        <v>5623</v>
      </c>
      <c r="U50" s="788">
        <f>27247-1</f>
        <v>27246</v>
      </c>
    </row>
    <row r="51" spans="1:21" x14ac:dyDescent="0.25">
      <c r="A51" s="782">
        <v>90611</v>
      </c>
      <c r="B51" s="783" t="s">
        <v>2669</v>
      </c>
      <c r="C51" s="784">
        <v>1.4880000000000001E-4</v>
      </c>
      <c r="D51" s="784">
        <v>1.5669999999999999E-4</v>
      </c>
      <c r="E51" s="815">
        <v>64371</v>
      </c>
      <c r="F51" s="818">
        <v>332570</v>
      </c>
      <c r="G51" s="785">
        <v>227325</v>
      </c>
      <c r="H51" s="785"/>
      <c r="I51" s="786">
        <v>13096</v>
      </c>
      <c r="J51" s="787">
        <v>55195</v>
      </c>
      <c r="K51" s="786">
        <v>32465</v>
      </c>
      <c r="L51" s="785">
        <v>2524</v>
      </c>
      <c r="M51" s="785"/>
      <c r="N51" s="786">
        <v>6435</v>
      </c>
      <c r="O51" s="786">
        <v>0</v>
      </c>
      <c r="P51" s="786">
        <v>0</v>
      </c>
      <c r="Q51" s="785">
        <v>18006</v>
      </c>
      <c r="R51" s="785"/>
      <c r="S51" s="786">
        <v>76609</v>
      </c>
      <c r="T51" s="788">
        <v>-3082</v>
      </c>
      <c r="U51" s="788">
        <v>73527</v>
      </c>
    </row>
    <row r="52" spans="1:21" x14ac:dyDescent="0.25">
      <c r="A52" s="782">
        <v>90617</v>
      </c>
      <c r="B52" s="783" t="s">
        <v>2670</v>
      </c>
      <c r="C52" s="784">
        <v>2.5999999999999998E-5</v>
      </c>
      <c r="D52" s="784">
        <v>2.6800000000000001E-5</v>
      </c>
      <c r="E52" s="815">
        <v>15821</v>
      </c>
      <c r="F52" s="818">
        <v>56879</v>
      </c>
      <c r="G52" s="785">
        <v>39721</v>
      </c>
      <c r="H52" s="785"/>
      <c r="I52" s="786">
        <v>2288</v>
      </c>
      <c r="J52" s="787">
        <v>9644</v>
      </c>
      <c r="K52" s="786">
        <v>5673</v>
      </c>
      <c r="L52" s="785">
        <v>7632</v>
      </c>
      <c r="M52" s="785"/>
      <c r="N52" s="786">
        <v>1124</v>
      </c>
      <c r="O52" s="786">
        <v>0</v>
      </c>
      <c r="P52" s="786">
        <v>0</v>
      </c>
      <c r="Q52" s="785">
        <v>0</v>
      </c>
      <c r="R52" s="785"/>
      <c r="S52" s="786">
        <v>13386</v>
      </c>
      <c r="T52" s="788">
        <v>4087</v>
      </c>
      <c r="U52" s="788">
        <v>17473</v>
      </c>
    </row>
    <row r="53" spans="1:21" x14ac:dyDescent="0.25">
      <c r="A53" s="782">
        <v>90621</v>
      </c>
      <c r="B53" s="783" t="s">
        <v>2671</v>
      </c>
      <c r="C53" s="784">
        <v>6.3999999999999997E-5</v>
      </c>
      <c r="D53" s="784">
        <v>8.2100000000000003E-5</v>
      </c>
      <c r="E53" s="815">
        <v>27532</v>
      </c>
      <c r="F53" s="818">
        <v>174244</v>
      </c>
      <c r="G53" s="785">
        <v>97774</v>
      </c>
      <c r="H53" s="785"/>
      <c r="I53" s="786">
        <v>5633</v>
      </c>
      <c r="J53" s="787">
        <v>23740</v>
      </c>
      <c r="K53" s="786">
        <v>13964</v>
      </c>
      <c r="L53" s="785">
        <v>588</v>
      </c>
      <c r="M53" s="785"/>
      <c r="N53" s="786">
        <v>2768</v>
      </c>
      <c r="O53" s="786">
        <v>0</v>
      </c>
      <c r="P53" s="786">
        <v>0</v>
      </c>
      <c r="Q53" s="785">
        <v>19000</v>
      </c>
      <c r="R53" s="785"/>
      <c r="S53" s="786">
        <v>32950</v>
      </c>
      <c r="T53" s="788">
        <v>-5337</v>
      </c>
      <c r="U53" s="788">
        <v>27613</v>
      </c>
    </row>
    <row r="54" spans="1:21" x14ac:dyDescent="0.25">
      <c r="A54" s="782">
        <v>90631</v>
      </c>
      <c r="B54" s="783" t="s">
        <v>2672</v>
      </c>
      <c r="C54" s="784">
        <v>3.9560000000000002E-4</v>
      </c>
      <c r="D54" s="784">
        <v>3.8000000000000002E-4</v>
      </c>
      <c r="E54" s="815">
        <v>175402</v>
      </c>
      <c r="F54" s="818">
        <v>806487</v>
      </c>
      <c r="G54" s="785">
        <v>604367</v>
      </c>
      <c r="H54" s="785"/>
      <c r="I54" s="786">
        <v>34817</v>
      </c>
      <c r="J54" s="787">
        <v>146742</v>
      </c>
      <c r="K54" s="786">
        <v>86312</v>
      </c>
      <c r="L54" s="785">
        <v>17764</v>
      </c>
      <c r="M54" s="785"/>
      <c r="N54" s="786">
        <v>17108</v>
      </c>
      <c r="O54" s="786">
        <v>0</v>
      </c>
      <c r="P54" s="786">
        <v>0</v>
      </c>
      <c r="Q54" s="785">
        <v>8233</v>
      </c>
      <c r="R54" s="785"/>
      <c r="S54" s="786">
        <v>203672</v>
      </c>
      <c r="T54" s="788">
        <v>-484</v>
      </c>
      <c r="U54" s="788">
        <f>203189-1</f>
        <v>203188</v>
      </c>
    </row>
    <row r="55" spans="1:21" x14ac:dyDescent="0.25">
      <c r="A55" s="782">
        <v>90641</v>
      </c>
      <c r="B55" s="783" t="s">
        <v>2673</v>
      </c>
      <c r="C55" s="784">
        <v>1.38E-5</v>
      </c>
      <c r="D55" s="784">
        <v>1.4399999999999999E-5</v>
      </c>
      <c r="E55" s="815">
        <v>6944</v>
      </c>
      <c r="F55" s="818">
        <v>30562</v>
      </c>
      <c r="G55" s="785">
        <v>21083</v>
      </c>
      <c r="H55" s="785"/>
      <c r="I55" s="786">
        <v>1215</v>
      </c>
      <c r="J55" s="787">
        <v>5118</v>
      </c>
      <c r="K55" s="786">
        <v>3011</v>
      </c>
      <c r="L55" s="785">
        <v>304</v>
      </c>
      <c r="M55" s="785"/>
      <c r="N55" s="786">
        <v>597</v>
      </c>
      <c r="O55" s="786">
        <v>0</v>
      </c>
      <c r="P55" s="786">
        <v>0</v>
      </c>
      <c r="Q55" s="785">
        <v>517</v>
      </c>
      <c r="R55" s="785"/>
      <c r="S55" s="786">
        <v>7105</v>
      </c>
      <c r="T55" s="788">
        <v>-123</v>
      </c>
      <c r="U55" s="788">
        <v>6982</v>
      </c>
    </row>
    <row r="56" spans="1:21" x14ac:dyDescent="0.25">
      <c r="A56" s="782">
        <v>90651</v>
      </c>
      <c r="B56" s="783" t="s">
        <v>2674</v>
      </c>
      <c r="C56" s="784">
        <v>1E-4</v>
      </c>
      <c r="D56" s="784">
        <v>1.108E-4</v>
      </c>
      <c r="E56" s="815">
        <v>98054</v>
      </c>
      <c r="F56" s="818">
        <v>235155</v>
      </c>
      <c r="G56" s="785">
        <v>152772</v>
      </c>
      <c r="H56" s="785"/>
      <c r="I56" s="786">
        <v>8801</v>
      </c>
      <c r="J56" s="787">
        <v>37093</v>
      </c>
      <c r="K56" s="786">
        <v>21818</v>
      </c>
      <c r="L56" s="785">
        <v>85885</v>
      </c>
      <c r="M56" s="785"/>
      <c r="N56" s="786">
        <v>4325</v>
      </c>
      <c r="O56" s="786">
        <v>0</v>
      </c>
      <c r="P56" s="786">
        <v>0</v>
      </c>
      <c r="Q56" s="785">
        <v>4659</v>
      </c>
      <c r="R56" s="785"/>
      <c r="S56" s="786">
        <v>51484</v>
      </c>
      <c r="T56" s="788">
        <v>25671</v>
      </c>
      <c r="U56" s="788">
        <f>77156-1</f>
        <v>77155</v>
      </c>
    </row>
    <row r="57" spans="1:21" x14ac:dyDescent="0.25">
      <c r="A57" s="782">
        <v>90701</v>
      </c>
      <c r="B57" s="783" t="s">
        <v>3662</v>
      </c>
      <c r="C57" s="784">
        <v>2.6581E-3</v>
      </c>
      <c r="D57" s="784">
        <v>2.3587E-3</v>
      </c>
      <c r="E57" s="815">
        <v>1110621</v>
      </c>
      <c r="F57" s="818">
        <v>0</v>
      </c>
      <c r="G57" s="785">
        <v>4060841</v>
      </c>
      <c r="H57" s="785"/>
      <c r="I57" s="786">
        <v>233942</v>
      </c>
      <c r="J57" s="787">
        <v>985977</v>
      </c>
      <c r="K57" s="786">
        <v>579944</v>
      </c>
      <c r="L57" s="785">
        <v>130818</v>
      </c>
      <c r="M57" s="785"/>
      <c r="N57" s="786">
        <v>114950</v>
      </c>
      <c r="O57" s="786">
        <v>0</v>
      </c>
      <c r="P57" s="786">
        <v>0</v>
      </c>
      <c r="Q57" s="785">
        <v>31847</v>
      </c>
      <c r="R57" s="785"/>
      <c r="S57" s="786">
        <v>1368507</v>
      </c>
      <c r="T57" s="788">
        <v>33872</v>
      </c>
      <c r="U57" s="788">
        <v>1402379</v>
      </c>
    </row>
    <row r="58" spans="1:21" x14ac:dyDescent="0.25">
      <c r="A58" s="782">
        <v>90704</v>
      </c>
      <c r="B58" s="783" t="s">
        <v>2676</v>
      </c>
      <c r="C58" s="784">
        <v>3.3300000000000003E-5</v>
      </c>
      <c r="D58" s="784">
        <v>3.4900000000000001E-5</v>
      </c>
      <c r="E58" s="815">
        <v>23859</v>
      </c>
      <c r="F58" s="818">
        <v>74069</v>
      </c>
      <c r="G58" s="785">
        <v>50873</v>
      </c>
      <c r="H58" s="785"/>
      <c r="I58" s="786">
        <v>2931</v>
      </c>
      <c r="J58" s="787">
        <v>12352</v>
      </c>
      <c r="K58" s="786">
        <v>7265</v>
      </c>
      <c r="L58" s="785">
        <v>14629</v>
      </c>
      <c r="M58" s="785"/>
      <c r="N58" s="786">
        <v>1440</v>
      </c>
      <c r="O58" s="786">
        <v>0</v>
      </c>
      <c r="P58" s="786">
        <v>0</v>
      </c>
      <c r="Q58" s="785">
        <v>0</v>
      </c>
      <c r="R58" s="785"/>
      <c r="S58" s="786">
        <v>17144</v>
      </c>
      <c r="T58" s="788">
        <v>5643</v>
      </c>
      <c r="U58" s="788">
        <f>22788-1</f>
        <v>22787</v>
      </c>
    </row>
    <row r="59" spans="1:21" x14ac:dyDescent="0.25">
      <c r="A59" s="782">
        <v>90705</v>
      </c>
      <c r="B59" s="783" t="s">
        <v>2677</v>
      </c>
      <c r="C59" s="784">
        <v>5.3000000000000001E-5</v>
      </c>
      <c r="D59" s="784">
        <v>3.3899999999999997E-5</v>
      </c>
      <c r="E59" s="815">
        <v>23100</v>
      </c>
      <c r="F59" s="818">
        <v>71947</v>
      </c>
      <c r="G59" s="785">
        <v>80969</v>
      </c>
      <c r="H59" s="785"/>
      <c r="I59" s="786">
        <v>4665</v>
      </c>
      <c r="J59" s="787">
        <v>19659</v>
      </c>
      <c r="K59" s="786">
        <v>11564</v>
      </c>
      <c r="L59" s="785">
        <v>18366</v>
      </c>
      <c r="M59" s="785"/>
      <c r="N59" s="786">
        <v>2292</v>
      </c>
      <c r="O59" s="786">
        <v>0</v>
      </c>
      <c r="P59" s="786">
        <v>0</v>
      </c>
      <c r="Q59" s="785">
        <v>0</v>
      </c>
      <c r="R59" s="785"/>
      <c r="S59" s="786">
        <v>27287</v>
      </c>
      <c r="T59" s="788">
        <v>6194</v>
      </c>
      <c r="U59" s="788">
        <v>33481</v>
      </c>
    </row>
    <row r="60" spans="1:21" x14ac:dyDescent="0.25">
      <c r="A60" s="782">
        <v>90709</v>
      </c>
      <c r="B60" s="783" t="s">
        <v>2678</v>
      </c>
      <c r="C60" s="784">
        <v>1.2650000000000001E-4</v>
      </c>
      <c r="D60" s="784">
        <v>1.4569999999999999E-4</v>
      </c>
      <c r="E60" s="815">
        <v>61710</v>
      </c>
      <c r="F60" s="818">
        <v>309224</v>
      </c>
      <c r="G60" s="785">
        <v>193257</v>
      </c>
      <c r="H60" s="785"/>
      <c r="I60" s="786">
        <v>11133</v>
      </c>
      <c r="J60" s="787">
        <v>46924</v>
      </c>
      <c r="K60" s="786">
        <v>27600</v>
      </c>
      <c r="L60" s="785">
        <v>5085</v>
      </c>
      <c r="M60" s="785"/>
      <c r="N60" s="786">
        <v>5470</v>
      </c>
      <c r="O60" s="786">
        <v>0</v>
      </c>
      <c r="P60" s="786">
        <v>0</v>
      </c>
      <c r="Q60" s="785">
        <v>42511</v>
      </c>
      <c r="R60" s="785"/>
      <c r="S60" s="786">
        <v>65128</v>
      </c>
      <c r="T60" s="788">
        <v>-9374</v>
      </c>
      <c r="U60" s="788">
        <v>55754</v>
      </c>
    </row>
    <row r="61" spans="1:21" x14ac:dyDescent="0.25">
      <c r="A61" s="782">
        <v>90711</v>
      </c>
      <c r="B61" s="783" t="s">
        <v>2679</v>
      </c>
      <c r="C61" s="784">
        <v>1.6877000000000001E-3</v>
      </c>
      <c r="D61" s="784">
        <v>1.7302000000000001E-3</v>
      </c>
      <c r="E61" s="815">
        <v>774256</v>
      </c>
      <c r="F61" s="818">
        <v>3672064</v>
      </c>
      <c r="G61" s="785">
        <v>2578338</v>
      </c>
      <c r="H61" s="785"/>
      <c r="I61" s="786">
        <v>148536</v>
      </c>
      <c r="J61" s="787">
        <v>626023</v>
      </c>
      <c r="K61" s="786">
        <v>368222</v>
      </c>
      <c r="L61" s="785">
        <v>0</v>
      </c>
      <c r="M61" s="785"/>
      <c r="N61" s="786">
        <v>72985</v>
      </c>
      <c r="O61" s="786">
        <v>0</v>
      </c>
      <c r="P61" s="786">
        <v>0</v>
      </c>
      <c r="Q61" s="785">
        <v>160849</v>
      </c>
      <c r="R61" s="785"/>
      <c r="S61" s="786">
        <v>868902</v>
      </c>
      <c r="T61" s="788">
        <v>-68798</v>
      </c>
      <c r="U61" s="788">
        <v>800104</v>
      </c>
    </row>
    <row r="62" spans="1:21" x14ac:dyDescent="0.25">
      <c r="A62" s="782">
        <v>90721</v>
      </c>
      <c r="B62" s="783" t="s">
        <v>2680</v>
      </c>
      <c r="C62" s="784">
        <v>2.8600000000000001E-5</v>
      </c>
      <c r="D62" s="784">
        <v>3.7299999999999999E-5</v>
      </c>
      <c r="E62" s="815">
        <v>15289</v>
      </c>
      <c r="F62" s="818">
        <v>79163</v>
      </c>
      <c r="G62" s="785">
        <v>43693</v>
      </c>
      <c r="H62" s="785"/>
      <c r="I62" s="786">
        <v>2517</v>
      </c>
      <c r="J62" s="787">
        <v>10608</v>
      </c>
      <c r="K62" s="786">
        <v>6240</v>
      </c>
      <c r="L62" s="785">
        <v>2956</v>
      </c>
      <c r="M62" s="785"/>
      <c r="N62" s="786">
        <v>1237</v>
      </c>
      <c r="O62" s="786">
        <v>0</v>
      </c>
      <c r="P62" s="786">
        <v>0</v>
      </c>
      <c r="Q62" s="785">
        <v>4943</v>
      </c>
      <c r="R62" s="785"/>
      <c r="S62" s="786">
        <v>14725</v>
      </c>
      <c r="T62" s="788">
        <v>1072</v>
      </c>
      <c r="U62" s="788">
        <f>15796+1</f>
        <v>15797</v>
      </c>
    </row>
    <row r="63" spans="1:21" x14ac:dyDescent="0.25">
      <c r="A63" s="782">
        <v>90731</v>
      </c>
      <c r="B63" s="783" t="s">
        <v>2681</v>
      </c>
      <c r="C63" s="784">
        <v>1.741E-4</v>
      </c>
      <c r="D63" s="784">
        <v>1.917E-4</v>
      </c>
      <c r="E63" s="815">
        <v>79540</v>
      </c>
      <c r="F63" s="818">
        <v>406852</v>
      </c>
      <c r="G63" s="785">
        <v>265977</v>
      </c>
      <c r="H63" s="785"/>
      <c r="I63" s="786">
        <v>15323</v>
      </c>
      <c r="J63" s="787">
        <v>64580</v>
      </c>
      <c r="K63" s="786">
        <v>37985</v>
      </c>
      <c r="L63" s="785">
        <v>0</v>
      </c>
      <c r="M63" s="785"/>
      <c r="N63" s="786">
        <v>7529</v>
      </c>
      <c r="O63" s="786">
        <v>0</v>
      </c>
      <c r="P63" s="786">
        <v>0</v>
      </c>
      <c r="Q63" s="785">
        <v>18148</v>
      </c>
      <c r="R63" s="785"/>
      <c r="S63" s="786">
        <v>89634</v>
      </c>
      <c r="T63" s="788">
        <v>-7025</v>
      </c>
      <c r="U63" s="788">
        <v>82609</v>
      </c>
    </row>
    <row r="64" spans="1:21" x14ac:dyDescent="0.25">
      <c r="A64" s="782">
        <v>90741</v>
      </c>
      <c r="B64" s="783" t="s">
        <v>2682</v>
      </c>
      <c r="C64" s="784">
        <v>9.0999999999999993E-6</v>
      </c>
      <c r="D64" s="784">
        <v>1.2099999999999999E-5</v>
      </c>
      <c r="E64" s="815">
        <v>6433</v>
      </c>
      <c r="F64" s="818">
        <v>25680</v>
      </c>
      <c r="G64" s="785">
        <v>13902</v>
      </c>
      <c r="H64" s="785"/>
      <c r="I64" s="786">
        <v>801</v>
      </c>
      <c r="J64" s="787">
        <v>3375</v>
      </c>
      <c r="K64" s="786">
        <v>1985</v>
      </c>
      <c r="L64" s="785">
        <v>2169</v>
      </c>
      <c r="M64" s="785"/>
      <c r="N64" s="786">
        <v>394</v>
      </c>
      <c r="O64" s="786">
        <v>0</v>
      </c>
      <c r="P64" s="786">
        <v>0</v>
      </c>
      <c r="Q64" s="785">
        <v>952</v>
      </c>
      <c r="R64" s="785"/>
      <c r="S64" s="786">
        <v>4685</v>
      </c>
      <c r="T64" s="788">
        <v>235</v>
      </c>
      <c r="U64" s="788">
        <v>4920</v>
      </c>
    </row>
    <row r="65" spans="1:21" x14ac:dyDescent="0.25">
      <c r="A65" s="782">
        <v>90751</v>
      </c>
      <c r="B65" s="783" t="s">
        <v>2683</v>
      </c>
      <c r="C65" s="784">
        <v>6.8700000000000003E-5</v>
      </c>
      <c r="D65" s="784">
        <v>6.5599999999999995E-5</v>
      </c>
      <c r="E65" s="815">
        <v>27591</v>
      </c>
      <c r="F65" s="818">
        <v>139225</v>
      </c>
      <c r="G65" s="785">
        <v>104955</v>
      </c>
      <c r="H65" s="785"/>
      <c r="I65" s="786">
        <v>6046</v>
      </c>
      <c r="J65" s="787">
        <v>25483</v>
      </c>
      <c r="K65" s="786">
        <v>14989</v>
      </c>
      <c r="L65" s="785">
        <v>4940</v>
      </c>
      <c r="M65" s="785"/>
      <c r="N65" s="786">
        <v>2971</v>
      </c>
      <c r="O65" s="786">
        <v>0</v>
      </c>
      <c r="P65" s="786">
        <v>0</v>
      </c>
      <c r="Q65" s="785">
        <v>1080</v>
      </c>
      <c r="R65" s="785"/>
      <c r="S65" s="786">
        <v>35370</v>
      </c>
      <c r="T65" s="788">
        <v>3400</v>
      </c>
      <c r="U65" s="788">
        <v>38770</v>
      </c>
    </row>
    <row r="66" spans="1:21" x14ac:dyDescent="0.25">
      <c r="A66" s="782">
        <v>90801</v>
      </c>
      <c r="B66" s="783" t="s">
        <v>2684</v>
      </c>
      <c r="C66" s="784">
        <v>1.3064000000000001E-3</v>
      </c>
      <c r="D66" s="784">
        <v>1.1404E-3</v>
      </c>
      <c r="E66" s="815">
        <v>521156</v>
      </c>
      <c r="F66" s="818">
        <v>2420311</v>
      </c>
      <c r="G66" s="785">
        <v>1995817</v>
      </c>
      <c r="H66" s="785"/>
      <c r="I66" s="786">
        <v>114978</v>
      </c>
      <c r="J66" s="787">
        <v>484586</v>
      </c>
      <c r="K66" s="786">
        <v>285030</v>
      </c>
      <c r="L66" s="785">
        <v>151641</v>
      </c>
      <c r="M66" s="785"/>
      <c r="N66" s="786">
        <v>56495</v>
      </c>
      <c r="O66" s="786">
        <v>0</v>
      </c>
      <c r="P66" s="786">
        <v>0</v>
      </c>
      <c r="Q66" s="785">
        <v>0</v>
      </c>
      <c r="R66" s="785"/>
      <c r="S66" s="786">
        <v>672592</v>
      </c>
      <c r="T66" s="788">
        <v>65370</v>
      </c>
      <c r="U66" s="788">
        <v>737962</v>
      </c>
    </row>
    <row r="67" spans="1:21" x14ac:dyDescent="0.25">
      <c r="A67" s="782">
        <v>90804</v>
      </c>
      <c r="B67" s="783" t="s">
        <v>2685</v>
      </c>
      <c r="C67" s="784">
        <v>6.1999999999999999E-6</v>
      </c>
      <c r="D67" s="784">
        <v>6.0000000000000002E-6</v>
      </c>
      <c r="E67" s="815">
        <v>2751</v>
      </c>
      <c r="F67" s="818">
        <v>12734</v>
      </c>
      <c r="G67" s="785">
        <v>9472</v>
      </c>
      <c r="H67" s="785"/>
      <c r="I67" s="786">
        <v>546</v>
      </c>
      <c r="J67" s="787">
        <v>2300</v>
      </c>
      <c r="K67" s="786">
        <v>1353</v>
      </c>
      <c r="L67" s="785">
        <v>1462</v>
      </c>
      <c r="M67" s="785"/>
      <c r="N67" s="786">
        <v>268</v>
      </c>
      <c r="O67" s="786">
        <v>0</v>
      </c>
      <c r="P67" s="786">
        <v>0</v>
      </c>
      <c r="Q67" s="785">
        <v>0</v>
      </c>
      <c r="R67" s="785"/>
      <c r="S67" s="786">
        <v>3192</v>
      </c>
      <c r="T67" s="788">
        <v>893</v>
      </c>
      <c r="U67" s="788">
        <v>4085</v>
      </c>
    </row>
    <row r="68" spans="1:21" x14ac:dyDescent="0.25">
      <c r="A68" s="782">
        <v>90805</v>
      </c>
      <c r="B68" s="783" t="s">
        <v>2686</v>
      </c>
      <c r="C68" s="784">
        <v>5.1900000000000001E-5</v>
      </c>
      <c r="D68" s="784">
        <v>5.5099999999999998E-5</v>
      </c>
      <c r="E68" s="815">
        <v>35600</v>
      </c>
      <c r="F68" s="818">
        <v>116941</v>
      </c>
      <c r="G68" s="785">
        <v>79289</v>
      </c>
      <c r="H68" s="785"/>
      <c r="I68" s="786">
        <v>4568</v>
      </c>
      <c r="J68" s="787">
        <v>19252</v>
      </c>
      <c r="K68" s="786">
        <v>11324</v>
      </c>
      <c r="L68" s="785">
        <v>22022</v>
      </c>
      <c r="M68" s="785"/>
      <c r="N68" s="786">
        <v>2244</v>
      </c>
      <c r="O68" s="786">
        <v>0</v>
      </c>
      <c r="P68" s="786">
        <v>0</v>
      </c>
      <c r="Q68" s="785">
        <v>0</v>
      </c>
      <c r="R68" s="785"/>
      <c r="S68" s="786">
        <v>26720</v>
      </c>
      <c r="T68" s="788">
        <v>9443</v>
      </c>
      <c r="U68" s="788">
        <v>36163</v>
      </c>
    </row>
    <row r="69" spans="1:21" x14ac:dyDescent="0.25">
      <c r="A69" s="782">
        <v>90808</v>
      </c>
      <c r="B69" s="783" t="s">
        <v>2687</v>
      </c>
      <c r="C69" s="784">
        <v>1.131E-4</v>
      </c>
      <c r="D69" s="784">
        <v>1.109E-4</v>
      </c>
      <c r="E69" s="815">
        <v>56029</v>
      </c>
      <c r="F69" s="818">
        <v>235367</v>
      </c>
      <c r="G69" s="785">
        <v>172785</v>
      </c>
      <c r="H69" s="785"/>
      <c r="I69" s="786">
        <v>9954</v>
      </c>
      <c r="J69" s="787">
        <v>41952</v>
      </c>
      <c r="K69" s="786">
        <v>24676</v>
      </c>
      <c r="L69" s="785">
        <v>5678</v>
      </c>
      <c r="M69" s="785"/>
      <c r="N69" s="786">
        <v>4891</v>
      </c>
      <c r="O69" s="786">
        <v>0</v>
      </c>
      <c r="P69" s="786">
        <v>0</v>
      </c>
      <c r="Q69" s="785">
        <v>2008</v>
      </c>
      <c r="R69" s="785"/>
      <c r="S69" s="786">
        <v>58229</v>
      </c>
      <c r="T69" s="788">
        <v>731</v>
      </c>
      <c r="U69" s="788">
        <f>58959+1</f>
        <v>58960</v>
      </c>
    </row>
    <row r="70" spans="1:21" x14ac:dyDescent="0.25">
      <c r="A70" s="782">
        <v>90811</v>
      </c>
      <c r="B70" s="783" t="s">
        <v>2688</v>
      </c>
      <c r="C70" s="784">
        <v>3.3599999999999997E-5</v>
      </c>
      <c r="D70" s="784">
        <v>4.0000000000000003E-5</v>
      </c>
      <c r="E70" s="815">
        <v>11655</v>
      </c>
      <c r="F70" s="818">
        <v>84893</v>
      </c>
      <c r="G70" s="785">
        <v>51331</v>
      </c>
      <c r="H70" s="785"/>
      <c r="I70" s="786">
        <v>2957</v>
      </c>
      <c r="J70" s="787">
        <v>12463</v>
      </c>
      <c r="K70" s="786">
        <v>7331</v>
      </c>
      <c r="L70" s="785">
        <v>471</v>
      </c>
      <c r="M70" s="785"/>
      <c r="N70" s="786">
        <v>1453</v>
      </c>
      <c r="O70" s="786">
        <v>0</v>
      </c>
      <c r="P70" s="786">
        <v>0</v>
      </c>
      <c r="Q70" s="785">
        <v>8846</v>
      </c>
      <c r="R70" s="785"/>
      <c r="S70" s="786">
        <v>17299</v>
      </c>
      <c r="T70" s="788">
        <v>-1986</v>
      </c>
      <c r="U70" s="788">
        <v>15313</v>
      </c>
    </row>
    <row r="71" spans="1:21" x14ac:dyDescent="0.25">
      <c r="A71" s="782">
        <v>90812</v>
      </c>
      <c r="B71" s="783" t="s">
        <v>2689</v>
      </c>
      <c r="C71" s="784">
        <v>2.2900000000000001E-4</v>
      </c>
      <c r="D71" s="784">
        <v>2.13E-4</v>
      </c>
      <c r="E71" s="815">
        <v>105040</v>
      </c>
      <c r="F71" s="818">
        <v>452057</v>
      </c>
      <c r="G71" s="785">
        <v>349849</v>
      </c>
      <c r="H71" s="785"/>
      <c r="I71" s="786">
        <v>20155</v>
      </c>
      <c r="J71" s="787">
        <v>84944</v>
      </c>
      <c r="K71" s="786">
        <v>49963</v>
      </c>
      <c r="L71" s="785">
        <v>15087</v>
      </c>
      <c r="M71" s="785"/>
      <c r="N71" s="786">
        <v>9903</v>
      </c>
      <c r="O71" s="786">
        <v>0</v>
      </c>
      <c r="P71" s="786">
        <v>0</v>
      </c>
      <c r="Q71" s="785">
        <v>10549</v>
      </c>
      <c r="R71" s="785"/>
      <c r="S71" s="786">
        <v>117899</v>
      </c>
      <c r="T71" s="788">
        <v>3117</v>
      </c>
      <c r="U71" s="788">
        <v>121016</v>
      </c>
    </row>
    <row r="72" spans="1:21" x14ac:dyDescent="0.25">
      <c r="A72" s="782">
        <v>90813</v>
      </c>
      <c r="B72" s="783" t="s">
        <v>2690</v>
      </c>
      <c r="C72" s="784">
        <v>5.3000000000000001E-6</v>
      </c>
      <c r="D72" s="784">
        <v>5.4999999999999999E-6</v>
      </c>
      <c r="E72" s="815">
        <v>2061</v>
      </c>
      <c r="F72" s="818">
        <v>11673</v>
      </c>
      <c r="G72" s="785">
        <v>8097</v>
      </c>
      <c r="H72" s="785"/>
      <c r="I72" s="786">
        <v>466</v>
      </c>
      <c r="J72" s="787">
        <v>1966</v>
      </c>
      <c r="K72" s="786">
        <v>1156</v>
      </c>
      <c r="L72" s="785">
        <v>0</v>
      </c>
      <c r="M72" s="785"/>
      <c r="N72" s="786">
        <v>229</v>
      </c>
      <c r="O72" s="786">
        <v>0</v>
      </c>
      <c r="P72" s="786">
        <v>0</v>
      </c>
      <c r="Q72" s="785">
        <v>1124</v>
      </c>
      <c r="R72" s="785"/>
      <c r="S72" s="786">
        <v>2729</v>
      </c>
      <c r="T72" s="788">
        <v>-505</v>
      </c>
      <c r="U72" s="788">
        <f>2223+1</f>
        <v>2224</v>
      </c>
    </row>
    <row r="73" spans="1:21" x14ac:dyDescent="0.25">
      <c r="A73" s="782">
        <v>90861</v>
      </c>
      <c r="B73" s="783" t="s">
        <v>2691</v>
      </c>
      <c r="C73" s="784">
        <v>4.1999999999999996E-6</v>
      </c>
      <c r="D73" s="784">
        <v>4.7999999999999998E-6</v>
      </c>
      <c r="E73" s="815">
        <v>3703</v>
      </c>
      <c r="F73" s="818">
        <v>10187</v>
      </c>
      <c r="G73" s="785">
        <v>6416</v>
      </c>
      <c r="H73" s="785"/>
      <c r="I73" s="786">
        <v>370</v>
      </c>
      <c r="J73" s="787">
        <v>1558</v>
      </c>
      <c r="K73" s="786">
        <v>916</v>
      </c>
      <c r="L73" s="785">
        <v>3211</v>
      </c>
      <c r="M73" s="785"/>
      <c r="N73" s="786">
        <v>182</v>
      </c>
      <c r="O73" s="786">
        <v>0</v>
      </c>
      <c r="P73" s="786">
        <v>0</v>
      </c>
      <c r="Q73" s="785">
        <v>1117</v>
      </c>
      <c r="R73" s="785"/>
      <c r="S73" s="786">
        <v>2162</v>
      </c>
      <c r="T73" s="788">
        <v>191</v>
      </c>
      <c r="U73" s="788">
        <v>2353</v>
      </c>
    </row>
    <row r="74" spans="1:21" x14ac:dyDescent="0.25">
      <c r="A74" s="782">
        <v>90901</v>
      </c>
      <c r="B74" s="783" t="s">
        <v>2692</v>
      </c>
      <c r="C74" s="784">
        <v>2.1814999999999998E-3</v>
      </c>
      <c r="D74" s="784">
        <v>2.1302999999999999E-3</v>
      </c>
      <c r="E74" s="815">
        <v>980897</v>
      </c>
      <c r="F74" s="818">
        <v>4521210</v>
      </c>
      <c r="G74" s="785">
        <v>3332728</v>
      </c>
      <c r="H74" s="785"/>
      <c r="I74" s="786">
        <v>191996</v>
      </c>
      <c r="J74" s="787">
        <v>809191</v>
      </c>
      <c r="K74" s="786">
        <v>475960</v>
      </c>
      <c r="L74" s="785">
        <v>22389</v>
      </c>
      <c r="M74" s="785"/>
      <c r="N74" s="786">
        <v>94339</v>
      </c>
      <c r="O74" s="786">
        <v>0</v>
      </c>
      <c r="P74" s="786">
        <v>0</v>
      </c>
      <c r="Q74" s="785">
        <v>38005</v>
      </c>
      <c r="R74" s="785"/>
      <c r="S74" s="786">
        <v>1123132</v>
      </c>
      <c r="T74" s="788">
        <v>-5969</v>
      </c>
      <c r="U74" s="788">
        <v>1117163</v>
      </c>
    </row>
    <row r="75" spans="1:21" x14ac:dyDescent="0.25">
      <c r="A75" s="782">
        <v>90911</v>
      </c>
      <c r="B75" s="783" t="s">
        <v>2693</v>
      </c>
      <c r="C75" s="784">
        <v>3.9780000000000002E-4</v>
      </c>
      <c r="D75" s="784">
        <v>3.6010000000000003E-4</v>
      </c>
      <c r="E75" s="815">
        <v>159535</v>
      </c>
      <c r="F75" s="818">
        <v>764253</v>
      </c>
      <c r="G75" s="785">
        <v>607728</v>
      </c>
      <c r="H75" s="785"/>
      <c r="I75" s="786">
        <v>35011</v>
      </c>
      <c r="J75" s="787">
        <v>147557</v>
      </c>
      <c r="K75" s="786">
        <v>86792</v>
      </c>
      <c r="L75" s="785">
        <v>6806</v>
      </c>
      <c r="M75" s="785"/>
      <c r="N75" s="786">
        <v>17203</v>
      </c>
      <c r="O75" s="786">
        <v>0</v>
      </c>
      <c r="P75" s="786">
        <v>0</v>
      </c>
      <c r="Q75" s="785">
        <v>31482</v>
      </c>
      <c r="R75" s="785"/>
      <c r="S75" s="786">
        <v>204805</v>
      </c>
      <c r="T75" s="788">
        <v>-18326</v>
      </c>
      <c r="U75" s="788">
        <v>186479</v>
      </c>
    </row>
    <row r="76" spans="1:21" x14ac:dyDescent="0.25">
      <c r="A76" s="782">
        <v>90917</v>
      </c>
      <c r="B76" s="783" t="s">
        <v>2694</v>
      </c>
      <c r="C76" s="784">
        <v>1.4399999999999999E-5</v>
      </c>
      <c r="D76" s="784">
        <v>1.42E-5</v>
      </c>
      <c r="E76" s="815">
        <v>5784</v>
      </c>
      <c r="F76" s="818">
        <v>30137</v>
      </c>
      <c r="G76" s="785">
        <v>21999</v>
      </c>
      <c r="H76" s="785"/>
      <c r="I76" s="786">
        <v>1267</v>
      </c>
      <c r="J76" s="787">
        <v>5342</v>
      </c>
      <c r="K76" s="786">
        <v>3142</v>
      </c>
      <c r="L76" s="785">
        <v>1461</v>
      </c>
      <c r="M76" s="785"/>
      <c r="N76" s="786">
        <v>623</v>
      </c>
      <c r="O76" s="786">
        <v>0</v>
      </c>
      <c r="P76" s="786">
        <v>0</v>
      </c>
      <c r="Q76" s="785">
        <v>966</v>
      </c>
      <c r="R76" s="785"/>
      <c r="S76" s="786">
        <v>7414</v>
      </c>
      <c r="T76" s="788">
        <v>-22</v>
      </c>
      <c r="U76" s="788">
        <v>7392</v>
      </c>
    </row>
    <row r="77" spans="1:21" x14ac:dyDescent="0.25">
      <c r="A77" s="782">
        <v>90918</v>
      </c>
      <c r="B77" s="783" t="s">
        <v>2695</v>
      </c>
      <c r="C77" s="784">
        <v>1.19E-5</v>
      </c>
      <c r="D77" s="784">
        <v>1.24E-5</v>
      </c>
      <c r="E77" s="815">
        <v>4773</v>
      </c>
      <c r="F77" s="818">
        <v>26317</v>
      </c>
      <c r="G77" s="785">
        <v>18180</v>
      </c>
      <c r="H77" s="785"/>
      <c r="I77" s="786">
        <v>1047</v>
      </c>
      <c r="J77" s="787">
        <v>4414</v>
      </c>
      <c r="K77" s="786">
        <v>2596</v>
      </c>
      <c r="L77" s="785">
        <v>0</v>
      </c>
      <c r="M77" s="785"/>
      <c r="N77" s="786">
        <v>515</v>
      </c>
      <c r="O77" s="786">
        <v>0</v>
      </c>
      <c r="P77" s="786">
        <v>0</v>
      </c>
      <c r="Q77" s="785">
        <v>2553</v>
      </c>
      <c r="R77" s="785"/>
      <c r="S77" s="786">
        <v>6127</v>
      </c>
      <c r="T77" s="788">
        <v>-1087</v>
      </c>
      <c r="U77" s="788">
        <f>5039+1</f>
        <v>5040</v>
      </c>
    </row>
    <row r="78" spans="1:21" x14ac:dyDescent="0.25">
      <c r="A78" s="782">
        <v>90921</v>
      </c>
      <c r="B78" s="783" t="s">
        <v>2696</v>
      </c>
      <c r="C78" s="784">
        <v>1.2970000000000001E-4</v>
      </c>
      <c r="D78" s="784">
        <v>8.7399999999999997E-5</v>
      </c>
      <c r="E78" s="815">
        <v>59486</v>
      </c>
      <c r="F78" s="818">
        <v>185492</v>
      </c>
      <c r="G78" s="785">
        <v>198146</v>
      </c>
      <c r="H78" s="785"/>
      <c r="I78" s="786">
        <v>11415</v>
      </c>
      <c r="J78" s="787">
        <v>48110</v>
      </c>
      <c r="K78" s="786">
        <v>28298</v>
      </c>
      <c r="L78" s="785">
        <v>31212</v>
      </c>
      <c r="M78" s="785"/>
      <c r="N78" s="786">
        <v>5609</v>
      </c>
      <c r="O78" s="786">
        <v>0</v>
      </c>
      <c r="P78" s="786">
        <v>0</v>
      </c>
      <c r="Q78" s="785">
        <v>7007</v>
      </c>
      <c r="R78" s="785"/>
      <c r="S78" s="786">
        <v>66775</v>
      </c>
      <c r="T78" s="788">
        <v>5102</v>
      </c>
      <c r="U78" s="788">
        <v>71877</v>
      </c>
    </row>
    <row r="79" spans="1:21" x14ac:dyDescent="0.25">
      <c r="A79" s="782">
        <v>90931</v>
      </c>
      <c r="B79" s="783" t="s">
        <v>2697</v>
      </c>
      <c r="C79" s="784">
        <v>4.07E-5</v>
      </c>
      <c r="D79" s="784">
        <v>5.1900000000000001E-5</v>
      </c>
      <c r="E79" s="815">
        <v>16168</v>
      </c>
      <c r="F79" s="818">
        <v>110149</v>
      </c>
      <c r="G79" s="785">
        <v>62178</v>
      </c>
      <c r="H79" s="785"/>
      <c r="I79" s="786">
        <v>3582</v>
      </c>
      <c r="J79" s="787">
        <v>15097</v>
      </c>
      <c r="K79" s="786">
        <v>8880</v>
      </c>
      <c r="L79" s="785">
        <v>3743</v>
      </c>
      <c r="M79" s="785"/>
      <c r="N79" s="786">
        <v>1760</v>
      </c>
      <c r="O79" s="786">
        <v>0</v>
      </c>
      <c r="P79" s="786">
        <v>0</v>
      </c>
      <c r="Q79" s="785">
        <v>14137</v>
      </c>
      <c r="R79" s="785"/>
      <c r="S79" s="786">
        <v>20954</v>
      </c>
      <c r="T79" s="788">
        <v>-1298</v>
      </c>
      <c r="U79" s="788">
        <v>19656</v>
      </c>
    </row>
    <row r="80" spans="1:21" x14ac:dyDescent="0.25">
      <c r="A80" s="782">
        <v>90941</v>
      </c>
      <c r="B80" s="783" t="s">
        <v>2698</v>
      </c>
      <c r="C80" s="784">
        <v>7.0300000000000001E-5</v>
      </c>
      <c r="D80" s="784">
        <v>9.0799999999999998E-5</v>
      </c>
      <c r="E80" s="815">
        <v>35455</v>
      </c>
      <c r="F80" s="818">
        <v>192708</v>
      </c>
      <c r="G80" s="785">
        <v>107399</v>
      </c>
      <c r="H80" s="785"/>
      <c r="I80" s="786">
        <v>6187</v>
      </c>
      <c r="J80" s="787">
        <v>26076</v>
      </c>
      <c r="K80" s="786">
        <v>15338</v>
      </c>
      <c r="L80" s="785">
        <v>1686</v>
      </c>
      <c r="M80" s="785"/>
      <c r="N80" s="786">
        <v>3040</v>
      </c>
      <c r="O80" s="786">
        <v>0</v>
      </c>
      <c r="P80" s="786">
        <v>0</v>
      </c>
      <c r="Q80" s="785">
        <v>16031</v>
      </c>
      <c r="R80" s="785"/>
      <c r="S80" s="786">
        <v>36194</v>
      </c>
      <c r="T80" s="788">
        <v>-4988</v>
      </c>
      <c r="U80" s="788">
        <f>31205+1</f>
        <v>31206</v>
      </c>
    </row>
    <row r="81" spans="1:21" x14ac:dyDescent="0.25">
      <c r="A81" s="782">
        <v>91001</v>
      </c>
      <c r="B81" s="783" t="s">
        <v>2699</v>
      </c>
      <c r="C81" s="784">
        <v>6.6703999999999999E-3</v>
      </c>
      <c r="D81" s="784">
        <v>6.6189999999999999E-3</v>
      </c>
      <c r="E81" s="815">
        <v>2867178</v>
      </c>
      <c r="F81" s="818">
        <v>14047735</v>
      </c>
      <c r="G81" s="785">
        <v>10190523</v>
      </c>
      <c r="H81" s="785"/>
      <c r="I81" s="786">
        <v>587069</v>
      </c>
      <c r="J81" s="787">
        <v>2474271</v>
      </c>
      <c r="K81" s="786">
        <v>1455348</v>
      </c>
      <c r="L81" s="785">
        <v>35831</v>
      </c>
      <c r="M81" s="785"/>
      <c r="N81" s="786">
        <v>288461</v>
      </c>
      <c r="O81" s="786">
        <v>0</v>
      </c>
      <c r="P81" s="786">
        <v>0</v>
      </c>
      <c r="Q81" s="785">
        <v>269013</v>
      </c>
      <c r="R81" s="785"/>
      <c r="S81" s="786">
        <v>3434215</v>
      </c>
      <c r="T81" s="788">
        <v>-50061</v>
      </c>
      <c r="U81" s="788">
        <v>3384154</v>
      </c>
    </row>
    <row r="82" spans="1:21" x14ac:dyDescent="0.25">
      <c r="A82" s="782">
        <v>91002</v>
      </c>
      <c r="B82" s="783" t="s">
        <v>2700</v>
      </c>
      <c r="C82" s="784">
        <v>6.8860000000000004E-4</v>
      </c>
      <c r="D82" s="784">
        <v>5.6360000000000004E-4</v>
      </c>
      <c r="E82" s="815">
        <v>257315</v>
      </c>
      <c r="F82" s="818">
        <v>1196148</v>
      </c>
      <c r="G82" s="785">
        <v>1051990</v>
      </c>
      <c r="H82" s="785"/>
      <c r="I82" s="786">
        <v>60604</v>
      </c>
      <c r="J82" s="787">
        <v>255424</v>
      </c>
      <c r="K82" s="786">
        <v>150239</v>
      </c>
      <c r="L82" s="785">
        <v>39390</v>
      </c>
      <c r="M82" s="785"/>
      <c r="N82" s="786">
        <v>29779</v>
      </c>
      <c r="O82" s="786">
        <v>0</v>
      </c>
      <c r="P82" s="786">
        <v>0</v>
      </c>
      <c r="Q82" s="785">
        <v>48600</v>
      </c>
      <c r="R82" s="785"/>
      <c r="S82" s="786">
        <v>354522</v>
      </c>
      <c r="T82" s="788">
        <v>-8849</v>
      </c>
      <c r="U82" s="788">
        <v>345673</v>
      </c>
    </row>
    <row r="83" spans="1:21" x14ac:dyDescent="0.25">
      <c r="A83" s="782">
        <v>91003</v>
      </c>
      <c r="B83" s="783" t="s">
        <v>2701</v>
      </c>
      <c r="C83" s="784">
        <v>5.7260000000000004E-4</v>
      </c>
      <c r="D83" s="784">
        <v>5.6550000000000003E-4</v>
      </c>
      <c r="E83" s="815">
        <v>268789</v>
      </c>
      <c r="F83" s="818">
        <v>1200180</v>
      </c>
      <c r="G83" s="785">
        <v>874774</v>
      </c>
      <c r="H83" s="785"/>
      <c r="I83" s="786">
        <v>50395</v>
      </c>
      <c r="J83" s="787">
        <v>212396</v>
      </c>
      <c r="K83" s="786">
        <v>124930</v>
      </c>
      <c r="L83" s="785">
        <v>27734</v>
      </c>
      <c r="M83" s="785"/>
      <c r="N83" s="786">
        <v>24762</v>
      </c>
      <c r="O83" s="786">
        <v>0</v>
      </c>
      <c r="P83" s="786">
        <v>0</v>
      </c>
      <c r="Q83" s="785">
        <v>28524</v>
      </c>
      <c r="R83" s="785"/>
      <c r="S83" s="786">
        <v>294800</v>
      </c>
      <c r="T83" s="788">
        <v>7266</v>
      </c>
      <c r="U83" s="788">
        <v>302066</v>
      </c>
    </row>
    <row r="84" spans="1:21" x14ac:dyDescent="0.25">
      <c r="A84" s="782">
        <v>91004</v>
      </c>
      <c r="B84" s="783" t="s">
        <v>2702</v>
      </c>
      <c r="C84" s="784">
        <v>2.58E-5</v>
      </c>
      <c r="D84" s="784">
        <v>1.7499999999999998E-5</v>
      </c>
      <c r="E84" s="815">
        <v>13568</v>
      </c>
      <c r="F84" s="818">
        <v>37141</v>
      </c>
      <c r="G84" s="785">
        <v>39415</v>
      </c>
      <c r="H84" s="785"/>
      <c r="I84" s="786">
        <v>2271</v>
      </c>
      <c r="J84" s="787">
        <v>9571</v>
      </c>
      <c r="K84" s="786">
        <v>5629</v>
      </c>
      <c r="L84" s="785">
        <v>12153</v>
      </c>
      <c r="M84" s="785"/>
      <c r="N84" s="786">
        <v>1116</v>
      </c>
      <c r="O84" s="786">
        <v>0</v>
      </c>
      <c r="P84" s="786">
        <v>0</v>
      </c>
      <c r="Q84" s="785">
        <v>108</v>
      </c>
      <c r="R84" s="785"/>
      <c r="S84" s="786">
        <v>13283</v>
      </c>
      <c r="T84" s="788">
        <v>4277</v>
      </c>
      <c r="U84" s="788">
        <v>17560</v>
      </c>
    </row>
    <row r="85" spans="1:21" x14ac:dyDescent="0.25">
      <c r="A85" s="782">
        <v>91006</v>
      </c>
      <c r="B85" s="783" t="s">
        <v>2703</v>
      </c>
      <c r="C85" s="784">
        <v>1.0317E-3</v>
      </c>
      <c r="D85" s="784">
        <v>1.0096E-3</v>
      </c>
      <c r="E85" s="815">
        <v>446629</v>
      </c>
      <c r="F85" s="818">
        <v>2142709</v>
      </c>
      <c r="G85" s="785">
        <v>1576152</v>
      </c>
      <c r="H85" s="785"/>
      <c r="I85" s="786">
        <v>90801</v>
      </c>
      <c r="J85" s="787">
        <v>382692</v>
      </c>
      <c r="K85" s="786">
        <v>225096</v>
      </c>
      <c r="L85" s="785">
        <v>18199</v>
      </c>
      <c r="M85" s="785"/>
      <c r="N85" s="786">
        <v>44616</v>
      </c>
      <c r="O85" s="786">
        <v>0</v>
      </c>
      <c r="P85" s="786">
        <v>0</v>
      </c>
      <c r="Q85" s="785">
        <v>22958</v>
      </c>
      <c r="R85" s="785"/>
      <c r="S85" s="786">
        <v>531165</v>
      </c>
      <c r="T85" s="788">
        <v>3230</v>
      </c>
      <c r="U85" s="788">
        <v>534395</v>
      </c>
    </row>
    <row r="86" spans="1:21" x14ac:dyDescent="0.25">
      <c r="A86" s="782">
        <v>91007</v>
      </c>
      <c r="B86" s="783" t="s">
        <v>2704</v>
      </c>
      <c r="C86" s="784">
        <v>9.5000000000000005E-6</v>
      </c>
      <c r="D86" s="784">
        <v>1.2500000000000001E-5</v>
      </c>
      <c r="E86" s="815">
        <v>9502</v>
      </c>
      <c r="F86" s="818">
        <v>26529</v>
      </c>
      <c r="G86" s="785">
        <v>14513</v>
      </c>
      <c r="H86" s="785"/>
      <c r="I86" s="786">
        <v>836</v>
      </c>
      <c r="J86" s="787">
        <v>3524</v>
      </c>
      <c r="K86" s="786">
        <v>2073</v>
      </c>
      <c r="L86" s="785">
        <v>7476</v>
      </c>
      <c r="M86" s="785"/>
      <c r="N86" s="786">
        <v>411</v>
      </c>
      <c r="O86" s="786">
        <v>0</v>
      </c>
      <c r="P86" s="786">
        <v>0</v>
      </c>
      <c r="Q86" s="785">
        <v>507</v>
      </c>
      <c r="R86" s="785"/>
      <c r="S86" s="786">
        <v>4891</v>
      </c>
      <c r="T86" s="788">
        <v>2150</v>
      </c>
      <c r="U86" s="788">
        <v>7041</v>
      </c>
    </row>
    <row r="87" spans="1:21" x14ac:dyDescent="0.25">
      <c r="A87" s="782">
        <v>91008</v>
      </c>
      <c r="B87" s="783" t="s">
        <v>2705</v>
      </c>
      <c r="C87" s="784">
        <v>1.236E-4</v>
      </c>
      <c r="D87" s="784">
        <v>1.273E-4</v>
      </c>
      <c r="E87" s="815">
        <v>68974</v>
      </c>
      <c r="F87" s="818">
        <v>270173</v>
      </c>
      <c r="G87" s="785">
        <v>188827</v>
      </c>
      <c r="H87" s="785"/>
      <c r="I87" s="786">
        <v>10878</v>
      </c>
      <c r="J87" s="787">
        <v>45847</v>
      </c>
      <c r="K87" s="786">
        <v>26967</v>
      </c>
      <c r="L87" s="785">
        <v>37042</v>
      </c>
      <c r="M87" s="785"/>
      <c r="N87" s="786">
        <v>5345</v>
      </c>
      <c r="O87" s="786">
        <v>0</v>
      </c>
      <c r="P87" s="786">
        <v>0</v>
      </c>
      <c r="Q87" s="785">
        <v>0</v>
      </c>
      <c r="R87" s="785"/>
      <c r="S87" s="786">
        <v>63635</v>
      </c>
      <c r="T87" s="788">
        <v>17548</v>
      </c>
      <c r="U87" s="788">
        <v>81183</v>
      </c>
    </row>
    <row r="88" spans="1:21" x14ac:dyDescent="0.25">
      <c r="A88" s="782">
        <v>91009</v>
      </c>
      <c r="B88" s="783" t="s">
        <v>2706</v>
      </c>
      <c r="C88" s="784">
        <v>1.7499999999999998E-5</v>
      </c>
      <c r="D88" s="784">
        <v>1.8700000000000001E-5</v>
      </c>
      <c r="E88" s="815">
        <v>11392</v>
      </c>
      <c r="F88" s="818">
        <v>39688</v>
      </c>
      <c r="G88" s="785">
        <v>26735</v>
      </c>
      <c r="H88" s="785"/>
      <c r="I88" s="786">
        <v>1540</v>
      </c>
      <c r="J88" s="787">
        <v>6491</v>
      </c>
      <c r="K88" s="786">
        <v>3818</v>
      </c>
      <c r="L88" s="785">
        <v>4951</v>
      </c>
      <c r="M88" s="785"/>
      <c r="N88" s="786">
        <v>757</v>
      </c>
      <c r="O88" s="786">
        <v>0</v>
      </c>
      <c r="P88" s="786">
        <v>0</v>
      </c>
      <c r="Q88" s="785">
        <v>2458</v>
      </c>
      <c r="R88" s="785"/>
      <c r="S88" s="786">
        <v>9010</v>
      </c>
      <c r="T88" s="788">
        <v>187</v>
      </c>
      <c r="U88" s="788">
        <v>9197</v>
      </c>
    </row>
    <row r="89" spans="1:21" x14ac:dyDescent="0.25">
      <c r="A89" s="782">
        <v>91010</v>
      </c>
      <c r="B89" s="783" t="s">
        <v>2707</v>
      </c>
      <c r="C89" s="784">
        <v>7.0099999999999996E-5</v>
      </c>
      <c r="D89" s="784">
        <v>6.8399999999999996E-5</v>
      </c>
      <c r="E89" s="815">
        <v>32517</v>
      </c>
      <c r="F89" s="818">
        <v>145168</v>
      </c>
      <c r="G89" s="785">
        <v>107093</v>
      </c>
      <c r="H89" s="785"/>
      <c r="I89" s="786">
        <v>6170</v>
      </c>
      <c r="J89" s="787">
        <v>26003</v>
      </c>
      <c r="K89" s="786">
        <v>15294</v>
      </c>
      <c r="L89" s="785">
        <v>7603</v>
      </c>
      <c r="M89" s="785"/>
      <c r="N89" s="786">
        <v>3031</v>
      </c>
      <c r="O89" s="786">
        <v>0</v>
      </c>
      <c r="P89" s="786">
        <v>0</v>
      </c>
      <c r="Q89" s="785">
        <v>296</v>
      </c>
      <c r="R89" s="785"/>
      <c r="S89" s="786">
        <v>36091</v>
      </c>
      <c r="T89" s="788">
        <v>4736</v>
      </c>
      <c r="U89" s="788">
        <v>40827</v>
      </c>
    </row>
    <row r="90" spans="1:21" x14ac:dyDescent="0.25">
      <c r="A90" s="782">
        <v>91011</v>
      </c>
      <c r="B90" s="783" t="s">
        <v>2708</v>
      </c>
      <c r="C90" s="784">
        <v>3.5760000000000002E-4</v>
      </c>
      <c r="D90" s="784">
        <v>3.1789999999999998E-4</v>
      </c>
      <c r="E90" s="815">
        <v>159847</v>
      </c>
      <c r="F90" s="818">
        <v>674690</v>
      </c>
      <c r="G90" s="785">
        <v>546314</v>
      </c>
      <c r="H90" s="785"/>
      <c r="I90" s="786">
        <v>31473</v>
      </c>
      <c r="J90" s="787">
        <v>132645</v>
      </c>
      <c r="K90" s="786">
        <v>78021</v>
      </c>
      <c r="L90" s="785">
        <v>43643</v>
      </c>
      <c r="M90" s="785"/>
      <c r="N90" s="786">
        <v>15464</v>
      </c>
      <c r="O90" s="786">
        <v>0</v>
      </c>
      <c r="P90" s="786">
        <v>0</v>
      </c>
      <c r="Q90" s="785">
        <v>0</v>
      </c>
      <c r="R90" s="785"/>
      <c r="S90" s="786">
        <v>184108</v>
      </c>
      <c r="T90" s="788">
        <v>16126</v>
      </c>
      <c r="U90" s="788">
        <v>200234</v>
      </c>
    </row>
    <row r="91" spans="1:21" x14ac:dyDescent="0.25">
      <c r="A91" s="782">
        <v>91012</v>
      </c>
      <c r="B91" s="783" t="s">
        <v>2709</v>
      </c>
      <c r="C91" s="784">
        <v>1.9300000000000002E-5</v>
      </c>
      <c r="D91" s="784">
        <v>1.49E-5</v>
      </c>
      <c r="E91" s="815">
        <v>8623</v>
      </c>
      <c r="F91" s="818">
        <v>31623</v>
      </c>
      <c r="G91" s="785">
        <v>29485</v>
      </c>
      <c r="H91" s="785"/>
      <c r="I91" s="786">
        <v>1699</v>
      </c>
      <c r="J91" s="787">
        <v>7159</v>
      </c>
      <c r="K91" s="786">
        <v>4211</v>
      </c>
      <c r="L91" s="785">
        <v>5400</v>
      </c>
      <c r="M91" s="785"/>
      <c r="N91" s="786">
        <v>835</v>
      </c>
      <c r="O91" s="786">
        <v>0</v>
      </c>
      <c r="P91" s="786">
        <v>0</v>
      </c>
      <c r="Q91" s="785">
        <v>2458</v>
      </c>
      <c r="R91" s="785"/>
      <c r="S91" s="786">
        <v>9936</v>
      </c>
      <c r="T91" s="788">
        <v>-662</v>
      </c>
      <c r="U91" s="788">
        <f>9275-1</f>
        <v>9274</v>
      </c>
    </row>
    <row r="92" spans="1:21" x14ac:dyDescent="0.25">
      <c r="A92" s="782">
        <v>91013</v>
      </c>
      <c r="B92" s="783" t="s">
        <v>2710</v>
      </c>
      <c r="C92" s="784">
        <v>2.34E-5</v>
      </c>
      <c r="D92" s="784">
        <v>2.1800000000000001E-5</v>
      </c>
      <c r="E92" s="815">
        <v>29322</v>
      </c>
      <c r="F92" s="818">
        <v>46267</v>
      </c>
      <c r="G92" s="785">
        <v>35749</v>
      </c>
      <c r="H92" s="785"/>
      <c r="I92" s="786">
        <v>2059</v>
      </c>
      <c r="J92" s="787">
        <v>8680</v>
      </c>
      <c r="K92" s="786">
        <v>5105</v>
      </c>
      <c r="L92" s="785">
        <v>31764</v>
      </c>
      <c r="M92" s="785"/>
      <c r="N92" s="786">
        <v>1012</v>
      </c>
      <c r="O92" s="786">
        <v>0</v>
      </c>
      <c r="P92" s="786">
        <v>0</v>
      </c>
      <c r="Q92" s="785">
        <v>0</v>
      </c>
      <c r="R92" s="785"/>
      <c r="S92" s="786">
        <v>12047</v>
      </c>
      <c r="T92" s="788">
        <v>9518</v>
      </c>
      <c r="U92" s="788">
        <v>21565</v>
      </c>
    </row>
    <row r="93" spans="1:21" x14ac:dyDescent="0.25">
      <c r="A93" s="782">
        <v>91014</v>
      </c>
      <c r="B93" s="783" t="s">
        <v>2711</v>
      </c>
      <c r="C93" s="784">
        <v>2.22E-4</v>
      </c>
      <c r="D93" s="784">
        <v>2.1499999999999999E-4</v>
      </c>
      <c r="E93" s="815">
        <v>97692</v>
      </c>
      <c r="F93" s="818">
        <v>456302</v>
      </c>
      <c r="G93" s="785">
        <v>339155</v>
      </c>
      <c r="H93" s="785"/>
      <c r="I93" s="786">
        <v>19538</v>
      </c>
      <c r="J93" s="787">
        <v>82347</v>
      </c>
      <c r="K93" s="786">
        <v>48436</v>
      </c>
      <c r="L93" s="785">
        <v>1313</v>
      </c>
      <c r="M93" s="785"/>
      <c r="N93" s="786">
        <v>9600</v>
      </c>
      <c r="O93" s="786">
        <v>0</v>
      </c>
      <c r="P93" s="786">
        <v>0</v>
      </c>
      <c r="Q93" s="785">
        <v>11287</v>
      </c>
      <c r="R93" s="785"/>
      <c r="S93" s="786">
        <v>114295</v>
      </c>
      <c r="T93" s="788">
        <v>-6129</v>
      </c>
      <c r="U93" s="788">
        <f>108167-1</f>
        <v>108166</v>
      </c>
    </row>
    <row r="94" spans="1:21" x14ac:dyDescent="0.25">
      <c r="A94" s="782">
        <v>91017</v>
      </c>
      <c r="B94" s="783" t="s">
        <v>2712</v>
      </c>
      <c r="C94" s="784">
        <v>2.4300000000000001E-5</v>
      </c>
      <c r="D94" s="784">
        <v>2.3E-5</v>
      </c>
      <c r="E94" s="815">
        <v>12462</v>
      </c>
      <c r="F94" s="818">
        <v>48814</v>
      </c>
      <c r="G94" s="785">
        <v>37124</v>
      </c>
      <c r="H94" s="785"/>
      <c r="I94" s="786">
        <v>2139</v>
      </c>
      <c r="J94" s="787">
        <v>9014</v>
      </c>
      <c r="K94" s="786">
        <v>5302</v>
      </c>
      <c r="L94" s="785">
        <v>10242</v>
      </c>
      <c r="M94" s="785"/>
      <c r="N94" s="786">
        <v>1051</v>
      </c>
      <c r="O94" s="786">
        <v>0</v>
      </c>
      <c r="P94" s="786">
        <v>0</v>
      </c>
      <c r="Q94" s="785">
        <v>0</v>
      </c>
      <c r="R94" s="785"/>
      <c r="S94" s="786">
        <v>12511</v>
      </c>
      <c r="T94" s="788">
        <v>4025</v>
      </c>
      <c r="U94" s="788">
        <v>16536</v>
      </c>
    </row>
    <row r="95" spans="1:21" x14ac:dyDescent="0.25">
      <c r="A95" s="782">
        <v>91020</v>
      </c>
      <c r="B95" s="783" t="s">
        <v>2713</v>
      </c>
      <c r="C95" s="784">
        <v>2.27E-5</v>
      </c>
      <c r="D95" s="784">
        <v>1.9899999999999999E-5</v>
      </c>
      <c r="E95" s="815">
        <v>10949</v>
      </c>
      <c r="F95" s="818">
        <v>42234</v>
      </c>
      <c r="G95" s="785">
        <v>34679</v>
      </c>
      <c r="H95" s="785"/>
      <c r="I95" s="786">
        <v>1998</v>
      </c>
      <c r="J95" s="787">
        <v>8420</v>
      </c>
      <c r="K95" s="786">
        <v>4953</v>
      </c>
      <c r="L95" s="785">
        <v>4064</v>
      </c>
      <c r="M95" s="785"/>
      <c r="N95" s="786">
        <v>982</v>
      </c>
      <c r="O95" s="786">
        <v>0</v>
      </c>
      <c r="P95" s="786">
        <v>0</v>
      </c>
      <c r="Q95" s="785">
        <v>376</v>
      </c>
      <c r="R95" s="785"/>
      <c r="S95" s="786">
        <v>11687</v>
      </c>
      <c r="T95" s="788">
        <v>1259</v>
      </c>
      <c r="U95" s="788">
        <v>12946</v>
      </c>
    </row>
    <row r="96" spans="1:21" x14ac:dyDescent="0.25">
      <c r="A96" s="782">
        <v>91021</v>
      </c>
      <c r="B96" s="783" t="s">
        <v>2714</v>
      </c>
      <c r="C96" s="784">
        <v>8.6450000000000003E-4</v>
      </c>
      <c r="D96" s="784">
        <v>8.6989999999999995E-4</v>
      </c>
      <c r="E96" s="815">
        <v>387782</v>
      </c>
      <c r="F96" s="818">
        <v>1846219</v>
      </c>
      <c r="G96" s="785">
        <v>1320717</v>
      </c>
      <c r="H96" s="785"/>
      <c r="I96" s="786">
        <v>76086</v>
      </c>
      <c r="J96" s="787">
        <v>320672</v>
      </c>
      <c r="K96" s="786">
        <v>188617</v>
      </c>
      <c r="L96" s="785">
        <v>0</v>
      </c>
      <c r="M96" s="785"/>
      <c r="N96" s="786">
        <v>37385</v>
      </c>
      <c r="O96" s="786">
        <v>0</v>
      </c>
      <c r="P96" s="786">
        <v>0</v>
      </c>
      <c r="Q96" s="785">
        <v>82677</v>
      </c>
      <c r="R96" s="785"/>
      <c r="S96" s="786">
        <v>445083</v>
      </c>
      <c r="T96" s="788">
        <v>-48679</v>
      </c>
      <c r="U96" s="788">
        <v>396404</v>
      </c>
    </row>
    <row r="97" spans="1:21" x14ac:dyDescent="0.25">
      <c r="A97" s="782">
        <v>91024</v>
      </c>
      <c r="B97" s="783" t="s">
        <v>2715</v>
      </c>
      <c r="C97" s="784">
        <v>7.2999999999999999E-5</v>
      </c>
      <c r="D97" s="784">
        <v>6.6299999999999999E-5</v>
      </c>
      <c r="E97" s="815">
        <v>34458</v>
      </c>
      <c r="F97" s="818">
        <v>140711</v>
      </c>
      <c r="G97" s="785">
        <v>111524</v>
      </c>
      <c r="H97" s="785"/>
      <c r="I97" s="786">
        <v>6425</v>
      </c>
      <c r="J97" s="787">
        <v>27078</v>
      </c>
      <c r="K97" s="786">
        <v>15927</v>
      </c>
      <c r="L97" s="785">
        <v>24081</v>
      </c>
      <c r="M97" s="785"/>
      <c r="N97" s="786">
        <v>3157</v>
      </c>
      <c r="O97" s="786">
        <v>0</v>
      </c>
      <c r="P97" s="786">
        <v>0</v>
      </c>
      <c r="Q97" s="785">
        <v>0</v>
      </c>
      <c r="R97" s="785"/>
      <c r="S97" s="786">
        <v>37584</v>
      </c>
      <c r="T97" s="788">
        <v>10843</v>
      </c>
      <c r="U97" s="788">
        <f>48426+1</f>
        <v>48427</v>
      </c>
    </row>
    <row r="98" spans="1:21" x14ac:dyDescent="0.25">
      <c r="A98" s="782">
        <v>91026</v>
      </c>
      <c r="B98" s="783" t="s">
        <v>1242</v>
      </c>
      <c r="C98" s="784">
        <v>4.18E-5</v>
      </c>
      <c r="D98" s="784">
        <v>6.0900000000000003E-5</v>
      </c>
      <c r="E98" s="815">
        <v>40781</v>
      </c>
      <c r="F98" s="818">
        <v>129250</v>
      </c>
      <c r="G98" s="785">
        <v>63859</v>
      </c>
      <c r="H98" s="785"/>
      <c r="I98" s="786">
        <v>3679</v>
      </c>
      <c r="J98" s="787">
        <v>15505</v>
      </c>
      <c r="K98" s="786">
        <v>9120</v>
      </c>
      <c r="L98" s="785">
        <v>34468</v>
      </c>
      <c r="M98" s="785"/>
      <c r="N98" s="786">
        <v>1808</v>
      </c>
      <c r="O98" s="786">
        <v>0</v>
      </c>
      <c r="P98" s="786">
        <v>0</v>
      </c>
      <c r="Q98" s="785">
        <v>3103</v>
      </c>
      <c r="R98" s="785"/>
      <c r="S98" s="786">
        <v>21520</v>
      </c>
      <c r="T98" s="788">
        <v>11546</v>
      </c>
      <c r="U98" s="788">
        <v>33066</v>
      </c>
    </row>
    <row r="99" spans="1:21" x14ac:dyDescent="0.25">
      <c r="A99" s="782">
        <v>91027</v>
      </c>
      <c r="B99" s="783" t="s">
        <v>2716</v>
      </c>
      <c r="C99" s="784">
        <v>1.4E-5</v>
      </c>
      <c r="D99" s="784">
        <v>1.6099999999999998E-5</v>
      </c>
      <c r="E99" s="815">
        <v>15968</v>
      </c>
      <c r="F99" s="818">
        <v>34170</v>
      </c>
      <c r="G99" s="785">
        <v>21388</v>
      </c>
      <c r="H99" s="785"/>
      <c r="I99" s="786">
        <v>1232</v>
      </c>
      <c r="J99" s="787">
        <v>5193</v>
      </c>
      <c r="K99" s="786">
        <v>3055</v>
      </c>
      <c r="L99" s="785">
        <v>16343</v>
      </c>
      <c r="M99" s="785"/>
      <c r="N99" s="786">
        <v>605</v>
      </c>
      <c r="O99" s="786">
        <v>0</v>
      </c>
      <c r="P99" s="786">
        <v>0</v>
      </c>
      <c r="Q99" s="785">
        <v>0</v>
      </c>
      <c r="R99" s="785"/>
      <c r="S99" s="786">
        <v>7208</v>
      </c>
      <c r="T99" s="788">
        <v>6601</v>
      </c>
      <c r="U99" s="788">
        <f>13808+1</f>
        <v>13809</v>
      </c>
    </row>
    <row r="100" spans="1:21" x14ac:dyDescent="0.25">
      <c r="A100" s="782">
        <v>91032</v>
      </c>
      <c r="B100" s="783" t="s">
        <v>2717</v>
      </c>
      <c r="C100" s="784">
        <v>1.8E-5</v>
      </c>
      <c r="D100" s="784">
        <v>1.8600000000000001E-5</v>
      </c>
      <c r="E100" s="815">
        <v>16168</v>
      </c>
      <c r="F100" s="818">
        <v>39475</v>
      </c>
      <c r="G100" s="785">
        <v>27499</v>
      </c>
      <c r="H100" s="785"/>
      <c r="I100" s="786">
        <v>1584</v>
      </c>
      <c r="J100" s="787">
        <v>6677</v>
      </c>
      <c r="K100" s="786">
        <v>3927</v>
      </c>
      <c r="L100" s="785">
        <v>14996</v>
      </c>
      <c r="M100" s="785"/>
      <c r="N100" s="786">
        <v>778</v>
      </c>
      <c r="O100" s="786">
        <v>0</v>
      </c>
      <c r="P100" s="786">
        <v>0</v>
      </c>
      <c r="Q100" s="785">
        <v>0</v>
      </c>
      <c r="R100" s="785"/>
      <c r="S100" s="786">
        <v>9267</v>
      </c>
      <c r="T100" s="788">
        <v>6458</v>
      </c>
      <c r="U100" s="788">
        <v>15725</v>
      </c>
    </row>
    <row r="101" spans="1:21" x14ac:dyDescent="0.25">
      <c r="A101" s="782">
        <v>91041</v>
      </c>
      <c r="B101" s="783" t="s">
        <v>2718</v>
      </c>
      <c r="C101" s="784">
        <v>4.0400000000000001E-4</v>
      </c>
      <c r="D101" s="784">
        <v>4.3609999999999998E-4</v>
      </c>
      <c r="E101" s="815">
        <v>157511</v>
      </c>
      <c r="F101" s="818">
        <v>925550</v>
      </c>
      <c r="G101" s="785">
        <v>617200</v>
      </c>
      <c r="H101" s="785"/>
      <c r="I101" s="786">
        <v>35556</v>
      </c>
      <c r="J101" s="787">
        <v>149857</v>
      </c>
      <c r="K101" s="786">
        <v>88145</v>
      </c>
      <c r="L101" s="785">
        <v>0</v>
      </c>
      <c r="M101" s="785"/>
      <c r="N101" s="786">
        <v>17471</v>
      </c>
      <c r="O101" s="786">
        <v>0</v>
      </c>
      <c r="P101" s="786">
        <v>0</v>
      </c>
      <c r="Q101" s="785">
        <v>109443</v>
      </c>
      <c r="R101" s="785"/>
      <c r="S101" s="786">
        <v>207997</v>
      </c>
      <c r="T101" s="788">
        <v>-39088</v>
      </c>
      <c r="U101" s="788">
        <v>168909</v>
      </c>
    </row>
    <row r="102" spans="1:21" x14ac:dyDescent="0.25">
      <c r="A102" s="782">
        <v>91042</v>
      </c>
      <c r="B102" s="783" t="s">
        <v>2719</v>
      </c>
      <c r="C102" s="784">
        <v>2.3360000000000001E-4</v>
      </c>
      <c r="D102" s="784">
        <v>2.062E-4</v>
      </c>
      <c r="E102" s="815">
        <v>99551</v>
      </c>
      <c r="F102" s="818">
        <v>437625</v>
      </c>
      <c r="G102" s="785">
        <v>356876</v>
      </c>
      <c r="H102" s="785"/>
      <c r="I102" s="786">
        <v>20559</v>
      </c>
      <c r="J102" s="787">
        <v>86650</v>
      </c>
      <c r="K102" s="786">
        <v>50967</v>
      </c>
      <c r="L102" s="785">
        <v>12354</v>
      </c>
      <c r="M102" s="785"/>
      <c r="N102" s="786">
        <v>10102</v>
      </c>
      <c r="O102" s="786">
        <v>0</v>
      </c>
      <c r="P102" s="786">
        <v>0</v>
      </c>
      <c r="Q102" s="785">
        <v>6985</v>
      </c>
      <c r="R102" s="785"/>
      <c r="S102" s="786">
        <v>120268</v>
      </c>
      <c r="T102" s="788">
        <v>717</v>
      </c>
      <c r="U102" s="788">
        <f>120984+1</f>
        <v>120985</v>
      </c>
    </row>
    <row r="103" spans="1:21" x14ac:dyDescent="0.25">
      <c r="A103" s="782">
        <v>91047</v>
      </c>
      <c r="B103" s="783" t="s">
        <v>2720</v>
      </c>
      <c r="C103" s="784">
        <v>1.31E-5</v>
      </c>
      <c r="D103" s="784">
        <v>1.3200000000000001E-5</v>
      </c>
      <c r="E103" s="815">
        <v>16396</v>
      </c>
      <c r="F103" s="818">
        <v>28015</v>
      </c>
      <c r="G103" s="785">
        <v>20013</v>
      </c>
      <c r="H103" s="785"/>
      <c r="I103" s="786">
        <v>1153</v>
      </c>
      <c r="J103" s="787">
        <v>4859</v>
      </c>
      <c r="K103" s="786">
        <v>2858</v>
      </c>
      <c r="L103" s="785">
        <v>20507</v>
      </c>
      <c r="M103" s="785"/>
      <c r="N103" s="786">
        <v>567</v>
      </c>
      <c r="O103" s="786">
        <v>0</v>
      </c>
      <c r="P103" s="786">
        <v>0</v>
      </c>
      <c r="Q103" s="785">
        <v>0</v>
      </c>
      <c r="R103" s="785"/>
      <c r="S103" s="786">
        <v>6744</v>
      </c>
      <c r="T103" s="788">
        <v>7559</v>
      </c>
      <c r="U103" s="788">
        <v>14303</v>
      </c>
    </row>
    <row r="104" spans="1:21" x14ac:dyDescent="0.25">
      <c r="A104" s="782">
        <v>91051</v>
      </c>
      <c r="B104" s="783" t="s">
        <v>2721</v>
      </c>
      <c r="C104" s="784">
        <v>6.6400000000000001E-5</v>
      </c>
      <c r="D104" s="784">
        <v>7.6600000000000005E-5</v>
      </c>
      <c r="E104" s="815">
        <v>30964</v>
      </c>
      <c r="F104" s="818">
        <v>162571</v>
      </c>
      <c r="G104" s="785">
        <v>101441</v>
      </c>
      <c r="H104" s="785"/>
      <c r="I104" s="786">
        <v>5844</v>
      </c>
      <c r="J104" s="787">
        <v>24630</v>
      </c>
      <c r="K104" s="786">
        <v>14487</v>
      </c>
      <c r="L104" s="785">
        <v>1619</v>
      </c>
      <c r="M104" s="785"/>
      <c r="N104" s="786">
        <v>2871</v>
      </c>
      <c r="O104" s="786">
        <v>0</v>
      </c>
      <c r="P104" s="786">
        <v>0</v>
      </c>
      <c r="Q104" s="785">
        <v>8430</v>
      </c>
      <c r="R104" s="785"/>
      <c r="S104" s="786">
        <v>34186</v>
      </c>
      <c r="T104" s="788">
        <v>-1576</v>
      </c>
      <c r="U104" s="788">
        <f>32609+1</f>
        <v>32610</v>
      </c>
    </row>
    <row r="105" spans="1:21" x14ac:dyDescent="0.25">
      <c r="A105" s="782">
        <v>91057</v>
      </c>
      <c r="B105" s="783" t="s">
        <v>2722</v>
      </c>
      <c r="C105" s="784">
        <v>1.4399999999999999E-5</v>
      </c>
      <c r="D105" s="784">
        <v>1.5E-5</v>
      </c>
      <c r="E105" s="815">
        <v>9616</v>
      </c>
      <c r="F105" s="818">
        <v>31835</v>
      </c>
      <c r="G105" s="785">
        <v>21999</v>
      </c>
      <c r="H105" s="785"/>
      <c r="I105" s="786">
        <v>1267</v>
      </c>
      <c r="J105" s="787">
        <v>5342</v>
      </c>
      <c r="K105" s="786">
        <v>3142</v>
      </c>
      <c r="L105" s="785">
        <v>5805</v>
      </c>
      <c r="M105" s="785"/>
      <c r="N105" s="786">
        <v>623</v>
      </c>
      <c r="O105" s="786">
        <v>0</v>
      </c>
      <c r="P105" s="786">
        <v>0</v>
      </c>
      <c r="Q105" s="785">
        <v>0</v>
      </c>
      <c r="R105" s="785"/>
      <c r="S105" s="786">
        <v>7414</v>
      </c>
      <c r="T105" s="788">
        <v>2191</v>
      </c>
      <c r="U105" s="788">
        <v>9605</v>
      </c>
    </row>
    <row r="106" spans="1:21" x14ac:dyDescent="0.25">
      <c r="A106" s="782">
        <v>91061</v>
      </c>
      <c r="B106" s="783" t="s">
        <v>2723</v>
      </c>
      <c r="C106" s="784">
        <v>4.104E-4</v>
      </c>
      <c r="D106" s="784">
        <v>3.7730000000000001E-4</v>
      </c>
      <c r="E106" s="815">
        <v>172504</v>
      </c>
      <c r="F106" s="818">
        <v>800757</v>
      </c>
      <c r="G106" s="785">
        <v>626978</v>
      </c>
      <c r="H106" s="785"/>
      <c r="I106" s="786">
        <v>36120</v>
      </c>
      <c r="J106" s="787">
        <v>152231</v>
      </c>
      <c r="K106" s="786">
        <v>89541</v>
      </c>
      <c r="L106" s="785">
        <v>19267</v>
      </c>
      <c r="M106" s="785"/>
      <c r="N106" s="786">
        <v>17748</v>
      </c>
      <c r="O106" s="786">
        <v>0</v>
      </c>
      <c r="P106" s="786">
        <v>0</v>
      </c>
      <c r="Q106" s="785">
        <v>27800</v>
      </c>
      <c r="R106" s="785"/>
      <c r="S106" s="786">
        <v>211292</v>
      </c>
      <c r="T106" s="788">
        <v>-13384</v>
      </c>
      <c r="U106" s="788">
        <v>197908</v>
      </c>
    </row>
    <row r="107" spans="1:21" x14ac:dyDescent="0.25">
      <c r="A107" s="782">
        <v>91067</v>
      </c>
      <c r="B107" s="783" t="s">
        <v>2724</v>
      </c>
      <c r="C107" s="784">
        <v>1.5699999999999999E-5</v>
      </c>
      <c r="D107" s="784">
        <v>1.8499999999999999E-5</v>
      </c>
      <c r="E107" s="815">
        <v>9046</v>
      </c>
      <c r="F107" s="818">
        <v>39263</v>
      </c>
      <c r="G107" s="785">
        <v>23985</v>
      </c>
      <c r="H107" s="785"/>
      <c r="I107" s="786">
        <v>1382</v>
      </c>
      <c r="J107" s="787">
        <v>5824</v>
      </c>
      <c r="K107" s="786">
        <v>3425</v>
      </c>
      <c r="L107" s="785">
        <v>2413</v>
      </c>
      <c r="M107" s="785"/>
      <c r="N107" s="786">
        <v>679</v>
      </c>
      <c r="O107" s="786">
        <v>0</v>
      </c>
      <c r="P107" s="786">
        <v>0</v>
      </c>
      <c r="Q107" s="785">
        <v>406</v>
      </c>
      <c r="R107" s="785"/>
      <c r="S107" s="786">
        <v>8083</v>
      </c>
      <c r="T107" s="788">
        <v>1156</v>
      </c>
      <c r="U107" s="788">
        <v>9239</v>
      </c>
    </row>
    <row r="108" spans="1:21" x14ac:dyDescent="0.25">
      <c r="A108" s="782">
        <v>91071</v>
      </c>
      <c r="B108" s="783" t="s">
        <v>2725</v>
      </c>
      <c r="C108" s="784">
        <v>2.2770000000000001E-4</v>
      </c>
      <c r="D108" s="784">
        <v>2.4379999999999999E-4</v>
      </c>
      <c r="E108" s="815">
        <v>93245</v>
      </c>
      <c r="F108" s="818">
        <v>517425</v>
      </c>
      <c r="G108" s="785">
        <v>347863</v>
      </c>
      <c r="H108" s="785"/>
      <c r="I108" s="786">
        <v>20040</v>
      </c>
      <c r="J108" s="787">
        <v>84462</v>
      </c>
      <c r="K108" s="786">
        <v>49680</v>
      </c>
      <c r="L108" s="785">
        <v>8372</v>
      </c>
      <c r="M108" s="785"/>
      <c r="N108" s="786">
        <v>9847</v>
      </c>
      <c r="O108" s="786">
        <v>0</v>
      </c>
      <c r="P108" s="786">
        <v>0</v>
      </c>
      <c r="Q108" s="785">
        <v>22478</v>
      </c>
      <c r="R108" s="785"/>
      <c r="S108" s="786">
        <v>117230</v>
      </c>
      <c r="T108" s="788">
        <v>2353</v>
      </c>
      <c r="U108" s="788">
        <v>119583</v>
      </c>
    </row>
    <row r="109" spans="1:21" x14ac:dyDescent="0.25">
      <c r="A109" s="782">
        <v>91077</v>
      </c>
      <c r="B109" s="783" t="s">
        <v>2726</v>
      </c>
      <c r="C109" s="784">
        <v>3.5999999999999998E-6</v>
      </c>
      <c r="D109" s="784">
        <v>3.9999999999999998E-6</v>
      </c>
      <c r="E109" s="815">
        <v>3277</v>
      </c>
      <c r="F109" s="818">
        <v>8489</v>
      </c>
      <c r="G109" s="785">
        <v>5500</v>
      </c>
      <c r="H109" s="785"/>
      <c r="I109" s="786">
        <v>317</v>
      </c>
      <c r="J109" s="787">
        <v>1336</v>
      </c>
      <c r="K109" s="786">
        <v>785</v>
      </c>
      <c r="L109" s="785">
        <v>1826</v>
      </c>
      <c r="M109" s="785"/>
      <c r="N109" s="786">
        <v>156</v>
      </c>
      <c r="O109" s="786">
        <v>0</v>
      </c>
      <c r="P109" s="786">
        <v>0</v>
      </c>
      <c r="Q109" s="785">
        <v>51</v>
      </c>
      <c r="R109" s="785"/>
      <c r="S109" s="786">
        <v>1853</v>
      </c>
      <c r="T109" s="788">
        <v>551</v>
      </c>
      <c r="U109" s="788">
        <f>2405-1</f>
        <v>2404</v>
      </c>
    </row>
    <row r="110" spans="1:21" x14ac:dyDescent="0.25">
      <c r="A110" s="782">
        <v>91081</v>
      </c>
      <c r="B110" s="783" t="s">
        <v>2727</v>
      </c>
      <c r="C110" s="784">
        <v>3.6240000000000003E-4</v>
      </c>
      <c r="D110" s="784">
        <v>3.6499999999999998E-4</v>
      </c>
      <c r="E110" s="815">
        <v>169112</v>
      </c>
      <c r="F110" s="818">
        <v>774652</v>
      </c>
      <c r="G110" s="785">
        <v>553647</v>
      </c>
      <c r="H110" s="785"/>
      <c r="I110" s="786">
        <v>31895</v>
      </c>
      <c r="J110" s="787">
        <v>134426</v>
      </c>
      <c r="K110" s="786">
        <v>79068</v>
      </c>
      <c r="L110" s="785">
        <v>1618</v>
      </c>
      <c r="M110" s="785"/>
      <c r="N110" s="786">
        <v>15672</v>
      </c>
      <c r="O110" s="786">
        <v>0</v>
      </c>
      <c r="P110" s="786">
        <v>0</v>
      </c>
      <c r="Q110" s="785">
        <v>13549</v>
      </c>
      <c r="R110" s="785"/>
      <c r="S110" s="786">
        <v>186579</v>
      </c>
      <c r="T110" s="788">
        <v>-13101</v>
      </c>
      <c r="U110" s="788">
        <v>173478</v>
      </c>
    </row>
    <row r="111" spans="1:21" x14ac:dyDescent="0.25">
      <c r="A111" s="782">
        <v>91091</v>
      </c>
      <c r="B111" s="783" t="s">
        <v>2728</v>
      </c>
      <c r="C111" s="784">
        <v>5.3790000000000001E-4</v>
      </c>
      <c r="D111" s="784">
        <v>5.6380000000000004E-4</v>
      </c>
      <c r="E111" s="815">
        <v>225749</v>
      </c>
      <c r="F111" s="818">
        <v>1196572</v>
      </c>
      <c r="G111" s="785">
        <v>821762</v>
      </c>
      <c r="H111" s="785"/>
      <c r="I111" s="786">
        <v>47341</v>
      </c>
      <c r="J111" s="787">
        <v>199525</v>
      </c>
      <c r="K111" s="786">
        <v>117359</v>
      </c>
      <c r="L111" s="785">
        <v>0</v>
      </c>
      <c r="M111" s="785"/>
      <c r="N111" s="786">
        <v>23261</v>
      </c>
      <c r="O111" s="786">
        <v>0</v>
      </c>
      <c r="P111" s="786">
        <v>0</v>
      </c>
      <c r="Q111" s="785">
        <v>66212</v>
      </c>
      <c r="R111" s="785"/>
      <c r="S111" s="786">
        <v>276935</v>
      </c>
      <c r="T111" s="788">
        <v>-30835</v>
      </c>
      <c r="U111" s="788">
        <f>246099+1</f>
        <v>246100</v>
      </c>
    </row>
    <row r="112" spans="1:21" x14ac:dyDescent="0.25">
      <c r="A112" s="782">
        <v>91101</v>
      </c>
      <c r="B112" s="783" t="s">
        <v>2729</v>
      </c>
      <c r="C112" s="784">
        <v>1.35581E-2</v>
      </c>
      <c r="D112" s="784">
        <v>1.36685E-2</v>
      </c>
      <c r="E112" s="815">
        <v>5894551</v>
      </c>
      <c r="F112" s="818">
        <v>29009136</v>
      </c>
      <c r="G112" s="785">
        <v>20713021</v>
      </c>
      <c r="H112" s="785"/>
      <c r="I112" s="786">
        <v>1193262</v>
      </c>
      <c r="J112" s="787">
        <v>5029146</v>
      </c>
      <c r="K112" s="786">
        <v>2958106</v>
      </c>
      <c r="L112" s="785">
        <v>471609</v>
      </c>
      <c r="M112" s="785"/>
      <c r="N112" s="786">
        <v>586320</v>
      </c>
      <c r="O112" s="786">
        <v>0</v>
      </c>
      <c r="P112" s="786">
        <v>0</v>
      </c>
      <c r="Q112" s="785">
        <v>587664</v>
      </c>
      <c r="R112" s="785"/>
      <c r="S112" s="786">
        <v>6980306</v>
      </c>
      <c r="T112" s="788">
        <v>147859</v>
      </c>
      <c r="U112" s="788">
        <v>7128165</v>
      </c>
    </row>
    <row r="113" spans="1:21" x14ac:dyDescent="0.25">
      <c r="A113" s="782">
        <v>91102</v>
      </c>
      <c r="B113" s="783" t="s">
        <v>2730</v>
      </c>
      <c r="C113" s="784">
        <v>3.2919999999999998E-4</v>
      </c>
      <c r="D113" s="784">
        <v>3.034E-4</v>
      </c>
      <c r="E113" s="815">
        <v>156560</v>
      </c>
      <c r="F113" s="818">
        <v>643916</v>
      </c>
      <c r="G113" s="785">
        <v>502926</v>
      </c>
      <c r="H113" s="785"/>
      <c r="I113" s="786">
        <v>28973</v>
      </c>
      <c r="J113" s="787">
        <v>122111</v>
      </c>
      <c r="K113" s="786">
        <v>71825</v>
      </c>
      <c r="L113" s="785">
        <v>35240</v>
      </c>
      <c r="M113" s="785"/>
      <c r="N113" s="786">
        <v>14236</v>
      </c>
      <c r="O113" s="786">
        <v>0</v>
      </c>
      <c r="P113" s="786">
        <v>0</v>
      </c>
      <c r="Q113" s="785">
        <v>33978</v>
      </c>
      <c r="R113" s="785"/>
      <c r="S113" s="786">
        <v>169487</v>
      </c>
      <c r="T113" s="788">
        <v>-8323</v>
      </c>
      <c r="U113" s="788">
        <f>161163+1</f>
        <v>161164</v>
      </c>
    </row>
    <row r="114" spans="1:21" x14ac:dyDescent="0.25">
      <c r="A114" s="782">
        <v>91104</v>
      </c>
      <c r="B114" s="783" t="s">
        <v>2731</v>
      </c>
      <c r="C114" s="784">
        <v>7.9000000000000006E-6</v>
      </c>
      <c r="D114" s="784">
        <v>8.1999999999999994E-6</v>
      </c>
      <c r="E114" s="815">
        <v>5628</v>
      </c>
      <c r="F114" s="818">
        <v>17403</v>
      </c>
      <c r="G114" s="785">
        <v>12069</v>
      </c>
      <c r="H114" s="785"/>
      <c r="I114" s="786">
        <v>695</v>
      </c>
      <c r="J114" s="787">
        <v>2930</v>
      </c>
      <c r="K114" s="786">
        <v>1724</v>
      </c>
      <c r="L114" s="785">
        <v>2115</v>
      </c>
      <c r="M114" s="785"/>
      <c r="N114" s="786">
        <v>342</v>
      </c>
      <c r="O114" s="786">
        <v>0</v>
      </c>
      <c r="P114" s="786">
        <v>0</v>
      </c>
      <c r="Q114" s="785">
        <v>39</v>
      </c>
      <c r="R114" s="785"/>
      <c r="S114" s="786">
        <v>4067</v>
      </c>
      <c r="T114" s="788">
        <v>589</v>
      </c>
      <c r="U114" s="788">
        <v>4656</v>
      </c>
    </row>
    <row r="115" spans="1:21" x14ac:dyDescent="0.25">
      <c r="A115" s="782">
        <v>91107</v>
      </c>
      <c r="B115" s="783" t="s">
        <v>3663</v>
      </c>
      <c r="C115" s="784">
        <v>7.08E-5</v>
      </c>
      <c r="D115" s="784">
        <v>6.7899999999999997E-5</v>
      </c>
      <c r="E115" s="815">
        <v>36616</v>
      </c>
      <c r="F115" s="818">
        <v>0</v>
      </c>
      <c r="G115" s="785">
        <v>108163</v>
      </c>
      <c r="H115" s="785"/>
      <c r="I115" s="786">
        <v>6231</v>
      </c>
      <c r="J115" s="787">
        <v>26263</v>
      </c>
      <c r="K115" s="786">
        <v>15447</v>
      </c>
      <c r="L115" s="785">
        <v>13143</v>
      </c>
      <c r="M115" s="785"/>
      <c r="N115" s="786">
        <v>3062</v>
      </c>
      <c r="O115" s="786">
        <v>0</v>
      </c>
      <c r="P115" s="786">
        <v>0</v>
      </c>
      <c r="Q115" s="785">
        <v>0</v>
      </c>
      <c r="R115" s="785"/>
      <c r="S115" s="786">
        <v>36451</v>
      </c>
      <c r="T115" s="788">
        <v>5162</v>
      </c>
      <c r="U115" s="788">
        <v>41613</v>
      </c>
    </row>
    <row r="116" spans="1:21" x14ac:dyDescent="0.25">
      <c r="A116" s="782">
        <v>91108</v>
      </c>
      <c r="B116" s="783" t="s">
        <v>2733</v>
      </c>
      <c r="C116" s="784">
        <v>1.2413999999999999E-3</v>
      </c>
      <c r="D116" s="784">
        <v>1.2622E-3</v>
      </c>
      <c r="E116" s="815">
        <v>613476</v>
      </c>
      <c r="F116" s="818">
        <v>2678811</v>
      </c>
      <c r="G116" s="785">
        <v>1896515</v>
      </c>
      <c r="H116" s="785"/>
      <c r="I116" s="786">
        <v>109257</v>
      </c>
      <c r="J116" s="787">
        <v>460476</v>
      </c>
      <c r="K116" s="786">
        <v>270849</v>
      </c>
      <c r="L116" s="785">
        <v>74887</v>
      </c>
      <c r="M116" s="785"/>
      <c r="N116" s="786">
        <v>53684</v>
      </c>
      <c r="O116" s="786">
        <v>0</v>
      </c>
      <c r="P116" s="786">
        <v>0</v>
      </c>
      <c r="Q116" s="785">
        <v>0</v>
      </c>
      <c r="R116" s="785"/>
      <c r="S116" s="786">
        <v>639127</v>
      </c>
      <c r="T116" s="788">
        <v>34876</v>
      </c>
      <c r="U116" s="788">
        <v>674003</v>
      </c>
    </row>
    <row r="117" spans="1:21" x14ac:dyDescent="0.25">
      <c r="A117" s="782">
        <v>91109</v>
      </c>
      <c r="B117" s="783" t="s">
        <v>2734</v>
      </c>
      <c r="C117" s="784">
        <v>9.9599999999999995E-5</v>
      </c>
      <c r="D117" s="784">
        <v>9.2100000000000003E-5</v>
      </c>
      <c r="E117" s="815">
        <v>45066</v>
      </c>
      <c r="F117" s="818">
        <v>195467</v>
      </c>
      <c r="G117" s="785">
        <v>152161</v>
      </c>
      <c r="H117" s="785"/>
      <c r="I117" s="786">
        <v>8766</v>
      </c>
      <c r="J117" s="787">
        <v>36945</v>
      </c>
      <c r="K117" s="786">
        <v>21731</v>
      </c>
      <c r="L117" s="785">
        <v>5921</v>
      </c>
      <c r="M117" s="785"/>
      <c r="N117" s="786">
        <v>4307</v>
      </c>
      <c r="O117" s="786">
        <v>0</v>
      </c>
      <c r="P117" s="786">
        <v>0</v>
      </c>
      <c r="Q117" s="785">
        <v>920</v>
      </c>
      <c r="R117" s="785"/>
      <c r="S117" s="786">
        <v>51278</v>
      </c>
      <c r="T117" s="788">
        <v>1215</v>
      </c>
      <c r="U117" s="788">
        <v>52493</v>
      </c>
    </row>
    <row r="118" spans="1:21" x14ac:dyDescent="0.25">
      <c r="A118" s="782">
        <v>91111</v>
      </c>
      <c r="B118" s="783" t="s">
        <v>2735</v>
      </c>
      <c r="C118" s="784">
        <v>2.2719999999999999E-4</v>
      </c>
      <c r="D118" s="784">
        <v>2.2359999999999999E-4</v>
      </c>
      <c r="E118" s="815">
        <v>110903</v>
      </c>
      <c r="F118" s="818">
        <v>474554</v>
      </c>
      <c r="G118" s="785">
        <v>347099</v>
      </c>
      <c r="H118" s="785"/>
      <c r="I118" s="786">
        <v>19996</v>
      </c>
      <c r="J118" s="787">
        <v>84276</v>
      </c>
      <c r="K118" s="786">
        <v>49570</v>
      </c>
      <c r="L118" s="785">
        <v>25492</v>
      </c>
      <c r="M118" s="785"/>
      <c r="N118" s="786">
        <v>9825</v>
      </c>
      <c r="O118" s="786">
        <v>0</v>
      </c>
      <c r="P118" s="786">
        <v>0</v>
      </c>
      <c r="Q118" s="785">
        <v>0</v>
      </c>
      <c r="R118" s="785"/>
      <c r="S118" s="786">
        <v>116973</v>
      </c>
      <c r="T118" s="788">
        <v>10793</v>
      </c>
      <c r="U118" s="788">
        <v>127766</v>
      </c>
    </row>
    <row r="119" spans="1:21" x14ac:dyDescent="0.25">
      <c r="A119" s="782">
        <v>91119</v>
      </c>
      <c r="B119" s="783" t="s">
        <v>1262</v>
      </c>
      <c r="C119" s="784">
        <v>0</v>
      </c>
      <c r="D119" s="784">
        <v>0</v>
      </c>
      <c r="E119" s="815">
        <v>0</v>
      </c>
      <c r="F119" s="818">
        <v>0</v>
      </c>
      <c r="G119" s="785">
        <v>0</v>
      </c>
      <c r="H119" s="785"/>
      <c r="I119" s="786">
        <v>0</v>
      </c>
      <c r="J119" s="787">
        <v>0</v>
      </c>
      <c r="K119" s="786">
        <v>0</v>
      </c>
      <c r="L119" s="785">
        <v>0</v>
      </c>
      <c r="M119" s="785"/>
      <c r="N119" s="786">
        <v>0</v>
      </c>
      <c r="O119" s="786">
        <v>0</v>
      </c>
      <c r="P119" s="786">
        <v>0</v>
      </c>
      <c r="Q119" s="785">
        <v>321091</v>
      </c>
      <c r="R119" s="785"/>
      <c r="S119" s="786">
        <v>0</v>
      </c>
      <c r="T119" s="788">
        <v>-324334</v>
      </c>
      <c r="U119" s="788">
        <v>-324334</v>
      </c>
    </row>
    <row r="120" spans="1:21" x14ac:dyDescent="0.25">
      <c r="A120" s="782">
        <v>91120</v>
      </c>
      <c r="B120" s="783" t="s">
        <v>2736</v>
      </c>
      <c r="C120" s="784">
        <v>1.3019999999999999E-4</v>
      </c>
      <c r="D120" s="784">
        <v>1.184E-4</v>
      </c>
      <c r="E120" s="815">
        <v>45449</v>
      </c>
      <c r="F120" s="818">
        <v>251284</v>
      </c>
      <c r="G120" s="785">
        <v>198910</v>
      </c>
      <c r="H120" s="785"/>
      <c r="I120" s="786">
        <v>11459</v>
      </c>
      <c r="J120" s="787">
        <v>48295</v>
      </c>
      <c r="K120" s="786">
        <v>28407</v>
      </c>
      <c r="L120" s="785">
        <v>0</v>
      </c>
      <c r="M120" s="785"/>
      <c r="N120" s="786">
        <v>5630</v>
      </c>
      <c r="O120" s="786">
        <v>0</v>
      </c>
      <c r="P120" s="786">
        <v>0</v>
      </c>
      <c r="Q120" s="785">
        <v>21939</v>
      </c>
      <c r="R120" s="785"/>
      <c r="S120" s="786">
        <v>67033</v>
      </c>
      <c r="T120" s="788">
        <v>-12131</v>
      </c>
      <c r="U120" s="788">
        <v>54902</v>
      </c>
    </row>
    <row r="121" spans="1:21" x14ac:dyDescent="0.25">
      <c r="A121" s="782">
        <v>91121</v>
      </c>
      <c r="B121" s="783" t="s">
        <v>2737</v>
      </c>
      <c r="C121" s="784">
        <v>9.9927999999999996E-3</v>
      </c>
      <c r="D121" s="784">
        <v>9.7842999999999992E-3</v>
      </c>
      <c r="E121" s="815">
        <v>4272051</v>
      </c>
      <c r="F121" s="818">
        <v>20765562</v>
      </c>
      <c r="G121" s="785">
        <v>15266230</v>
      </c>
      <c r="H121" s="785"/>
      <c r="I121" s="786">
        <v>879476</v>
      </c>
      <c r="J121" s="787">
        <v>3706660</v>
      </c>
      <c r="K121" s="786">
        <v>2180229</v>
      </c>
      <c r="L121" s="785">
        <v>0</v>
      </c>
      <c r="M121" s="785"/>
      <c r="N121" s="786">
        <v>432139</v>
      </c>
      <c r="O121" s="786">
        <v>0</v>
      </c>
      <c r="P121" s="786">
        <v>0</v>
      </c>
      <c r="Q121" s="785">
        <v>650994</v>
      </c>
      <c r="R121" s="785"/>
      <c r="S121" s="786">
        <v>5144733</v>
      </c>
      <c r="T121" s="788">
        <v>-324255</v>
      </c>
      <c r="U121" s="788">
        <f>4820479-1</f>
        <v>4820478</v>
      </c>
    </row>
    <row r="122" spans="1:21" x14ac:dyDescent="0.25">
      <c r="A122" s="782">
        <v>91127</v>
      </c>
      <c r="B122" s="783" t="s">
        <v>2738</v>
      </c>
      <c r="C122" s="784">
        <v>2.6879999999999997E-4</v>
      </c>
      <c r="D122" s="784">
        <v>2.8229999999999998E-4</v>
      </c>
      <c r="E122" s="815">
        <v>146935</v>
      </c>
      <c r="F122" s="818">
        <v>599135</v>
      </c>
      <c r="G122" s="785">
        <v>410652</v>
      </c>
      <c r="H122" s="785"/>
      <c r="I122" s="786">
        <v>23657</v>
      </c>
      <c r="J122" s="787">
        <v>99706</v>
      </c>
      <c r="K122" s="786">
        <v>58647</v>
      </c>
      <c r="L122" s="785">
        <v>46863</v>
      </c>
      <c r="M122" s="785"/>
      <c r="N122" s="786">
        <v>11624</v>
      </c>
      <c r="O122" s="786">
        <v>0</v>
      </c>
      <c r="P122" s="786">
        <v>0</v>
      </c>
      <c r="Q122" s="785">
        <v>0</v>
      </c>
      <c r="R122" s="785"/>
      <c r="S122" s="786">
        <v>138390</v>
      </c>
      <c r="T122" s="788">
        <v>25061</v>
      </c>
      <c r="U122" s="788">
        <v>163451</v>
      </c>
    </row>
    <row r="123" spans="1:21" x14ac:dyDescent="0.25">
      <c r="A123" s="782">
        <v>91128</v>
      </c>
      <c r="B123" s="783" t="s">
        <v>2739</v>
      </c>
      <c r="C123" s="784">
        <v>5.2380000000000005E-4</v>
      </c>
      <c r="D123" s="784">
        <v>5.0929999999999997E-4</v>
      </c>
      <c r="E123" s="815">
        <v>238305</v>
      </c>
      <c r="F123" s="818">
        <v>1080905</v>
      </c>
      <c r="G123" s="785">
        <v>800221</v>
      </c>
      <c r="H123" s="785"/>
      <c r="I123" s="786">
        <v>46100</v>
      </c>
      <c r="J123" s="787">
        <v>194295</v>
      </c>
      <c r="K123" s="786">
        <v>114283</v>
      </c>
      <c r="L123" s="785">
        <v>15169</v>
      </c>
      <c r="M123" s="785"/>
      <c r="N123" s="786">
        <v>22652</v>
      </c>
      <c r="O123" s="786">
        <v>0</v>
      </c>
      <c r="P123" s="786">
        <v>0</v>
      </c>
      <c r="Q123" s="785">
        <v>6263</v>
      </c>
      <c r="R123" s="785"/>
      <c r="S123" s="786">
        <v>269675</v>
      </c>
      <c r="T123" s="788">
        <v>-679</v>
      </c>
      <c r="U123" s="788">
        <v>268996</v>
      </c>
    </row>
    <row r="124" spans="1:21" x14ac:dyDescent="0.25">
      <c r="A124" s="782">
        <v>91138</v>
      </c>
      <c r="B124" s="783" t="s">
        <v>2740</v>
      </c>
      <c r="C124" s="784">
        <v>6.2629999999999999E-4</v>
      </c>
      <c r="D124" s="784">
        <v>6.2350000000000003E-4</v>
      </c>
      <c r="E124" s="815">
        <v>220646</v>
      </c>
      <c r="F124" s="818">
        <v>1323276</v>
      </c>
      <c r="G124" s="785">
        <v>956813</v>
      </c>
      <c r="H124" s="785"/>
      <c r="I124" s="786">
        <v>55121</v>
      </c>
      <c r="J124" s="787">
        <v>232316</v>
      </c>
      <c r="K124" s="786">
        <v>136646</v>
      </c>
      <c r="L124" s="785">
        <v>0</v>
      </c>
      <c r="M124" s="785"/>
      <c r="N124" s="786">
        <v>27084</v>
      </c>
      <c r="O124" s="786">
        <v>0</v>
      </c>
      <c r="P124" s="786">
        <v>0</v>
      </c>
      <c r="Q124" s="785">
        <v>127984</v>
      </c>
      <c r="R124" s="785"/>
      <c r="S124" s="786">
        <v>322447</v>
      </c>
      <c r="T124" s="788">
        <v>-48531</v>
      </c>
      <c r="U124" s="788">
        <v>273916</v>
      </c>
    </row>
    <row r="125" spans="1:21" x14ac:dyDescent="0.25">
      <c r="A125" s="782">
        <v>91141</v>
      </c>
      <c r="B125" s="783" t="s">
        <v>2741</v>
      </c>
      <c r="C125" s="784">
        <v>5.7569999999999995E-4</v>
      </c>
      <c r="D125" s="784">
        <v>5.5679999999999998E-4</v>
      </c>
      <c r="E125" s="815">
        <v>236315</v>
      </c>
      <c r="F125" s="818">
        <v>1181716</v>
      </c>
      <c r="G125" s="785">
        <v>879510</v>
      </c>
      <c r="H125" s="785"/>
      <c r="I125" s="786">
        <v>50668</v>
      </c>
      <c r="J125" s="787">
        <v>213546</v>
      </c>
      <c r="K125" s="786">
        <v>125606</v>
      </c>
      <c r="L125" s="785">
        <v>0</v>
      </c>
      <c r="M125" s="785"/>
      <c r="N125" s="786">
        <v>24896</v>
      </c>
      <c r="O125" s="786">
        <v>0</v>
      </c>
      <c r="P125" s="786">
        <v>0</v>
      </c>
      <c r="Q125" s="785">
        <v>80393</v>
      </c>
      <c r="R125" s="785"/>
      <c r="S125" s="786">
        <v>296396</v>
      </c>
      <c r="T125" s="788">
        <v>-38126</v>
      </c>
      <c r="U125" s="788">
        <v>258270</v>
      </c>
    </row>
    <row r="126" spans="1:21" x14ac:dyDescent="0.25">
      <c r="A126" s="782">
        <v>91147</v>
      </c>
      <c r="B126" s="783" t="s">
        <v>2742</v>
      </c>
      <c r="C126" s="784">
        <v>2.6699999999999998E-5</v>
      </c>
      <c r="D126" s="784">
        <v>2.4199999999999999E-5</v>
      </c>
      <c r="E126" s="815">
        <v>12125</v>
      </c>
      <c r="F126" s="818">
        <v>51361</v>
      </c>
      <c r="G126" s="785">
        <v>40790</v>
      </c>
      <c r="H126" s="785"/>
      <c r="I126" s="786">
        <v>2350</v>
      </c>
      <c r="J126" s="787">
        <v>9904</v>
      </c>
      <c r="K126" s="786">
        <v>5825</v>
      </c>
      <c r="L126" s="785">
        <v>8489</v>
      </c>
      <c r="M126" s="785"/>
      <c r="N126" s="786">
        <v>1155</v>
      </c>
      <c r="O126" s="786">
        <v>0</v>
      </c>
      <c r="P126" s="786">
        <v>0</v>
      </c>
      <c r="Q126" s="785">
        <v>0</v>
      </c>
      <c r="R126" s="785"/>
      <c r="S126" s="786">
        <v>13746</v>
      </c>
      <c r="T126" s="788">
        <v>4333</v>
      </c>
      <c r="U126" s="788">
        <f>18080-1</f>
        <v>18079</v>
      </c>
    </row>
    <row r="127" spans="1:21" x14ac:dyDescent="0.25">
      <c r="A127" s="782">
        <v>91151</v>
      </c>
      <c r="B127" s="783" t="s">
        <v>2743</v>
      </c>
      <c r="C127" s="784">
        <v>6.3409999999999996E-4</v>
      </c>
      <c r="D127" s="784">
        <v>6.1180000000000002E-4</v>
      </c>
      <c r="E127" s="815">
        <v>254760</v>
      </c>
      <c r="F127" s="818">
        <v>1298445</v>
      </c>
      <c r="G127" s="785">
        <v>968729</v>
      </c>
      <c r="H127" s="785"/>
      <c r="I127" s="786">
        <v>55808</v>
      </c>
      <c r="J127" s="787">
        <v>235208</v>
      </c>
      <c r="K127" s="786">
        <v>138348</v>
      </c>
      <c r="L127" s="785">
        <v>6907</v>
      </c>
      <c r="M127" s="785"/>
      <c r="N127" s="786">
        <v>27422</v>
      </c>
      <c r="O127" s="786">
        <v>0</v>
      </c>
      <c r="P127" s="786">
        <v>0</v>
      </c>
      <c r="Q127" s="785">
        <v>49311</v>
      </c>
      <c r="R127" s="785"/>
      <c r="S127" s="786">
        <v>326463</v>
      </c>
      <c r="T127" s="788">
        <v>-15290</v>
      </c>
      <c r="U127" s="788">
        <f>311172+1</f>
        <v>311173</v>
      </c>
    </row>
    <row r="128" spans="1:21" x14ac:dyDescent="0.25">
      <c r="A128" s="782">
        <v>91154</v>
      </c>
      <c r="B128" s="783" t="s">
        <v>2744</v>
      </c>
      <c r="C128" s="784">
        <v>2.6299999999999999E-5</v>
      </c>
      <c r="D128" s="784">
        <v>1.9599999999999999E-5</v>
      </c>
      <c r="E128" s="815">
        <v>10902</v>
      </c>
      <c r="F128" s="818">
        <v>41598</v>
      </c>
      <c r="G128" s="785">
        <v>40179</v>
      </c>
      <c r="H128" s="785"/>
      <c r="I128" s="786">
        <v>2315</v>
      </c>
      <c r="J128" s="787">
        <v>9756</v>
      </c>
      <c r="K128" s="786">
        <v>5738</v>
      </c>
      <c r="L128" s="785">
        <v>7326</v>
      </c>
      <c r="M128" s="785"/>
      <c r="N128" s="786">
        <v>1137</v>
      </c>
      <c r="O128" s="786">
        <v>0</v>
      </c>
      <c r="P128" s="786">
        <v>0</v>
      </c>
      <c r="Q128" s="785">
        <v>0</v>
      </c>
      <c r="R128" s="785"/>
      <c r="S128" s="786">
        <v>13540</v>
      </c>
      <c r="T128" s="788">
        <v>2962</v>
      </c>
      <c r="U128" s="788">
        <f>16503-1</f>
        <v>16502</v>
      </c>
    </row>
    <row r="129" spans="1:21" x14ac:dyDescent="0.25">
      <c r="A129" s="782">
        <v>91161</v>
      </c>
      <c r="B129" s="783" t="s">
        <v>2745</v>
      </c>
      <c r="C129" s="784">
        <v>9.2600000000000001E-5</v>
      </c>
      <c r="D129" s="784">
        <v>9.4599999999999996E-5</v>
      </c>
      <c r="E129" s="815">
        <v>44457</v>
      </c>
      <c r="F129" s="818">
        <v>200773</v>
      </c>
      <c r="G129" s="785">
        <v>141467</v>
      </c>
      <c r="H129" s="785"/>
      <c r="I129" s="786">
        <v>8150</v>
      </c>
      <c r="J129" s="787">
        <v>34348</v>
      </c>
      <c r="K129" s="786">
        <v>20203</v>
      </c>
      <c r="L129" s="785">
        <v>5327</v>
      </c>
      <c r="M129" s="785"/>
      <c r="N129" s="786">
        <v>4004</v>
      </c>
      <c r="O129" s="786">
        <v>0</v>
      </c>
      <c r="P129" s="786">
        <v>0</v>
      </c>
      <c r="Q129" s="785">
        <v>3079</v>
      </c>
      <c r="R129" s="785"/>
      <c r="S129" s="786">
        <v>47675</v>
      </c>
      <c r="T129" s="788">
        <v>935</v>
      </c>
      <c r="U129" s="788">
        <v>48610</v>
      </c>
    </row>
    <row r="130" spans="1:21" x14ac:dyDescent="0.25">
      <c r="A130" s="782">
        <v>91171</v>
      </c>
      <c r="B130" s="783" t="s">
        <v>2746</v>
      </c>
      <c r="C130" s="784">
        <v>1.95E-4</v>
      </c>
      <c r="D130" s="784">
        <v>2.5589999999999999E-4</v>
      </c>
      <c r="E130" s="815">
        <v>93651</v>
      </c>
      <c r="F130" s="818">
        <v>543106</v>
      </c>
      <c r="G130" s="785">
        <v>297906</v>
      </c>
      <c r="H130" s="785"/>
      <c r="I130" s="786">
        <v>17162</v>
      </c>
      <c r="J130" s="787">
        <v>72331</v>
      </c>
      <c r="K130" s="786">
        <v>42545</v>
      </c>
      <c r="L130" s="785">
        <v>0</v>
      </c>
      <c r="M130" s="785"/>
      <c r="N130" s="786">
        <v>8433</v>
      </c>
      <c r="O130" s="786">
        <v>0</v>
      </c>
      <c r="P130" s="786">
        <v>0</v>
      </c>
      <c r="Q130" s="785">
        <v>58020</v>
      </c>
      <c r="R130" s="785"/>
      <c r="S130" s="786">
        <v>100395</v>
      </c>
      <c r="T130" s="788">
        <v>-21400</v>
      </c>
      <c r="U130" s="788">
        <f>78994+1</f>
        <v>78995</v>
      </c>
    </row>
    <row r="131" spans="1:21" x14ac:dyDescent="0.25">
      <c r="A131" s="782">
        <v>91201</v>
      </c>
      <c r="B131" s="783" t="s">
        <v>2747</v>
      </c>
      <c r="C131" s="784">
        <v>2.2878E-3</v>
      </c>
      <c r="D131" s="784">
        <v>2.3127999999999998E-3</v>
      </c>
      <c r="E131" s="815">
        <v>970291</v>
      </c>
      <c r="F131" s="818">
        <v>4908536</v>
      </c>
      <c r="G131" s="785">
        <v>3495125</v>
      </c>
      <c r="H131" s="785"/>
      <c r="I131" s="786">
        <v>201352</v>
      </c>
      <c r="J131" s="787">
        <v>848620</v>
      </c>
      <c r="K131" s="786">
        <v>499152</v>
      </c>
      <c r="L131" s="785">
        <v>40348</v>
      </c>
      <c r="M131" s="785"/>
      <c r="N131" s="786">
        <v>98936</v>
      </c>
      <c r="O131" s="786">
        <v>0</v>
      </c>
      <c r="P131" s="786">
        <v>0</v>
      </c>
      <c r="Q131" s="785">
        <v>96428</v>
      </c>
      <c r="R131" s="785"/>
      <c r="S131" s="786">
        <v>1177860</v>
      </c>
      <c r="T131" s="788">
        <v>-568</v>
      </c>
      <c r="U131" s="788">
        <v>1177292</v>
      </c>
    </row>
    <row r="132" spans="1:21" x14ac:dyDescent="0.25">
      <c r="A132" s="782">
        <v>91202</v>
      </c>
      <c r="B132" s="783" t="s">
        <v>2748</v>
      </c>
      <c r="C132" s="784">
        <v>1.9330000000000001E-4</v>
      </c>
      <c r="D132" s="784">
        <v>1.897E-4</v>
      </c>
      <c r="E132" s="815">
        <v>96479</v>
      </c>
      <c r="F132" s="818">
        <v>402607</v>
      </c>
      <c r="G132" s="785">
        <v>295309</v>
      </c>
      <c r="H132" s="785"/>
      <c r="I132" s="786">
        <v>17013</v>
      </c>
      <c r="J132" s="787">
        <v>71701</v>
      </c>
      <c r="K132" s="786">
        <v>42174</v>
      </c>
      <c r="L132" s="785">
        <v>27893</v>
      </c>
      <c r="M132" s="785"/>
      <c r="N132" s="786">
        <v>8359</v>
      </c>
      <c r="O132" s="786">
        <v>0</v>
      </c>
      <c r="P132" s="786">
        <v>0</v>
      </c>
      <c r="Q132" s="785">
        <v>0</v>
      </c>
      <c r="R132" s="785"/>
      <c r="S132" s="786">
        <v>99519</v>
      </c>
      <c r="T132" s="788">
        <v>12367</v>
      </c>
      <c r="U132" s="788">
        <v>111886</v>
      </c>
    </row>
    <row r="133" spans="1:21" x14ac:dyDescent="0.25">
      <c r="A133" s="782">
        <v>91203</v>
      </c>
      <c r="B133" s="783" t="s">
        <v>2749</v>
      </c>
      <c r="C133" s="784">
        <v>2.1939999999999999E-4</v>
      </c>
      <c r="D133" s="784">
        <v>2.4479999999999999E-4</v>
      </c>
      <c r="E133" s="815">
        <v>127249</v>
      </c>
      <c r="F133" s="818">
        <v>519548</v>
      </c>
      <c r="G133" s="785">
        <v>335182</v>
      </c>
      <c r="H133" s="785"/>
      <c r="I133" s="786">
        <v>19310</v>
      </c>
      <c r="J133" s="787">
        <v>81383</v>
      </c>
      <c r="K133" s="786">
        <v>47869</v>
      </c>
      <c r="L133" s="785">
        <v>25236</v>
      </c>
      <c r="M133" s="785"/>
      <c r="N133" s="786">
        <v>9488</v>
      </c>
      <c r="O133" s="786">
        <v>0</v>
      </c>
      <c r="P133" s="786">
        <v>0</v>
      </c>
      <c r="Q133" s="785">
        <v>0</v>
      </c>
      <c r="R133" s="785"/>
      <c r="S133" s="786">
        <v>112957</v>
      </c>
      <c r="T133" s="788">
        <v>12508</v>
      </c>
      <c r="U133" s="788">
        <f>125464+1</f>
        <v>125465</v>
      </c>
    </row>
    <row r="134" spans="1:21" x14ac:dyDescent="0.25">
      <c r="A134" s="782">
        <v>91206</v>
      </c>
      <c r="B134" s="783" t="s">
        <v>2750</v>
      </c>
      <c r="C134" s="784">
        <v>8.6450000000000003E-4</v>
      </c>
      <c r="D134" s="784">
        <v>8.2129999999999996E-4</v>
      </c>
      <c r="E134" s="815">
        <v>388200</v>
      </c>
      <c r="F134" s="818">
        <v>1743074</v>
      </c>
      <c r="G134" s="785">
        <v>1320717</v>
      </c>
      <c r="H134" s="785"/>
      <c r="I134" s="786">
        <v>76086</v>
      </c>
      <c r="J134" s="787">
        <v>320672</v>
      </c>
      <c r="K134" s="786">
        <v>188617</v>
      </c>
      <c r="L134" s="785">
        <v>32943</v>
      </c>
      <c r="M134" s="785"/>
      <c r="N134" s="786">
        <v>37385</v>
      </c>
      <c r="O134" s="786">
        <v>0</v>
      </c>
      <c r="P134" s="786">
        <v>0</v>
      </c>
      <c r="Q134" s="785">
        <v>1131</v>
      </c>
      <c r="R134" s="785"/>
      <c r="S134" s="786">
        <v>445083</v>
      </c>
      <c r="T134" s="788">
        <v>15708</v>
      </c>
      <c r="U134" s="788">
        <v>460791</v>
      </c>
    </row>
    <row r="135" spans="1:21" x14ac:dyDescent="0.25">
      <c r="A135" s="782">
        <v>91208</v>
      </c>
      <c r="B135" s="783" t="s">
        <v>2751</v>
      </c>
      <c r="C135" s="784">
        <v>1.42E-5</v>
      </c>
      <c r="D135" s="784">
        <v>1.3699999999999999E-5</v>
      </c>
      <c r="E135" s="815">
        <v>6398</v>
      </c>
      <c r="F135" s="818">
        <v>29076</v>
      </c>
      <c r="G135" s="785">
        <v>21694</v>
      </c>
      <c r="H135" s="785"/>
      <c r="I135" s="786">
        <v>1250</v>
      </c>
      <c r="J135" s="787">
        <v>5267</v>
      </c>
      <c r="K135" s="786">
        <v>3098</v>
      </c>
      <c r="L135" s="785">
        <v>3961</v>
      </c>
      <c r="M135" s="785"/>
      <c r="N135" s="786">
        <v>614</v>
      </c>
      <c r="O135" s="786">
        <v>0</v>
      </c>
      <c r="P135" s="786">
        <v>0</v>
      </c>
      <c r="Q135" s="785">
        <v>0</v>
      </c>
      <c r="R135" s="785"/>
      <c r="S135" s="786">
        <v>7311</v>
      </c>
      <c r="T135" s="788">
        <v>3460</v>
      </c>
      <c r="U135" s="788">
        <v>10771</v>
      </c>
    </row>
    <row r="136" spans="1:21" x14ac:dyDescent="0.25">
      <c r="A136" s="782">
        <v>91211</v>
      </c>
      <c r="B136" s="783" t="s">
        <v>2752</v>
      </c>
      <c r="C136" s="784">
        <v>4.5530000000000001E-4</v>
      </c>
      <c r="D136" s="784">
        <v>4.6789999999999999E-4</v>
      </c>
      <c r="E136" s="815">
        <v>223513</v>
      </c>
      <c r="F136" s="818">
        <v>993041</v>
      </c>
      <c r="G136" s="785">
        <v>695572</v>
      </c>
      <c r="H136" s="785"/>
      <c r="I136" s="786">
        <v>40071</v>
      </c>
      <c r="J136" s="787">
        <v>168886</v>
      </c>
      <c r="K136" s="786">
        <v>99337</v>
      </c>
      <c r="L136" s="785">
        <v>6745</v>
      </c>
      <c r="M136" s="785"/>
      <c r="N136" s="786">
        <v>19689</v>
      </c>
      <c r="O136" s="786">
        <v>0</v>
      </c>
      <c r="P136" s="786">
        <v>0</v>
      </c>
      <c r="Q136" s="785">
        <v>3315</v>
      </c>
      <c r="R136" s="785"/>
      <c r="S136" s="786">
        <v>234408</v>
      </c>
      <c r="T136" s="788">
        <v>1355</v>
      </c>
      <c r="U136" s="788">
        <v>235763</v>
      </c>
    </row>
    <row r="137" spans="1:21" x14ac:dyDescent="0.25">
      <c r="A137" s="782">
        <v>91213</v>
      </c>
      <c r="B137" s="783" t="s">
        <v>2753</v>
      </c>
      <c r="C137" s="784">
        <v>3.2499999999999997E-5</v>
      </c>
      <c r="D137" s="784">
        <v>3.57E-5</v>
      </c>
      <c r="E137" s="815">
        <v>12090</v>
      </c>
      <c r="F137" s="818">
        <v>75767</v>
      </c>
      <c r="G137" s="785">
        <v>49651</v>
      </c>
      <c r="H137" s="785"/>
      <c r="I137" s="786">
        <v>2860</v>
      </c>
      <c r="J137" s="787">
        <v>12056</v>
      </c>
      <c r="K137" s="786">
        <v>7091</v>
      </c>
      <c r="L137" s="785">
        <v>0</v>
      </c>
      <c r="M137" s="785"/>
      <c r="N137" s="786">
        <v>1405</v>
      </c>
      <c r="O137" s="786">
        <v>0</v>
      </c>
      <c r="P137" s="786">
        <v>0</v>
      </c>
      <c r="Q137" s="785">
        <v>7680</v>
      </c>
      <c r="R137" s="785"/>
      <c r="S137" s="786">
        <v>16732</v>
      </c>
      <c r="T137" s="788">
        <v>-2660</v>
      </c>
      <c r="U137" s="788">
        <v>14072</v>
      </c>
    </row>
    <row r="138" spans="1:21" x14ac:dyDescent="0.25">
      <c r="A138" s="782">
        <v>91214</v>
      </c>
      <c r="B138" s="783" t="s">
        <v>2754</v>
      </c>
      <c r="C138" s="784">
        <v>2.9300000000000001E-5</v>
      </c>
      <c r="D138" s="784">
        <v>2.8200000000000001E-5</v>
      </c>
      <c r="E138" s="815">
        <v>9669</v>
      </c>
      <c r="F138" s="818">
        <v>59850</v>
      </c>
      <c r="G138" s="785">
        <v>44762</v>
      </c>
      <c r="H138" s="785"/>
      <c r="I138" s="786">
        <v>2579</v>
      </c>
      <c r="J138" s="787">
        <v>10868</v>
      </c>
      <c r="K138" s="786">
        <v>6393</v>
      </c>
      <c r="L138" s="785">
        <v>1300</v>
      </c>
      <c r="M138" s="785"/>
      <c r="N138" s="786">
        <v>1267</v>
      </c>
      <c r="O138" s="786">
        <v>0</v>
      </c>
      <c r="P138" s="786">
        <v>0</v>
      </c>
      <c r="Q138" s="785">
        <v>3669</v>
      </c>
      <c r="R138" s="785"/>
      <c r="S138" s="786">
        <v>15085</v>
      </c>
      <c r="T138" s="788">
        <v>-283</v>
      </c>
      <c r="U138" s="788">
        <v>14802</v>
      </c>
    </row>
    <row r="139" spans="1:21" x14ac:dyDescent="0.25">
      <c r="A139" s="782">
        <v>91217</v>
      </c>
      <c r="B139" s="783" t="s">
        <v>2755</v>
      </c>
      <c r="C139" s="784">
        <v>2.8799999999999999E-5</v>
      </c>
      <c r="D139" s="784">
        <v>2.6699999999999998E-5</v>
      </c>
      <c r="E139" s="815">
        <v>14934</v>
      </c>
      <c r="F139" s="818">
        <v>56666</v>
      </c>
      <c r="G139" s="785">
        <v>43998</v>
      </c>
      <c r="H139" s="785"/>
      <c r="I139" s="786">
        <v>2535</v>
      </c>
      <c r="J139" s="787">
        <v>10683</v>
      </c>
      <c r="K139" s="786">
        <v>6284</v>
      </c>
      <c r="L139" s="785">
        <v>10784</v>
      </c>
      <c r="M139" s="785"/>
      <c r="N139" s="786">
        <v>1245</v>
      </c>
      <c r="O139" s="786">
        <v>0</v>
      </c>
      <c r="P139" s="786">
        <v>0</v>
      </c>
      <c r="Q139" s="785">
        <v>0</v>
      </c>
      <c r="R139" s="785"/>
      <c r="S139" s="786">
        <v>14828</v>
      </c>
      <c r="T139" s="788">
        <v>4311</v>
      </c>
      <c r="U139" s="788">
        <v>19139</v>
      </c>
    </row>
    <row r="140" spans="1:21" x14ac:dyDescent="0.25">
      <c r="A140" s="782">
        <v>91221</v>
      </c>
      <c r="B140" s="783" t="s">
        <v>2756</v>
      </c>
      <c r="C140" s="784">
        <v>1.3359999999999999E-4</v>
      </c>
      <c r="D140" s="784">
        <v>1.294E-4</v>
      </c>
      <c r="E140" s="815">
        <v>59449</v>
      </c>
      <c r="F140" s="818">
        <v>274630</v>
      </c>
      <c r="G140" s="785">
        <v>204104</v>
      </c>
      <c r="H140" s="785"/>
      <c r="I140" s="786">
        <v>11758</v>
      </c>
      <c r="J140" s="787">
        <v>49557</v>
      </c>
      <c r="K140" s="786">
        <v>29149</v>
      </c>
      <c r="L140" s="785">
        <v>5038</v>
      </c>
      <c r="M140" s="785"/>
      <c r="N140" s="786">
        <v>5778</v>
      </c>
      <c r="O140" s="786">
        <v>0</v>
      </c>
      <c r="P140" s="786">
        <v>0</v>
      </c>
      <c r="Q140" s="785">
        <v>7113</v>
      </c>
      <c r="R140" s="785"/>
      <c r="S140" s="786">
        <v>68783</v>
      </c>
      <c r="T140" s="788">
        <v>1397</v>
      </c>
      <c r="U140" s="788">
        <v>70180</v>
      </c>
    </row>
    <row r="141" spans="1:21" x14ac:dyDescent="0.25">
      <c r="A141" s="782">
        <v>91231</v>
      </c>
      <c r="B141" s="783" t="s">
        <v>2757</v>
      </c>
      <c r="C141" s="784">
        <v>1.8856000000000001E-3</v>
      </c>
      <c r="D141" s="784">
        <v>1.9957E-3</v>
      </c>
      <c r="E141" s="815">
        <v>867955</v>
      </c>
      <c r="F141" s="818">
        <v>4235544</v>
      </c>
      <c r="G141" s="785">
        <v>2880674</v>
      </c>
      <c r="H141" s="785"/>
      <c r="I141" s="786">
        <v>165954</v>
      </c>
      <c r="J141" s="787">
        <v>699431</v>
      </c>
      <c r="K141" s="786">
        <v>411400</v>
      </c>
      <c r="L141" s="785">
        <v>10587</v>
      </c>
      <c r="M141" s="785"/>
      <c r="N141" s="786">
        <v>81543</v>
      </c>
      <c r="O141" s="786">
        <v>0</v>
      </c>
      <c r="P141" s="786">
        <v>0</v>
      </c>
      <c r="Q141" s="785">
        <v>132995</v>
      </c>
      <c r="R141" s="785"/>
      <c r="S141" s="786">
        <v>970790</v>
      </c>
      <c r="T141" s="788">
        <v>-32073</v>
      </c>
      <c r="U141" s="788">
        <v>938717</v>
      </c>
    </row>
    <row r="142" spans="1:21" x14ac:dyDescent="0.25">
      <c r="A142" s="782">
        <v>91233</v>
      </c>
      <c r="B142" s="783" t="s">
        <v>2758</v>
      </c>
      <c r="C142" s="784">
        <v>5.8100000000000003E-5</v>
      </c>
      <c r="D142" s="784">
        <v>4.5599999999999997E-5</v>
      </c>
      <c r="E142" s="815">
        <v>21828</v>
      </c>
      <c r="F142" s="818">
        <v>96778</v>
      </c>
      <c r="G142" s="785">
        <v>88761</v>
      </c>
      <c r="H142" s="785"/>
      <c r="I142" s="786">
        <v>5113</v>
      </c>
      <c r="J142" s="787">
        <v>21551</v>
      </c>
      <c r="K142" s="786">
        <v>12676</v>
      </c>
      <c r="L142" s="785">
        <v>9544</v>
      </c>
      <c r="M142" s="785"/>
      <c r="N142" s="786">
        <v>2513</v>
      </c>
      <c r="O142" s="786">
        <v>0</v>
      </c>
      <c r="P142" s="786">
        <v>0</v>
      </c>
      <c r="Q142" s="785">
        <v>117</v>
      </c>
      <c r="R142" s="785"/>
      <c r="S142" s="786">
        <v>29912</v>
      </c>
      <c r="T142" s="788">
        <v>4289</v>
      </c>
      <c r="U142" s="788">
        <f>34202-1</f>
        <v>34201</v>
      </c>
    </row>
    <row r="143" spans="1:21" x14ac:dyDescent="0.25">
      <c r="A143" s="782">
        <v>91241</v>
      </c>
      <c r="B143" s="783" t="s">
        <v>2759</v>
      </c>
      <c r="C143" s="784">
        <v>3.5500000000000002E-5</v>
      </c>
      <c r="D143" s="784">
        <v>3.68E-5</v>
      </c>
      <c r="E143" s="815">
        <v>17216</v>
      </c>
      <c r="F143" s="818">
        <v>78102</v>
      </c>
      <c r="G143" s="785">
        <v>54234</v>
      </c>
      <c r="H143" s="785"/>
      <c r="I143" s="786">
        <v>3124</v>
      </c>
      <c r="J143" s="787">
        <v>13168</v>
      </c>
      <c r="K143" s="786">
        <v>7745</v>
      </c>
      <c r="L143" s="785">
        <v>0</v>
      </c>
      <c r="M143" s="785"/>
      <c r="N143" s="786">
        <v>1535</v>
      </c>
      <c r="O143" s="786">
        <v>0</v>
      </c>
      <c r="P143" s="786">
        <v>0</v>
      </c>
      <c r="Q143" s="785">
        <v>4391</v>
      </c>
      <c r="R143" s="785"/>
      <c r="S143" s="786">
        <v>18277</v>
      </c>
      <c r="T143" s="788">
        <v>-2564</v>
      </c>
      <c r="U143" s="788">
        <v>15713</v>
      </c>
    </row>
    <row r="144" spans="1:21" x14ac:dyDescent="0.25">
      <c r="A144" s="782">
        <v>91251</v>
      </c>
      <c r="B144" s="783" t="s">
        <v>2760</v>
      </c>
      <c r="C144" s="784">
        <v>1.9899999999999999E-5</v>
      </c>
      <c r="D144" s="784">
        <v>2.65E-5</v>
      </c>
      <c r="E144" s="815">
        <v>11339</v>
      </c>
      <c r="F144" s="818">
        <v>56242</v>
      </c>
      <c r="G144" s="785">
        <v>30402</v>
      </c>
      <c r="H144" s="785"/>
      <c r="I144" s="786">
        <v>1751</v>
      </c>
      <c r="J144" s="787">
        <v>7381</v>
      </c>
      <c r="K144" s="786">
        <v>4342</v>
      </c>
      <c r="L144" s="785">
        <v>2341</v>
      </c>
      <c r="M144" s="785"/>
      <c r="N144" s="786">
        <v>861</v>
      </c>
      <c r="O144" s="786">
        <v>0</v>
      </c>
      <c r="P144" s="786">
        <v>0</v>
      </c>
      <c r="Q144" s="785">
        <v>3540</v>
      </c>
      <c r="R144" s="785"/>
      <c r="S144" s="786">
        <v>10245</v>
      </c>
      <c r="T144" s="788">
        <v>1340</v>
      </c>
      <c r="U144" s="788">
        <f>11586-1</f>
        <v>11585</v>
      </c>
    </row>
    <row r="145" spans="1:21" x14ac:dyDescent="0.25">
      <c r="A145" s="782">
        <v>91261</v>
      </c>
      <c r="B145" s="783" t="s">
        <v>2761</v>
      </c>
      <c r="C145" s="784">
        <v>1.03E-5</v>
      </c>
      <c r="D145" s="784">
        <v>9.5000000000000005E-6</v>
      </c>
      <c r="E145" s="815">
        <v>4666</v>
      </c>
      <c r="F145" s="818">
        <v>20162</v>
      </c>
      <c r="G145" s="785">
        <v>15736</v>
      </c>
      <c r="H145" s="785"/>
      <c r="I145" s="786">
        <v>907</v>
      </c>
      <c r="J145" s="787">
        <v>3821</v>
      </c>
      <c r="K145" s="786">
        <v>2247</v>
      </c>
      <c r="L145" s="785">
        <v>1784</v>
      </c>
      <c r="M145" s="785"/>
      <c r="N145" s="786">
        <v>445</v>
      </c>
      <c r="O145" s="786">
        <v>0</v>
      </c>
      <c r="P145" s="786">
        <v>0</v>
      </c>
      <c r="Q145" s="785">
        <v>0</v>
      </c>
      <c r="R145" s="785"/>
      <c r="S145" s="786">
        <v>5303</v>
      </c>
      <c r="T145" s="788">
        <v>850</v>
      </c>
      <c r="U145" s="788">
        <v>6153</v>
      </c>
    </row>
    <row r="146" spans="1:21" x14ac:dyDescent="0.25">
      <c r="A146" s="782">
        <v>91301</v>
      </c>
      <c r="B146" s="783" t="s">
        <v>2762</v>
      </c>
      <c r="C146" s="784">
        <v>7.6985999999999999E-3</v>
      </c>
      <c r="D146" s="784">
        <v>7.7765000000000004E-3</v>
      </c>
      <c r="E146" s="815">
        <v>3428603</v>
      </c>
      <c r="F146" s="818">
        <v>16504338</v>
      </c>
      <c r="G146" s="785">
        <v>11761328</v>
      </c>
      <c r="H146" s="785"/>
      <c r="I146" s="786">
        <v>677561</v>
      </c>
      <c r="J146" s="787">
        <v>2855665</v>
      </c>
      <c r="K146" s="786">
        <v>1679681</v>
      </c>
      <c r="L146" s="785">
        <v>19915</v>
      </c>
      <c r="M146" s="785"/>
      <c r="N146" s="786">
        <v>332926</v>
      </c>
      <c r="O146" s="786">
        <v>0</v>
      </c>
      <c r="P146" s="786">
        <v>0</v>
      </c>
      <c r="Q146" s="785">
        <v>249856</v>
      </c>
      <c r="R146" s="785"/>
      <c r="S146" s="786">
        <v>3963578</v>
      </c>
      <c r="T146" s="788">
        <v>-98741</v>
      </c>
      <c r="U146" s="788">
        <v>3864837</v>
      </c>
    </row>
    <row r="147" spans="1:21" x14ac:dyDescent="0.25">
      <c r="A147" s="782">
        <v>91302</v>
      </c>
      <c r="B147" s="783" t="s">
        <v>3664</v>
      </c>
      <c r="C147" s="784">
        <v>6.0300000000000002E-4</v>
      </c>
      <c r="D147" s="784">
        <v>5.9190000000000002E-4</v>
      </c>
      <c r="E147" s="815">
        <v>259187</v>
      </c>
      <c r="F147" s="818">
        <v>0</v>
      </c>
      <c r="G147" s="785">
        <v>921217</v>
      </c>
      <c r="H147" s="785"/>
      <c r="I147" s="786">
        <v>53071</v>
      </c>
      <c r="J147" s="787">
        <v>223673</v>
      </c>
      <c r="K147" s="786">
        <v>131563</v>
      </c>
      <c r="L147" s="785">
        <v>32897</v>
      </c>
      <c r="M147" s="785"/>
      <c r="N147" s="786">
        <v>26077</v>
      </c>
      <c r="O147" s="786">
        <v>0</v>
      </c>
      <c r="P147" s="786">
        <v>0</v>
      </c>
      <c r="Q147" s="785">
        <v>6670</v>
      </c>
      <c r="R147" s="785"/>
      <c r="S147" s="786">
        <v>310451</v>
      </c>
      <c r="T147" s="788">
        <v>18435</v>
      </c>
      <c r="U147" s="788">
        <v>328886</v>
      </c>
    </row>
    <row r="148" spans="1:21" x14ac:dyDescent="0.25">
      <c r="A148" s="782">
        <v>91306</v>
      </c>
      <c r="B148" s="783" t="s">
        <v>2764</v>
      </c>
      <c r="C148" s="784">
        <v>1.6412E-3</v>
      </c>
      <c r="D148" s="784">
        <v>1.6676E-3</v>
      </c>
      <c r="E148" s="815">
        <v>766698</v>
      </c>
      <c r="F148" s="818">
        <v>3539206</v>
      </c>
      <c r="G148" s="785">
        <v>2507299</v>
      </c>
      <c r="H148" s="785"/>
      <c r="I148" s="786">
        <v>144444</v>
      </c>
      <c r="J148" s="787">
        <v>608776</v>
      </c>
      <c r="K148" s="786">
        <v>358077</v>
      </c>
      <c r="L148" s="785">
        <v>113707</v>
      </c>
      <c r="M148" s="785"/>
      <c r="N148" s="786">
        <v>70974</v>
      </c>
      <c r="O148" s="786">
        <v>0</v>
      </c>
      <c r="P148" s="786">
        <v>0</v>
      </c>
      <c r="Q148" s="785">
        <v>7101</v>
      </c>
      <c r="R148" s="785"/>
      <c r="S148" s="786">
        <v>844962</v>
      </c>
      <c r="T148" s="788">
        <v>59215</v>
      </c>
      <c r="U148" s="788">
        <v>904177</v>
      </c>
    </row>
    <row r="149" spans="1:21" x14ac:dyDescent="0.25">
      <c r="A149" s="782">
        <v>91308</v>
      </c>
      <c r="B149" s="783" t="s">
        <v>2765</v>
      </c>
      <c r="C149" s="784">
        <v>1.8009999999999999E-4</v>
      </c>
      <c r="D149" s="784">
        <v>2.05E-4</v>
      </c>
      <c r="E149" s="815">
        <v>80232</v>
      </c>
      <c r="F149" s="818">
        <v>435079</v>
      </c>
      <c r="G149" s="785">
        <v>275143</v>
      </c>
      <c r="H149" s="785"/>
      <c r="I149" s="786">
        <v>15851</v>
      </c>
      <c r="J149" s="787">
        <v>66805</v>
      </c>
      <c r="K149" s="786">
        <v>39294</v>
      </c>
      <c r="L149" s="785">
        <v>2442</v>
      </c>
      <c r="M149" s="785"/>
      <c r="N149" s="786">
        <v>7788</v>
      </c>
      <c r="O149" s="786">
        <v>0</v>
      </c>
      <c r="P149" s="786">
        <v>0</v>
      </c>
      <c r="Q149" s="785">
        <v>21144</v>
      </c>
      <c r="R149" s="785"/>
      <c r="S149" s="786">
        <v>92723</v>
      </c>
      <c r="T149" s="788">
        <v>-3684</v>
      </c>
      <c r="U149" s="788">
        <f>89040-1</f>
        <v>89039</v>
      </c>
    </row>
    <row r="150" spans="1:21" x14ac:dyDescent="0.25">
      <c r="A150" s="782">
        <v>91311</v>
      </c>
      <c r="B150" s="783" t="s">
        <v>2766</v>
      </c>
      <c r="C150" s="784">
        <v>7.6685E-3</v>
      </c>
      <c r="D150" s="784">
        <v>7.6649999999999999E-3</v>
      </c>
      <c r="E150" s="815">
        <v>3305761</v>
      </c>
      <c r="F150" s="818">
        <v>16267698</v>
      </c>
      <c r="G150" s="785">
        <v>11715344</v>
      </c>
      <c r="H150" s="785"/>
      <c r="I150" s="786">
        <v>674912</v>
      </c>
      <c r="J150" s="787">
        <v>2844500</v>
      </c>
      <c r="K150" s="786">
        <v>1673113</v>
      </c>
      <c r="L150" s="785">
        <v>78345</v>
      </c>
      <c r="M150" s="785"/>
      <c r="N150" s="786">
        <v>331624</v>
      </c>
      <c r="O150" s="786">
        <v>0</v>
      </c>
      <c r="P150" s="786">
        <v>0</v>
      </c>
      <c r="Q150" s="785">
        <v>516736</v>
      </c>
      <c r="R150" s="785"/>
      <c r="S150" s="786">
        <v>3948081</v>
      </c>
      <c r="T150" s="788">
        <v>-187514</v>
      </c>
      <c r="U150" s="788">
        <v>3760567</v>
      </c>
    </row>
    <row r="151" spans="1:21" x14ac:dyDescent="0.25">
      <c r="A151" s="782">
        <v>91317</v>
      </c>
      <c r="B151" s="783" t="s">
        <v>2767</v>
      </c>
      <c r="C151" s="784">
        <v>1.016E-4</v>
      </c>
      <c r="D151" s="784">
        <v>9.0500000000000004E-5</v>
      </c>
      <c r="E151" s="815">
        <v>50865</v>
      </c>
      <c r="F151" s="818">
        <v>192071</v>
      </c>
      <c r="G151" s="785">
        <v>155217</v>
      </c>
      <c r="H151" s="785"/>
      <c r="I151" s="786">
        <v>8942</v>
      </c>
      <c r="J151" s="787">
        <v>37687</v>
      </c>
      <c r="K151" s="786">
        <v>22167</v>
      </c>
      <c r="L151" s="785">
        <v>13159</v>
      </c>
      <c r="M151" s="785"/>
      <c r="N151" s="786">
        <v>4394</v>
      </c>
      <c r="O151" s="786">
        <v>0</v>
      </c>
      <c r="P151" s="786">
        <v>0</v>
      </c>
      <c r="Q151" s="785">
        <v>1760</v>
      </c>
      <c r="R151" s="785"/>
      <c r="S151" s="786">
        <v>52308</v>
      </c>
      <c r="T151" s="788">
        <v>2823</v>
      </c>
      <c r="U151" s="788">
        <f>55132-1</f>
        <v>55131</v>
      </c>
    </row>
    <row r="152" spans="1:21" x14ac:dyDescent="0.25">
      <c r="A152" s="782">
        <v>91321</v>
      </c>
      <c r="B152" s="783" t="s">
        <v>2768</v>
      </c>
      <c r="C152" s="784">
        <v>4.2799999999999997E-5</v>
      </c>
      <c r="D152" s="784">
        <v>4.1999999999999998E-5</v>
      </c>
      <c r="E152" s="815">
        <v>37213</v>
      </c>
      <c r="F152" s="818">
        <v>89138</v>
      </c>
      <c r="G152" s="785">
        <v>65387</v>
      </c>
      <c r="H152" s="785"/>
      <c r="I152" s="786">
        <v>3767</v>
      </c>
      <c r="J152" s="787">
        <v>15876</v>
      </c>
      <c r="K152" s="786">
        <v>9338</v>
      </c>
      <c r="L152" s="785">
        <v>18992</v>
      </c>
      <c r="M152" s="785"/>
      <c r="N152" s="786">
        <v>1851</v>
      </c>
      <c r="O152" s="786">
        <v>0</v>
      </c>
      <c r="P152" s="786">
        <v>0</v>
      </c>
      <c r="Q152" s="785">
        <v>3760</v>
      </c>
      <c r="R152" s="785"/>
      <c r="S152" s="786">
        <v>22035</v>
      </c>
      <c r="T152" s="788">
        <v>3437</v>
      </c>
      <c r="U152" s="788">
        <v>25472</v>
      </c>
    </row>
    <row r="153" spans="1:21" x14ac:dyDescent="0.25">
      <c r="A153" s="782">
        <v>91327</v>
      </c>
      <c r="B153" s="783" t="s">
        <v>2769</v>
      </c>
      <c r="C153" s="784">
        <v>8.1999999999999994E-6</v>
      </c>
      <c r="D153" s="784">
        <v>1.03E-5</v>
      </c>
      <c r="E153" s="815">
        <v>4495</v>
      </c>
      <c r="F153" s="818">
        <v>21860</v>
      </c>
      <c r="G153" s="785">
        <v>12527</v>
      </c>
      <c r="H153" s="785"/>
      <c r="I153" s="786">
        <v>722</v>
      </c>
      <c r="J153" s="787">
        <v>3042</v>
      </c>
      <c r="K153" s="786">
        <v>1789</v>
      </c>
      <c r="L153" s="785">
        <v>36</v>
      </c>
      <c r="M153" s="785"/>
      <c r="N153" s="786">
        <v>355</v>
      </c>
      <c r="O153" s="786">
        <v>0</v>
      </c>
      <c r="P153" s="786">
        <v>0</v>
      </c>
      <c r="Q153" s="785">
        <v>1563</v>
      </c>
      <c r="R153" s="785"/>
      <c r="S153" s="786">
        <v>4222</v>
      </c>
      <c r="T153" s="788">
        <v>-481</v>
      </c>
      <c r="U153" s="788">
        <v>3741</v>
      </c>
    </row>
    <row r="154" spans="1:21" x14ac:dyDescent="0.25">
      <c r="A154" s="782">
        <v>91331</v>
      </c>
      <c r="B154" s="783" t="s">
        <v>2770</v>
      </c>
      <c r="C154" s="784">
        <v>3.0033E-3</v>
      </c>
      <c r="D154" s="784">
        <v>2.8509999999999998E-3</v>
      </c>
      <c r="E154" s="815">
        <v>1190887</v>
      </c>
      <c r="F154" s="818">
        <v>6050777</v>
      </c>
      <c r="G154" s="785">
        <v>4588210</v>
      </c>
      <c r="H154" s="785"/>
      <c r="I154" s="786">
        <v>264323</v>
      </c>
      <c r="J154" s="787">
        <v>1114023</v>
      </c>
      <c r="K154" s="786">
        <v>655260</v>
      </c>
      <c r="L154" s="785">
        <v>0</v>
      </c>
      <c r="M154" s="785"/>
      <c r="N154" s="786">
        <v>129878</v>
      </c>
      <c r="O154" s="786">
        <v>0</v>
      </c>
      <c r="P154" s="786">
        <v>0</v>
      </c>
      <c r="Q154" s="785">
        <v>342951</v>
      </c>
      <c r="R154" s="785"/>
      <c r="S154" s="786">
        <v>1546231</v>
      </c>
      <c r="T154" s="788">
        <v>-176510</v>
      </c>
      <c r="U154" s="788">
        <v>1369721</v>
      </c>
    </row>
    <row r="155" spans="1:21" x14ac:dyDescent="0.25">
      <c r="A155" s="782">
        <v>91341</v>
      </c>
      <c r="B155" s="783" t="s">
        <v>2771</v>
      </c>
      <c r="C155" s="784">
        <v>2.51E-5</v>
      </c>
      <c r="D155" s="784">
        <v>1.4399999999999999E-5</v>
      </c>
      <c r="E155" s="815">
        <v>9161</v>
      </c>
      <c r="F155" s="818">
        <v>30562</v>
      </c>
      <c r="G155" s="785">
        <v>38346</v>
      </c>
      <c r="H155" s="785"/>
      <c r="I155" s="786">
        <v>2209</v>
      </c>
      <c r="J155" s="787">
        <v>9311</v>
      </c>
      <c r="K155" s="786">
        <v>5476</v>
      </c>
      <c r="L155" s="785">
        <v>5566</v>
      </c>
      <c r="M155" s="785"/>
      <c r="N155" s="786">
        <v>1085</v>
      </c>
      <c r="O155" s="786">
        <v>0</v>
      </c>
      <c r="P155" s="786">
        <v>0</v>
      </c>
      <c r="Q155" s="785">
        <v>1759</v>
      </c>
      <c r="R155" s="785"/>
      <c r="S155" s="786">
        <v>12923</v>
      </c>
      <c r="T155" s="788">
        <v>939</v>
      </c>
      <c r="U155" s="788">
        <f>13861+1</f>
        <v>13862</v>
      </c>
    </row>
    <row r="156" spans="1:21" x14ac:dyDescent="0.25">
      <c r="A156" s="782">
        <v>91401</v>
      </c>
      <c r="B156" s="783" t="s">
        <v>2772</v>
      </c>
      <c r="C156" s="784">
        <v>3.5885000000000001E-3</v>
      </c>
      <c r="D156" s="784">
        <v>3.6841E-3</v>
      </c>
      <c r="E156" s="815">
        <v>1559430</v>
      </c>
      <c r="F156" s="818">
        <v>7818894</v>
      </c>
      <c r="G156" s="785">
        <v>5482234</v>
      </c>
      <c r="H156" s="785"/>
      <c r="I156" s="786">
        <v>315827</v>
      </c>
      <c r="J156" s="787">
        <v>1331093</v>
      </c>
      <c r="K156" s="786">
        <v>782939</v>
      </c>
      <c r="L156" s="785">
        <v>17446</v>
      </c>
      <c r="M156" s="785"/>
      <c r="N156" s="786">
        <v>155185</v>
      </c>
      <c r="O156" s="786">
        <v>0</v>
      </c>
      <c r="P156" s="786">
        <v>0</v>
      </c>
      <c r="Q156" s="785">
        <v>142927</v>
      </c>
      <c r="R156" s="785"/>
      <c r="S156" s="786">
        <v>1847518</v>
      </c>
      <c r="T156" s="788">
        <v>-23160</v>
      </c>
      <c r="U156" s="788">
        <v>1824358</v>
      </c>
    </row>
    <row r="157" spans="1:21" x14ac:dyDescent="0.25">
      <c r="A157" s="782">
        <v>91411</v>
      </c>
      <c r="B157" s="783" t="s">
        <v>2773</v>
      </c>
      <c r="C157" s="784">
        <v>3.7829999999999998E-4</v>
      </c>
      <c r="D157" s="784">
        <v>3.5379999999999998E-4</v>
      </c>
      <c r="E157" s="815">
        <v>168365</v>
      </c>
      <c r="F157" s="818">
        <v>750882</v>
      </c>
      <c r="G157" s="785">
        <v>577938</v>
      </c>
      <c r="H157" s="785"/>
      <c r="I157" s="786">
        <v>33295</v>
      </c>
      <c r="J157" s="787">
        <v>140324</v>
      </c>
      <c r="K157" s="786">
        <v>82537</v>
      </c>
      <c r="L157" s="785">
        <v>28581</v>
      </c>
      <c r="M157" s="785"/>
      <c r="N157" s="786">
        <v>16360</v>
      </c>
      <c r="O157" s="786">
        <v>0</v>
      </c>
      <c r="P157" s="786">
        <v>0</v>
      </c>
      <c r="Q157" s="785">
        <v>1394</v>
      </c>
      <c r="R157" s="785"/>
      <c r="S157" s="786">
        <v>194765</v>
      </c>
      <c r="T157" s="788">
        <v>7766</v>
      </c>
      <c r="U157" s="788">
        <v>202531</v>
      </c>
    </row>
    <row r="158" spans="1:21" x14ac:dyDescent="0.25">
      <c r="A158" s="782">
        <v>91417</v>
      </c>
      <c r="B158" s="783" t="s">
        <v>2774</v>
      </c>
      <c r="C158" s="784">
        <v>9.3000000000000007E-6</v>
      </c>
      <c r="D158" s="784">
        <v>9.9000000000000001E-6</v>
      </c>
      <c r="E158" s="815">
        <v>5289</v>
      </c>
      <c r="F158" s="818">
        <v>21011</v>
      </c>
      <c r="G158" s="785">
        <v>14208</v>
      </c>
      <c r="H158" s="785"/>
      <c r="I158" s="786">
        <v>819</v>
      </c>
      <c r="J158" s="787">
        <v>3450</v>
      </c>
      <c r="K158" s="786">
        <v>2029</v>
      </c>
      <c r="L158" s="785">
        <v>2388</v>
      </c>
      <c r="M158" s="785"/>
      <c r="N158" s="786">
        <v>402</v>
      </c>
      <c r="O158" s="786">
        <v>0</v>
      </c>
      <c r="P158" s="786">
        <v>0</v>
      </c>
      <c r="Q158" s="785">
        <v>0</v>
      </c>
      <c r="R158" s="785"/>
      <c r="S158" s="786">
        <v>4788</v>
      </c>
      <c r="T158" s="788">
        <v>1814</v>
      </c>
      <c r="U158" s="788">
        <v>6602</v>
      </c>
    </row>
    <row r="159" spans="1:21" x14ac:dyDescent="0.25">
      <c r="A159" s="782">
        <v>91421</v>
      </c>
      <c r="B159" s="783" t="s">
        <v>2775</v>
      </c>
      <c r="C159" s="784">
        <v>6.9499999999999995E-5</v>
      </c>
      <c r="D159" s="784">
        <v>7.0400000000000004E-5</v>
      </c>
      <c r="E159" s="815">
        <v>36488</v>
      </c>
      <c r="F159" s="818">
        <v>149412</v>
      </c>
      <c r="G159" s="785">
        <v>106177</v>
      </c>
      <c r="H159" s="785"/>
      <c r="I159" s="786">
        <v>6117</v>
      </c>
      <c r="J159" s="787">
        <v>25779</v>
      </c>
      <c r="K159" s="786">
        <v>15164</v>
      </c>
      <c r="L159" s="785">
        <v>4339</v>
      </c>
      <c r="M159" s="785"/>
      <c r="N159" s="786">
        <v>3006</v>
      </c>
      <c r="O159" s="786">
        <v>0</v>
      </c>
      <c r="P159" s="786">
        <v>0</v>
      </c>
      <c r="Q159" s="785">
        <v>3143</v>
      </c>
      <c r="R159" s="785"/>
      <c r="S159" s="786">
        <v>35782</v>
      </c>
      <c r="T159" s="788">
        <v>365</v>
      </c>
      <c r="U159" s="788">
        <v>36147</v>
      </c>
    </row>
    <row r="160" spans="1:21" x14ac:dyDescent="0.25">
      <c r="A160" s="782">
        <v>91423</v>
      </c>
      <c r="B160" s="783" t="s">
        <v>2776</v>
      </c>
      <c r="C160" s="784">
        <v>5.38E-5</v>
      </c>
      <c r="D160" s="784">
        <v>3.8699999999999999E-5</v>
      </c>
      <c r="E160" s="815">
        <v>20620</v>
      </c>
      <c r="F160" s="818">
        <v>82134</v>
      </c>
      <c r="G160" s="785">
        <v>82191</v>
      </c>
      <c r="H160" s="785"/>
      <c r="I160" s="786">
        <v>4735</v>
      </c>
      <c r="J160" s="787">
        <v>19956</v>
      </c>
      <c r="K160" s="786">
        <v>11738</v>
      </c>
      <c r="L160" s="785">
        <v>13454</v>
      </c>
      <c r="M160" s="785"/>
      <c r="N160" s="786">
        <v>2327</v>
      </c>
      <c r="O160" s="786">
        <v>0</v>
      </c>
      <c r="P160" s="786">
        <v>0</v>
      </c>
      <c r="Q160" s="785">
        <v>2026</v>
      </c>
      <c r="R160" s="785"/>
      <c r="S160" s="786">
        <v>27699</v>
      </c>
      <c r="T160" s="788">
        <v>3208</v>
      </c>
      <c r="U160" s="788">
        <f>30906+1</f>
        <v>30907</v>
      </c>
    </row>
    <row r="161" spans="1:21" x14ac:dyDescent="0.25">
      <c r="A161" s="782">
        <v>91431</v>
      </c>
      <c r="B161" s="783" t="s">
        <v>2777</v>
      </c>
      <c r="C161" s="784">
        <v>1.562E-4</v>
      </c>
      <c r="D161" s="784">
        <v>1.417E-4</v>
      </c>
      <c r="E161" s="815">
        <v>80270</v>
      </c>
      <c r="F161" s="818">
        <v>300735</v>
      </c>
      <c r="G161" s="785">
        <v>238630</v>
      </c>
      <c r="H161" s="785"/>
      <c r="I161" s="786">
        <v>13747</v>
      </c>
      <c r="J161" s="787">
        <v>57939</v>
      </c>
      <c r="K161" s="786">
        <v>34080</v>
      </c>
      <c r="L161" s="785">
        <v>17694</v>
      </c>
      <c r="M161" s="785"/>
      <c r="N161" s="786">
        <v>6755</v>
      </c>
      <c r="O161" s="786">
        <v>0</v>
      </c>
      <c r="P161" s="786">
        <v>0</v>
      </c>
      <c r="Q161" s="785">
        <v>1767</v>
      </c>
      <c r="R161" s="785"/>
      <c r="S161" s="786">
        <v>80419</v>
      </c>
      <c r="T161" s="788">
        <v>4026</v>
      </c>
      <c r="U161" s="788">
        <v>84445</v>
      </c>
    </row>
    <row r="162" spans="1:21" x14ac:dyDescent="0.25">
      <c r="A162" s="782">
        <v>91441</v>
      </c>
      <c r="B162" s="783" t="s">
        <v>2778</v>
      </c>
      <c r="C162" s="784">
        <v>9.5140000000000003E-4</v>
      </c>
      <c r="D162" s="784">
        <v>7.3800000000000005E-4</v>
      </c>
      <c r="E162" s="815">
        <v>316618</v>
      </c>
      <c r="F162" s="818">
        <v>1566283</v>
      </c>
      <c r="G162" s="785">
        <v>1453476</v>
      </c>
      <c r="H162" s="785"/>
      <c r="I162" s="786">
        <v>83734</v>
      </c>
      <c r="J162" s="787">
        <v>352905</v>
      </c>
      <c r="K162" s="786">
        <v>207576</v>
      </c>
      <c r="L162" s="785">
        <v>46954</v>
      </c>
      <c r="M162" s="785"/>
      <c r="N162" s="786">
        <v>41143</v>
      </c>
      <c r="O162" s="786">
        <v>0</v>
      </c>
      <c r="P162" s="786">
        <v>0</v>
      </c>
      <c r="Q162" s="785">
        <v>103301</v>
      </c>
      <c r="R162" s="785"/>
      <c r="S162" s="786">
        <v>489823</v>
      </c>
      <c r="T162" s="788">
        <v>-39929</v>
      </c>
      <c r="U162" s="788">
        <v>449894</v>
      </c>
    </row>
    <row r="163" spans="1:21" x14ac:dyDescent="0.25">
      <c r="A163" s="782">
        <v>91451</v>
      </c>
      <c r="B163" s="783" t="s">
        <v>2779</v>
      </c>
      <c r="C163" s="784">
        <v>1.4760000000000001E-3</v>
      </c>
      <c r="D163" s="784">
        <v>1.5629000000000001E-3</v>
      </c>
      <c r="E163" s="815">
        <v>670223</v>
      </c>
      <c r="F163" s="818">
        <v>3316997</v>
      </c>
      <c r="G163" s="785">
        <v>2254919</v>
      </c>
      <c r="H163" s="785"/>
      <c r="I163" s="786">
        <v>129904</v>
      </c>
      <c r="J163" s="787">
        <v>547497</v>
      </c>
      <c r="K163" s="786">
        <v>322034</v>
      </c>
      <c r="L163" s="785">
        <v>0</v>
      </c>
      <c r="M163" s="785"/>
      <c r="N163" s="786">
        <v>63830</v>
      </c>
      <c r="O163" s="786">
        <v>0</v>
      </c>
      <c r="P163" s="786">
        <v>0</v>
      </c>
      <c r="Q163" s="785">
        <v>199933</v>
      </c>
      <c r="R163" s="785"/>
      <c r="S163" s="786">
        <v>759910</v>
      </c>
      <c r="T163" s="788">
        <v>-85072</v>
      </c>
      <c r="U163" s="788">
        <v>674838</v>
      </c>
    </row>
    <row r="164" spans="1:21" x14ac:dyDescent="0.25">
      <c r="A164" s="782">
        <v>91457</v>
      </c>
      <c r="B164" s="783" t="s">
        <v>2780</v>
      </c>
      <c r="C164" s="784">
        <v>2.23E-5</v>
      </c>
      <c r="D164" s="784">
        <v>2.58E-5</v>
      </c>
      <c r="E164" s="815">
        <v>30670</v>
      </c>
      <c r="F164" s="818">
        <v>54756</v>
      </c>
      <c r="G164" s="785">
        <v>34068</v>
      </c>
      <c r="H164" s="785"/>
      <c r="I164" s="786">
        <v>1963</v>
      </c>
      <c r="J164" s="787">
        <v>8272</v>
      </c>
      <c r="K164" s="786">
        <v>4865</v>
      </c>
      <c r="L164" s="785">
        <v>30858</v>
      </c>
      <c r="M164" s="785"/>
      <c r="N164" s="786">
        <v>964</v>
      </c>
      <c r="O164" s="786">
        <v>0</v>
      </c>
      <c r="P164" s="786">
        <v>0</v>
      </c>
      <c r="Q164" s="785">
        <v>0</v>
      </c>
      <c r="R164" s="785"/>
      <c r="S164" s="786">
        <v>11481</v>
      </c>
      <c r="T164" s="788">
        <v>10929</v>
      </c>
      <c r="U164" s="788">
        <v>22410</v>
      </c>
    </row>
    <row r="165" spans="1:21" x14ac:dyDescent="0.25">
      <c r="A165" s="782">
        <v>91461</v>
      </c>
      <c r="B165" s="783" t="s">
        <v>2781</v>
      </c>
      <c r="C165" s="784">
        <v>9.3999999999999998E-6</v>
      </c>
      <c r="D165" s="784">
        <v>8.6999999999999997E-6</v>
      </c>
      <c r="E165" s="815">
        <v>2932</v>
      </c>
      <c r="F165" s="818">
        <v>18464</v>
      </c>
      <c r="G165" s="785">
        <v>14361</v>
      </c>
      <c r="H165" s="785"/>
      <c r="I165" s="786">
        <v>827</v>
      </c>
      <c r="J165" s="787">
        <v>3487</v>
      </c>
      <c r="K165" s="786">
        <v>2051</v>
      </c>
      <c r="L165" s="785">
        <v>2052</v>
      </c>
      <c r="M165" s="785"/>
      <c r="N165" s="786">
        <v>407</v>
      </c>
      <c r="O165" s="786">
        <v>0</v>
      </c>
      <c r="P165" s="786">
        <v>0</v>
      </c>
      <c r="Q165" s="785">
        <v>637</v>
      </c>
      <c r="R165" s="785"/>
      <c r="S165" s="786">
        <v>4840</v>
      </c>
      <c r="T165" s="788">
        <v>945</v>
      </c>
      <c r="U165" s="788">
        <f>5784+1</f>
        <v>5785</v>
      </c>
    </row>
    <row r="166" spans="1:21" x14ac:dyDescent="0.25">
      <c r="A166" s="782">
        <v>91501</v>
      </c>
      <c r="B166" s="783" t="s">
        <v>2782</v>
      </c>
      <c r="C166" s="784">
        <v>4.9700000000000005E-4</v>
      </c>
      <c r="D166" s="784">
        <v>5.1099999999999995E-4</v>
      </c>
      <c r="E166" s="815">
        <v>231246</v>
      </c>
      <c r="F166" s="818">
        <v>1084513</v>
      </c>
      <c r="G166" s="785">
        <v>759278</v>
      </c>
      <c r="H166" s="785"/>
      <c r="I166" s="786">
        <v>43741</v>
      </c>
      <c r="J166" s="787">
        <v>184353</v>
      </c>
      <c r="K166" s="786">
        <v>108435</v>
      </c>
      <c r="L166" s="785">
        <v>24430</v>
      </c>
      <c r="M166" s="785"/>
      <c r="N166" s="786">
        <v>21493</v>
      </c>
      <c r="O166" s="786">
        <v>0</v>
      </c>
      <c r="P166" s="786">
        <v>0</v>
      </c>
      <c r="Q166" s="785">
        <v>6922</v>
      </c>
      <c r="R166" s="785"/>
      <c r="S166" s="786">
        <v>255877</v>
      </c>
      <c r="T166" s="788">
        <v>15592</v>
      </c>
      <c r="U166" s="788">
        <v>271469</v>
      </c>
    </row>
    <row r="167" spans="1:21" x14ac:dyDescent="0.25">
      <c r="A167" s="782">
        <v>91504</v>
      </c>
      <c r="B167" s="783" t="s">
        <v>2783</v>
      </c>
      <c r="C167" s="784">
        <v>9.7000000000000003E-6</v>
      </c>
      <c r="D167" s="784">
        <v>1.0200000000000001E-5</v>
      </c>
      <c r="E167" s="815">
        <v>6531</v>
      </c>
      <c r="F167" s="818">
        <v>21648</v>
      </c>
      <c r="G167" s="785">
        <v>14819</v>
      </c>
      <c r="H167" s="785"/>
      <c r="I167" s="786">
        <v>854</v>
      </c>
      <c r="J167" s="787">
        <v>3599</v>
      </c>
      <c r="K167" s="786">
        <v>2116</v>
      </c>
      <c r="L167" s="785">
        <v>5620</v>
      </c>
      <c r="M167" s="785"/>
      <c r="N167" s="786">
        <v>419</v>
      </c>
      <c r="O167" s="786">
        <v>0</v>
      </c>
      <c r="P167" s="786">
        <v>0</v>
      </c>
      <c r="Q167" s="785">
        <v>0</v>
      </c>
      <c r="R167" s="785"/>
      <c r="S167" s="786">
        <v>4994</v>
      </c>
      <c r="T167" s="788">
        <v>2602</v>
      </c>
      <c r="U167" s="788">
        <v>7596</v>
      </c>
    </row>
    <row r="168" spans="1:21" x14ac:dyDescent="0.25">
      <c r="A168" s="782">
        <v>91601</v>
      </c>
      <c r="B168" s="783" t="s">
        <v>2784</v>
      </c>
      <c r="C168" s="784">
        <v>2.8040000000000001E-3</v>
      </c>
      <c r="D168" s="784">
        <v>2.9077999999999999E-3</v>
      </c>
      <c r="E168" s="815">
        <v>1323806</v>
      </c>
      <c r="F168" s="818">
        <v>6171326</v>
      </c>
      <c r="G168" s="785">
        <v>4283735</v>
      </c>
      <c r="H168" s="785"/>
      <c r="I168" s="786">
        <v>246783</v>
      </c>
      <c r="J168" s="787">
        <v>1040096</v>
      </c>
      <c r="K168" s="786">
        <v>611777</v>
      </c>
      <c r="L168" s="785">
        <v>168530</v>
      </c>
      <c r="M168" s="785"/>
      <c r="N168" s="786">
        <v>121259</v>
      </c>
      <c r="O168" s="786">
        <v>0</v>
      </c>
      <c r="P168" s="786">
        <v>0</v>
      </c>
      <c r="Q168" s="785">
        <v>40367</v>
      </c>
      <c r="R168" s="785"/>
      <c r="S168" s="786">
        <v>1443623</v>
      </c>
      <c r="T168" s="788">
        <v>76132</v>
      </c>
      <c r="U168" s="788">
        <v>1519755</v>
      </c>
    </row>
    <row r="169" spans="1:21" x14ac:dyDescent="0.25">
      <c r="A169" s="782">
        <v>91604</v>
      </c>
      <c r="B169" s="783" t="s">
        <v>2785</v>
      </c>
      <c r="C169" s="784">
        <v>8.8499999999999996E-5</v>
      </c>
      <c r="D169" s="784">
        <v>8.6799999999999996E-5</v>
      </c>
      <c r="E169" s="815">
        <v>50507</v>
      </c>
      <c r="F169" s="818">
        <v>184219</v>
      </c>
      <c r="G169" s="785">
        <v>135203</v>
      </c>
      <c r="H169" s="785"/>
      <c r="I169" s="786">
        <v>7789</v>
      </c>
      <c r="J169" s="787">
        <v>32827</v>
      </c>
      <c r="K169" s="786">
        <v>19309</v>
      </c>
      <c r="L169" s="785">
        <v>20977</v>
      </c>
      <c r="M169" s="785"/>
      <c r="N169" s="786">
        <v>3827</v>
      </c>
      <c r="O169" s="786">
        <v>0</v>
      </c>
      <c r="P169" s="786">
        <v>0</v>
      </c>
      <c r="Q169" s="785">
        <v>0</v>
      </c>
      <c r="R169" s="785"/>
      <c r="S169" s="786">
        <v>45564</v>
      </c>
      <c r="T169" s="788">
        <v>7680</v>
      </c>
      <c r="U169" s="788">
        <v>53244</v>
      </c>
    </row>
    <row r="170" spans="1:21" x14ac:dyDescent="0.25">
      <c r="A170" s="782">
        <v>91608</v>
      </c>
      <c r="B170" s="783" t="s">
        <v>2786</v>
      </c>
      <c r="C170" s="784">
        <v>1.5349999999999999E-4</v>
      </c>
      <c r="D170" s="784">
        <v>1.208E-4</v>
      </c>
      <c r="E170" s="815">
        <v>45013</v>
      </c>
      <c r="F170" s="818">
        <v>256378</v>
      </c>
      <c r="G170" s="785">
        <v>234505</v>
      </c>
      <c r="H170" s="785"/>
      <c r="I170" s="786">
        <v>13510</v>
      </c>
      <c r="J170" s="787">
        <v>56938</v>
      </c>
      <c r="K170" s="786">
        <v>33491</v>
      </c>
      <c r="L170" s="785">
        <v>2430</v>
      </c>
      <c r="M170" s="785"/>
      <c r="N170" s="786">
        <v>6638</v>
      </c>
      <c r="O170" s="786">
        <v>0</v>
      </c>
      <c r="P170" s="786">
        <v>0</v>
      </c>
      <c r="Q170" s="785">
        <v>28763</v>
      </c>
      <c r="R170" s="785"/>
      <c r="S170" s="786">
        <v>79029</v>
      </c>
      <c r="T170" s="788">
        <v>-12888</v>
      </c>
      <c r="U170" s="788">
        <f>66140+1</f>
        <v>66141</v>
      </c>
    </row>
    <row r="171" spans="1:21" x14ac:dyDescent="0.25">
      <c r="A171" s="782">
        <v>91611</v>
      </c>
      <c r="B171" s="783" t="s">
        <v>2787</v>
      </c>
      <c r="C171" s="784">
        <v>1.4708E-3</v>
      </c>
      <c r="D171" s="784">
        <v>1.4345E-3</v>
      </c>
      <c r="E171" s="815">
        <v>598449</v>
      </c>
      <c r="F171" s="818">
        <v>3044490</v>
      </c>
      <c r="G171" s="785">
        <v>2246975</v>
      </c>
      <c r="H171" s="785"/>
      <c r="I171" s="786">
        <v>129447</v>
      </c>
      <c r="J171" s="787">
        <v>545569</v>
      </c>
      <c r="K171" s="786">
        <v>320899</v>
      </c>
      <c r="L171" s="785">
        <v>19333</v>
      </c>
      <c r="M171" s="785"/>
      <c r="N171" s="786">
        <v>63605</v>
      </c>
      <c r="O171" s="786">
        <v>0</v>
      </c>
      <c r="P171" s="786">
        <v>0</v>
      </c>
      <c r="Q171" s="785">
        <v>53335</v>
      </c>
      <c r="R171" s="785"/>
      <c r="S171" s="786">
        <v>757233</v>
      </c>
      <c r="T171" s="788">
        <v>2483</v>
      </c>
      <c r="U171" s="788">
        <f>759715+1</f>
        <v>759716</v>
      </c>
    </row>
    <row r="172" spans="1:21" x14ac:dyDescent="0.25">
      <c r="A172" s="782">
        <v>91621</v>
      </c>
      <c r="B172" s="783" t="s">
        <v>2788</v>
      </c>
      <c r="C172" s="784">
        <v>2.7050000000000002E-4</v>
      </c>
      <c r="D172" s="784">
        <v>2.5240000000000001E-4</v>
      </c>
      <c r="E172" s="815">
        <v>108514</v>
      </c>
      <c r="F172" s="818">
        <v>535677</v>
      </c>
      <c r="G172" s="785">
        <v>413249</v>
      </c>
      <c r="H172" s="785"/>
      <c r="I172" s="786">
        <v>23807</v>
      </c>
      <c r="J172" s="787">
        <v>100337</v>
      </c>
      <c r="K172" s="786">
        <v>59018</v>
      </c>
      <c r="L172" s="785">
        <v>13260</v>
      </c>
      <c r="M172" s="785"/>
      <c r="N172" s="786">
        <v>11698</v>
      </c>
      <c r="O172" s="786">
        <v>0</v>
      </c>
      <c r="P172" s="786">
        <v>0</v>
      </c>
      <c r="Q172" s="785">
        <v>14620</v>
      </c>
      <c r="R172" s="785"/>
      <c r="S172" s="786">
        <v>139265</v>
      </c>
      <c r="T172" s="788">
        <v>-4185</v>
      </c>
      <c r="U172" s="788">
        <v>135080</v>
      </c>
    </row>
    <row r="173" spans="1:21" x14ac:dyDescent="0.25">
      <c r="A173" s="782">
        <v>91631</v>
      </c>
      <c r="B173" s="783" t="s">
        <v>2789</v>
      </c>
      <c r="C173" s="784">
        <v>5.2249999999999996E-4</v>
      </c>
      <c r="D173" s="784">
        <v>5.3870000000000003E-4</v>
      </c>
      <c r="E173" s="815">
        <v>219722</v>
      </c>
      <c r="F173" s="818">
        <v>1143302</v>
      </c>
      <c r="G173" s="785">
        <v>798235</v>
      </c>
      <c r="H173" s="785"/>
      <c r="I173" s="786">
        <v>45986</v>
      </c>
      <c r="J173" s="787">
        <v>193812</v>
      </c>
      <c r="K173" s="786">
        <v>113999</v>
      </c>
      <c r="L173" s="785">
        <v>0</v>
      </c>
      <c r="M173" s="785"/>
      <c r="N173" s="786">
        <v>22596</v>
      </c>
      <c r="O173" s="786">
        <v>0</v>
      </c>
      <c r="P173" s="786">
        <v>0</v>
      </c>
      <c r="Q173" s="785">
        <v>52272</v>
      </c>
      <c r="R173" s="785"/>
      <c r="S173" s="786">
        <v>269006</v>
      </c>
      <c r="T173" s="788">
        <v>-16747</v>
      </c>
      <c r="U173" s="788">
        <v>252259</v>
      </c>
    </row>
    <row r="174" spans="1:21" x14ac:dyDescent="0.25">
      <c r="A174" s="782">
        <v>91633</v>
      </c>
      <c r="B174" s="783" t="s">
        <v>2790</v>
      </c>
      <c r="C174" s="784">
        <v>2.51E-5</v>
      </c>
      <c r="D174" s="784">
        <v>2.3799999999999999E-5</v>
      </c>
      <c r="E174" s="815">
        <v>11022</v>
      </c>
      <c r="F174" s="818">
        <v>50512</v>
      </c>
      <c r="G174" s="785">
        <v>38346</v>
      </c>
      <c r="H174" s="785"/>
      <c r="I174" s="786">
        <v>2209</v>
      </c>
      <c r="J174" s="787">
        <v>9311</v>
      </c>
      <c r="K174" s="786">
        <v>5476</v>
      </c>
      <c r="L174" s="785">
        <v>1513</v>
      </c>
      <c r="M174" s="785"/>
      <c r="N174" s="786">
        <v>1085</v>
      </c>
      <c r="O174" s="786">
        <v>0</v>
      </c>
      <c r="P174" s="786">
        <v>0</v>
      </c>
      <c r="Q174" s="785">
        <v>3215</v>
      </c>
      <c r="R174" s="785"/>
      <c r="S174" s="786">
        <v>12923</v>
      </c>
      <c r="T174" s="788">
        <v>-1367</v>
      </c>
      <c r="U174" s="788">
        <f>11555+1</f>
        <v>11556</v>
      </c>
    </row>
    <row r="175" spans="1:21" x14ac:dyDescent="0.25">
      <c r="A175" s="782">
        <v>91641</v>
      </c>
      <c r="B175" s="783" t="s">
        <v>2791</v>
      </c>
      <c r="C175" s="784">
        <v>3.1139999999999998E-4</v>
      </c>
      <c r="D175" s="784">
        <v>2.742E-4</v>
      </c>
      <c r="E175" s="815">
        <v>104379</v>
      </c>
      <c r="F175" s="818">
        <v>581944</v>
      </c>
      <c r="G175" s="785">
        <v>475733</v>
      </c>
      <c r="H175" s="785"/>
      <c r="I175" s="786">
        <v>27407</v>
      </c>
      <c r="J175" s="787">
        <v>115509</v>
      </c>
      <c r="K175" s="786">
        <v>67941</v>
      </c>
      <c r="L175" s="785">
        <v>0</v>
      </c>
      <c r="M175" s="785"/>
      <c r="N175" s="786">
        <v>13466</v>
      </c>
      <c r="O175" s="786">
        <v>0</v>
      </c>
      <c r="P175" s="786">
        <v>0</v>
      </c>
      <c r="Q175" s="785">
        <v>55139</v>
      </c>
      <c r="R175" s="785"/>
      <c r="S175" s="786">
        <v>160322</v>
      </c>
      <c r="T175" s="788">
        <v>-25877</v>
      </c>
      <c r="U175" s="788">
        <v>134445</v>
      </c>
    </row>
    <row r="176" spans="1:21" x14ac:dyDescent="0.25">
      <c r="A176" s="782">
        <v>91651</v>
      </c>
      <c r="B176" s="783" t="s">
        <v>2792</v>
      </c>
      <c r="C176" s="784">
        <v>4.4440000000000001E-4</v>
      </c>
      <c r="D176" s="784">
        <v>4.6099999999999998E-4</v>
      </c>
      <c r="E176" s="815">
        <v>205102</v>
      </c>
      <c r="F176" s="818">
        <v>978396</v>
      </c>
      <c r="G176" s="785">
        <v>678920</v>
      </c>
      <c r="H176" s="785"/>
      <c r="I176" s="786">
        <v>39112</v>
      </c>
      <c r="J176" s="787">
        <v>164843</v>
      </c>
      <c r="K176" s="786">
        <v>96959</v>
      </c>
      <c r="L176" s="785">
        <v>0</v>
      </c>
      <c r="M176" s="785"/>
      <c r="N176" s="786">
        <v>19218</v>
      </c>
      <c r="O176" s="786">
        <v>0</v>
      </c>
      <c r="P176" s="786">
        <v>0</v>
      </c>
      <c r="Q176" s="785">
        <v>30696</v>
      </c>
      <c r="R176" s="785"/>
      <c r="S176" s="786">
        <v>228797</v>
      </c>
      <c r="T176" s="788">
        <v>-12407</v>
      </c>
      <c r="U176" s="788">
        <v>216390</v>
      </c>
    </row>
    <row r="177" spans="1:21" x14ac:dyDescent="0.25">
      <c r="A177" s="782">
        <v>91661</v>
      </c>
      <c r="B177" s="783" t="s">
        <v>2793</v>
      </c>
      <c r="C177" s="784">
        <v>1.673E-4</v>
      </c>
      <c r="D177" s="784">
        <v>1.6750000000000001E-4</v>
      </c>
      <c r="E177" s="815">
        <v>56241</v>
      </c>
      <c r="F177" s="818">
        <v>355491</v>
      </c>
      <c r="G177" s="785">
        <v>255588</v>
      </c>
      <c r="H177" s="785"/>
      <c r="I177" s="786">
        <v>14724</v>
      </c>
      <c r="J177" s="787">
        <v>62057</v>
      </c>
      <c r="K177" s="786">
        <v>36502</v>
      </c>
      <c r="L177" s="785">
        <v>0</v>
      </c>
      <c r="M177" s="785"/>
      <c r="N177" s="786">
        <v>7235</v>
      </c>
      <c r="O177" s="786">
        <v>0</v>
      </c>
      <c r="P177" s="786">
        <v>0</v>
      </c>
      <c r="Q177" s="785">
        <v>45519</v>
      </c>
      <c r="R177" s="785"/>
      <c r="S177" s="786">
        <v>86133</v>
      </c>
      <c r="T177" s="788">
        <v>-16188</v>
      </c>
      <c r="U177" s="788">
        <v>69945</v>
      </c>
    </row>
    <row r="178" spans="1:21" x14ac:dyDescent="0.25">
      <c r="A178" s="782">
        <v>91671</v>
      </c>
      <c r="B178" s="783" t="s">
        <v>2794</v>
      </c>
      <c r="C178" s="784">
        <v>9.6700000000000006E-5</v>
      </c>
      <c r="D178" s="784">
        <v>9.7600000000000001E-5</v>
      </c>
      <c r="E178" s="815">
        <v>43651</v>
      </c>
      <c r="F178" s="818">
        <v>207140</v>
      </c>
      <c r="G178" s="785">
        <v>147731</v>
      </c>
      <c r="H178" s="785"/>
      <c r="I178" s="786">
        <v>8511</v>
      </c>
      <c r="J178" s="787">
        <v>35869</v>
      </c>
      <c r="K178" s="786">
        <v>21098</v>
      </c>
      <c r="L178" s="785">
        <v>11497</v>
      </c>
      <c r="M178" s="785"/>
      <c r="N178" s="786">
        <v>4182</v>
      </c>
      <c r="O178" s="786">
        <v>0</v>
      </c>
      <c r="P178" s="786">
        <v>0</v>
      </c>
      <c r="Q178" s="785">
        <v>1197</v>
      </c>
      <c r="R178" s="785"/>
      <c r="S178" s="786">
        <v>49785</v>
      </c>
      <c r="T178" s="788">
        <v>5725</v>
      </c>
      <c r="U178" s="788">
        <v>55510</v>
      </c>
    </row>
    <row r="179" spans="1:21" x14ac:dyDescent="0.25">
      <c r="A179" s="782">
        <v>91681</v>
      </c>
      <c r="B179" s="783" t="s">
        <v>2795</v>
      </c>
      <c r="C179" s="784">
        <v>4.728E-4</v>
      </c>
      <c r="D179" s="784">
        <v>4.7130000000000002E-4</v>
      </c>
      <c r="E179" s="815">
        <v>387832</v>
      </c>
      <c r="F179" s="818">
        <v>1000256</v>
      </c>
      <c r="G179" s="785">
        <v>722307</v>
      </c>
      <c r="H179" s="785"/>
      <c r="I179" s="786">
        <v>41612</v>
      </c>
      <c r="J179" s="787">
        <v>175378</v>
      </c>
      <c r="K179" s="786">
        <v>103156</v>
      </c>
      <c r="L179" s="785">
        <v>274278</v>
      </c>
      <c r="M179" s="785"/>
      <c r="N179" s="786">
        <v>20446</v>
      </c>
      <c r="O179" s="786">
        <v>0</v>
      </c>
      <c r="P179" s="786">
        <v>0</v>
      </c>
      <c r="Q179" s="785">
        <v>4516</v>
      </c>
      <c r="R179" s="785"/>
      <c r="S179" s="786">
        <v>243418</v>
      </c>
      <c r="T179" s="788">
        <v>89641</v>
      </c>
      <c r="U179" s="788">
        <v>333059</v>
      </c>
    </row>
    <row r="180" spans="1:21" x14ac:dyDescent="0.25">
      <c r="A180" s="782">
        <v>91691</v>
      </c>
      <c r="B180" s="783" t="s">
        <v>2796</v>
      </c>
      <c r="C180" s="784">
        <v>2.3200000000000001E-5</v>
      </c>
      <c r="D180" s="784">
        <v>2.4199999999999999E-5</v>
      </c>
      <c r="E180" s="815">
        <v>10219</v>
      </c>
      <c r="F180" s="818">
        <v>51361</v>
      </c>
      <c r="G180" s="785">
        <v>35443</v>
      </c>
      <c r="H180" s="785"/>
      <c r="I180" s="786">
        <v>2042</v>
      </c>
      <c r="J180" s="787">
        <v>8605</v>
      </c>
      <c r="K180" s="786">
        <v>5062</v>
      </c>
      <c r="L180" s="785">
        <v>1782</v>
      </c>
      <c r="M180" s="785"/>
      <c r="N180" s="786">
        <v>1003</v>
      </c>
      <c r="O180" s="786">
        <v>0</v>
      </c>
      <c r="P180" s="786">
        <v>0</v>
      </c>
      <c r="Q180" s="785">
        <v>1533</v>
      </c>
      <c r="R180" s="785"/>
      <c r="S180" s="786">
        <v>11944</v>
      </c>
      <c r="T180" s="788">
        <v>129</v>
      </c>
      <c r="U180" s="788">
        <f>12074-1</f>
        <v>12073</v>
      </c>
    </row>
    <row r="181" spans="1:21" x14ac:dyDescent="0.25">
      <c r="A181" s="782">
        <v>91701</v>
      </c>
      <c r="B181" s="783" t="s">
        <v>2797</v>
      </c>
      <c r="C181" s="784">
        <v>1.2451999999999999E-3</v>
      </c>
      <c r="D181" s="784">
        <v>1.0897000000000001E-3</v>
      </c>
      <c r="E181" s="815">
        <v>542906</v>
      </c>
      <c r="F181" s="818">
        <v>2312708</v>
      </c>
      <c r="G181" s="785">
        <v>1902321</v>
      </c>
      <c r="H181" s="785"/>
      <c r="I181" s="786">
        <v>109591</v>
      </c>
      <c r="J181" s="787">
        <v>461886</v>
      </c>
      <c r="K181" s="786">
        <v>271678</v>
      </c>
      <c r="L181" s="785">
        <v>95964</v>
      </c>
      <c r="M181" s="785"/>
      <c r="N181" s="786">
        <v>53849</v>
      </c>
      <c r="O181" s="786">
        <v>0</v>
      </c>
      <c r="P181" s="786">
        <v>0</v>
      </c>
      <c r="Q181" s="785">
        <v>6949</v>
      </c>
      <c r="R181" s="785"/>
      <c r="S181" s="786">
        <v>641084</v>
      </c>
      <c r="T181" s="788">
        <v>18725</v>
      </c>
      <c r="U181" s="788">
        <v>659809</v>
      </c>
    </row>
    <row r="182" spans="1:21" x14ac:dyDescent="0.25">
      <c r="A182" s="782">
        <v>91704</v>
      </c>
      <c r="B182" s="783" t="s">
        <v>2798</v>
      </c>
      <c r="C182" s="784">
        <v>1.73E-5</v>
      </c>
      <c r="D182" s="784">
        <v>1.6699999999999999E-5</v>
      </c>
      <c r="E182" s="815">
        <v>7506</v>
      </c>
      <c r="F182" s="818">
        <v>35443</v>
      </c>
      <c r="G182" s="785">
        <v>26430</v>
      </c>
      <c r="H182" s="785"/>
      <c r="I182" s="786">
        <v>1523</v>
      </c>
      <c r="J182" s="787">
        <v>6417</v>
      </c>
      <c r="K182" s="786">
        <v>3775</v>
      </c>
      <c r="L182" s="785">
        <v>1084</v>
      </c>
      <c r="M182" s="785"/>
      <c r="N182" s="786">
        <v>748</v>
      </c>
      <c r="O182" s="786">
        <v>0</v>
      </c>
      <c r="P182" s="786">
        <v>0</v>
      </c>
      <c r="Q182" s="785">
        <v>0</v>
      </c>
      <c r="R182" s="785"/>
      <c r="S182" s="786">
        <v>8907</v>
      </c>
      <c r="T182" s="788">
        <v>641</v>
      </c>
      <c r="U182" s="788">
        <v>9548</v>
      </c>
    </row>
    <row r="183" spans="1:21" x14ac:dyDescent="0.25">
      <c r="A183" s="782">
        <v>91706</v>
      </c>
      <c r="B183" s="783" t="s">
        <v>2799</v>
      </c>
      <c r="C183" s="784">
        <v>2.4340000000000001E-4</v>
      </c>
      <c r="D183" s="784">
        <v>2.4279999999999999E-4</v>
      </c>
      <c r="E183" s="815">
        <v>121963</v>
      </c>
      <c r="F183" s="818">
        <v>515303</v>
      </c>
      <c r="G183" s="785">
        <v>371848</v>
      </c>
      <c r="H183" s="785"/>
      <c r="I183" s="786">
        <v>21422</v>
      </c>
      <c r="J183" s="787">
        <v>90285</v>
      </c>
      <c r="K183" s="786">
        <v>53105</v>
      </c>
      <c r="L183" s="785">
        <v>9101</v>
      </c>
      <c r="M183" s="785"/>
      <c r="N183" s="786">
        <v>10526</v>
      </c>
      <c r="O183" s="786">
        <v>0</v>
      </c>
      <c r="P183" s="786">
        <v>0</v>
      </c>
      <c r="Q183" s="785">
        <v>8271</v>
      </c>
      <c r="R183" s="785"/>
      <c r="S183" s="786">
        <v>125313</v>
      </c>
      <c r="T183" s="788">
        <v>-4120</v>
      </c>
      <c r="U183" s="788">
        <v>121193</v>
      </c>
    </row>
    <row r="184" spans="1:21" x14ac:dyDescent="0.25">
      <c r="A184" s="782">
        <v>91719</v>
      </c>
      <c r="B184" s="783" t="s">
        <v>2800</v>
      </c>
      <c r="C184" s="784">
        <v>4.9700000000000002E-5</v>
      </c>
      <c r="D184" s="784">
        <v>4.9299999999999999E-5</v>
      </c>
      <c r="E184" s="815">
        <v>19656</v>
      </c>
      <c r="F184" s="818">
        <v>104631</v>
      </c>
      <c r="G184" s="785">
        <v>75928</v>
      </c>
      <c r="H184" s="785"/>
      <c r="I184" s="786">
        <v>4374</v>
      </c>
      <c r="J184" s="787">
        <v>18435</v>
      </c>
      <c r="K184" s="786">
        <v>10844</v>
      </c>
      <c r="L184" s="785">
        <v>4395</v>
      </c>
      <c r="M184" s="785"/>
      <c r="N184" s="786">
        <v>2149</v>
      </c>
      <c r="O184" s="786">
        <v>0</v>
      </c>
      <c r="P184" s="786">
        <v>0</v>
      </c>
      <c r="Q184" s="785">
        <v>4419</v>
      </c>
      <c r="R184" s="785"/>
      <c r="S184" s="786">
        <v>25588</v>
      </c>
      <c r="T184" s="788">
        <v>37</v>
      </c>
      <c r="U184" s="788">
        <v>25625</v>
      </c>
    </row>
    <row r="185" spans="1:21" x14ac:dyDescent="0.25">
      <c r="A185" s="782">
        <v>91801</v>
      </c>
      <c r="B185" s="783" t="s">
        <v>2801</v>
      </c>
      <c r="C185" s="784">
        <v>8.0961000000000002E-3</v>
      </c>
      <c r="D185" s="784">
        <v>8.3853999999999995E-3</v>
      </c>
      <c r="E185" s="815">
        <v>3752769</v>
      </c>
      <c r="F185" s="818">
        <v>17796628</v>
      </c>
      <c r="G185" s="785">
        <v>12368598</v>
      </c>
      <c r="H185" s="785"/>
      <c r="I185" s="786">
        <v>712546</v>
      </c>
      <c r="J185" s="787">
        <v>3003111</v>
      </c>
      <c r="K185" s="786">
        <v>1766407</v>
      </c>
      <c r="L185" s="785">
        <v>0</v>
      </c>
      <c r="M185" s="785"/>
      <c r="N185" s="786">
        <v>350116</v>
      </c>
      <c r="O185" s="786">
        <v>0</v>
      </c>
      <c r="P185" s="786">
        <v>0</v>
      </c>
      <c r="Q185" s="785">
        <v>242225</v>
      </c>
      <c r="R185" s="785"/>
      <c r="S185" s="786">
        <v>4168229</v>
      </c>
      <c r="T185" s="788">
        <v>-87031</v>
      </c>
      <c r="U185" s="788">
        <f>4081197+1</f>
        <v>4081198</v>
      </c>
    </row>
    <row r="186" spans="1:21" x14ac:dyDescent="0.25">
      <c r="A186" s="782">
        <v>91804</v>
      </c>
      <c r="B186" s="783" t="s">
        <v>2802</v>
      </c>
      <c r="C186" s="784">
        <v>1.3439999999999999E-4</v>
      </c>
      <c r="D186" s="784">
        <v>1.462E-4</v>
      </c>
      <c r="E186" s="815">
        <v>95886</v>
      </c>
      <c r="F186" s="818">
        <v>310285</v>
      </c>
      <c r="G186" s="785">
        <v>205326</v>
      </c>
      <c r="H186" s="785"/>
      <c r="I186" s="786">
        <v>11829</v>
      </c>
      <c r="J186" s="787">
        <v>49854</v>
      </c>
      <c r="K186" s="786">
        <v>29323</v>
      </c>
      <c r="L186" s="785">
        <v>55699</v>
      </c>
      <c r="M186" s="785"/>
      <c r="N186" s="786">
        <v>5812</v>
      </c>
      <c r="O186" s="786">
        <v>0</v>
      </c>
      <c r="P186" s="786">
        <v>0</v>
      </c>
      <c r="Q186" s="785">
        <v>0</v>
      </c>
      <c r="R186" s="785"/>
      <c r="S186" s="786">
        <v>69195</v>
      </c>
      <c r="T186" s="788">
        <v>23621</v>
      </c>
      <c r="U186" s="788">
        <v>92816</v>
      </c>
    </row>
    <row r="187" spans="1:21" x14ac:dyDescent="0.25">
      <c r="A187" s="782">
        <v>91811</v>
      </c>
      <c r="B187" s="783" t="s">
        <v>2803</v>
      </c>
      <c r="C187" s="784">
        <v>4.5555999999999999E-3</v>
      </c>
      <c r="D187" s="784">
        <v>4.6454000000000001E-3</v>
      </c>
      <c r="E187" s="815">
        <v>1964158</v>
      </c>
      <c r="F187" s="818">
        <v>9859095</v>
      </c>
      <c r="G187" s="785">
        <v>6959695</v>
      </c>
      <c r="H187" s="785"/>
      <c r="I187" s="786">
        <v>400943</v>
      </c>
      <c r="J187" s="787">
        <v>1689822</v>
      </c>
      <c r="K187" s="786">
        <v>993941</v>
      </c>
      <c r="L187" s="785">
        <v>0</v>
      </c>
      <c r="M187" s="785"/>
      <c r="N187" s="786">
        <v>197007</v>
      </c>
      <c r="O187" s="786">
        <v>0</v>
      </c>
      <c r="P187" s="786">
        <v>0</v>
      </c>
      <c r="Q187" s="785">
        <v>519421</v>
      </c>
      <c r="R187" s="785"/>
      <c r="S187" s="786">
        <v>2345423</v>
      </c>
      <c r="T187" s="788">
        <v>-197590</v>
      </c>
      <c r="U187" s="788">
        <v>2147833</v>
      </c>
    </row>
    <row r="188" spans="1:21" x14ac:dyDescent="0.25">
      <c r="A188" s="782">
        <v>91812</v>
      </c>
      <c r="B188" s="783" t="s">
        <v>2804</v>
      </c>
      <c r="C188" s="784">
        <v>5.0800000000000002E-5</v>
      </c>
      <c r="D188" s="784">
        <v>5.8199999999999998E-5</v>
      </c>
      <c r="E188" s="815">
        <v>26136</v>
      </c>
      <c r="F188" s="818">
        <v>123520</v>
      </c>
      <c r="G188" s="785">
        <v>77608</v>
      </c>
      <c r="H188" s="785"/>
      <c r="I188" s="786">
        <v>4471</v>
      </c>
      <c r="J188" s="787">
        <v>18843</v>
      </c>
      <c r="K188" s="786">
        <v>11084</v>
      </c>
      <c r="L188" s="785">
        <v>11326</v>
      </c>
      <c r="M188" s="785"/>
      <c r="N188" s="786">
        <v>2197</v>
      </c>
      <c r="O188" s="786">
        <v>0</v>
      </c>
      <c r="P188" s="786">
        <v>0</v>
      </c>
      <c r="Q188" s="785">
        <v>2710</v>
      </c>
      <c r="R188" s="785"/>
      <c r="S188" s="786">
        <v>26154</v>
      </c>
      <c r="T188" s="788">
        <v>4584</v>
      </c>
      <c r="U188" s="788">
        <v>30738</v>
      </c>
    </row>
    <row r="189" spans="1:21" x14ac:dyDescent="0.25">
      <c r="A189" s="782">
        <v>91813</v>
      </c>
      <c r="B189" s="783" t="s">
        <v>2805</v>
      </c>
      <c r="C189" s="784">
        <v>8.6100000000000006E-5</v>
      </c>
      <c r="D189" s="784">
        <v>1.083E-4</v>
      </c>
      <c r="E189" s="815">
        <v>44452</v>
      </c>
      <c r="F189" s="818">
        <v>229849</v>
      </c>
      <c r="G189" s="785">
        <v>131537</v>
      </c>
      <c r="H189" s="785"/>
      <c r="I189" s="786">
        <v>7578</v>
      </c>
      <c r="J189" s="787">
        <v>31938</v>
      </c>
      <c r="K189" s="786">
        <v>18785</v>
      </c>
      <c r="L189" s="785">
        <v>10986</v>
      </c>
      <c r="M189" s="785"/>
      <c r="N189" s="786">
        <v>3723</v>
      </c>
      <c r="O189" s="786">
        <v>0</v>
      </c>
      <c r="P189" s="786">
        <v>0</v>
      </c>
      <c r="Q189" s="785">
        <v>13565</v>
      </c>
      <c r="R189" s="785"/>
      <c r="S189" s="786">
        <v>44328</v>
      </c>
      <c r="T189" s="788">
        <v>-155</v>
      </c>
      <c r="U189" s="788">
        <v>44173</v>
      </c>
    </row>
    <row r="190" spans="1:21" x14ac:dyDescent="0.25">
      <c r="A190" s="782">
        <v>91818</v>
      </c>
      <c r="B190" s="783" t="s">
        <v>2806</v>
      </c>
      <c r="C190" s="784">
        <v>4.0079999999999998E-4</v>
      </c>
      <c r="D190" s="784">
        <v>3.8559999999999999E-4</v>
      </c>
      <c r="E190" s="815">
        <v>453409</v>
      </c>
      <c r="F190" s="818">
        <v>818372</v>
      </c>
      <c r="G190" s="785">
        <v>612311</v>
      </c>
      <c r="H190" s="785"/>
      <c r="I190" s="786">
        <v>35275</v>
      </c>
      <c r="J190" s="787">
        <v>148670</v>
      </c>
      <c r="K190" s="786">
        <v>87447</v>
      </c>
      <c r="L190" s="785">
        <v>469231</v>
      </c>
      <c r="M190" s="785"/>
      <c r="N190" s="786">
        <v>17333</v>
      </c>
      <c r="O190" s="786">
        <v>0</v>
      </c>
      <c r="P190" s="786">
        <v>0</v>
      </c>
      <c r="Q190" s="785">
        <v>5024</v>
      </c>
      <c r="R190" s="785"/>
      <c r="S190" s="786">
        <v>206349</v>
      </c>
      <c r="T190" s="788">
        <v>155106</v>
      </c>
      <c r="U190" s="788">
        <f>361456-1</f>
        <v>361455</v>
      </c>
    </row>
    <row r="191" spans="1:21" x14ac:dyDescent="0.25">
      <c r="A191" s="782">
        <v>91819</v>
      </c>
      <c r="B191" s="783" t="s">
        <v>2807</v>
      </c>
      <c r="C191" s="784">
        <v>2.8489999999999999E-4</v>
      </c>
      <c r="D191" s="784">
        <v>2.8200000000000002E-4</v>
      </c>
      <c r="E191" s="815">
        <v>138657</v>
      </c>
      <c r="F191" s="818">
        <v>598498</v>
      </c>
      <c r="G191" s="785">
        <v>435248</v>
      </c>
      <c r="H191" s="785"/>
      <c r="I191" s="786">
        <v>25074</v>
      </c>
      <c r="J191" s="787">
        <v>105678</v>
      </c>
      <c r="K191" s="786">
        <v>62159</v>
      </c>
      <c r="L191" s="785">
        <v>15073</v>
      </c>
      <c r="M191" s="785"/>
      <c r="N191" s="786">
        <v>12321</v>
      </c>
      <c r="O191" s="786">
        <v>0</v>
      </c>
      <c r="P191" s="786">
        <v>0</v>
      </c>
      <c r="Q191" s="785">
        <v>8276</v>
      </c>
      <c r="R191" s="785"/>
      <c r="S191" s="786">
        <v>146679</v>
      </c>
      <c r="T191" s="788">
        <v>5278</v>
      </c>
      <c r="U191" s="788">
        <v>151957</v>
      </c>
    </row>
    <row r="192" spans="1:21" x14ac:dyDescent="0.25">
      <c r="A192" s="782">
        <v>91821</v>
      </c>
      <c r="B192" s="783" t="s">
        <v>2808</v>
      </c>
      <c r="C192" s="784">
        <v>1.7330000000000001E-4</v>
      </c>
      <c r="D192" s="784">
        <v>1.63E-4</v>
      </c>
      <c r="E192" s="815">
        <v>71126</v>
      </c>
      <c r="F192" s="818">
        <v>345941</v>
      </c>
      <c r="G192" s="785">
        <v>264754</v>
      </c>
      <c r="H192" s="785"/>
      <c r="I192" s="786">
        <v>15252</v>
      </c>
      <c r="J192" s="787">
        <v>64283</v>
      </c>
      <c r="K192" s="786">
        <v>37811</v>
      </c>
      <c r="L192" s="785">
        <v>2434</v>
      </c>
      <c r="M192" s="785"/>
      <c r="N192" s="786">
        <v>7494</v>
      </c>
      <c r="O192" s="786">
        <v>0</v>
      </c>
      <c r="P192" s="786">
        <v>0</v>
      </c>
      <c r="Q192" s="785">
        <v>1112</v>
      </c>
      <c r="R192" s="785"/>
      <c r="S192" s="786">
        <v>89222</v>
      </c>
      <c r="T192" s="788">
        <v>1572</v>
      </c>
      <c r="U192" s="788">
        <f>90795-1</f>
        <v>90794</v>
      </c>
    </row>
    <row r="193" spans="1:21" x14ac:dyDescent="0.25">
      <c r="A193" s="782">
        <v>91831</v>
      </c>
      <c r="B193" s="783" t="s">
        <v>2809</v>
      </c>
      <c r="C193" s="784">
        <v>3.366E-4</v>
      </c>
      <c r="D193" s="784">
        <v>3.414E-4</v>
      </c>
      <c r="E193" s="815">
        <v>150178</v>
      </c>
      <c r="F193" s="818">
        <v>724565</v>
      </c>
      <c r="G193" s="785">
        <v>514232</v>
      </c>
      <c r="H193" s="785"/>
      <c r="I193" s="786">
        <v>29625</v>
      </c>
      <c r="J193" s="787">
        <v>124856</v>
      </c>
      <c r="K193" s="786">
        <v>73439</v>
      </c>
      <c r="L193" s="785">
        <v>7847</v>
      </c>
      <c r="M193" s="785"/>
      <c r="N193" s="786">
        <v>14556</v>
      </c>
      <c r="O193" s="786">
        <v>0</v>
      </c>
      <c r="P193" s="786">
        <v>0</v>
      </c>
      <c r="Q193" s="785">
        <v>13475</v>
      </c>
      <c r="R193" s="785"/>
      <c r="S193" s="786">
        <v>173296</v>
      </c>
      <c r="T193" s="788">
        <v>520</v>
      </c>
      <c r="U193" s="788">
        <v>173816</v>
      </c>
    </row>
    <row r="194" spans="1:21" x14ac:dyDescent="0.25">
      <c r="A194" s="782">
        <v>91841</v>
      </c>
      <c r="B194" s="783" t="s">
        <v>2810</v>
      </c>
      <c r="C194" s="784">
        <v>2.5339999999999998E-4</v>
      </c>
      <c r="D194" s="784">
        <v>2.63E-4</v>
      </c>
      <c r="E194" s="815">
        <v>126479</v>
      </c>
      <c r="F194" s="818">
        <v>558174</v>
      </c>
      <c r="G194" s="785">
        <v>387125</v>
      </c>
      <c r="H194" s="785"/>
      <c r="I194" s="786">
        <v>22302</v>
      </c>
      <c r="J194" s="787">
        <v>93994</v>
      </c>
      <c r="K194" s="786">
        <v>55287</v>
      </c>
      <c r="L194" s="785">
        <v>1681</v>
      </c>
      <c r="M194" s="785"/>
      <c r="N194" s="786">
        <v>10958</v>
      </c>
      <c r="O194" s="786">
        <v>0</v>
      </c>
      <c r="P194" s="786">
        <v>0</v>
      </c>
      <c r="Q194" s="785">
        <v>14711</v>
      </c>
      <c r="R194" s="785"/>
      <c r="S194" s="786">
        <v>130461</v>
      </c>
      <c r="T194" s="788">
        <v>-9727</v>
      </c>
      <c r="U194" s="788">
        <v>120734</v>
      </c>
    </row>
    <row r="195" spans="1:21" x14ac:dyDescent="0.25">
      <c r="A195" s="782">
        <v>91851</v>
      </c>
      <c r="B195" s="783" t="s">
        <v>2811</v>
      </c>
      <c r="C195" s="784">
        <v>7.4910000000000005E-4</v>
      </c>
      <c r="D195" s="784">
        <v>7.2059999999999995E-4</v>
      </c>
      <c r="E195" s="815">
        <v>326836</v>
      </c>
      <c r="F195" s="818">
        <v>1529355</v>
      </c>
      <c r="G195" s="785">
        <v>1144417</v>
      </c>
      <c r="H195" s="785"/>
      <c r="I195" s="786">
        <v>65929</v>
      </c>
      <c r="J195" s="787">
        <v>277866</v>
      </c>
      <c r="K195" s="786">
        <v>163439</v>
      </c>
      <c r="L195" s="785">
        <v>9030</v>
      </c>
      <c r="M195" s="785"/>
      <c r="N195" s="786">
        <v>32395</v>
      </c>
      <c r="O195" s="786">
        <v>0</v>
      </c>
      <c r="P195" s="786">
        <v>0</v>
      </c>
      <c r="Q195" s="785">
        <v>44287</v>
      </c>
      <c r="R195" s="785"/>
      <c r="S195" s="786">
        <v>385670</v>
      </c>
      <c r="T195" s="788">
        <v>-13424</v>
      </c>
      <c r="U195" s="788">
        <v>372246</v>
      </c>
    </row>
    <row r="196" spans="1:21" x14ac:dyDescent="0.25">
      <c r="A196" s="782">
        <v>91861</v>
      </c>
      <c r="B196" s="783" t="s">
        <v>2812</v>
      </c>
      <c r="C196" s="784">
        <v>1.9700000000000001E-5</v>
      </c>
      <c r="D196" s="784">
        <v>1.9899999999999999E-5</v>
      </c>
      <c r="E196" s="815">
        <v>8023</v>
      </c>
      <c r="F196" s="818">
        <v>42234</v>
      </c>
      <c r="G196" s="785">
        <v>30096</v>
      </c>
      <c r="H196" s="785"/>
      <c r="I196" s="786">
        <v>1734</v>
      </c>
      <c r="J196" s="787">
        <v>7308</v>
      </c>
      <c r="K196" s="786">
        <v>4298</v>
      </c>
      <c r="L196" s="785">
        <v>2050</v>
      </c>
      <c r="M196" s="785"/>
      <c r="N196" s="786">
        <v>852</v>
      </c>
      <c r="O196" s="786">
        <v>0</v>
      </c>
      <c r="P196" s="786">
        <v>0</v>
      </c>
      <c r="Q196" s="785">
        <v>1061</v>
      </c>
      <c r="R196" s="785"/>
      <c r="S196" s="786">
        <v>10142</v>
      </c>
      <c r="T196" s="788">
        <v>692</v>
      </c>
      <c r="U196" s="788">
        <f>10835-1</f>
        <v>10834</v>
      </c>
    </row>
    <row r="197" spans="1:21" x14ac:dyDescent="0.25">
      <c r="A197" s="782">
        <v>91871</v>
      </c>
      <c r="B197" s="783" t="s">
        <v>2813</v>
      </c>
      <c r="C197" s="784">
        <v>1.3319E-3</v>
      </c>
      <c r="D197" s="784">
        <v>1.2712000000000001E-3</v>
      </c>
      <c r="E197" s="815">
        <v>588755</v>
      </c>
      <c r="F197" s="818">
        <v>2697912</v>
      </c>
      <c r="G197" s="785">
        <v>2034774</v>
      </c>
      <c r="H197" s="785"/>
      <c r="I197" s="786">
        <v>117222</v>
      </c>
      <c r="J197" s="787">
        <v>494045</v>
      </c>
      <c r="K197" s="786">
        <v>290594</v>
      </c>
      <c r="L197" s="785">
        <v>22538</v>
      </c>
      <c r="M197" s="785"/>
      <c r="N197" s="786">
        <v>57598</v>
      </c>
      <c r="O197" s="786">
        <v>0</v>
      </c>
      <c r="P197" s="786">
        <v>0</v>
      </c>
      <c r="Q197" s="785">
        <v>73797</v>
      </c>
      <c r="R197" s="785"/>
      <c r="S197" s="786">
        <v>685721</v>
      </c>
      <c r="T197" s="788">
        <v>-28802</v>
      </c>
      <c r="U197" s="788">
        <v>656919</v>
      </c>
    </row>
    <row r="198" spans="1:21" x14ac:dyDescent="0.25">
      <c r="A198" s="782">
        <v>91881</v>
      </c>
      <c r="B198" s="783" t="s">
        <v>2814</v>
      </c>
      <c r="C198" s="784">
        <v>9.3000000000000007E-6</v>
      </c>
      <c r="D198" s="784">
        <v>1.01E-5</v>
      </c>
      <c r="E198" s="815">
        <v>6384</v>
      </c>
      <c r="F198" s="818">
        <v>21436</v>
      </c>
      <c r="G198" s="785">
        <v>14208</v>
      </c>
      <c r="H198" s="785"/>
      <c r="I198" s="786">
        <v>819</v>
      </c>
      <c r="J198" s="787">
        <v>3450</v>
      </c>
      <c r="K198" s="786">
        <v>2029</v>
      </c>
      <c r="L198" s="785">
        <v>1155</v>
      </c>
      <c r="M198" s="785"/>
      <c r="N198" s="786">
        <v>402</v>
      </c>
      <c r="O198" s="786">
        <v>0</v>
      </c>
      <c r="P198" s="786">
        <v>0</v>
      </c>
      <c r="Q198" s="785">
        <v>8809</v>
      </c>
      <c r="R198" s="785"/>
      <c r="S198" s="786">
        <v>4788</v>
      </c>
      <c r="T198" s="788">
        <v>-5615</v>
      </c>
      <c r="U198" s="788">
        <v>-827</v>
      </c>
    </row>
    <row r="199" spans="1:21" x14ac:dyDescent="0.25">
      <c r="A199" s="782">
        <v>91901</v>
      </c>
      <c r="B199" s="783" t="s">
        <v>2815</v>
      </c>
      <c r="C199" s="784">
        <v>3.6706999999999998E-3</v>
      </c>
      <c r="D199" s="784">
        <v>3.6564000000000002E-3</v>
      </c>
      <c r="E199" s="815">
        <v>1652493</v>
      </c>
      <c r="F199" s="818">
        <v>7760106</v>
      </c>
      <c r="G199" s="785">
        <v>5607813</v>
      </c>
      <c r="H199" s="785"/>
      <c r="I199" s="786">
        <v>323062</v>
      </c>
      <c r="J199" s="787">
        <v>1361584</v>
      </c>
      <c r="K199" s="786">
        <v>800873</v>
      </c>
      <c r="L199" s="785">
        <v>89719</v>
      </c>
      <c r="M199" s="785"/>
      <c r="N199" s="786">
        <v>158739</v>
      </c>
      <c r="O199" s="786">
        <v>0</v>
      </c>
      <c r="P199" s="786">
        <v>0</v>
      </c>
      <c r="Q199" s="785">
        <v>16546</v>
      </c>
      <c r="R199" s="785"/>
      <c r="S199" s="786">
        <v>1889838</v>
      </c>
      <c r="T199" s="788">
        <v>53714</v>
      </c>
      <c r="U199" s="788">
        <v>1943552</v>
      </c>
    </row>
    <row r="200" spans="1:21" x14ac:dyDescent="0.25">
      <c r="A200" s="782">
        <v>91903</v>
      </c>
      <c r="B200" s="783" t="s">
        <v>2816</v>
      </c>
      <c r="C200" s="784">
        <v>8.6999999999999997E-6</v>
      </c>
      <c r="D200" s="784">
        <v>8.3999999999999992E-6</v>
      </c>
      <c r="E200" s="815">
        <v>5739</v>
      </c>
      <c r="F200" s="818">
        <v>17828</v>
      </c>
      <c r="G200" s="785">
        <v>13291</v>
      </c>
      <c r="H200" s="785"/>
      <c r="I200" s="786">
        <v>766</v>
      </c>
      <c r="J200" s="787">
        <v>3227</v>
      </c>
      <c r="K200" s="786">
        <v>1898</v>
      </c>
      <c r="L200" s="785">
        <v>2037</v>
      </c>
      <c r="M200" s="785"/>
      <c r="N200" s="786">
        <v>376</v>
      </c>
      <c r="O200" s="786">
        <v>0</v>
      </c>
      <c r="P200" s="786">
        <v>0</v>
      </c>
      <c r="Q200" s="785">
        <v>3011</v>
      </c>
      <c r="R200" s="785"/>
      <c r="S200" s="786">
        <v>4479</v>
      </c>
      <c r="T200" s="788">
        <v>-2426</v>
      </c>
      <c r="U200" s="788">
        <v>2053</v>
      </c>
    </row>
    <row r="201" spans="1:21" x14ac:dyDescent="0.25">
      <c r="A201" s="782">
        <v>91904</v>
      </c>
      <c r="B201" s="783" t="s">
        <v>2817</v>
      </c>
      <c r="C201" s="784">
        <v>3.3399999999999999E-5</v>
      </c>
      <c r="D201" s="784">
        <v>2.3300000000000001E-5</v>
      </c>
      <c r="E201" s="815">
        <v>13231</v>
      </c>
      <c r="F201" s="818">
        <v>49450</v>
      </c>
      <c r="G201" s="785">
        <v>51026</v>
      </c>
      <c r="H201" s="785"/>
      <c r="I201" s="786">
        <v>2940</v>
      </c>
      <c r="J201" s="787">
        <v>12389</v>
      </c>
      <c r="K201" s="786">
        <v>7287</v>
      </c>
      <c r="L201" s="785">
        <v>11190</v>
      </c>
      <c r="M201" s="785"/>
      <c r="N201" s="786">
        <v>1444</v>
      </c>
      <c r="O201" s="786">
        <v>0</v>
      </c>
      <c r="P201" s="786">
        <v>0</v>
      </c>
      <c r="Q201" s="785">
        <v>0</v>
      </c>
      <c r="R201" s="785"/>
      <c r="S201" s="786">
        <v>17196</v>
      </c>
      <c r="T201" s="788">
        <v>4334</v>
      </c>
      <c r="U201" s="788">
        <v>21530</v>
      </c>
    </row>
    <row r="202" spans="1:21" x14ac:dyDescent="0.25">
      <c r="A202" s="782">
        <v>91908</v>
      </c>
      <c r="B202" s="783" t="s">
        <v>2818</v>
      </c>
      <c r="C202" s="784">
        <v>1.6900000000000001E-5</v>
      </c>
      <c r="D202" s="784">
        <v>1.3699999999999999E-5</v>
      </c>
      <c r="E202" s="815">
        <v>5211</v>
      </c>
      <c r="F202" s="818">
        <v>29076</v>
      </c>
      <c r="G202" s="785">
        <v>25819</v>
      </c>
      <c r="H202" s="785"/>
      <c r="I202" s="786">
        <v>1487</v>
      </c>
      <c r="J202" s="787">
        <v>6269</v>
      </c>
      <c r="K202" s="786">
        <v>3687</v>
      </c>
      <c r="L202" s="785">
        <v>935</v>
      </c>
      <c r="M202" s="785"/>
      <c r="N202" s="786">
        <v>731</v>
      </c>
      <c r="O202" s="786">
        <v>0</v>
      </c>
      <c r="P202" s="786">
        <v>0</v>
      </c>
      <c r="Q202" s="785">
        <v>2553</v>
      </c>
      <c r="R202" s="785"/>
      <c r="S202" s="786">
        <v>8701</v>
      </c>
      <c r="T202" s="788">
        <v>-56</v>
      </c>
      <c r="U202" s="788">
        <v>8645</v>
      </c>
    </row>
    <row r="203" spans="1:21" x14ac:dyDescent="0.25">
      <c r="A203" s="782">
        <v>91911</v>
      </c>
      <c r="B203" s="783" t="s">
        <v>2819</v>
      </c>
      <c r="C203" s="784">
        <v>4.5580000000000002E-4</v>
      </c>
      <c r="D203" s="784">
        <v>4.639E-4</v>
      </c>
      <c r="E203" s="815">
        <v>224257</v>
      </c>
      <c r="F203" s="818">
        <v>984551</v>
      </c>
      <c r="G203" s="785">
        <v>696336</v>
      </c>
      <c r="H203" s="785"/>
      <c r="I203" s="786">
        <v>40115</v>
      </c>
      <c r="J203" s="787">
        <v>169071</v>
      </c>
      <c r="K203" s="786">
        <v>99446</v>
      </c>
      <c r="L203" s="785">
        <v>13510</v>
      </c>
      <c r="M203" s="785"/>
      <c r="N203" s="786">
        <v>19711</v>
      </c>
      <c r="O203" s="786">
        <v>0</v>
      </c>
      <c r="P203" s="786">
        <v>0</v>
      </c>
      <c r="Q203" s="785">
        <v>5011</v>
      </c>
      <c r="R203" s="785"/>
      <c r="S203" s="786">
        <v>234666</v>
      </c>
      <c r="T203" s="788">
        <v>598</v>
      </c>
      <c r="U203" s="788">
        <v>235264</v>
      </c>
    </row>
    <row r="204" spans="1:21" x14ac:dyDescent="0.25">
      <c r="A204" s="782">
        <v>91917</v>
      </c>
      <c r="B204" s="783" t="s">
        <v>2820</v>
      </c>
      <c r="C204" s="784">
        <v>1.22E-5</v>
      </c>
      <c r="D204" s="784">
        <v>1.36E-5</v>
      </c>
      <c r="E204" s="815">
        <v>6387</v>
      </c>
      <c r="F204" s="818">
        <v>28864</v>
      </c>
      <c r="G204" s="785">
        <v>18638</v>
      </c>
      <c r="H204" s="785"/>
      <c r="I204" s="786">
        <v>1074</v>
      </c>
      <c r="J204" s="787">
        <v>4526</v>
      </c>
      <c r="K204" s="786">
        <v>2662</v>
      </c>
      <c r="L204" s="785">
        <v>527</v>
      </c>
      <c r="M204" s="785"/>
      <c r="N204" s="786">
        <v>528</v>
      </c>
      <c r="O204" s="786">
        <v>0</v>
      </c>
      <c r="P204" s="786">
        <v>0</v>
      </c>
      <c r="Q204" s="785">
        <v>310</v>
      </c>
      <c r="R204" s="785"/>
      <c r="S204" s="786">
        <v>6281</v>
      </c>
      <c r="T204" s="788">
        <v>126</v>
      </c>
      <c r="U204" s="788">
        <v>6407</v>
      </c>
    </row>
    <row r="205" spans="1:21" x14ac:dyDescent="0.25">
      <c r="A205" s="782">
        <v>91921</v>
      </c>
      <c r="B205" s="783" t="s">
        <v>2821</v>
      </c>
      <c r="C205" s="784">
        <v>3.769E-4</v>
      </c>
      <c r="D205" s="784">
        <v>3.6600000000000001E-4</v>
      </c>
      <c r="E205" s="815">
        <v>160505</v>
      </c>
      <c r="F205" s="818">
        <v>776775</v>
      </c>
      <c r="G205" s="785">
        <v>575799</v>
      </c>
      <c r="H205" s="785"/>
      <c r="I205" s="786">
        <v>33171</v>
      </c>
      <c r="J205" s="787">
        <v>139804</v>
      </c>
      <c r="K205" s="786">
        <v>82232</v>
      </c>
      <c r="L205" s="785">
        <v>0</v>
      </c>
      <c r="M205" s="785"/>
      <c r="N205" s="786">
        <v>16299</v>
      </c>
      <c r="O205" s="786">
        <v>0</v>
      </c>
      <c r="P205" s="786">
        <v>0</v>
      </c>
      <c r="Q205" s="785">
        <v>10651</v>
      </c>
      <c r="R205" s="785"/>
      <c r="S205" s="786">
        <v>194045</v>
      </c>
      <c r="T205" s="788">
        <v>-5316</v>
      </c>
      <c r="U205" s="788">
        <v>188729</v>
      </c>
    </row>
    <row r="206" spans="1:21" x14ac:dyDescent="0.25">
      <c r="A206" s="782">
        <v>92001</v>
      </c>
      <c r="B206" s="783" t="s">
        <v>2822</v>
      </c>
      <c r="C206" s="784">
        <v>1.8143E-3</v>
      </c>
      <c r="D206" s="784">
        <v>1.9604000000000002E-3</v>
      </c>
      <c r="E206" s="815">
        <v>790603</v>
      </c>
      <c r="F206" s="818">
        <v>4160626</v>
      </c>
      <c r="G206" s="785">
        <v>2771748</v>
      </c>
      <c r="H206" s="785"/>
      <c r="I206" s="786">
        <v>159678</v>
      </c>
      <c r="J206" s="787">
        <v>672984</v>
      </c>
      <c r="K206" s="786">
        <v>395844</v>
      </c>
      <c r="L206" s="785">
        <v>48219</v>
      </c>
      <c r="M206" s="785"/>
      <c r="N206" s="786">
        <v>78459</v>
      </c>
      <c r="O206" s="786">
        <v>0</v>
      </c>
      <c r="P206" s="786">
        <v>0</v>
      </c>
      <c r="Q206" s="785">
        <v>157894</v>
      </c>
      <c r="R206" s="785"/>
      <c r="S206" s="786">
        <v>934081</v>
      </c>
      <c r="T206" s="788">
        <v>-42009</v>
      </c>
      <c r="U206" s="788">
        <f>892073-1</f>
        <v>892072</v>
      </c>
    </row>
    <row r="207" spans="1:21" x14ac:dyDescent="0.25">
      <c r="A207" s="782">
        <v>92005</v>
      </c>
      <c r="B207" s="783" t="s">
        <v>2823</v>
      </c>
      <c r="C207" s="784">
        <v>4.1399999999999997E-5</v>
      </c>
      <c r="D207" s="784">
        <v>4.6499999999999999E-5</v>
      </c>
      <c r="E207" s="815">
        <v>20947</v>
      </c>
      <c r="F207" s="818">
        <v>98689</v>
      </c>
      <c r="G207" s="785">
        <v>63248</v>
      </c>
      <c r="H207" s="785"/>
      <c r="I207" s="786">
        <v>3644</v>
      </c>
      <c r="J207" s="787">
        <v>15356</v>
      </c>
      <c r="K207" s="786">
        <v>9033</v>
      </c>
      <c r="L207" s="785">
        <v>1741</v>
      </c>
      <c r="M207" s="785"/>
      <c r="N207" s="786">
        <v>1790</v>
      </c>
      <c r="O207" s="786">
        <v>0</v>
      </c>
      <c r="P207" s="786">
        <v>0</v>
      </c>
      <c r="Q207" s="785">
        <v>2252</v>
      </c>
      <c r="R207" s="785"/>
      <c r="S207" s="786">
        <v>21315</v>
      </c>
      <c r="T207" s="788">
        <v>208</v>
      </c>
      <c r="U207" s="788">
        <f>21522+1</f>
        <v>21523</v>
      </c>
    </row>
    <row r="208" spans="1:21" x14ac:dyDescent="0.25">
      <c r="A208" s="782">
        <v>92011</v>
      </c>
      <c r="B208" s="783" t="s">
        <v>2824</v>
      </c>
      <c r="C208" s="784">
        <v>2.0049999999999999E-4</v>
      </c>
      <c r="D208" s="784">
        <v>1.8660000000000001E-4</v>
      </c>
      <c r="E208" s="815">
        <v>90383</v>
      </c>
      <c r="F208" s="818">
        <v>396028</v>
      </c>
      <c r="G208" s="785">
        <v>306308</v>
      </c>
      <c r="H208" s="785"/>
      <c r="I208" s="786">
        <v>17646</v>
      </c>
      <c r="J208" s="787">
        <v>74372</v>
      </c>
      <c r="K208" s="786">
        <v>43745</v>
      </c>
      <c r="L208" s="785">
        <v>17614</v>
      </c>
      <c r="M208" s="785"/>
      <c r="N208" s="786">
        <v>8671</v>
      </c>
      <c r="O208" s="786">
        <v>0</v>
      </c>
      <c r="P208" s="786">
        <v>0</v>
      </c>
      <c r="Q208" s="785">
        <v>0</v>
      </c>
      <c r="R208" s="785"/>
      <c r="S208" s="786">
        <v>103226</v>
      </c>
      <c r="T208" s="788">
        <v>9780</v>
      </c>
      <c r="U208" s="788">
        <v>113006</v>
      </c>
    </row>
    <row r="209" spans="1:21" x14ac:dyDescent="0.25">
      <c r="A209" s="782">
        <v>92017</v>
      </c>
      <c r="B209" s="783" t="s">
        <v>2825</v>
      </c>
      <c r="C209" s="784">
        <v>3.4199999999999998E-5</v>
      </c>
      <c r="D209" s="784">
        <v>3.5099999999999999E-5</v>
      </c>
      <c r="E209" s="815">
        <v>16941</v>
      </c>
      <c r="F209" s="818">
        <v>74494</v>
      </c>
      <c r="G209" s="785">
        <v>52248</v>
      </c>
      <c r="H209" s="785"/>
      <c r="I209" s="786">
        <v>3010</v>
      </c>
      <c r="J209" s="787">
        <v>12686</v>
      </c>
      <c r="K209" s="786">
        <v>7462</v>
      </c>
      <c r="L209" s="785">
        <v>639</v>
      </c>
      <c r="M209" s="785"/>
      <c r="N209" s="786">
        <v>1479</v>
      </c>
      <c r="O209" s="786">
        <v>0</v>
      </c>
      <c r="P209" s="786">
        <v>0</v>
      </c>
      <c r="Q209" s="785">
        <v>1257</v>
      </c>
      <c r="R209" s="785"/>
      <c r="S209" s="786">
        <v>17608</v>
      </c>
      <c r="T209" s="788">
        <v>-668</v>
      </c>
      <c r="U209" s="788">
        <f>16939+1</f>
        <v>16940</v>
      </c>
    </row>
    <row r="210" spans="1:21" x14ac:dyDescent="0.25">
      <c r="A210" s="782">
        <v>92021</v>
      </c>
      <c r="B210" s="783" t="s">
        <v>2826</v>
      </c>
      <c r="C210" s="784">
        <v>1.5779999999999999E-4</v>
      </c>
      <c r="D210" s="784">
        <v>1.4249999999999999E-4</v>
      </c>
      <c r="E210" s="815">
        <v>72635</v>
      </c>
      <c r="F210" s="818">
        <v>302433</v>
      </c>
      <c r="G210" s="785">
        <v>241075</v>
      </c>
      <c r="H210" s="785"/>
      <c r="I210" s="786">
        <v>13888</v>
      </c>
      <c r="J210" s="787">
        <v>58533</v>
      </c>
      <c r="K210" s="786">
        <v>34429</v>
      </c>
      <c r="L210" s="785">
        <v>30504</v>
      </c>
      <c r="M210" s="785"/>
      <c r="N210" s="786">
        <v>6824</v>
      </c>
      <c r="O210" s="786">
        <v>0</v>
      </c>
      <c r="P210" s="786">
        <v>0</v>
      </c>
      <c r="Q210" s="785">
        <v>11142</v>
      </c>
      <c r="R210" s="785"/>
      <c r="S210" s="786">
        <v>81242</v>
      </c>
      <c r="T210" s="788">
        <v>1771</v>
      </c>
      <c r="U210" s="788">
        <f>83014-1</f>
        <v>83013</v>
      </c>
    </row>
    <row r="211" spans="1:21" x14ac:dyDescent="0.25">
      <c r="A211" s="782">
        <v>92101</v>
      </c>
      <c r="B211" s="783" t="s">
        <v>2827</v>
      </c>
      <c r="C211" s="784">
        <v>8.5209999999999995E-4</v>
      </c>
      <c r="D211" s="784">
        <v>8.6870000000000003E-4</v>
      </c>
      <c r="E211" s="815">
        <v>368519</v>
      </c>
      <c r="F211" s="818">
        <v>1843672</v>
      </c>
      <c r="G211" s="785">
        <v>1301773</v>
      </c>
      <c r="H211" s="785"/>
      <c r="I211" s="786">
        <v>74994</v>
      </c>
      <c r="J211" s="787">
        <v>316072</v>
      </c>
      <c r="K211" s="786">
        <v>185911</v>
      </c>
      <c r="L211" s="785">
        <v>9505</v>
      </c>
      <c r="M211" s="785"/>
      <c r="N211" s="786">
        <v>36849</v>
      </c>
      <c r="O211" s="786">
        <v>0</v>
      </c>
      <c r="P211" s="786">
        <v>0</v>
      </c>
      <c r="Q211" s="785">
        <v>63189</v>
      </c>
      <c r="R211" s="785"/>
      <c r="S211" s="786">
        <v>438699</v>
      </c>
      <c r="T211" s="788">
        <v>-10164</v>
      </c>
      <c r="U211" s="788">
        <v>428535</v>
      </c>
    </row>
    <row r="212" spans="1:21" x14ac:dyDescent="0.25">
      <c r="A212" s="782">
        <v>92104</v>
      </c>
      <c r="B212" s="783" t="s">
        <v>2828</v>
      </c>
      <c r="C212" s="784">
        <v>8.6000000000000007E-6</v>
      </c>
      <c r="D212" s="784">
        <v>8.8000000000000004E-6</v>
      </c>
      <c r="E212" s="815">
        <v>5180</v>
      </c>
      <c r="F212" s="818">
        <v>18677</v>
      </c>
      <c r="G212" s="785">
        <v>13138</v>
      </c>
      <c r="H212" s="785"/>
      <c r="I212" s="786">
        <v>757</v>
      </c>
      <c r="J212" s="787">
        <v>3190</v>
      </c>
      <c r="K212" s="786">
        <v>1876</v>
      </c>
      <c r="L212" s="785">
        <v>3377</v>
      </c>
      <c r="M212" s="785"/>
      <c r="N212" s="786">
        <v>372</v>
      </c>
      <c r="O212" s="786">
        <v>0</v>
      </c>
      <c r="P212" s="786">
        <v>0</v>
      </c>
      <c r="Q212" s="785">
        <v>0</v>
      </c>
      <c r="R212" s="785"/>
      <c r="S212" s="786">
        <v>4428</v>
      </c>
      <c r="T212" s="788">
        <v>1850</v>
      </c>
      <c r="U212" s="788">
        <f>6277+1</f>
        <v>6278</v>
      </c>
    </row>
    <row r="213" spans="1:21" x14ac:dyDescent="0.25">
      <c r="A213" s="782">
        <v>92109</v>
      </c>
      <c r="B213" s="783" t="s">
        <v>2829</v>
      </c>
      <c r="C213" s="784">
        <v>1.8809999999999999E-4</v>
      </c>
      <c r="D213" s="784">
        <v>1.7909999999999999E-4</v>
      </c>
      <c r="E213" s="815">
        <v>79223</v>
      </c>
      <c r="F213" s="818">
        <v>380110</v>
      </c>
      <c r="G213" s="785">
        <v>287365</v>
      </c>
      <c r="H213" s="785"/>
      <c r="I213" s="786">
        <v>16555</v>
      </c>
      <c r="J213" s="787">
        <v>69773</v>
      </c>
      <c r="K213" s="786">
        <v>41040</v>
      </c>
      <c r="L213" s="785">
        <v>2067</v>
      </c>
      <c r="M213" s="785"/>
      <c r="N213" s="786">
        <v>8134</v>
      </c>
      <c r="O213" s="786">
        <v>0</v>
      </c>
      <c r="P213" s="786">
        <v>0</v>
      </c>
      <c r="Q213" s="785">
        <v>12612</v>
      </c>
      <c r="R213" s="785"/>
      <c r="S213" s="786">
        <v>96842</v>
      </c>
      <c r="T213" s="788">
        <v>-5396</v>
      </c>
      <c r="U213" s="788">
        <v>91446</v>
      </c>
    </row>
    <row r="214" spans="1:21" x14ac:dyDescent="0.25">
      <c r="A214" s="782">
        <v>92111</v>
      </c>
      <c r="B214" s="783" t="s">
        <v>2830</v>
      </c>
      <c r="C214" s="784">
        <v>5.0460000000000001E-4</v>
      </c>
      <c r="D214" s="784">
        <v>5.0009999999999996E-4</v>
      </c>
      <c r="E214" s="815">
        <v>231049</v>
      </c>
      <c r="F214" s="818">
        <v>1061380</v>
      </c>
      <c r="G214" s="785">
        <v>770889</v>
      </c>
      <c r="H214" s="785"/>
      <c r="I214" s="786">
        <v>44410</v>
      </c>
      <c r="J214" s="787">
        <v>187173</v>
      </c>
      <c r="K214" s="786">
        <v>110094</v>
      </c>
      <c r="L214" s="785">
        <v>10602</v>
      </c>
      <c r="M214" s="785"/>
      <c r="N214" s="786">
        <v>21821</v>
      </c>
      <c r="O214" s="786">
        <v>0</v>
      </c>
      <c r="P214" s="786">
        <v>0</v>
      </c>
      <c r="Q214" s="785">
        <v>13269</v>
      </c>
      <c r="R214" s="785"/>
      <c r="S214" s="786">
        <v>259790</v>
      </c>
      <c r="T214" s="788">
        <v>2449</v>
      </c>
      <c r="U214" s="788">
        <v>262239</v>
      </c>
    </row>
    <row r="215" spans="1:21" x14ac:dyDescent="0.25">
      <c r="A215" s="782">
        <v>92113</v>
      </c>
      <c r="B215" s="783" t="s">
        <v>2831</v>
      </c>
      <c r="C215" s="784">
        <v>1.4399999999999999E-5</v>
      </c>
      <c r="D215" s="784">
        <v>2.2099999999999998E-5</v>
      </c>
      <c r="E215" s="815">
        <v>10341</v>
      </c>
      <c r="F215" s="818">
        <v>46904</v>
      </c>
      <c r="G215" s="785">
        <v>21999</v>
      </c>
      <c r="H215" s="785"/>
      <c r="I215" s="786">
        <v>1267</v>
      </c>
      <c r="J215" s="787">
        <v>5342</v>
      </c>
      <c r="K215" s="786">
        <v>3142</v>
      </c>
      <c r="L215" s="785">
        <v>17604</v>
      </c>
      <c r="M215" s="785"/>
      <c r="N215" s="786">
        <v>623</v>
      </c>
      <c r="O215" s="786">
        <v>0</v>
      </c>
      <c r="P215" s="786">
        <v>0</v>
      </c>
      <c r="Q215" s="785">
        <v>2179</v>
      </c>
      <c r="R215" s="785"/>
      <c r="S215" s="786">
        <v>7414</v>
      </c>
      <c r="T215" s="788">
        <v>7173</v>
      </c>
      <c r="U215" s="788">
        <v>14587</v>
      </c>
    </row>
    <row r="216" spans="1:21" x14ac:dyDescent="0.25">
      <c r="A216" s="782">
        <v>92201</v>
      </c>
      <c r="B216" s="783" t="s">
        <v>2832</v>
      </c>
      <c r="C216" s="784">
        <v>9.3389999999999999E-4</v>
      </c>
      <c r="D216" s="784">
        <v>1.0267E-3</v>
      </c>
      <c r="E216" s="815">
        <v>452318</v>
      </c>
      <c r="F216" s="818">
        <v>2179001</v>
      </c>
      <c r="G216" s="785">
        <v>1426741</v>
      </c>
      <c r="H216" s="785"/>
      <c r="I216" s="786">
        <v>82193</v>
      </c>
      <c r="J216" s="787">
        <v>346414</v>
      </c>
      <c r="K216" s="786">
        <v>203758</v>
      </c>
      <c r="L216" s="785">
        <v>36804</v>
      </c>
      <c r="M216" s="785"/>
      <c r="N216" s="786">
        <v>40387</v>
      </c>
      <c r="O216" s="786">
        <v>0</v>
      </c>
      <c r="P216" s="786">
        <v>0</v>
      </c>
      <c r="Q216" s="785">
        <v>43356</v>
      </c>
      <c r="R216" s="785"/>
      <c r="S216" s="786">
        <v>480813</v>
      </c>
      <c r="T216" s="788">
        <v>13056</v>
      </c>
      <c r="U216" s="788">
        <v>493869</v>
      </c>
    </row>
    <row r="217" spans="1:21" x14ac:dyDescent="0.25">
      <c r="A217" s="782">
        <v>92301</v>
      </c>
      <c r="B217" s="783" t="s">
        <v>2833</v>
      </c>
      <c r="C217" s="784">
        <v>5.2129999999999998E-3</v>
      </c>
      <c r="D217" s="784">
        <v>5.2411000000000003E-3</v>
      </c>
      <c r="E217" s="815">
        <v>2376668</v>
      </c>
      <c r="F217" s="818">
        <v>11123370</v>
      </c>
      <c r="G217" s="785">
        <v>7964020</v>
      </c>
      <c r="H217" s="785"/>
      <c r="I217" s="786">
        <v>458801</v>
      </c>
      <c r="J217" s="787">
        <v>1933674</v>
      </c>
      <c r="K217" s="786">
        <v>1137372</v>
      </c>
      <c r="L217" s="785">
        <v>53669</v>
      </c>
      <c r="M217" s="785"/>
      <c r="N217" s="786">
        <v>225436</v>
      </c>
      <c r="O217" s="786">
        <v>0</v>
      </c>
      <c r="P217" s="786">
        <v>0</v>
      </c>
      <c r="Q217" s="785">
        <v>40357</v>
      </c>
      <c r="R217" s="785"/>
      <c r="S217" s="786">
        <v>2683882</v>
      </c>
      <c r="T217" s="788">
        <v>7360</v>
      </c>
      <c r="U217" s="788">
        <v>2691242</v>
      </c>
    </row>
    <row r="218" spans="1:21" x14ac:dyDescent="0.25">
      <c r="A218" s="782">
        <v>92302</v>
      </c>
      <c r="B218" s="783" t="s">
        <v>3665</v>
      </c>
      <c r="C218" s="784">
        <v>2.9740000000000002E-4</v>
      </c>
      <c r="D218" s="784">
        <v>3.168E-4</v>
      </c>
      <c r="E218" s="815">
        <v>124071</v>
      </c>
      <c r="F218" s="818">
        <v>0</v>
      </c>
      <c r="G218" s="785">
        <v>454345</v>
      </c>
      <c r="H218" s="785"/>
      <c r="I218" s="786">
        <v>26174</v>
      </c>
      <c r="J218" s="787">
        <v>110316</v>
      </c>
      <c r="K218" s="786">
        <v>64887</v>
      </c>
      <c r="L218" s="785">
        <v>0</v>
      </c>
      <c r="M218" s="785"/>
      <c r="N218" s="786">
        <v>12861</v>
      </c>
      <c r="O218" s="786">
        <v>0</v>
      </c>
      <c r="P218" s="786">
        <v>0</v>
      </c>
      <c r="Q218" s="785">
        <v>28639</v>
      </c>
      <c r="R218" s="785"/>
      <c r="S218" s="786">
        <v>153115</v>
      </c>
      <c r="T218" s="788">
        <v>-9739</v>
      </c>
      <c r="U218" s="788">
        <v>143376</v>
      </c>
    </row>
    <row r="219" spans="1:21" x14ac:dyDescent="0.25">
      <c r="A219" s="782">
        <v>92311</v>
      </c>
      <c r="B219" s="783" t="s">
        <v>2835</v>
      </c>
      <c r="C219" s="784">
        <v>2.2504999999999999E-3</v>
      </c>
      <c r="D219" s="784">
        <v>2.1857000000000001E-3</v>
      </c>
      <c r="E219" s="815">
        <v>989308</v>
      </c>
      <c r="F219" s="818">
        <v>4638788</v>
      </c>
      <c r="G219" s="785">
        <v>3438141</v>
      </c>
      <c r="H219" s="785"/>
      <c r="I219" s="786">
        <v>198069</v>
      </c>
      <c r="J219" s="787">
        <v>834785</v>
      </c>
      <c r="K219" s="786">
        <v>491014</v>
      </c>
      <c r="L219" s="785">
        <v>8358</v>
      </c>
      <c r="M219" s="785"/>
      <c r="N219" s="786">
        <v>97323</v>
      </c>
      <c r="O219" s="786">
        <v>0</v>
      </c>
      <c r="P219" s="786">
        <v>0</v>
      </c>
      <c r="Q219" s="785">
        <v>54246</v>
      </c>
      <c r="R219" s="785"/>
      <c r="S219" s="786">
        <v>1158656</v>
      </c>
      <c r="T219" s="788">
        <v>-36529</v>
      </c>
      <c r="U219" s="788">
        <v>1122127</v>
      </c>
    </row>
    <row r="220" spans="1:21" x14ac:dyDescent="0.25">
      <c r="A220" s="782">
        <v>92317</v>
      </c>
      <c r="B220" s="783" t="s">
        <v>2836</v>
      </c>
      <c r="C220" s="784">
        <v>2.94E-5</v>
      </c>
      <c r="D220" s="784">
        <v>2.9600000000000001E-5</v>
      </c>
      <c r="E220" s="815">
        <v>22749</v>
      </c>
      <c r="F220" s="818">
        <v>62821</v>
      </c>
      <c r="G220" s="785">
        <v>44915</v>
      </c>
      <c r="H220" s="785"/>
      <c r="I220" s="786">
        <v>2588</v>
      </c>
      <c r="J220" s="787">
        <v>10905</v>
      </c>
      <c r="K220" s="786">
        <v>6414</v>
      </c>
      <c r="L220" s="785">
        <v>15615</v>
      </c>
      <c r="M220" s="785"/>
      <c r="N220" s="786">
        <v>1271</v>
      </c>
      <c r="O220" s="786">
        <v>0</v>
      </c>
      <c r="P220" s="786">
        <v>0</v>
      </c>
      <c r="Q220" s="785">
        <v>0</v>
      </c>
      <c r="R220" s="785"/>
      <c r="S220" s="786">
        <v>15136</v>
      </c>
      <c r="T220" s="788">
        <v>6218</v>
      </c>
      <c r="U220" s="788">
        <v>21354</v>
      </c>
    </row>
    <row r="221" spans="1:21" x14ac:dyDescent="0.25">
      <c r="A221" s="782">
        <v>92321</v>
      </c>
      <c r="B221" s="783" t="s">
        <v>2837</v>
      </c>
      <c r="C221" s="784">
        <v>1.1773E-3</v>
      </c>
      <c r="D221" s="784">
        <v>1.2218999999999999E-3</v>
      </c>
      <c r="E221" s="815">
        <v>553266</v>
      </c>
      <c r="F221" s="818">
        <v>2593281</v>
      </c>
      <c r="G221" s="785">
        <v>1798588</v>
      </c>
      <c r="H221" s="785"/>
      <c r="I221" s="786">
        <v>103615</v>
      </c>
      <c r="J221" s="787">
        <v>436700</v>
      </c>
      <c r="K221" s="786">
        <v>256863</v>
      </c>
      <c r="L221" s="785">
        <v>35464</v>
      </c>
      <c r="M221" s="785"/>
      <c r="N221" s="786">
        <v>50912</v>
      </c>
      <c r="O221" s="786">
        <v>0</v>
      </c>
      <c r="P221" s="786">
        <v>0</v>
      </c>
      <c r="Q221" s="785">
        <v>20669</v>
      </c>
      <c r="R221" s="785"/>
      <c r="S221" s="786">
        <v>606126</v>
      </c>
      <c r="T221" s="788">
        <v>20498</v>
      </c>
      <c r="U221" s="788">
        <v>626624</v>
      </c>
    </row>
    <row r="222" spans="1:21" x14ac:dyDescent="0.25">
      <c r="A222" s="782">
        <v>92327</v>
      </c>
      <c r="B222" s="783" t="s">
        <v>2838</v>
      </c>
      <c r="C222" s="784">
        <v>5.6999999999999996E-6</v>
      </c>
      <c r="D222" s="784">
        <v>7.6000000000000001E-6</v>
      </c>
      <c r="E222" s="815">
        <v>5653</v>
      </c>
      <c r="F222" s="818">
        <v>16130</v>
      </c>
      <c r="G222" s="785">
        <v>8708</v>
      </c>
      <c r="H222" s="785"/>
      <c r="I222" s="786">
        <v>502</v>
      </c>
      <c r="J222" s="787">
        <v>2115</v>
      </c>
      <c r="K222" s="786">
        <v>1244</v>
      </c>
      <c r="L222" s="785">
        <v>2932</v>
      </c>
      <c r="M222" s="785"/>
      <c r="N222" s="786">
        <v>246</v>
      </c>
      <c r="O222" s="786">
        <v>0</v>
      </c>
      <c r="P222" s="786">
        <v>0</v>
      </c>
      <c r="Q222" s="785">
        <v>0</v>
      </c>
      <c r="R222" s="785"/>
      <c r="S222" s="786">
        <v>2935</v>
      </c>
      <c r="T222" s="788">
        <v>1142</v>
      </c>
      <c r="U222" s="788">
        <v>4077</v>
      </c>
    </row>
    <row r="223" spans="1:21" x14ac:dyDescent="0.25">
      <c r="A223" s="782">
        <v>92331</v>
      </c>
      <c r="B223" s="783" t="s">
        <v>2839</v>
      </c>
      <c r="C223" s="784">
        <v>1.3970000000000001E-4</v>
      </c>
      <c r="D223" s="784">
        <v>1.393E-4</v>
      </c>
      <c r="E223" s="815">
        <v>60878</v>
      </c>
      <c r="F223" s="818">
        <v>295641</v>
      </c>
      <c r="G223" s="785">
        <v>213423</v>
      </c>
      <c r="H223" s="785"/>
      <c r="I223" s="786">
        <v>12295</v>
      </c>
      <c r="J223" s="787">
        <v>51819</v>
      </c>
      <c r="K223" s="786">
        <v>30480</v>
      </c>
      <c r="L223" s="785">
        <v>2070</v>
      </c>
      <c r="M223" s="785"/>
      <c r="N223" s="786">
        <v>6041</v>
      </c>
      <c r="O223" s="786">
        <v>0</v>
      </c>
      <c r="P223" s="786">
        <v>0</v>
      </c>
      <c r="Q223" s="785">
        <v>7559</v>
      </c>
      <c r="R223" s="785"/>
      <c r="S223" s="786">
        <v>71924</v>
      </c>
      <c r="T223" s="788">
        <v>-755</v>
      </c>
      <c r="U223" s="788">
        <v>71169</v>
      </c>
    </row>
    <row r="224" spans="1:21" x14ac:dyDescent="0.25">
      <c r="A224" s="782">
        <v>92341</v>
      </c>
      <c r="B224" s="783" t="s">
        <v>2840</v>
      </c>
      <c r="C224" s="784">
        <v>9.7999999999999993E-6</v>
      </c>
      <c r="D224" s="784">
        <v>7.9000000000000006E-6</v>
      </c>
      <c r="E224" s="815">
        <v>3179</v>
      </c>
      <c r="F224" s="818">
        <v>16766</v>
      </c>
      <c r="G224" s="785">
        <v>14972</v>
      </c>
      <c r="H224" s="785"/>
      <c r="I224" s="786">
        <v>863</v>
      </c>
      <c r="J224" s="787">
        <v>3635</v>
      </c>
      <c r="K224" s="786">
        <v>2138</v>
      </c>
      <c r="L224" s="785">
        <v>523</v>
      </c>
      <c r="M224" s="785"/>
      <c r="N224" s="786">
        <v>424</v>
      </c>
      <c r="O224" s="786">
        <v>0</v>
      </c>
      <c r="P224" s="786">
        <v>0</v>
      </c>
      <c r="Q224" s="785">
        <v>1977</v>
      </c>
      <c r="R224" s="785"/>
      <c r="S224" s="786">
        <v>5045</v>
      </c>
      <c r="T224" s="788">
        <v>-859</v>
      </c>
      <c r="U224" s="788">
        <f>4187-1</f>
        <v>4186</v>
      </c>
    </row>
    <row r="225" spans="1:21" x14ac:dyDescent="0.25">
      <c r="A225" s="782">
        <v>92351</v>
      </c>
      <c r="B225" s="783" t="s">
        <v>2841</v>
      </c>
      <c r="C225" s="784">
        <v>1.8600000000000001E-5</v>
      </c>
      <c r="D225" s="784">
        <v>1.95E-5</v>
      </c>
      <c r="E225" s="815">
        <v>9507</v>
      </c>
      <c r="F225" s="818">
        <v>41386</v>
      </c>
      <c r="G225" s="785">
        <v>28416</v>
      </c>
      <c r="H225" s="785"/>
      <c r="I225" s="786">
        <v>1637</v>
      </c>
      <c r="J225" s="787">
        <v>6899</v>
      </c>
      <c r="K225" s="786">
        <v>4058</v>
      </c>
      <c r="L225" s="785">
        <v>746</v>
      </c>
      <c r="M225" s="785"/>
      <c r="N225" s="786">
        <v>804</v>
      </c>
      <c r="O225" s="786">
        <v>0</v>
      </c>
      <c r="P225" s="786">
        <v>0</v>
      </c>
      <c r="Q225" s="785">
        <v>4166</v>
      </c>
      <c r="R225" s="785"/>
      <c r="S225" s="786">
        <v>9576</v>
      </c>
      <c r="T225" s="788">
        <v>-1010</v>
      </c>
      <c r="U225" s="788">
        <f>8567-1</f>
        <v>8566</v>
      </c>
    </row>
    <row r="226" spans="1:21" x14ac:dyDescent="0.25">
      <c r="A226" s="782">
        <v>92401</v>
      </c>
      <c r="B226" s="783" t="s">
        <v>2842</v>
      </c>
      <c r="C226" s="784">
        <v>2.6890999999999998E-3</v>
      </c>
      <c r="D226" s="784">
        <v>2.7449000000000002E-3</v>
      </c>
      <c r="E226" s="815">
        <v>1303903</v>
      </c>
      <c r="F226" s="818">
        <v>5825597</v>
      </c>
      <c r="G226" s="785">
        <v>4108200</v>
      </c>
      <c r="H226" s="785"/>
      <c r="I226" s="786">
        <v>236670</v>
      </c>
      <c r="J226" s="787">
        <v>997476</v>
      </c>
      <c r="K226" s="786">
        <v>586708</v>
      </c>
      <c r="L226" s="785">
        <v>34938</v>
      </c>
      <c r="M226" s="785"/>
      <c r="N226" s="786">
        <v>116290</v>
      </c>
      <c r="O226" s="786">
        <v>0</v>
      </c>
      <c r="P226" s="786">
        <v>0</v>
      </c>
      <c r="Q226" s="785">
        <v>3448</v>
      </c>
      <c r="R226" s="785"/>
      <c r="S226" s="786">
        <v>1384467</v>
      </c>
      <c r="T226" s="788">
        <v>19009</v>
      </c>
      <c r="U226" s="788">
        <v>1403476</v>
      </c>
    </row>
    <row r="227" spans="1:21" x14ac:dyDescent="0.25">
      <c r="A227" s="782">
        <v>92403</v>
      </c>
      <c r="B227" s="783" t="s">
        <v>2843</v>
      </c>
      <c r="C227" s="784">
        <v>1.11E-5</v>
      </c>
      <c r="D227" s="784">
        <v>9.7999999999999993E-6</v>
      </c>
      <c r="E227" s="815">
        <v>5892</v>
      </c>
      <c r="F227" s="818">
        <v>20799</v>
      </c>
      <c r="G227" s="785">
        <v>16958</v>
      </c>
      <c r="H227" s="785"/>
      <c r="I227" s="786">
        <v>977</v>
      </c>
      <c r="J227" s="787">
        <v>4117</v>
      </c>
      <c r="K227" s="786">
        <v>2422</v>
      </c>
      <c r="L227" s="785">
        <v>1858</v>
      </c>
      <c r="M227" s="785"/>
      <c r="N227" s="786">
        <v>480</v>
      </c>
      <c r="O227" s="786">
        <v>0</v>
      </c>
      <c r="P227" s="786">
        <v>0</v>
      </c>
      <c r="Q227" s="785">
        <v>1307</v>
      </c>
      <c r="R227" s="785"/>
      <c r="S227" s="786">
        <v>5715</v>
      </c>
      <c r="T227" s="788">
        <v>135</v>
      </c>
      <c r="U227" s="788">
        <f>5849+1</f>
        <v>5850</v>
      </c>
    </row>
    <row r="228" spans="1:21" x14ac:dyDescent="0.25">
      <c r="A228" s="782">
        <v>92411</v>
      </c>
      <c r="B228" s="783" t="s">
        <v>2844</v>
      </c>
      <c r="C228" s="784">
        <v>5.0469999999999996E-4</v>
      </c>
      <c r="D228" s="784">
        <v>4.8030000000000002E-4</v>
      </c>
      <c r="E228" s="815">
        <v>203732</v>
      </c>
      <c r="F228" s="818">
        <v>1019358</v>
      </c>
      <c r="G228" s="785">
        <v>771042</v>
      </c>
      <c r="H228" s="785"/>
      <c r="I228" s="786">
        <v>44419</v>
      </c>
      <c r="J228" s="787">
        <v>187210</v>
      </c>
      <c r="K228" s="786">
        <v>110115</v>
      </c>
      <c r="L228" s="785">
        <v>369</v>
      </c>
      <c r="M228" s="785"/>
      <c r="N228" s="786">
        <v>21826</v>
      </c>
      <c r="O228" s="786">
        <v>0</v>
      </c>
      <c r="P228" s="786">
        <v>0</v>
      </c>
      <c r="Q228" s="785">
        <v>44165</v>
      </c>
      <c r="R228" s="785"/>
      <c r="S228" s="786">
        <v>259842</v>
      </c>
      <c r="T228" s="788">
        <v>-17900</v>
      </c>
      <c r="U228" s="788">
        <v>241942</v>
      </c>
    </row>
    <row r="229" spans="1:21" x14ac:dyDescent="0.25">
      <c r="A229" s="782">
        <v>92414</v>
      </c>
      <c r="B229" s="783" t="s">
        <v>1370</v>
      </c>
      <c r="C229" s="784">
        <v>0</v>
      </c>
      <c r="D229" s="784">
        <v>0</v>
      </c>
      <c r="E229" s="815">
        <v>0</v>
      </c>
      <c r="F229" s="818">
        <v>0</v>
      </c>
      <c r="G229" s="785">
        <v>0</v>
      </c>
      <c r="H229" s="785"/>
      <c r="I229" s="786">
        <v>0</v>
      </c>
      <c r="J229" s="787">
        <v>0</v>
      </c>
      <c r="K229" s="786">
        <v>0</v>
      </c>
      <c r="L229" s="785">
        <v>0</v>
      </c>
      <c r="M229" s="785"/>
      <c r="N229" s="786">
        <v>0</v>
      </c>
      <c r="O229" s="786">
        <v>0</v>
      </c>
      <c r="P229" s="786">
        <v>0</v>
      </c>
      <c r="Q229" s="785">
        <v>5712</v>
      </c>
      <c r="R229" s="785"/>
      <c r="S229" s="786">
        <v>0</v>
      </c>
      <c r="T229" s="788">
        <v>-2445</v>
      </c>
      <c r="U229" s="788">
        <v>-2445</v>
      </c>
    </row>
    <row r="230" spans="1:21" x14ac:dyDescent="0.25">
      <c r="A230" s="782">
        <v>92417</v>
      </c>
      <c r="B230" s="783" t="s">
        <v>2845</v>
      </c>
      <c r="C230" s="784">
        <v>1.8300000000000001E-5</v>
      </c>
      <c r="D230" s="784">
        <v>1.77E-5</v>
      </c>
      <c r="E230" s="815">
        <v>5972</v>
      </c>
      <c r="F230" s="818">
        <v>37565</v>
      </c>
      <c r="G230" s="785">
        <v>27957</v>
      </c>
      <c r="H230" s="785"/>
      <c r="I230" s="786">
        <v>1611</v>
      </c>
      <c r="J230" s="787">
        <v>6788</v>
      </c>
      <c r="K230" s="786">
        <v>3993</v>
      </c>
      <c r="L230" s="785">
        <v>0</v>
      </c>
      <c r="M230" s="785"/>
      <c r="N230" s="786">
        <v>791</v>
      </c>
      <c r="O230" s="786">
        <v>0</v>
      </c>
      <c r="P230" s="786">
        <v>0</v>
      </c>
      <c r="Q230" s="785">
        <v>2726</v>
      </c>
      <c r="R230" s="785"/>
      <c r="S230" s="786">
        <v>9422</v>
      </c>
      <c r="T230" s="788">
        <v>-895</v>
      </c>
      <c r="U230" s="788">
        <v>8527</v>
      </c>
    </row>
    <row r="231" spans="1:21" x14ac:dyDescent="0.25">
      <c r="A231" s="782">
        <v>92421</v>
      </c>
      <c r="B231" s="783" t="s">
        <v>2846</v>
      </c>
      <c r="C231" s="784">
        <v>8.8000000000000004E-6</v>
      </c>
      <c r="D231" s="784">
        <v>9.0000000000000002E-6</v>
      </c>
      <c r="E231" s="815">
        <v>7580</v>
      </c>
      <c r="F231" s="818">
        <v>19101</v>
      </c>
      <c r="G231" s="785">
        <v>13444</v>
      </c>
      <c r="H231" s="785"/>
      <c r="I231" s="786">
        <v>774</v>
      </c>
      <c r="J231" s="787">
        <v>3264</v>
      </c>
      <c r="K231" s="786">
        <v>1920</v>
      </c>
      <c r="L231" s="785">
        <v>3546</v>
      </c>
      <c r="M231" s="785"/>
      <c r="N231" s="786">
        <v>381</v>
      </c>
      <c r="O231" s="786">
        <v>0</v>
      </c>
      <c r="P231" s="786">
        <v>0</v>
      </c>
      <c r="Q231" s="785">
        <v>1149</v>
      </c>
      <c r="R231" s="785"/>
      <c r="S231" s="786">
        <v>4531</v>
      </c>
      <c r="T231" s="788">
        <v>935</v>
      </c>
      <c r="U231" s="788">
        <v>5466</v>
      </c>
    </row>
    <row r="232" spans="1:21" x14ac:dyDescent="0.25">
      <c r="A232" s="782">
        <v>92427</v>
      </c>
      <c r="B232" s="783" t="s">
        <v>2847</v>
      </c>
      <c r="C232" s="784">
        <v>3.9999999999999998E-7</v>
      </c>
      <c r="D232" s="784">
        <v>6.9999999999999997E-7</v>
      </c>
      <c r="E232" s="815">
        <v>1463</v>
      </c>
      <c r="F232" s="818">
        <v>1486</v>
      </c>
      <c r="G232" s="785">
        <v>611</v>
      </c>
      <c r="H232" s="785"/>
      <c r="I232" s="786">
        <v>35</v>
      </c>
      <c r="J232" s="787">
        <v>148</v>
      </c>
      <c r="K232" s="786">
        <v>87</v>
      </c>
      <c r="L232" s="785">
        <v>1998</v>
      </c>
      <c r="M232" s="785"/>
      <c r="N232" s="786">
        <v>17</v>
      </c>
      <c r="O232" s="786">
        <v>0</v>
      </c>
      <c r="P232" s="786">
        <v>0</v>
      </c>
      <c r="Q232" s="785">
        <v>0</v>
      </c>
      <c r="R232" s="785"/>
      <c r="S232" s="786">
        <v>206</v>
      </c>
      <c r="T232" s="788">
        <v>841</v>
      </c>
      <c r="U232" s="788">
        <v>1047</v>
      </c>
    </row>
    <row r="233" spans="1:21" x14ac:dyDescent="0.25">
      <c r="A233" s="782">
        <v>92431</v>
      </c>
      <c r="B233" s="783" t="s">
        <v>2848</v>
      </c>
      <c r="C233" s="784">
        <v>3.0800000000000003E-5</v>
      </c>
      <c r="D233" s="784">
        <v>1.8499999999999999E-5</v>
      </c>
      <c r="E233" s="815">
        <v>22456</v>
      </c>
      <c r="F233" s="818">
        <v>39263</v>
      </c>
      <c r="G233" s="785">
        <v>47054</v>
      </c>
      <c r="H233" s="785"/>
      <c r="I233" s="786">
        <v>2711</v>
      </c>
      <c r="J233" s="787">
        <v>11425</v>
      </c>
      <c r="K233" s="786">
        <v>6720</v>
      </c>
      <c r="L233" s="785">
        <v>18832</v>
      </c>
      <c r="M233" s="785"/>
      <c r="N233" s="786">
        <v>1332</v>
      </c>
      <c r="O233" s="786">
        <v>0</v>
      </c>
      <c r="P233" s="786">
        <v>0</v>
      </c>
      <c r="Q233" s="785">
        <v>3766</v>
      </c>
      <c r="R233" s="785"/>
      <c r="S233" s="786">
        <v>15857</v>
      </c>
      <c r="T233" s="788">
        <v>4147</v>
      </c>
      <c r="U233" s="788">
        <v>20004</v>
      </c>
    </row>
    <row r="234" spans="1:21" x14ac:dyDescent="0.25">
      <c r="A234" s="782">
        <v>92441</v>
      </c>
      <c r="B234" s="783" t="s">
        <v>2849</v>
      </c>
      <c r="C234" s="784">
        <v>7.7999999999999999E-5</v>
      </c>
      <c r="D234" s="784">
        <v>9.2299999999999994E-5</v>
      </c>
      <c r="E234" s="815">
        <v>38185</v>
      </c>
      <c r="F234" s="818">
        <v>195892</v>
      </c>
      <c r="G234" s="785">
        <v>119162</v>
      </c>
      <c r="H234" s="785"/>
      <c r="I234" s="786">
        <v>6865</v>
      </c>
      <c r="J234" s="787">
        <v>28933</v>
      </c>
      <c r="K234" s="786">
        <v>17018</v>
      </c>
      <c r="L234" s="785">
        <v>0</v>
      </c>
      <c r="M234" s="785"/>
      <c r="N234" s="786">
        <v>3373</v>
      </c>
      <c r="O234" s="786">
        <v>0</v>
      </c>
      <c r="P234" s="786">
        <v>0</v>
      </c>
      <c r="Q234" s="785">
        <v>15306</v>
      </c>
      <c r="R234" s="785"/>
      <c r="S234" s="786">
        <v>40158</v>
      </c>
      <c r="T234" s="788">
        <v>-6990</v>
      </c>
      <c r="U234" s="788">
        <f>33167+1</f>
        <v>33168</v>
      </c>
    </row>
    <row r="235" spans="1:21" x14ac:dyDescent="0.25">
      <c r="A235" s="782">
        <v>92444</v>
      </c>
      <c r="B235" s="783" t="s">
        <v>2850</v>
      </c>
      <c r="C235" s="784">
        <v>1.7999999999999999E-6</v>
      </c>
      <c r="D235" s="784">
        <v>1.9999999999999999E-6</v>
      </c>
      <c r="E235" s="815">
        <v>2108</v>
      </c>
      <c r="F235" s="818">
        <v>4245</v>
      </c>
      <c r="G235" s="785">
        <v>2750</v>
      </c>
      <c r="H235" s="785"/>
      <c r="I235" s="786">
        <v>158</v>
      </c>
      <c r="J235" s="787">
        <v>667</v>
      </c>
      <c r="K235" s="786">
        <v>393</v>
      </c>
      <c r="L235" s="785">
        <v>2573</v>
      </c>
      <c r="M235" s="785"/>
      <c r="N235" s="786">
        <v>78</v>
      </c>
      <c r="O235" s="786">
        <v>0</v>
      </c>
      <c r="P235" s="786">
        <v>0</v>
      </c>
      <c r="Q235" s="785">
        <v>0</v>
      </c>
      <c r="R235" s="785"/>
      <c r="S235" s="786">
        <v>927</v>
      </c>
      <c r="T235" s="788">
        <v>1194</v>
      </c>
      <c r="U235" s="788">
        <v>2121</v>
      </c>
    </row>
    <row r="236" spans="1:21" x14ac:dyDescent="0.25">
      <c r="A236" s="782">
        <v>92451</v>
      </c>
      <c r="B236" s="783" t="s">
        <v>2851</v>
      </c>
      <c r="C236" s="784">
        <v>1.3070000000000001E-4</v>
      </c>
      <c r="D236" s="784">
        <v>1.4559999999999999E-4</v>
      </c>
      <c r="E236" s="815">
        <v>77938</v>
      </c>
      <c r="F236" s="818">
        <v>309012</v>
      </c>
      <c r="G236" s="785">
        <v>199673</v>
      </c>
      <c r="H236" s="785"/>
      <c r="I236" s="786">
        <v>11503</v>
      </c>
      <c r="J236" s="787">
        <v>48481</v>
      </c>
      <c r="K236" s="786">
        <v>28516</v>
      </c>
      <c r="L236" s="785">
        <v>29255</v>
      </c>
      <c r="M236" s="785"/>
      <c r="N236" s="786">
        <v>5652</v>
      </c>
      <c r="O236" s="786">
        <v>0</v>
      </c>
      <c r="P236" s="786">
        <v>0</v>
      </c>
      <c r="Q236" s="785">
        <v>0</v>
      </c>
      <c r="R236" s="785"/>
      <c r="S236" s="786">
        <v>67290</v>
      </c>
      <c r="T236" s="788">
        <v>12363</v>
      </c>
      <c r="U236" s="788">
        <v>79653</v>
      </c>
    </row>
    <row r="237" spans="1:21" x14ac:dyDescent="0.25">
      <c r="A237" s="782">
        <v>92461</v>
      </c>
      <c r="B237" s="783" t="s">
        <v>2852</v>
      </c>
      <c r="C237" s="784">
        <v>7.1099999999999994E-5</v>
      </c>
      <c r="D237" s="784">
        <v>7.2999999999999999E-5</v>
      </c>
      <c r="E237" s="815">
        <v>40872</v>
      </c>
      <c r="F237" s="818">
        <v>154930</v>
      </c>
      <c r="G237" s="785">
        <v>108621</v>
      </c>
      <c r="H237" s="785"/>
      <c r="I237" s="786">
        <v>6258</v>
      </c>
      <c r="J237" s="787">
        <v>26373</v>
      </c>
      <c r="K237" s="786">
        <v>15513</v>
      </c>
      <c r="L237" s="785">
        <v>12982</v>
      </c>
      <c r="M237" s="785"/>
      <c r="N237" s="786">
        <v>3075</v>
      </c>
      <c r="O237" s="786">
        <v>0</v>
      </c>
      <c r="P237" s="786">
        <v>0</v>
      </c>
      <c r="Q237" s="785">
        <v>4965</v>
      </c>
      <c r="R237" s="785"/>
      <c r="S237" s="786">
        <v>36605</v>
      </c>
      <c r="T237" s="788">
        <v>1157</v>
      </c>
      <c r="U237" s="788">
        <f>37763-1</f>
        <v>37762</v>
      </c>
    </row>
    <row r="238" spans="1:21" x14ac:dyDescent="0.25">
      <c r="A238" s="782">
        <v>92501</v>
      </c>
      <c r="B238" s="783" t="s">
        <v>2853</v>
      </c>
      <c r="C238" s="784">
        <v>3.8252E-3</v>
      </c>
      <c r="D238" s="784">
        <v>3.8141E-3</v>
      </c>
      <c r="E238" s="815">
        <v>1869584</v>
      </c>
      <c r="F238" s="818">
        <v>8094798</v>
      </c>
      <c r="G238" s="785">
        <v>5843846</v>
      </c>
      <c r="H238" s="785"/>
      <c r="I238" s="786">
        <v>336660</v>
      </c>
      <c r="J238" s="787">
        <v>1418892</v>
      </c>
      <c r="K238" s="786">
        <v>834582</v>
      </c>
      <c r="L238" s="785">
        <v>137822</v>
      </c>
      <c r="M238" s="785"/>
      <c r="N238" s="786">
        <v>165421</v>
      </c>
      <c r="O238" s="786">
        <v>0</v>
      </c>
      <c r="P238" s="786">
        <v>0</v>
      </c>
      <c r="Q238" s="785">
        <v>9032</v>
      </c>
      <c r="R238" s="785"/>
      <c r="S238" s="786">
        <v>1969381</v>
      </c>
      <c r="T238" s="788">
        <v>45362</v>
      </c>
      <c r="U238" s="788">
        <v>2014743</v>
      </c>
    </row>
    <row r="239" spans="1:21" x14ac:dyDescent="0.25">
      <c r="A239" s="782">
        <v>92502</v>
      </c>
      <c r="B239" s="783" t="s">
        <v>2854</v>
      </c>
      <c r="C239" s="784">
        <v>2.7500000000000001E-5</v>
      </c>
      <c r="D239" s="784">
        <v>2.8799999999999999E-5</v>
      </c>
      <c r="E239" s="815">
        <v>14164</v>
      </c>
      <c r="F239" s="818">
        <v>61123</v>
      </c>
      <c r="G239" s="785">
        <v>42012</v>
      </c>
      <c r="H239" s="785"/>
      <c r="I239" s="786">
        <v>2420</v>
      </c>
      <c r="J239" s="787">
        <v>10201</v>
      </c>
      <c r="K239" s="786">
        <v>6000</v>
      </c>
      <c r="L239" s="785">
        <v>3940</v>
      </c>
      <c r="M239" s="785"/>
      <c r="N239" s="786">
        <v>1189</v>
      </c>
      <c r="O239" s="786">
        <v>0</v>
      </c>
      <c r="P239" s="786">
        <v>0</v>
      </c>
      <c r="Q239" s="785">
        <v>2154</v>
      </c>
      <c r="R239" s="785"/>
      <c r="S239" s="786">
        <v>14158</v>
      </c>
      <c r="T239" s="788">
        <v>-13</v>
      </c>
      <c r="U239" s="788">
        <v>14145</v>
      </c>
    </row>
    <row r="240" spans="1:21" x14ac:dyDescent="0.25">
      <c r="A240" s="782">
        <v>92504</v>
      </c>
      <c r="B240" s="783" t="s">
        <v>2855</v>
      </c>
      <c r="C240" s="784">
        <v>8.4300000000000003E-5</v>
      </c>
      <c r="D240" s="784">
        <v>7.2799999999999994E-5</v>
      </c>
      <c r="E240" s="815">
        <v>49664</v>
      </c>
      <c r="F240" s="818">
        <v>154506</v>
      </c>
      <c r="G240" s="785">
        <v>128787</v>
      </c>
      <c r="H240" s="785"/>
      <c r="I240" s="786">
        <v>7419</v>
      </c>
      <c r="J240" s="787">
        <v>31269</v>
      </c>
      <c r="K240" s="786">
        <v>18393</v>
      </c>
      <c r="L240" s="785">
        <v>29049</v>
      </c>
      <c r="M240" s="785"/>
      <c r="N240" s="786">
        <v>3646</v>
      </c>
      <c r="O240" s="786">
        <v>0</v>
      </c>
      <c r="P240" s="786">
        <v>0</v>
      </c>
      <c r="Q240" s="785">
        <v>27</v>
      </c>
      <c r="R240" s="785"/>
      <c r="S240" s="786">
        <v>43401</v>
      </c>
      <c r="T240" s="788">
        <v>10026</v>
      </c>
      <c r="U240" s="788">
        <v>53427</v>
      </c>
    </row>
    <row r="241" spans="1:21" x14ac:dyDescent="0.25">
      <c r="A241" s="782">
        <v>92505</v>
      </c>
      <c r="B241" s="783" t="s">
        <v>2856</v>
      </c>
      <c r="C241" s="784">
        <v>1.9239999999999999E-4</v>
      </c>
      <c r="D241" s="784">
        <v>1.8709999999999999E-4</v>
      </c>
      <c r="E241" s="815">
        <v>119136</v>
      </c>
      <c r="F241" s="818">
        <v>397089</v>
      </c>
      <c r="G241" s="785">
        <v>293934</v>
      </c>
      <c r="H241" s="785"/>
      <c r="I241" s="786">
        <v>16933</v>
      </c>
      <c r="J241" s="787">
        <v>71367</v>
      </c>
      <c r="K241" s="786">
        <v>41978</v>
      </c>
      <c r="L241" s="785">
        <v>59108</v>
      </c>
      <c r="M241" s="785"/>
      <c r="N241" s="786">
        <v>8320</v>
      </c>
      <c r="O241" s="786">
        <v>0</v>
      </c>
      <c r="P241" s="786">
        <v>0</v>
      </c>
      <c r="Q241" s="785">
        <v>0</v>
      </c>
      <c r="R241" s="785"/>
      <c r="S241" s="786">
        <v>99056</v>
      </c>
      <c r="T241" s="788">
        <v>23320</v>
      </c>
      <c r="U241" s="788">
        <v>122376</v>
      </c>
    </row>
    <row r="242" spans="1:21" x14ac:dyDescent="0.25">
      <c r="A242" s="782">
        <v>92506</v>
      </c>
      <c r="B242" s="783" t="s">
        <v>2857</v>
      </c>
      <c r="C242" s="784">
        <v>4.7500000000000003E-5</v>
      </c>
      <c r="D242" s="784">
        <v>4.3699999999999998E-5</v>
      </c>
      <c r="E242" s="815">
        <v>26570</v>
      </c>
      <c r="F242" s="818">
        <v>92746</v>
      </c>
      <c r="G242" s="785">
        <v>72567</v>
      </c>
      <c r="H242" s="785"/>
      <c r="I242" s="786">
        <v>4181</v>
      </c>
      <c r="J242" s="787">
        <v>17619</v>
      </c>
      <c r="K242" s="786">
        <v>10364</v>
      </c>
      <c r="L242" s="785">
        <v>17893</v>
      </c>
      <c r="M242" s="785"/>
      <c r="N242" s="786">
        <v>2054</v>
      </c>
      <c r="O242" s="786">
        <v>0</v>
      </c>
      <c r="P242" s="786">
        <v>0</v>
      </c>
      <c r="Q242" s="785">
        <v>0</v>
      </c>
      <c r="R242" s="785"/>
      <c r="S242" s="786">
        <v>24455</v>
      </c>
      <c r="T242" s="788">
        <v>7399</v>
      </c>
      <c r="U242" s="788">
        <v>31854</v>
      </c>
    </row>
    <row r="243" spans="1:21" x14ac:dyDescent="0.25">
      <c r="A243" s="782">
        <v>92507</v>
      </c>
      <c r="B243" s="783" t="s">
        <v>2858</v>
      </c>
      <c r="C243" s="784">
        <v>9.5699999999999995E-5</v>
      </c>
      <c r="D243" s="784">
        <v>7.6799999999999997E-5</v>
      </c>
      <c r="E243" s="815">
        <v>40750</v>
      </c>
      <c r="F243" s="818">
        <v>162995</v>
      </c>
      <c r="G243" s="785">
        <v>146203</v>
      </c>
      <c r="H243" s="785"/>
      <c r="I243" s="786">
        <v>8423</v>
      </c>
      <c r="J243" s="787">
        <v>35498</v>
      </c>
      <c r="K243" s="786">
        <v>20880</v>
      </c>
      <c r="L243" s="785">
        <v>10349</v>
      </c>
      <c r="M243" s="785"/>
      <c r="N243" s="786">
        <v>4139</v>
      </c>
      <c r="O243" s="786">
        <v>0</v>
      </c>
      <c r="P243" s="786">
        <v>0</v>
      </c>
      <c r="Q243" s="785">
        <v>14283</v>
      </c>
      <c r="R243" s="785"/>
      <c r="S243" s="786">
        <v>49271</v>
      </c>
      <c r="T243" s="788">
        <v>-5512</v>
      </c>
      <c r="U243" s="788">
        <f>43758+1</f>
        <v>43759</v>
      </c>
    </row>
    <row r="244" spans="1:21" x14ac:dyDescent="0.25">
      <c r="A244" s="782">
        <v>92508</v>
      </c>
      <c r="B244" s="783" t="s">
        <v>2859</v>
      </c>
      <c r="C244" s="784">
        <v>3.1E-4</v>
      </c>
      <c r="D244" s="784">
        <v>3.1930000000000001E-4</v>
      </c>
      <c r="E244" s="815">
        <v>152021</v>
      </c>
      <c r="F244" s="818">
        <v>677662</v>
      </c>
      <c r="G244" s="785">
        <v>473594</v>
      </c>
      <c r="H244" s="785"/>
      <c r="I244" s="786">
        <v>27283</v>
      </c>
      <c r="J244" s="787">
        <v>114989</v>
      </c>
      <c r="K244" s="786">
        <v>67636</v>
      </c>
      <c r="L244" s="785">
        <v>5884</v>
      </c>
      <c r="M244" s="785"/>
      <c r="N244" s="786">
        <v>13406</v>
      </c>
      <c r="O244" s="786">
        <v>0</v>
      </c>
      <c r="P244" s="786">
        <v>0</v>
      </c>
      <c r="Q244" s="785">
        <v>1407</v>
      </c>
      <c r="R244" s="785"/>
      <c r="S244" s="786">
        <v>159602</v>
      </c>
      <c r="T244" s="788">
        <v>3411</v>
      </c>
      <c r="U244" s="788">
        <v>163013</v>
      </c>
    </row>
    <row r="245" spans="1:21" x14ac:dyDescent="0.25">
      <c r="A245" s="782">
        <v>92511</v>
      </c>
      <c r="B245" s="783" t="s">
        <v>2861</v>
      </c>
      <c r="C245" s="784">
        <v>3.3240000000000001E-3</v>
      </c>
      <c r="D245" s="784">
        <v>3.4164E-3</v>
      </c>
      <c r="E245" s="815">
        <v>1524503</v>
      </c>
      <c r="F245" s="818">
        <v>7250745</v>
      </c>
      <c r="G245" s="785">
        <v>5078151</v>
      </c>
      <c r="H245" s="785"/>
      <c r="I245" s="786">
        <v>292549</v>
      </c>
      <c r="J245" s="787">
        <v>1232981</v>
      </c>
      <c r="K245" s="786">
        <v>725230</v>
      </c>
      <c r="L245" s="785">
        <v>12146</v>
      </c>
      <c r="M245" s="785"/>
      <c r="N245" s="786">
        <v>143746</v>
      </c>
      <c r="O245" s="786">
        <v>0</v>
      </c>
      <c r="P245" s="786">
        <v>0</v>
      </c>
      <c r="Q245" s="785">
        <v>237633</v>
      </c>
      <c r="R245" s="785"/>
      <c r="S245" s="786">
        <v>1711341</v>
      </c>
      <c r="T245" s="788">
        <v>-72839</v>
      </c>
      <c r="U245" s="788">
        <f>1638503-1</f>
        <v>1638502</v>
      </c>
    </row>
    <row r="246" spans="1:21" x14ac:dyDescent="0.25">
      <c r="A246" s="782">
        <v>92513</v>
      </c>
      <c r="B246" s="783" t="s">
        <v>2862</v>
      </c>
      <c r="C246" s="784">
        <v>4.0328999999999999E-3</v>
      </c>
      <c r="D246" s="784">
        <v>3.9753000000000002E-3</v>
      </c>
      <c r="E246" s="815">
        <v>1669954</v>
      </c>
      <c r="F246" s="818">
        <v>8436918</v>
      </c>
      <c r="G246" s="785">
        <v>6161154</v>
      </c>
      <c r="H246" s="785"/>
      <c r="I246" s="786">
        <v>354940</v>
      </c>
      <c r="J246" s="787">
        <v>1495936</v>
      </c>
      <c r="K246" s="786">
        <v>879898</v>
      </c>
      <c r="L246" s="785">
        <f>1481541+87063+162533</f>
        <v>1731137</v>
      </c>
      <c r="M246" s="785"/>
      <c r="N246" s="786">
        <v>174403</v>
      </c>
      <c r="O246" s="786">
        <v>0</v>
      </c>
      <c r="P246" s="786">
        <v>0</v>
      </c>
      <c r="Q246" s="785">
        <f>106570+867533+690246</f>
        <v>1664349</v>
      </c>
      <c r="R246" s="785"/>
      <c r="S246" s="786">
        <v>2076314</v>
      </c>
      <c r="T246" s="788">
        <f>491379-223763-102954</f>
        <v>164662</v>
      </c>
      <c r="U246" s="788">
        <f>2567693-223763-102954</f>
        <v>2240976</v>
      </c>
    </row>
    <row r="247" spans="1:21" x14ac:dyDescent="0.25">
      <c r="A247" s="782">
        <v>92521</v>
      </c>
      <c r="B247" s="783" t="s">
        <v>2863</v>
      </c>
      <c r="C247" s="784">
        <v>8.6899999999999998E-5</v>
      </c>
      <c r="D247" s="784">
        <v>8.9800000000000001E-5</v>
      </c>
      <c r="E247" s="815">
        <v>37384</v>
      </c>
      <c r="F247" s="818">
        <v>190586</v>
      </c>
      <c r="G247" s="785">
        <v>132759</v>
      </c>
      <c r="H247" s="785"/>
      <c r="I247" s="786">
        <v>7648</v>
      </c>
      <c r="J247" s="787">
        <v>32235</v>
      </c>
      <c r="K247" s="786">
        <v>18960</v>
      </c>
      <c r="L247" s="785">
        <v>3168</v>
      </c>
      <c r="M247" s="785"/>
      <c r="N247" s="786">
        <v>3758</v>
      </c>
      <c r="O247" s="786">
        <v>0</v>
      </c>
      <c r="P247" s="786">
        <v>0</v>
      </c>
      <c r="Q247" s="785">
        <v>10611</v>
      </c>
      <c r="R247" s="785"/>
      <c r="S247" s="786">
        <v>44740</v>
      </c>
      <c r="T247" s="788">
        <v>-2554</v>
      </c>
      <c r="U247" s="788">
        <v>42186</v>
      </c>
    </row>
    <row r="248" spans="1:21" x14ac:dyDescent="0.25">
      <c r="A248" s="782">
        <v>92531</v>
      </c>
      <c r="B248" s="783" t="s">
        <v>2864</v>
      </c>
      <c r="C248" s="784">
        <v>8.6490000000000004E-4</v>
      </c>
      <c r="D248" s="784">
        <v>8.3779999999999998E-4</v>
      </c>
      <c r="E248" s="815">
        <v>358464</v>
      </c>
      <c r="F248" s="818">
        <v>1778092</v>
      </c>
      <c r="G248" s="785">
        <v>1321328</v>
      </c>
      <c r="H248" s="785"/>
      <c r="I248" s="786">
        <v>76121</v>
      </c>
      <c r="J248" s="787">
        <v>320820</v>
      </c>
      <c r="K248" s="786">
        <v>188704</v>
      </c>
      <c r="L248" s="785">
        <v>0</v>
      </c>
      <c r="M248" s="785"/>
      <c r="N248" s="786">
        <v>37403</v>
      </c>
      <c r="O248" s="786">
        <v>0</v>
      </c>
      <c r="P248" s="786">
        <v>0</v>
      </c>
      <c r="Q248" s="785">
        <v>124043</v>
      </c>
      <c r="R248" s="785"/>
      <c r="S248" s="786">
        <v>445289</v>
      </c>
      <c r="T248" s="788">
        <v>-61397</v>
      </c>
      <c r="U248" s="788">
        <v>383892</v>
      </c>
    </row>
    <row r="249" spans="1:21" x14ac:dyDescent="0.25">
      <c r="A249" s="782">
        <v>92541</v>
      </c>
      <c r="B249" s="783" t="s">
        <v>2865</v>
      </c>
      <c r="C249" s="784">
        <v>1.4469999999999999E-4</v>
      </c>
      <c r="D249" s="784">
        <v>1.4300000000000001E-4</v>
      </c>
      <c r="E249" s="815">
        <v>58964</v>
      </c>
      <c r="F249" s="818">
        <v>303494</v>
      </c>
      <c r="G249" s="785">
        <v>221062</v>
      </c>
      <c r="H249" s="785"/>
      <c r="I249" s="786">
        <v>12735</v>
      </c>
      <c r="J249" s="787">
        <v>53674</v>
      </c>
      <c r="K249" s="786">
        <v>31571</v>
      </c>
      <c r="L249" s="785">
        <v>7292</v>
      </c>
      <c r="M249" s="785"/>
      <c r="N249" s="786">
        <v>6258</v>
      </c>
      <c r="O249" s="786">
        <v>0</v>
      </c>
      <c r="P249" s="786">
        <v>0</v>
      </c>
      <c r="Q249" s="785">
        <v>7300</v>
      </c>
      <c r="R249" s="785"/>
      <c r="S249" s="786">
        <v>74498</v>
      </c>
      <c r="T249" s="788">
        <v>2019</v>
      </c>
      <c r="U249" s="788">
        <v>76517</v>
      </c>
    </row>
    <row r="250" spans="1:21" x14ac:dyDescent="0.25">
      <c r="A250" s="782">
        <v>92551</v>
      </c>
      <c r="B250" s="783" t="s">
        <v>2866</v>
      </c>
      <c r="C250" s="784">
        <v>5.3300000000000001E-5</v>
      </c>
      <c r="D250" s="784">
        <v>4.18E-5</v>
      </c>
      <c r="E250" s="815">
        <v>19992</v>
      </c>
      <c r="F250" s="818">
        <v>88714</v>
      </c>
      <c r="G250" s="785">
        <v>81428</v>
      </c>
      <c r="H250" s="785"/>
      <c r="I250" s="786">
        <v>4691</v>
      </c>
      <c r="J250" s="787">
        <v>19771</v>
      </c>
      <c r="K250" s="786">
        <v>11629</v>
      </c>
      <c r="L250" s="785">
        <v>7529</v>
      </c>
      <c r="M250" s="785"/>
      <c r="N250" s="786">
        <v>2305</v>
      </c>
      <c r="O250" s="786">
        <v>0</v>
      </c>
      <c r="P250" s="786">
        <v>0</v>
      </c>
      <c r="Q250" s="785">
        <v>8359</v>
      </c>
      <c r="R250" s="785"/>
      <c r="S250" s="786">
        <v>27441</v>
      </c>
      <c r="T250" s="788">
        <v>961</v>
      </c>
      <c r="U250" s="788">
        <v>28402</v>
      </c>
    </row>
    <row r="251" spans="1:21" x14ac:dyDescent="0.25">
      <c r="A251" s="782">
        <v>92561</v>
      </c>
      <c r="B251" s="783" t="s">
        <v>2867</v>
      </c>
      <c r="C251" s="784">
        <v>2.2200000000000001E-5</v>
      </c>
      <c r="D251" s="784">
        <v>2.2900000000000001E-5</v>
      </c>
      <c r="E251" s="815">
        <v>11716</v>
      </c>
      <c r="F251" s="818">
        <v>48601</v>
      </c>
      <c r="G251" s="785">
        <v>33915</v>
      </c>
      <c r="H251" s="785"/>
      <c r="I251" s="786">
        <v>1954</v>
      </c>
      <c r="J251" s="787">
        <v>8235</v>
      </c>
      <c r="K251" s="786">
        <v>4844</v>
      </c>
      <c r="L251" s="785">
        <v>5369</v>
      </c>
      <c r="M251" s="785"/>
      <c r="N251" s="786">
        <v>960</v>
      </c>
      <c r="O251" s="786">
        <v>0</v>
      </c>
      <c r="P251" s="786">
        <v>0</v>
      </c>
      <c r="Q251" s="785">
        <v>0</v>
      </c>
      <c r="R251" s="785"/>
      <c r="S251" s="786">
        <v>11430</v>
      </c>
      <c r="T251" s="788">
        <v>2639</v>
      </c>
      <c r="U251" s="788">
        <f>14068+1</f>
        <v>14069</v>
      </c>
    </row>
    <row r="252" spans="1:21" x14ac:dyDescent="0.25">
      <c r="A252" s="782">
        <v>92571</v>
      </c>
      <c r="B252" s="783" t="s">
        <v>2868</v>
      </c>
      <c r="C252" s="784">
        <v>1.01E-5</v>
      </c>
      <c r="D252" s="784">
        <v>3.1E-6</v>
      </c>
      <c r="E252" s="815">
        <v>6486</v>
      </c>
      <c r="F252" s="818">
        <v>6579</v>
      </c>
      <c r="G252" s="785">
        <v>15430</v>
      </c>
      <c r="H252" s="785"/>
      <c r="I252" s="786">
        <v>889</v>
      </c>
      <c r="J252" s="787">
        <v>3746</v>
      </c>
      <c r="K252" s="786">
        <v>2204</v>
      </c>
      <c r="L252" s="785">
        <v>9367</v>
      </c>
      <c r="M252" s="785"/>
      <c r="N252" s="786">
        <v>437</v>
      </c>
      <c r="O252" s="786">
        <v>0</v>
      </c>
      <c r="P252" s="786">
        <v>0</v>
      </c>
      <c r="Q252" s="785">
        <v>100</v>
      </c>
      <c r="R252" s="785"/>
      <c r="S252" s="786">
        <v>5200</v>
      </c>
      <c r="T252" s="788">
        <v>2687</v>
      </c>
      <c r="U252" s="788">
        <v>7887</v>
      </c>
    </row>
    <row r="253" spans="1:21" x14ac:dyDescent="0.25">
      <c r="A253" s="782">
        <v>92601</v>
      </c>
      <c r="B253" s="783" t="s">
        <v>2869</v>
      </c>
      <c r="C253" s="784">
        <v>1.51874E-2</v>
      </c>
      <c r="D253" s="784">
        <v>1.54185E-2</v>
      </c>
      <c r="E253" s="815">
        <v>7108398</v>
      </c>
      <c r="F253" s="818">
        <v>32723222</v>
      </c>
      <c r="G253" s="785">
        <v>23202140</v>
      </c>
      <c r="H253" s="785"/>
      <c r="I253" s="786">
        <v>1336658</v>
      </c>
      <c r="J253" s="787">
        <v>5633508</v>
      </c>
      <c r="K253" s="786">
        <v>3313587</v>
      </c>
      <c r="L253" s="785">
        <v>134811</v>
      </c>
      <c r="M253" s="785"/>
      <c r="N253" s="786">
        <v>656779</v>
      </c>
      <c r="O253" s="786">
        <v>0</v>
      </c>
      <c r="P253" s="786">
        <v>0</v>
      </c>
      <c r="Q253" s="785">
        <v>46060</v>
      </c>
      <c r="R253" s="785"/>
      <c r="S253" s="786">
        <v>7819142</v>
      </c>
      <c r="T253" s="788">
        <v>112074</v>
      </c>
      <c r="U253" s="788">
        <f>7931215+1</f>
        <v>7931216</v>
      </c>
    </row>
    <row r="254" spans="1:21" x14ac:dyDescent="0.25">
      <c r="A254" s="782">
        <v>92602</v>
      </c>
      <c r="B254" s="783" t="s">
        <v>2870</v>
      </c>
      <c r="C254" s="784">
        <v>8.3000000000000002E-6</v>
      </c>
      <c r="D254" s="784">
        <v>8.1999999999999994E-6</v>
      </c>
      <c r="E254" s="815">
        <v>3605</v>
      </c>
      <c r="F254" s="818">
        <v>17403</v>
      </c>
      <c r="G254" s="785">
        <v>12680</v>
      </c>
      <c r="H254" s="785"/>
      <c r="I254" s="786">
        <v>730</v>
      </c>
      <c r="J254" s="787">
        <v>3079</v>
      </c>
      <c r="K254" s="786">
        <v>1811</v>
      </c>
      <c r="L254" s="785">
        <v>352</v>
      </c>
      <c r="M254" s="785"/>
      <c r="N254" s="786">
        <v>359</v>
      </c>
      <c r="O254" s="786">
        <v>0</v>
      </c>
      <c r="P254" s="786">
        <v>0</v>
      </c>
      <c r="Q254" s="785">
        <v>927</v>
      </c>
      <c r="R254" s="785"/>
      <c r="S254" s="786">
        <v>4273</v>
      </c>
      <c r="T254" s="788">
        <v>-99</v>
      </c>
      <c r="U254" s="788">
        <v>4174</v>
      </c>
    </row>
    <row r="255" spans="1:21" x14ac:dyDescent="0.25">
      <c r="A255" s="782">
        <v>92604</v>
      </c>
      <c r="B255" s="783" t="s">
        <v>2871</v>
      </c>
      <c r="C255" s="784">
        <v>3.4099999999999999E-4</v>
      </c>
      <c r="D255" s="784">
        <v>3.4380000000000001E-4</v>
      </c>
      <c r="E255" s="815">
        <v>178691</v>
      </c>
      <c r="F255" s="818">
        <v>729659</v>
      </c>
      <c r="G255" s="785">
        <v>520954</v>
      </c>
      <c r="H255" s="785"/>
      <c r="I255" s="786">
        <v>30012</v>
      </c>
      <c r="J255" s="787">
        <v>126488</v>
      </c>
      <c r="K255" s="786">
        <v>74399</v>
      </c>
      <c r="L255" s="785">
        <v>52760</v>
      </c>
      <c r="M255" s="785"/>
      <c r="N255" s="786">
        <v>14747</v>
      </c>
      <c r="O255" s="786">
        <v>0</v>
      </c>
      <c r="P255" s="786">
        <v>0</v>
      </c>
      <c r="Q255" s="785">
        <v>0</v>
      </c>
      <c r="R255" s="785"/>
      <c r="S255" s="786">
        <v>175562</v>
      </c>
      <c r="T255" s="788">
        <v>23975</v>
      </c>
      <c r="U255" s="788">
        <v>199537</v>
      </c>
    </row>
    <row r="256" spans="1:21" x14ac:dyDescent="0.25">
      <c r="A256" s="782">
        <v>92607</v>
      </c>
      <c r="B256" s="783" t="s">
        <v>2872</v>
      </c>
      <c r="C256" s="784">
        <v>6.6400000000000001E-5</v>
      </c>
      <c r="D256" s="784">
        <v>7.0400000000000004E-5</v>
      </c>
      <c r="E256" s="815">
        <v>38427</v>
      </c>
      <c r="F256" s="818">
        <v>149412</v>
      </c>
      <c r="G256" s="785">
        <v>101441</v>
      </c>
      <c r="H256" s="785"/>
      <c r="I256" s="786">
        <v>5844</v>
      </c>
      <c r="J256" s="787">
        <v>24630</v>
      </c>
      <c r="K256" s="786">
        <v>14487</v>
      </c>
      <c r="L256" s="785">
        <v>9416</v>
      </c>
      <c r="M256" s="785"/>
      <c r="N256" s="786">
        <v>2871</v>
      </c>
      <c r="O256" s="786">
        <v>0</v>
      </c>
      <c r="P256" s="786">
        <v>0</v>
      </c>
      <c r="Q256" s="785">
        <v>0</v>
      </c>
      <c r="R256" s="785"/>
      <c r="S256" s="786">
        <v>34186</v>
      </c>
      <c r="T256" s="788">
        <v>4781</v>
      </c>
      <c r="U256" s="788">
        <f>38966+1</f>
        <v>38967</v>
      </c>
    </row>
    <row r="257" spans="1:21" x14ac:dyDescent="0.25">
      <c r="A257" s="782">
        <v>92608</v>
      </c>
      <c r="B257" s="783" t="s">
        <v>2873</v>
      </c>
      <c r="C257" s="784">
        <v>0</v>
      </c>
      <c r="D257" s="784">
        <v>0</v>
      </c>
      <c r="E257" s="815">
        <v>0</v>
      </c>
      <c r="F257" s="818">
        <v>0</v>
      </c>
      <c r="G257" s="785">
        <v>0</v>
      </c>
      <c r="H257" s="785"/>
      <c r="I257" s="786">
        <v>0</v>
      </c>
      <c r="J257" s="787">
        <v>0</v>
      </c>
      <c r="K257" s="786">
        <v>0</v>
      </c>
      <c r="L257" s="785">
        <v>0</v>
      </c>
      <c r="M257" s="785"/>
      <c r="N257" s="786">
        <v>0</v>
      </c>
      <c r="O257" s="786">
        <v>0</v>
      </c>
      <c r="P257" s="786">
        <v>0</v>
      </c>
      <c r="Q257" s="785">
        <v>69935</v>
      </c>
      <c r="R257" s="785"/>
      <c r="S257" s="786">
        <v>0</v>
      </c>
      <c r="T257" s="788">
        <v>-69872</v>
      </c>
      <c r="U257" s="788">
        <v>-69872</v>
      </c>
    </row>
    <row r="258" spans="1:21" x14ac:dyDescent="0.25">
      <c r="A258" s="782">
        <v>92611</v>
      </c>
      <c r="B258" s="783" t="s">
        <v>2874</v>
      </c>
      <c r="C258" s="784">
        <v>1.3080899999999999E-2</v>
      </c>
      <c r="D258" s="784">
        <v>1.3650799999999999E-2</v>
      </c>
      <c r="E258" s="815">
        <v>5890415</v>
      </c>
      <c r="F258" s="818">
        <v>28971571</v>
      </c>
      <c r="G258" s="785">
        <v>19983992</v>
      </c>
      <c r="H258" s="785"/>
      <c r="I258" s="786">
        <v>1151263</v>
      </c>
      <c r="J258" s="787">
        <v>4852137</v>
      </c>
      <c r="K258" s="786">
        <v>2853991</v>
      </c>
      <c r="L258" s="785">
        <v>10109</v>
      </c>
      <c r="M258" s="785"/>
      <c r="N258" s="786">
        <v>565684</v>
      </c>
      <c r="O258" s="786">
        <v>0</v>
      </c>
      <c r="P258" s="786">
        <v>0</v>
      </c>
      <c r="Q258" s="785">
        <v>976593</v>
      </c>
      <c r="R258" s="785"/>
      <c r="S258" s="786">
        <v>6734623</v>
      </c>
      <c r="T258" s="788">
        <v>-313138</v>
      </c>
      <c r="U258" s="788">
        <v>6421485</v>
      </c>
    </row>
    <row r="259" spans="1:21" x14ac:dyDescent="0.25">
      <c r="A259" s="782">
        <v>92613</v>
      </c>
      <c r="B259" s="783" t="s">
        <v>2875</v>
      </c>
      <c r="C259" s="784">
        <v>2.6439999999999998E-4</v>
      </c>
      <c r="D259" s="784">
        <v>2.81E-4</v>
      </c>
      <c r="E259" s="815">
        <v>143121</v>
      </c>
      <c r="F259" s="818">
        <v>596376</v>
      </c>
      <c r="G259" s="785">
        <v>403930</v>
      </c>
      <c r="H259" s="785"/>
      <c r="I259" s="786">
        <v>23270</v>
      </c>
      <c r="J259" s="787">
        <v>98075</v>
      </c>
      <c r="K259" s="786">
        <v>57687</v>
      </c>
      <c r="L259" s="785">
        <v>84489</v>
      </c>
      <c r="M259" s="785"/>
      <c r="N259" s="786">
        <v>11434</v>
      </c>
      <c r="O259" s="786">
        <v>0</v>
      </c>
      <c r="P259" s="786">
        <v>0</v>
      </c>
      <c r="Q259" s="785">
        <v>941</v>
      </c>
      <c r="R259" s="785"/>
      <c r="S259" s="786">
        <v>136125</v>
      </c>
      <c r="T259" s="788">
        <v>41506</v>
      </c>
      <c r="U259" s="788">
        <v>177631</v>
      </c>
    </row>
    <row r="260" spans="1:21" x14ac:dyDescent="0.25">
      <c r="A260" s="782">
        <v>92614</v>
      </c>
      <c r="B260" s="783" t="s">
        <v>2876</v>
      </c>
      <c r="C260" s="784">
        <v>5.7273000000000003E-3</v>
      </c>
      <c r="D260" s="784">
        <v>5.6468000000000004E-3</v>
      </c>
      <c r="E260" s="815">
        <v>4788008</v>
      </c>
      <c r="F260" s="818">
        <v>11984401</v>
      </c>
      <c r="G260" s="785">
        <v>8749728</v>
      </c>
      <c r="H260" s="785"/>
      <c r="I260" s="786">
        <v>504065</v>
      </c>
      <c r="J260" s="787">
        <v>2124444</v>
      </c>
      <c r="K260" s="786">
        <v>1249582</v>
      </c>
      <c r="L260" s="785">
        <v>3908054</v>
      </c>
      <c r="M260" s="785"/>
      <c r="N260" s="786">
        <v>247677</v>
      </c>
      <c r="O260" s="786">
        <v>0</v>
      </c>
      <c r="P260" s="786">
        <v>0</v>
      </c>
      <c r="Q260" s="785">
        <v>0</v>
      </c>
      <c r="R260" s="785"/>
      <c r="S260" s="786">
        <v>2948666</v>
      </c>
      <c r="T260" s="788">
        <v>1416067</v>
      </c>
      <c r="U260" s="788">
        <v>4364733</v>
      </c>
    </row>
    <row r="261" spans="1:21" x14ac:dyDescent="0.25">
      <c r="A261" s="782">
        <v>92621</v>
      </c>
      <c r="B261" s="783" t="s">
        <v>2877</v>
      </c>
      <c r="C261" s="784">
        <v>2.72E-5</v>
      </c>
      <c r="D261" s="784">
        <v>3.2799999999999998E-5</v>
      </c>
      <c r="E261" s="815">
        <v>11243</v>
      </c>
      <c r="F261" s="818">
        <v>69613</v>
      </c>
      <c r="G261" s="785">
        <v>41554</v>
      </c>
      <c r="H261" s="785"/>
      <c r="I261" s="786">
        <v>2394</v>
      </c>
      <c r="J261" s="787">
        <v>10089</v>
      </c>
      <c r="K261" s="786">
        <v>5934</v>
      </c>
      <c r="L261" s="785">
        <v>872</v>
      </c>
      <c r="M261" s="785"/>
      <c r="N261" s="786">
        <v>1176</v>
      </c>
      <c r="O261" s="786">
        <v>0</v>
      </c>
      <c r="P261" s="786">
        <v>0</v>
      </c>
      <c r="Q261" s="785">
        <v>6521</v>
      </c>
      <c r="R261" s="785"/>
      <c r="S261" s="786">
        <v>14004</v>
      </c>
      <c r="T261" s="788">
        <v>-1988</v>
      </c>
      <c r="U261" s="788">
        <v>12016</v>
      </c>
    </row>
    <row r="262" spans="1:21" x14ac:dyDescent="0.25">
      <c r="A262" s="782">
        <v>92631</v>
      </c>
      <c r="B262" s="783" t="s">
        <v>2878</v>
      </c>
      <c r="C262" s="784">
        <v>9.2710000000000004E-4</v>
      </c>
      <c r="D262" s="784">
        <v>1.0068E-3</v>
      </c>
      <c r="E262" s="815">
        <v>397128</v>
      </c>
      <c r="F262" s="818">
        <v>2136767</v>
      </c>
      <c r="G262" s="785">
        <v>1416352</v>
      </c>
      <c r="H262" s="785"/>
      <c r="I262" s="786">
        <v>81595</v>
      </c>
      <c r="J262" s="787">
        <v>343892</v>
      </c>
      <c r="K262" s="786">
        <v>202275</v>
      </c>
      <c r="L262" s="785">
        <v>0</v>
      </c>
      <c r="M262" s="785"/>
      <c r="N262" s="786">
        <v>40092</v>
      </c>
      <c r="O262" s="786">
        <v>0</v>
      </c>
      <c r="P262" s="786">
        <v>0</v>
      </c>
      <c r="Q262" s="785">
        <v>146834</v>
      </c>
      <c r="R262" s="785"/>
      <c r="S262" s="786">
        <v>477312</v>
      </c>
      <c r="T262" s="788">
        <v>-49734</v>
      </c>
      <c r="U262" s="788">
        <v>427578</v>
      </c>
    </row>
    <row r="263" spans="1:21" x14ac:dyDescent="0.25">
      <c r="A263" s="782">
        <v>92641</v>
      </c>
      <c r="B263" s="783" t="s">
        <v>2879</v>
      </c>
      <c r="C263" s="784">
        <v>1.0200000000000001E-5</v>
      </c>
      <c r="D263" s="784">
        <v>1.03E-5</v>
      </c>
      <c r="E263" s="815">
        <v>5720</v>
      </c>
      <c r="F263" s="818">
        <v>21860</v>
      </c>
      <c r="G263" s="785">
        <v>15583</v>
      </c>
      <c r="H263" s="785"/>
      <c r="I263" s="786">
        <v>898</v>
      </c>
      <c r="J263" s="787">
        <v>3784</v>
      </c>
      <c r="K263" s="786">
        <v>2225</v>
      </c>
      <c r="L263" s="785">
        <v>2556</v>
      </c>
      <c r="M263" s="785"/>
      <c r="N263" s="786">
        <v>441</v>
      </c>
      <c r="O263" s="786">
        <v>0</v>
      </c>
      <c r="P263" s="786">
        <v>0</v>
      </c>
      <c r="Q263" s="785">
        <v>945</v>
      </c>
      <c r="R263" s="785"/>
      <c r="S263" s="786">
        <v>5251</v>
      </c>
      <c r="T263" s="788">
        <v>173</v>
      </c>
      <c r="U263" s="788">
        <v>5424</v>
      </c>
    </row>
    <row r="264" spans="1:21" x14ac:dyDescent="0.25">
      <c r="A264" s="782">
        <v>92651</v>
      </c>
      <c r="B264" s="783" t="s">
        <v>2880</v>
      </c>
      <c r="C264" s="784">
        <v>2.6000000000000001E-6</v>
      </c>
      <c r="D264" s="784">
        <v>2.6000000000000001E-6</v>
      </c>
      <c r="E264" s="815">
        <v>3151</v>
      </c>
      <c r="F264" s="818">
        <v>5518</v>
      </c>
      <c r="G264" s="785">
        <v>3972</v>
      </c>
      <c r="H264" s="785"/>
      <c r="I264" s="786">
        <v>229</v>
      </c>
      <c r="J264" s="787">
        <v>964</v>
      </c>
      <c r="K264" s="786">
        <v>567</v>
      </c>
      <c r="L264" s="785">
        <v>3432</v>
      </c>
      <c r="M264" s="785"/>
      <c r="N264" s="786">
        <v>112</v>
      </c>
      <c r="O264" s="786">
        <v>0</v>
      </c>
      <c r="P264" s="786">
        <v>0</v>
      </c>
      <c r="Q264" s="785">
        <v>0</v>
      </c>
      <c r="R264" s="785"/>
      <c r="S264" s="786">
        <v>1339</v>
      </c>
      <c r="T264" s="788">
        <v>1345</v>
      </c>
      <c r="U264" s="788">
        <f>2683+1</f>
        <v>2684</v>
      </c>
    </row>
    <row r="265" spans="1:21" x14ac:dyDescent="0.25">
      <c r="A265" s="782">
        <v>92661</v>
      </c>
      <c r="B265" s="783" t="s">
        <v>2881</v>
      </c>
      <c r="C265" s="784">
        <v>6.9999999999999999E-4</v>
      </c>
      <c r="D265" s="784">
        <v>6.6299999999999996E-4</v>
      </c>
      <c r="E265" s="815">
        <v>591164</v>
      </c>
      <c r="F265" s="818">
        <v>1407108</v>
      </c>
      <c r="G265" s="785">
        <v>1069406</v>
      </c>
      <c r="H265" s="785"/>
      <c r="I265" s="786">
        <v>61608</v>
      </c>
      <c r="J265" s="787">
        <v>259653</v>
      </c>
      <c r="K265" s="786">
        <v>152726</v>
      </c>
      <c r="L265" s="785">
        <v>446841</v>
      </c>
      <c r="M265" s="785"/>
      <c r="N265" s="786">
        <v>30272</v>
      </c>
      <c r="O265" s="786">
        <v>0</v>
      </c>
      <c r="P265" s="786">
        <v>0</v>
      </c>
      <c r="Q265" s="785">
        <v>16877</v>
      </c>
      <c r="R265" s="785"/>
      <c r="S265" s="786">
        <v>360391</v>
      </c>
      <c r="T265" s="788">
        <v>130287</v>
      </c>
      <c r="U265" s="788">
        <v>490678</v>
      </c>
    </row>
    <row r="266" spans="1:21" x14ac:dyDescent="0.25">
      <c r="A266" s="782">
        <v>92671</v>
      </c>
      <c r="B266" s="783" t="s">
        <v>2882</v>
      </c>
      <c r="C266" s="784">
        <v>2.6000000000000001E-6</v>
      </c>
      <c r="D266" s="784">
        <v>2.9000000000000002E-6</v>
      </c>
      <c r="E266" s="815">
        <v>5279</v>
      </c>
      <c r="F266" s="818">
        <v>6155</v>
      </c>
      <c r="G266" s="785">
        <v>3972</v>
      </c>
      <c r="H266" s="785"/>
      <c r="I266" s="786">
        <v>229</v>
      </c>
      <c r="J266" s="787">
        <v>964</v>
      </c>
      <c r="K266" s="786">
        <v>567</v>
      </c>
      <c r="L266" s="785">
        <v>6237</v>
      </c>
      <c r="M266" s="785"/>
      <c r="N266" s="786">
        <v>112</v>
      </c>
      <c r="O266" s="786">
        <v>0</v>
      </c>
      <c r="P266" s="786">
        <v>0</v>
      </c>
      <c r="Q266" s="785">
        <v>0</v>
      </c>
      <c r="R266" s="785"/>
      <c r="S266" s="786">
        <v>1339</v>
      </c>
      <c r="T266" s="788">
        <v>2205</v>
      </c>
      <c r="U266" s="788">
        <f>3543+1</f>
        <v>3544</v>
      </c>
    </row>
    <row r="267" spans="1:21" x14ac:dyDescent="0.25">
      <c r="A267" s="782">
        <v>92681</v>
      </c>
      <c r="B267" s="783" t="s">
        <v>2883</v>
      </c>
      <c r="C267" s="784">
        <v>1.17E-5</v>
      </c>
      <c r="D267" s="784">
        <v>1.01E-5</v>
      </c>
      <c r="E267" s="815">
        <v>11572</v>
      </c>
      <c r="F267" s="818">
        <v>21436</v>
      </c>
      <c r="G267" s="785">
        <v>17874</v>
      </c>
      <c r="H267" s="785"/>
      <c r="I267" s="786">
        <v>1030</v>
      </c>
      <c r="J267" s="787">
        <v>4340</v>
      </c>
      <c r="K267" s="786">
        <v>2553</v>
      </c>
      <c r="L267" s="785">
        <v>13621</v>
      </c>
      <c r="M267" s="785"/>
      <c r="N267" s="786">
        <v>506</v>
      </c>
      <c r="O267" s="786">
        <v>0</v>
      </c>
      <c r="P267" s="786">
        <v>0</v>
      </c>
      <c r="Q267" s="785">
        <v>0</v>
      </c>
      <c r="R267" s="785"/>
      <c r="S267" s="786">
        <v>6024</v>
      </c>
      <c r="T267" s="788">
        <v>4960</v>
      </c>
      <c r="U267" s="788">
        <v>10984</v>
      </c>
    </row>
    <row r="268" spans="1:21" x14ac:dyDescent="0.25">
      <c r="A268" s="782">
        <v>92701</v>
      </c>
      <c r="B268" s="783" t="s">
        <v>2884</v>
      </c>
      <c r="C268" s="784">
        <v>3.0777000000000001E-3</v>
      </c>
      <c r="D268" s="784">
        <v>2.9588000000000001E-3</v>
      </c>
      <c r="E268" s="815">
        <v>1358591</v>
      </c>
      <c r="F268" s="818">
        <v>6279565</v>
      </c>
      <c r="G268" s="785">
        <v>4701873</v>
      </c>
      <c r="H268" s="785"/>
      <c r="I268" s="786">
        <v>270871</v>
      </c>
      <c r="J268" s="787">
        <v>1141620</v>
      </c>
      <c r="K268" s="786">
        <v>671493</v>
      </c>
      <c r="L268" s="785">
        <v>48990</v>
      </c>
      <c r="M268" s="785"/>
      <c r="N268" s="786">
        <v>133095</v>
      </c>
      <c r="O268" s="786">
        <v>0</v>
      </c>
      <c r="P268" s="786">
        <v>0</v>
      </c>
      <c r="Q268" s="785">
        <v>42924</v>
      </c>
      <c r="R268" s="785"/>
      <c r="S268" s="786">
        <v>1584535</v>
      </c>
      <c r="T268" s="788">
        <v>-25139</v>
      </c>
      <c r="U268" s="788">
        <f>1559397-1</f>
        <v>1559396</v>
      </c>
    </row>
    <row r="269" spans="1:21" x14ac:dyDescent="0.25">
      <c r="A269" s="782">
        <v>92704</v>
      </c>
      <c r="B269" s="783" t="s">
        <v>2885</v>
      </c>
      <c r="C269" s="784">
        <v>4.1600000000000002E-5</v>
      </c>
      <c r="D269" s="784">
        <v>4.7700000000000001E-5</v>
      </c>
      <c r="E269" s="815">
        <v>18894</v>
      </c>
      <c r="F269" s="818">
        <v>101235</v>
      </c>
      <c r="G269" s="785">
        <v>63553</v>
      </c>
      <c r="H269" s="785"/>
      <c r="I269" s="786">
        <v>3661</v>
      </c>
      <c r="J269" s="787">
        <v>15431</v>
      </c>
      <c r="K269" s="786">
        <v>9076</v>
      </c>
      <c r="L269" s="785">
        <v>1560</v>
      </c>
      <c r="M269" s="785"/>
      <c r="N269" s="786">
        <v>1799</v>
      </c>
      <c r="O269" s="786">
        <v>0</v>
      </c>
      <c r="P269" s="786">
        <v>0</v>
      </c>
      <c r="Q269" s="785">
        <v>5674</v>
      </c>
      <c r="R269" s="785"/>
      <c r="S269" s="786">
        <v>21418</v>
      </c>
      <c r="T269" s="788">
        <v>-706</v>
      </c>
      <c r="U269" s="788">
        <f>20711+1</f>
        <v>20712</v>
      </c>
    </row>
    <row r="270" spans="1:21" x14ac:dyDescent="0.25">
      <c r="A270" s="782">
        <v>92801</v>
      </c>
      <c r="B270" s="783" t="s">
        <v>2886</v>
      </c>
      <c r="C270" s="784">
        <v>5.0951E-3</v>
      </c>
      <c r="D270" s="784">
        <v>5.1701000000000004E-3</v>
      </c>
      <c r="E270" s="815">
        <v>2417020</v>
      </c>
      <c r="F270" s="818">
        <v>10972684</v>
      </c>
      <c r="G270" s="785">
        <v>7783901</v>
      </c>
      <c r="H270" s="785"/>
      <c r="I270" s="786">
        <v>448425</v>
      </c>
      <c r="J270" s="787">
        <v>1889940</v>
      </c>
      <c r="K270" s="786">
        <v>1111649</v>
      </c>
      <c r="L270" s="785">
        <v>152907</v>
      </c>
      <c r="M270" s="785"/>
      <c r="N270" s="786">
        <v>220338</v>
      </c>
      <c r="O270" s="786">
        <v>0</v>
      </c>
      <c r="P270" s="786">
        <v>0</v>
      </c>
      <c r="Q270" s="785">
        <v>0</v>
      </c>
      <c r="R270" s="785"/>
      <c r="S270" s="786">
        <v>2623182</v>
      </c>
      <c r="T270" s="788">
        <v>81450</v>
      </c>
      <c r="U270" s="788">
        <f>2704631+1</f>
        <v>2704632</v>
      </c>
    </row>
    <row r="271" spans="1:21" x14ac:dyDescent="0.25">
      <c r="A271" s="782">
        <v>92802</v>
      </c>
      <c r="B271" s="783" t="s">
        <v>2887</v>
      </c>
      <c r="C271" s="784">
        <v>1.2970000000000001E-4</v>
      </c>
      <c r="D271" s="784">
        <v>1.3410000000000001E-4</v>
      </c>
      <c r="E271" s="815">
        <v>55828</v>
      </c>
      <c r="F271" s="818">
        <v>284605</v>
      </c>
      <c r="G271" s="785">
        <v>198146</v>
      </c>
      <c r="H271" s="785"/>
      <c r="I271" s="786">
        <v>11415</v>
      </c>
      <c r="J271" s="787">
        <v>48110</v>
      </c>
      <c r="K271" s="786">
        <v>28298</v>
      </c>
      <c r="L271" s="785">
        <v>0</v>
      </c>
      <c r="M271" s="785"/>
      <c r="N271" s="786">
        <v>5609</v>
      </c>
      <c r="O271" s="786">
        <v>0</v>
      </c>
      <c r="P271" s="786">
        <v>0</v>
      </c>
      <c r="Q271" s="785">
        <v>17517</v>
      </c>
      <c r="R271" s="785"/>
      <c r="S271" s="786">
        <v>66775</v>
      </c>
      <c r="T271" s="788">
        <v>-6938</v>
      </c>
      <c r="U271" s="788">
        <v>59837</v>
      </c>
    </row>
    <row r="272" spans="1:21" x14ac:dyDescent="0.25">
      <c r="A272" s="782">
        <v>92804</v>
      </c>
      <c r="B272" s="783" t="s">
        <v>2888</v>
      </c>
      <c r="C272" s="784">
        <v>1.36E-4</v>
      </c>
      <c r="D272" s="784">
        <v>1.47E-4</v>
      </c>
      <c r="E272" s="815">
        <v>57777</v>
      </c>
      <c r="F272" s="818">
        <v>311983</v>
      </c>
      <c r="G272" s="785">
        <v>207770</v>
      </c>
      <c r="H272" s="785"/>
      <c r="I272" s="786">
        <v>11969</v>
      </c>
      <c r="J272" s="787">
        <v>50447</v>
      </c>
      <c r="K272" s="786">
        <v>29672</v>
      </c>
      <c r="L272" s="785">
        <v>8730</v>
      </c>
      <c r="M272" s="785"/>
      <c r="N272" s="786">
        <v>5881</v>
      </c>
      <c r="O272" s="786">
        <v>0</v>
      </c>
      <c r="P272" s="786">
        <v>0</v>
      </c>
      <c r="Q272" s="785">
        <v>12427</v>
      </c>
      <c r="R272" s="785"/>
      <c r="S272" s="786">
        <v>70019</v>
      </c>
      <c r="T272" s="788">
        <v>-172</v>
      </c>
      <c r="U272" s="788">
        <v>69847</v>
      </c>
    </row>
    <row r="273" spans="1:21" x14ac:dyDescent="0.25">
      <c r="A273" s="782">
        <v>92811</v>
      </c>
      <c r="B273" s="783" t="s">
        <v>2889</v>
      </c>
      <c r="C273" s="784">
        <v>1.0036000000000001E-3</v>
      </c>
      <c r="D273" s="784">
        <v>9.8569999999999994E-4</v>
      </c>
      <c r="E273" s="815">
        <v>442635</v>
      </c>
      <c r="F273" s="818">
        <v>2091986</v>
      </c>
      <c r="G273" s="785">
        <v>1533223</v>
      </c>
      <c r="H273" s="785"/>
      <c r="I273" s="786">
        <v>88328</v>
      </c>
      <c r="J273" s="787">
        <v>372269</v>
      </c>
      <c r="K273" s="786">
        <v>218965</v>
      </c>
      <c r="L273" s="785">
        <v>0</v>
      </c>
      <c r="M273" s="785"/>
      <c r="N273" s="786">
        <v>43401</v>
      </c>
      <c r="O273" s="786">
        <v>0</v>
      </c>
      <c r="P273" s="786">
        <v>0</v>
      </c>
      <c r="Q273" s="785">
        <v>85272</v>
      </c>
      <c r="R273" s="785"/>
      <c r="S273" s="786">
        <v>516697</v>
      </c>
      <c r="T273" s="788">
        <v>-36667</v>
      </c>
      <c r="U273" s="788">
        <v>480030</v>
      </c>
    </row>
    <row r="274" spans="1:21" x14ac:dyDescent="0.25">
      <c r="A274" s="782">
        <v>92821</v>
      </c>
      <c r="B274" s="783" t="s">
        <v>2890</v>
      </c>
      <c r="C274" s="784">
        <v>9.9400000000000009E-4</v>
      </c>
      <c r="D274" s="784">
        <v>1.0139999999999999E-3</v>
      </c>
      <c r="E274" s="815">
        <v>481049</v>
      </c>
      <c r="F274" s="818">
        <v>2152048</v>
      </c>
      <c r="G274" s="785">
        <v>1518557</v>
      </c>
      <c r="H274" s="785"/>
      <c r="I274" s="786">
        <v>87483</v>
      </c>
      <c r="J274" s="787">
        <v>368707</v>
      </c>
      <c r="K274" s="786">
        <v>216871</v>
      </c>
      <c r="L274" s="785">
        <v>24870</v>
      </c>
      <c r="M274" s="785"/>
      <c r="N274" s="786">
        <v>42986</v>
      </c>
      <c r="O274" s="786">
        <v>0</v>
      </c>
      <c r="P274" s="786">
        <v>0</v>
      </c>
      <c r="Q274" s="785">
        <v>0</v>
      </c>
      <c r="R274" s="785"/>
      <c r="S274" s="786">
        <v>511755</v>
      </c>
      <c r="T274" s="788">
        <v>10495</v>
      </c>
      <c r="U274" s="788">
        <v>522250</v>
      </c>
    </row>
    <row r="275" spans="1:21" x14ac:dyDescent="0.25">
      <c r="A275" s="782">
        <v>92831</v>
      </c>
      <c r="B275" s="783" t="s">
        <v>2891</v>
      </c>
      <c r="C275" s="784">
        <v>2.1829999999999999E-4</v>
      </c>
      <c r="D275" s="784">
        <v>2.476E-4</v>
      </c>
      <c r="E275" s="815">
        <v>122076</v>
      </c>
      <c r="F275" s="818">
        <v>525490</v>
      </c>
      <c r="G275" s="785">
        <v>333502</v>
      </c>
      <c r="H275" s="785"/>
      <c r="I275" s="786">
        <v>19213</v>
      </c>
      <c r="J275" s="787">
        <v>80975</v>
      </c>
      <c r="K275" s="786">
        <v>47629</v>
      </c>
      <c r="L275" s="785">
        <v>19156</v>
      </c>
      <c r="M275" s="785"/>
      <c r="N275" s="786">
        <v>9440</v>
      </c>
      <c r="O275" s="786">
        <v>0</v>
      </c>
      <c r="P275" s="786">
        <v>0</v>
      </c>
      <c r="Q275" s="785">
        <v>2159</v>
      </c>
      <c r="R275" s="785"/>
      <c r="S275" s="786">
        <v>112390</v>
      </c>
      <c r="T275" s="788">
        <v>9503</v>
      </c>
      <c r="U275" s="788">
        <f>121894-1</f>
        <v>121893</v>
      </c>
    </row>
    <row r="276" spans="1:21" x14ac:dyDescent="0.25">
      <c r="A276" s="782">
        <v>92841</v>
      </c>
      <c r="B276" s="783" t="s">
        <v>2892</v>
      </c>
      <c r="C276" s="784">
        <v>2.7809999999999998E-4</v>
      </c>
      <c r="D276" s="784">
        <v>2.8160000000000001E-4</v>
      </c>
      <c r="E276" s="815">
        <v>116983</v>
      </c>
      <c r="F276" s="818">
        <v>597650</v>
      </c>
      <c r="G276" s="785">
        <v>424860</v>
      </c>
      <c r="H276" s="785"/>
      <c r="I276" s="786">
        <v>24476</v>
      </c>
      <c r="J276" s="787">
        <v>103157</v>
      </c>
      <c r="K276" s="786">
        <v>60676</v>
      </c>
      <c r="L276" s="785">
        <v>5821</v>
      </c>
      <c r="M276" s="785"/>
      <c r="N276" s="786">
        <v>12026</v>
      </c>
      <c r="O276" s="786">
        <v>0</v>
      </c>
      <c r="P276" s="786">
        <v>0</v>
      </c>
      <c r="Q276" s="785">
        <v>13149</v>
      </c>
      <c r="R276" s="785"/>
      <c r="S276" s="786">
        <v>143178</v>
      </c>
      <c r="T276" s="788">
        <v>2288</v>
      </c>
      <c r="U276" s="788">
        <v>145466</v>
      </c>
    </row>
    <row r="277" spans="1:21" x14ac:dyDescent="0.25">
      <c r="A277" s="782">
        <v>92851</v>
      </c>
      <c r="B277" s="783" t="s">
        <v>2893</v>
      </c>
      <c r="C277" s="784">
        <v>4.6079999999999998E-4</v>
      </c>
      <c r="D277" s="784">
        <v>4.3909999999999999E-4</v>
      </c>
      <c r="E277" s="815">
        <v>187164</v>
      </c>
      <c r="F277" s="818">
        <v>931917</v>
      </c>
      <c r="G277" s="785">
        <v>703975</v>
      </c>
      <c r="H277" s="785"/>
      <c r="I277" s="786">
        <v>40555</v>
      </c>
      <c r="J277" s="787">
        <v>170926</v>
      </c>
      <c r="K277" s="786">
        <v>100537</v>
      </c>
      <c r="L277" s="785">
        <v>0</v>
      </c>
      <c r="M277" s="785"/>
      <c r="N277" s="786">
        <v>19927</v>
      </c>
      <c r="O277" s="786">
        <v>0</v>
      </c>
      <c r="P277" s="786">
        <v>0</v>
      </c>
      <c r="Q277" s="785">
        <v>62664</v>
      </c>
      <c r="R277" s="785"/>
      <c r="S277" s="786">
        <v>237240</v>
      </c>
      <c r="T277" s="788">
        <v>-35531</v>
      </c>
      <c r="U277" s="788">
        <v>201709</v>
      </c>
    </row>
    <row r="278" spans="1:21" x14ac:dyDescent="0.25">
      <c r="A278" s="782">
        <v>92861</v>
      </c>
      <c r="B278" s="783" t="s">
        <v>2894</v>
      </c>
      <c r="C278" s="784">
        <v>3.6010000000000003E-4</v>
      </c>
      <c r="D278" s="784">
        <v>3.3629999999999999E-4</v>
      </c>
      <c r="E278" s="815">
        <v>121951</v>
      </c>
      <c r="F278" s="818">
        <v>713741</v>
      </c>
      <c r="G278" s="785">
        <v>550133</v>
      </c>
      <c r="H278" s="785"/>
      <c r="I278" s="786">
        <v>31693</v>
      </c>
      <c r="J278" s="787">
        <v>133573</v>
      </c>
      <c r="K278" s="786">
        <v>78567</v>
      </c>
      <c r="L278" s="785">
        <v>0</v>
      </c>
      <c r="M278" s="785"/>
      <c r="N278" s="786">
        <v>15573</v>
      </c>
      <c r="O278" s="786">
        <v>0</v>
      </c>
      <c r="P278" s="786">
        <v>0</v>
      </c>
      <c r="Q278" s="785">
        <v>83092</v>
      </c>
      <c r="R278" s="785"/>
      <c r="S278" s="786">
        <v>185395</v>
      </c>
      <c r="T278" s="788">
        <v>-36908</v>
      </c>
      <c r="U278" s="788">
        <f>148488-1</f>
        <v>148487</v>
      </c>
    </row>
    <row r="279" spans="1:21" x14ac:dyDescent="0.25">
      <c r="A279" s="782">
        <v>92901</v>
      </c>
      <c r="B279" s="783" t="s">
        <v>2895</v>
      </c>
      <c r="C279" s="784">
        <v>5.5082999999999998E-3</v>
      </c>
      <c r="D279" s="784">
        <v>5.7581000000000004E-3</v>
      </c>
      <c r="E279" s="815">
        <v>2645958</v>
      </c>
      <c r="F279" s="818">
        <v>12220617</v>
      </c>
      <c r="G279" s="785">
        <v>8415157</v>
      </c>
      <c r="H279" s="785"/>
      <c r="I279" s="786">
        <v>484791</v>
      </c>
      <c r="J279" s="787">
        <v>2043211</v>
      </c>
      <c r="K279" s="786">
        <v>1201801</v>
      </c>
      <c r="L279" s="785">
        <v>65697</v>
      </c>
      <c r="M279" s="785"/>
      <c r="N279" s="786">
        <v>238206</v>
      </c>
      <c r="O279" s="786">
        <v>0</v>
      </c>
      <c r="P279" s="786">
        <v>0</v>
      </c>
      <c r="Q279" s="785">
        <v>124949</v>
      </c>
      <c r="R279" s="785"/>
      <c r="S279" s="786">
        <v>2835915</v>
      </c>
      <c r="T279" s="788">
        <v>6522</v>
      </c>
      <c r="U279" s="788">
        <f>2842438-1</f>
        <v>2842437</v>
      </c>
    </row>
    <row r="280" spans="1:21" x14ac:dyDescent="0.25">
      <c r="A280" s="782">
        <v>92911</v>
      </c>
      <c r="B280" s="783" t="s">
        <v>2896</v>
      </c>
      <c r="C280" s="784">
        <v>1.9548999999999999E-3</v>
      </c>
      <c r="D280" s="784">
        <v>1.9442999999999999E-3</v>
      </c>
      <c r="E280" s="815">
        <v>924132</v>
      </c>
      <c r="F280" s="818">
        <v>4126456</v>
      </c>
      <c r="G280" s="785">
        <v>2986546</v>
      </c>
      <c r="H280" s="785"/>
      <c r="I280" s="786">
        <v>172053</v>
      </c>
      <c r="J280" s="787">
        <v>725137</v>
      </c>
      <c r="K280" s="786">
        <v>426520</v>
      </c>
      <c r="L280" s="785">
        <v>28442</v>
      </c>
      <c r="M280" s="785"/>
      <c r="N280" s="786">
        <v>84540</v>
      </c>
      <c r="O280" s="786">
        <v>0</v>
      </c>
      <c r="P280" s="786">
        <v>0</v>
      </c>
      <c r="Q280" s="785">
        <v>113525</v>
      </c>
      <c r="R280" s="785"/>
      <c r="S280" s="786">
        <v>1006469</v>
      </c>
      <c r="T280" s="788">
        <v>-55041</v>
      </c>
      <c r="U280" s="788">
        <v>951428</v>
      </c>
    </row>
    <row r="281" spans="1:21" x14ac:dyDescent="0.25">
      <c r="A281" s="782">
        <v>92913</v>
      </c>
      <c r="B281" s="783" t="s">
        <v>2897</v>
      </c>
      <c r="C281" s="784">
        <v>2.1999999999999999E-5</v>
      </c>
      <c r="D281" s="784">
        <v>2.37E-5</v>
      </c>
      <c r="E281" s="815">
        <v>57760</v>
      </c>
      <c r="F281" s="818">
        <v>50299</v>
      </c>
      <c r="G281" s="785">
        <v>33610</v>
      </c>
      <c r="H281" s="785"/>
      <c r="I281" s="786">
        <v>1936</v>
      </c>
      <c r="J281" s="787">
        <v>8160</v>
      </c>
      <c r="K281" s="786">
        <v>4800</v>
      </c>
      <c r="L281" s="785">
        <v>79442</v>
      </c>
      <c r="M281" s="785"/>
      <c r="N281" s="786">
        <v>951</v>
      </c>
      <c r="O281" s="786">
        <v>0</v>
      </c>
      <c r="P281" s="786">
        <v>0</v>
      </c>
      <c r="Q281" s="785">
        <v>2047</v>
      </c>
      <c r="R281" s="785"/>
      <c r="S281" s="786">
        <v>11327</v>
      </c>
      <c r="T281" s="788">
        <v>25513</v>
      </c>
      <c r="U281" s="788">
        <v>36840</v>
      </c>
    </row>
    <row r="282" spans="1:21" x14ac:dyDescent="0.25">
      <c r="A282" s="782">
        <v>92914</v>
      </c>
      <c r="B282" s="783" t="s">
        <v>3666</v>
      </c>
      <c r="C282" s="784">
        <v>2.8900000000000001E-5</v>
      </c>
      <c r="D282" s="784">
        <v>0</v>
      </c>
      <c r="E282" s="815">
        <v>10513</v>
      </c>
      <c r="F282" s="818">
        <v>0</v>
      </c>
      <c r="G282" s="785">
        <v>44151</v>
      </c>
      <c r="H282" s="785"/>
      <c r="I282" s="786">
        <v>2544</v>
      </c>
      <c r="J282" s="787">
        <v>10720</v>
      </c>
      <c r="K282" s="786">
        <v>6305</v>
      </c>
      <c r="L282" s="785">
        <v>17173</v>
      </c>
      <c r="M282" s="785"/>
      <c r="N282" s="786">
        <v>1250</v>
      </c>
      <c r="O282" s="786">
        <v>0</v>
      </c>
      <c r="P282" s="786">
        <v>0</v>
      </c>
      <c r="Q282" s="785">
        <v>0</v>
      </c>
      <c r="R282" s="785"/>
      <c r="S282" s="786">
        <v>14879</v>
      </c>
      <c r="T282" s="788">
        <v>4293</v>
      </c>
      <c r="U282" s="788">
        <v>19172</v>
      </c>
    </row>
    <row r="283" spans="1:21" x14ac:dyDescent="0.25">
      <c r="A283" s="782">
        <v>92917</v>
      </c>
      <c r="B283" s="783" t="s">
        <v>2898</v>
      </c>
      <c r="C283" s="784">
        <v>1.4800000000000001E-5</v>
      </c>
      <c r="D283" s="784">
        <v>2.0000000000000002E-5</v>
      </c>
      <c r="E283" s="815">
        <v>16082</v>
      </c>
      <c r="F283" s="818">
        <v>42447</v>
      </c>
      <c r="G283" s="785">
        <v>22610</v>
      </c>
      <c r="H283" s="785"/>
      <c r="I283" s="786">
        <v>1303</v>
      </c>
      <c r="J283" s="787">
        <v>5490</v>
      </c>
      <c r="K283" s="786">
        <v>3229</v>
      </c>
      <c r="L283" s="785">
        <v>13223</v>
      </c>
      <c r="M283" s="785"/>
      <c r="N283" s="786">
        <v>640</v>
      </c>
      <c r="O283" s="786">
        <v>0</v>
      </c>
      <c r="P283" s="786">
        <v>0</v>
      </c>
      <c r="Q283" s="785">
        <v>0</v>
      </c>
      <c r="R283" s="785"/>
      <c r="S283" s="786">
        <v>7620</v>
      </c>
      <c r="T283" s="788">
        <v>6352</v>
      </c>
      <c r="U283" s="788">
        <f>13971+1</f>
        <v>13972</v>
      </c>
    </row>
    <row r="284" spans="1:21" x14ac:dyDescent="0.25">
      <c r="A284" s="782">
        <v>92921</v>
      </c>
      <c r="B284" s="783" t="s">
        <v>2899</v>
      </c>
      <c r="C284" s="784">
        <v>7.4400000000000006E-5</v>
      </c>
      <c r="D284" s="784">
        <v>6.2899999999999997E-5</v>
      </c>
      <c r="E284" s="815">
        <v>41073</v>
      </c>
      <c r="F284" s="818">
        <v>133495</v>
      </c>
      <c r="G284" s="785">
        <v>113663</v>
      </c>
      <c r="H284" s="785"/>
      <c r="I284" s="786">
        <v>6548</v>
      </c>
      <c r="J284" s="787">
        <v>27597</v>
      </c>
      <c r="K284" s="786">
        <v>16233</v>
      </c>
      <c r="L284" s="785">
        <v>13244</v>
      </c>
      <c r="M284" s="785"/>
      <c r="N284" s="786">
        <v>3217</v>
      </c>
      <c r="O284" s="786">
        <v>0</v>
      </c>
      <c r="P284" s="786">
        <v>0</v>
      </c>
      <c r="Q284" s="785">
        <v>7831</v>
      </c>
      <c r="R284" s="785"/>
      <c r="S284" s="786">
        <v>38304</v>
      </c>
      <c r="T284" s="788">
        <v>-2914</v>
      </c>
      <c r="U284" s="788">
        <v>35390</v>
      </c>
    </row>
    <row r="285" spans="1:21" x14ac:dyDescent="0.25">
      <c r="A285" s="782">
        <v>92931</v>
      </c>
      <c r="B285" s="783" t="s">
        <v>2900</v>
      </c>
      <c r="C285" s="784">
        <v>2.3996E-3</v>
      </c>
      <c r="D285" s="784">
        <v>2.5048000000000002E-3</v>
      </c>
      <c r="E285" s="815">
        <v>1109331</v>
      </c>
      <c r="F285" s="818">
        <v>5316025</v>
      </c>
      <c r="G285" s="785">
        <v>3665924</v>
      </c>
      <c r="H285" s="785"/>
      <c r="I285" s="786">
        <v>211191</v>
      </c>
      <c r="J285" s="787">
        <v>890091</v>
      </c>
      <c r="K285" s="786">
        <v>523545</v>
      </c>
      <c r="L285" s="785">
        <v>7721</v>
      </c>
      <c r="M285" s="785"/>
      <c r="N285" s="786">
        <v>103771</v>
      </c>
      <c r="O285" s="786">
        <v>0</v>
      </c>
      <c r="P285" s="786">
        <v>0</v>
      </c>
      <c r="Q285" s="785">
        <v>147858</v>
      </c>
      <c r="R285" s="785"/>
      <c r="S285" s="786">
        <v>1235420</v>
      </c>
      <c r="T285" s="788">
        <v>-41276</v>
      </c>
      <c r="U285" s="788">
        <v>1194144</v>
      </c>
    </row>
    <row r="286" spans="1:21" x14ac:dyDescent="0.25">
      <c r="A286" s="782">
        <v>92941</v>
      </c>
      <c r="B286" s="783" t="s">
        <v>1423</v>
      </c>
      <c r="C286" s="784">
        <v>1.2300000000000001E-5</v>
      </c>
      <c r="D286" s="784">
        <v>1.84E-5</v>
      </c>
      <c r="E286" s="815">
        <v>8547</v>
      </c>
      <c r="F286" s="818">
        <v>39051</v>
      </c>
      <c r="G286" s="785">
        <v>18791</v>
      </c>
      <c r="H286" s="785"/>
      <c r="I286" s="786">
        <v>1083</v>
      </c>
      <c r="J286" s="787">
        <v>4563</v>
      </c>
      <c r="K286" s="786">
        <v>2684</v>
      </c>
      <c r="L286" s="785">
        <v>6612</v>
      </c>
      <c r="M286" s="785"/>
      <c r="N286" s="786">
        <v>532</v>
      </c>
      <c r="O286" s="786">
        <v>0</v>
      </c>
      <c r="P286" s="786">
        <v>0</v>
      </c>
      <c r="Q286" s="785">
        <v>1770</v>
      </c>
      <c r="R286" s="785"/>
      <c r="S286" s="786">
        <v>6333</v>
      </c>
      <c r="T286" s="788">
        <v>3162</v>
      </c>
      <c r="U286" s="788">
        <v>9495</v>
      </c>
    </row>
    <row r="287" spans="1:21" x14ac:dyDescent="0.25">
      <c r="A287" s="782">
        <v>93001</v>
      </c>
      <c r="B287" s="783" t="s">
        <v>2901</v>
      </c>
      <c r="C287" s="784">
        <v>2.2227000000000002E-3</v>
      </c>
      <c r="D287" s="784">
        <v>2.2739000000000001E-3</v>
      </c>
      <c r="E287" s="815">
        <v>981066</v>
      </c>
      <c r="F287" s="818">
        <v>4825978</v>
      </c>
      <c r="G287" s="785">
        <v>3395670</v>
      </c>
      <c r="H287" s="785"/>
      <c r="I287" s="786">
        <v>195622</v>
      </c>
      <c r="J287" s="787">
        <v>824473</v>
      </c>
      <c r="K287" s="786">
        <v>484949</v>
      </c>
      <c r="L287" s="785">
        <v>8733</v>
      </c>
      <c r="M287" s="785"/>
      <c r="N287" s="786">
        <v>96121</v>
      </c>
      <c r="O287" s="786">
        <v>0</v>
      </c>
      <c r="P287" s="786">
        <v>0</v>
      </c>
      <c r="Q287" s="785">
        <v>123729</v>
      </c>
      <c r="R287" s="785"/>
      <c r="S287" s="786">
        <v>1144344</v>
      </c>
      <c r="T287" s="788">
        <v>-57358</v>
      </c>
      <c r="U287" s="788">
        <v>1086986</v>
      </c>
    </row>
    <row r="288" spans="1:21" x14ac:dyDescent="0.25">
      <c r="A288" s="782">
        <v>93009</v>
      </c>
      <c r="B288" s="783" t="s">
        <v>2902</v>
      </c>
      <c r="C288" s="784">
        <v>1.47E-5</v>
      </c>
      <c r="D288" s="784">
        <v>1.5400000000000002E-5</v>
      </c>
      <c r="E288" s="815">
        <v>5348</v>
      </c>
      <c r="F288" s="818">
        <v>32684</v>
      </c>
      <c r="G288" s="785">
        <v>22458</v>
      </c>
      <c r="H288" s="785"/>
      <c r="I288" s="786">
        <v>1294</v>
      </c>
      <c r="J288" s="787">
        <v>5453</v>
      </c>
      <c r="K288" s="786">
        <v>3207</v>
      </c>
      <c r="L288" s="785">
        <v>0</v>
      </c>
      <c r="M288" s="785"/>
      <c r="N288" s="786">
        <v>636</v>
      </c>
      <c r="O288" s="786">
        <v>0</v>
      </c>
      <c r="P288" s="786">
        <v>0</v>
      </c>
      <c r="Q288" s="785">
        <v>4280</v>
      </c>
      <c r="R288" s="785"/>
      <c r="S288" s="786">
        <v>7568</v>
      </c>
      <c r="T288" s="788">
        <v>-1918</v>
      </c>
      <c r="U288" s="788">
        <v>5650</v>
      </c>
    </row>
    <row r="289" spans="1:21" x14ac:dyDescent="0.25">
      <c r="A289" s="782">
        <v>93011</v>
      </c>
      <c r="B289" s="783" t="s">
        <v>2903</v>
      </c>
      <c r="C289" s="784">
        <v>2.2699999999999999E-4</v>
      </c>
      <c r="D289" s="784">
        <v>2.6160000000000002E-4</v>
      </c>
      <c r="E289" s="815">
        <v>118523</v>
      </c>
      <c r="F289" s="818">
        <v>555203</v>
      </c>
      <c r="G289" s="785">
        <v>346793</v>
      </c>
      <c r="H289" s="785"/>
      <c r="I289" s="786">
        <v>19978</v>
      </c>
      <c r="J289" s="787">
        <v>84202</v>
      </c>
      <c r="K289" s="786">
        <v>49527</v>
      </c>
      <c r="L289" s="785">
        <v>1542</v>
      </c>
      <c r="M289" s="785"/>
      <c r="N289" s="786">
        <v>9817</v>
      </c>
      <c r="O289" s="786">
        <v>0</v>
      </c>
      <c r="P289" s="786">
        <v>0</v>
      </c>
      <c r="Q289" s="785">
        <v>15019</v>
      </c>
      <c r="R289" s="785"/>
      <c r="S289" s="786">
        <v>116870</v>
      </c>
      <c r="T289" s="788">
        <v>-3863</v>
      </c>
      <c r="U289" s="788">
        <v>113007</v>
      </c>
    </row>
    <row r="290" spans="1:21" x14ac:dyDescent="0.25">
      <c r="A290" s="782">
        <v>93021</v>
      </c>
      <c r="B290" s="783" t="s">
        <v>2904</v>
      </c>
      <c r="C290" s="784">
        <v>3.4199999999999998E-5</v>
      </c>
      <c r="D290" s="784">
        <v>2.8900000000000001E-5</v>
      </c>
      <c r="E290" s="815">
        <v>12994</v>
      </c>
      <c r="F290" s="818">
        <v>61335</v>
      </c>
      <c r="G290" s="785">
        <v>52248</v>
      </c>
      <c r="H290" s="785"/>
      <c r="I290" s="786">
        <v>3010</v>
      </c>
      <c r="J290" s="787">
        <v>12686</v>
      </c>
      <c r="K290" s="786">
        <v>7462</v>
      </c>
      <c r="L290" s="785">
        <v>3788</v>
      </c>
      <c r="M290" s="785"/>
      <c r="N290" s="786">
        <v>1479</v>
      </c>
      <c r="O290" s="786">
        <v>0</v>
      </c>
      <c r="P290" s="786">
        <v>0</v>
      </c>
      <c r="Q290" s="785">
        <v>4978</v>
      </c>
      <c r="R290" s="785"/>
      <c r="S290" s="786">
        <v>17608</v>
      </c>
      <c r="T290" s="788">
        <v>260</v>
      </c>
      <c r="U290" s="788">
        <v>17868</v>
      </c>
    </row>
    <row r="291" spans="1:21" x14ac:dyDescent="0.25">
      <c r="A291" s="782">
        <v>93027</v>
      </c>
      <c r="B291" s="783" t="s">
        <v>2905</v>
      </c>
      <c r="C291" s="784">
        <v>1.6699999999999999E-5</v>
      </c>
      <c r="D291" s="784">
        <v>1.6699999999999999E-5</v>
      </c>
      <c r="E291" s="815">
        <v>8270</v>
      </c>
      <c r="F291" s="818">
        <v>35443</v>
      </c>
      <c r="G291" s="785">
        <v>25513</v>
      </c>
      <c r="H291" s="785"/>
      <c r="I291" s="786">
        <v>1470</v>
      </c>
      <c r="J291" s="787">
        <v>6194</v>
      </c>
      <c r="K291" s="786">
        <v>3644</v>
      </c>
      <c r="L291" s="785">
        <v>1152</v>
      </c>
      <c r="M291" s="785"/>
      <c r="N291" s="786">
        <v>722</v>
      </c>
      <c r="O291" s="786">
        <v>0</v>
      </c>
      <c r="P291" s="786">
        <v>0</v>
      </c>
      <c r="Q291" s="785">
        <v>834</v>
      </c>
      <c r="R291" s="785"/>
      <c r="S291" s="786">
        <v>8598</v>
      </c>
      <c r="T291" s="788">
        <v>-308</v>
      </c>
      <c r="U291" s="788">
        <v>8290</v>
      </c>
    </row>
    <row r="292" spans="1:21" x14ac:dyDescent="0.25">
      <c r="A292" s="782">
        <v>93031</v>
      </c>
      <c r="B292" s="783" t="s">
        <v>2906</v>
      </c>
      <c r="C292" s="784">
        <v>2.1699999999999999E-5</v>
      </c>
      <c r="D292" s="784">
        <v>2.2399999999999999E-5</v>
      </c>
      <c r="E292" s="815">
        <v>20397</v>
      </c>
      <c r="F292" s="818">
        <v>47540</v>
      </c>
      <c r="G292" s="785">
        <v>33152</v>
      </c>
      <c r="H292" s="785"/>
      <c r="I292" s="786">
        <v>1910</v>
      </c>
      <c r="J292" s="787">
        <v>8050</v>
      </c>
      <c r="K292" s="786">
        <v>4735</v>
      </c>
      <c r="L292" s="785">
        <v>18910</v>
      </c>
      <c r="M292" s="785"/>
      <c r="N292" s="786">
        <v>938</v>
      </c>
      <c r="O292" s="786">
        <v>0</v>
      </c>
      <c r="P292" s="786">
        <v>0</v>
      </c>
      <c r="Q292" s="785">
        <v>221</v>
      </c>
      <c r="R292" s="785"/>
      <c r="S292" s="786">
        <v>11172</v>
      </c>
      <c r="T292" s="788">
        <v>5880</v>
      </c>
      <c r="U292" s="788">
        <v>17052</v>
      </c>
    </row>
    <row r="293" spans="1:21" x14ac:dyDescent="0.25">
      <c r="A293" s="782">
        <v>93101</v>
      </c>
      <c r="B293" s="783" t="s">
        <v>2907</v>
      </c>
      <c r="C293" s="784">
        <v>3.5159000000000002E-3</v>
      </c>
      <c r="D293" s="784">
        <v>3.5771000000000002E-3</v>
      </c>
      <c r="E293" s="815">
        <v>1521217</v>
      </c>
      <c r="F293" s="818">
        <v>7591805</v>
      </c>
      <c r="G293" s="785">
        <v>5371321</v>
      </c>
      <c r="H293" s="785"/>
      <c r="I293" s="786">
        <v>309438</v>
      </c>
      <c r="J293" s="787">
        <v>1304163</v>
      </c>
      <c r="K293" s="786">
        <v>767099</v>
      </c>
      <c r="L293" s="785">
        <v>104257</v>
      </c>
      <c r="M293" s="785"/>
      <c r="N293" s="786">
        <v>152045</v>
      </c>
      <c r="O293" s="786">
        <v>0</v>
      </c>
      <c r="P293" s="786">
        <v>0</v>
      </c>
      <c r="Q293" s="785">
        <v>115334</v>
      </c>
      <c r="R293" s="785"/>
      <c r="S293" s="786">
        <v>1810140</v>
      </c>
      <c r="T293" s="788">
        <v>39451</v>
      </c>
      <c r="U293" s="788">
        <v>1849591</v>
      </c>
    </row>
    <row r="294" spans="1:21" x14ac:dyDescent="0.25">
      <c r="A294" s="782">
        <v>93103</v>
      </c>
      <c r="B294" s="783" t="s">
        <v>2100</v>
      </c>
      <c r="C294" s="784">
        <v>1.7099999999999999E-5</v>
      </c>
      <c r="D294" s="784">
        <v>1.7200000000000001E-5</v>
      </c>
      <c r="E294" s="815">
        <v>5686</v>
      </c>
      <c r="F294" s="818">
        <v>36504</v>
      </c>
      <c r="G294" s="785">
        <v>26124</v>
      </c>
      <c r="H294" s="785"/>
      <c r="I294" s="786">
        <v>1505</v>
      </c>
      <c r="J294" s="787">
        <v>6343</v>
      </c>
      <c r="K294" s="786">
        <v>3731</v>
      </c>
      <c r="L294" s="785">
        <v>6718</v>
      </c>
      <c r="M294" s="785"/>
      <c r="N294" s="786">
        <v>739</v>
      </c>
      <c r="O294" s="786">
        <v>0</v>
      </c>
      <c r="P294" s="786">
        <v>0</v>
      </c>
      <c r="Q294" s="785">
        <v>1798</v>
      </c>
      <c r="R294" s="785"/>
      <c r="S294" s="786">
        <v>8804</v>
      </c>
      <c r="T294" s="788">
        <v>2085</v>
      </c>
      <c r="U294" s="788">
        <v>10889</v>
      </c>
    </row>
    <row r="295" spans="1:21" x14ac:dyDescent="0.25">
      <c r="A295" s="782">
        <v>93108</v>
      </c>
      <c r="B295" s="783" t="s">
        <v>2908</v>
      </c>
      <c r="C295" s="784">
        <v>2.6624999999999999E-3</v>
      </c>
      <c r="D295" s="784">
        <v>2.5661999999999998E-3</v>
      </c>
      <c r="E295" s="815">
        <v>1189197</v>
      </c>
      <c r="F295" s="818">
        <v>5446336</v>
      </c>
      <c r="G295" s="785">
        <v>4067562</v>
      </c>
      <c r="H295" s="785"/>
      <c r="I295" s="786">
        <v>234329</v>
      </c>
      <c r="J295" s="787">
        <v>987609</v>
      </c>
      <c r="K295" s="786">
        <v>580904</v>
      </c>
      <c r="L295" s="785">
        <v>274861</v>
      </c>
      <c r="M295" s="785"/>
      <c r="N295" s="786">
        <v>115140</v>
      </c>
      <c r="O295" s="786">
        <v>0</v>
      </c>
      <c r="P295" s="786">
        <v>0</v>
      </c>
      <c r="Q295" s="785">
        <v>0</v>
      </c>
      <c r="R295" s="785"/>
      <c r="S295" s="786">
        <v>1370772</v>
      </c>
      <c r="T295" s="788">
        <v>189775</v>
      </c>
      <c r="U295" s="788">
        <v>1560547</v>
      </c>
    </row>
    <row r="296" spans="1:21" x14ac:dyDescent="0.25">
      <c r="A296" s="782">
        <v>93111</v>
      </c>
      <c r="B296" s="783" t="s">
        <v>2909</v>
      </c>
      <c r="C296" s="784">
        <v>5.8499999999999999E-5</v>
      </c>
      <c r="D296" s="784">
        <v>7.08E-5</v>
      </c>
      <c r="E296" s="815">
        <v>27143</v>
      </c>
      <c r="F296" s="818">
        <v>150261</v>
      </c>
      <c r="G296" s="785">
        <v>89372</v>
      </c>
      <c r="H296" s="785"/>
      <c r="I296" s="786">
        <v>5149</v>
      </c>
      <c r="J296" s="787">
        <v>21700</v>
      </c>
      <c r="K296" s="786">
        <v>12764</v>
      </c>
      <c r="L296" s="785">
        <v>0</v>
      </c>
      <c r="M296" s="785"/>
      <c r="N296" s="786">
        <v>2530</v>
      </c>
      <c r="O296" s="786">
        <v>0</v>
      </c>
      <c r="P296" s="786">
        <v>0</v>
      </c>
      <c r="Q296" s="785">
        <v>15463</v>
      </c>
      <c r="R296" s="785"/>
      <c r="S296" s="786">
        <v>30118</v>
      </c>
      <c r="T296" s="788">
        <v>-5541</v>
      </c>
      <c r="U296" s="788">
        <f>24578-1</f>
        <v>24577</v>
      </c>
    </row>
    <row r="297" spans="1:21" x14ac:dyDescent="0.25">
      <c r="A297" s="782">
        <v>93121</v>
      </c>
      <c r="B297" s="783" t="s">
        <v>2910</v>
      </c>
      <c r="C297" s="784">
        <v>6.2299999999999996E-5</v>
      </c>
      <c r="D297" s="784">
        <v>5.8900000000000002E-5</v>
      </c>
      <c r="E297" s="815">
        <v>28306</v>
      </c>
      <c r="F297" s="818">
        <v>125006</v>
      </c>
      <c r="G297" s="785">
        <v>95177</v>
      </c>
      <c r="H297" s="785"/>
      <c r="I297" s="786">
        <v>5483</v>
      </c>
      <c r="J297" s="787">
        <v>23109</v>
      </c>
      <c r="K297" s="786">
        <v>13593</v>
      </c>
      <c r="L297" s="785">
        <v>2043</v>
      </c>
      <c r="M297" s="785"/>
      <c r="N297" s="786">
        <v>2694</v>
      </c>
      <c r="O297" s="786">
        <v>0</v>
      </c>
      <c r="P297" s="786">
        <v>0</v>
      </c>
      <c r="Q297" s="785">
        <v>9059</v>
      </c>
      <c r="R297" s="785"/>
      <c r="S297" s="786">
        <v>32075</v>
      </c>
      <c r="T297" s="788">
        <v>-3552</v>
      </c>
      <c r="U297" s="788">
        <f>28522+1</f>
        <v>28523</v>
      </c>
    </row>
    <row r="298" spans="1:21" x14ac:dyDescent="0.25">
      <c r="A298" s="782">
        <v>93127</v>
      </c>
      <c r="B298" s="783" t="s">
        <v>2911</v>
      </c>
      <c r="C298" s="784">
        <v>6.9E-6</v>
      </c>
      <c r="D298" s="784">
        <v>6.8000000000000001E-6</v>
      </c>
      <c r="E298" s="815">
        <v>3239</v>
      </c>
      <c r="F298" s="818">
        <v>14432</v>
      </c>
      <c r="G298" s="785">
        <v>10541</v>
      </c>
      <c r="H298" s="785"/>
      <c r="I298" s="786">
        <v>607</v>
      </c>
      <c r="J298" s="787">
        <v>2560</v>
      </c>
      <c r="K298" s="786">
        <v>1505</v>
      </c>
      <c r="L298" s="785">
        <v>124</v>
      </c>
      <c r="M298" s="785"/>
      <c r="N298" s="786">
        <v>298</v>
      </c>
      <c r="O298" s="786">
        <v>0</v>
      </c>
      <c r="P298" s="786">
        <v>0</v>
      </c>
      <c r="Q298" s="785">
        <v>731</v>
      </c>
      <c r="R298" s="785"/>
      <c r="S298" s="786">
        <v>3552</v>
      </c>
      <c r="T298" s="788">
        <v>-369</v>
      </c>
      <c r="U298" s="788">
        <v>3183</v>
      </c>
    </row>
    <row r="299" spans="1:21" x14ac:dyDescent="0.25">
      <c r="A299" s="782">
        <v>93131</v>
      </c>
      <c r="B299" s="783" t="s">
        <v>2912</v>
      </c>
      <c r="C299" s="784">
        <v>2.218E-4</v>
      </c>
      <c r="D299" s="784">
        <v>2.3939999999999999E-4</v>
      </c>
      <c r="E299" s="815">
        <v>95091</v>
      </c>
      <c r="F299" s="818">
        <v>508087</v>
      </c>
      <c r="G299" s="785">
        <v>338849</v>
      </c>
      <c r="H299" s="785"/>
      <c r="I299" s="786">
        <v>19521</v>
      </c>
      <c r="J299" s="787">
        <v>82273</v>
      </c>
      <c r="K299" s="786">
        <v>48392</v>
      </c>
      <c r="L299" s="785">
        <v>7888</v>
      </c>
      <c r="M299" s="785"/>
      <c r="N299" s="786">
        <v>9592</v>
      </c>
      <c r="O299" s="786">
        <v>0</v>
      </c>
      <c r="P299" s="786">
        <v>0</v>
      </c>
      <c r="Q299" s="785">
        <v>21906</v>
      </c>
      <c r="R299" s="785"/>
      <c r="S299" s="786">
        <v>114192</v>
      </c>
      <c r="T299" s="788">
        <v>-530</v>
      </c>
      <c r="U299" s="788">
        <v>113662</v>
      </c>
    </row>
    <row r="300" spans="1:21" x14ac:dyDescent="0.25">
      <c r="A300" s="782">
        <v>93137</v>
      </c>
      <c r="B300" s="783" t="s">
        <v>2913</v>
      </c>
      <c r="C300" s="784">
        <v>3.3000000000000002E-6</v>
      </c>
      <c r="D300" s="784">
        <v>1.9E-6</v>
      </c>
      <c r="E300" s="815">
        <v>2530</v>
      </c>
      <c r="F300" s="818">
        <v>4032</v>
      </c>
      <c r="G300" s="785">
        <v>5041</v>
      </c>
      <c r="H300" s="785"/>
      <c r="I300" s="786">
        <v>290</v>
      </c>
      <c r="J300" s="787">
        <v>1224</v>
      </c>
      <c r="K300" s="786">
        <v>720</v>
      </c>
      <c r="L300" s="785">
        <v>2709</v>
      </c>
      <c r="M300" s="785"/>
      <c r="N300" s="786">
        <v>143</v>
      </c>
      <c r="O300" s="786">
        <v>0</v>
      </c>
      <c r="P300" s="786">
        <v>0</v>
      </c>
      <c r="Q300" s="785">
        <v>0</v>
      </c>
      <c r="R300" s="785"/>
      <c r="S300" s="786">
        <v>1699</v>
      </c>
      <c r="T300" s="788">
        <v>839</v>
      </c>
      <c r="U300" s="788">
        <v>2538</v>
      </c>
    </row>
    <row r="301" spans="1:21" x14ac:dyDescent="0.25">
      <c r="A301" s="782">
        <v>93141</v>
      </c>
      <c r="B301" s="783" t="s">
        <v>2914</v>
      </c>
      <c r="C301" s="784">
        <v>4.1100000000000003E-5</v>
      </c>
      <c r="D301" s="784">
        <v>4.5500000000000001E-5</v>
      </c>
      <c r="E301" s="815">
        <v>16199</v>
      </c>
      <c r="F301" s="818">
        <v>96566</v>
      </c>
      <c r="G301" s="785">
        <v>62789</v>
      </c>
      <c r="H301" s="785"/>
      <c r="I301" s="786">
        <v>3617</v>
      </c>
      <c r="J301" s="787">
        <v>15246</v>
      </c>
      <c r="K301" s="786">
        <v>8967</v>
      </c>
      <c r="L301" s="785">
        <v>2083</v>
      </c>
      <c r="M301" s="785"/>
      <c r="N301" s="786">
        <v>1777</v>
      </c>
      <c r="O301" s="786">
        <v>0</v>
      </c>
      <c r="P301" s="786">
        <v>0</v>
      </c>
      <c r="Q301" s="785">
        <v>7408</v>
      </c>
      <c r="R301" s="785"/>
      <c r="S301" s="786">
        <v>21160</v>
      </c>
      <c r="T301" s="788">
        <v>-351</v>
      </c>
      <c r="U301" s="788">
        <v>20809</v>
      </c>
    </row>
    <row r="302" spans="1:21" x14ac:dyDescent="0.25">
      <c r="A302" s="782">
        <v>93151</v>
      </c>
      <c r="B302" s="783" t="s">
        <v>2915</v>
      </c>
      <c r="C302" s="784">
        <v>3.4279999999999998E-4</v>
      </c>
      <c r="D302" s="784">
        <v>3.6539999999999999E-4</v>
      </c>
      <c r="E302" s="815">
        <v>156182</v>
      </c>
      <c r="F302" s="818">
        <v>775501</v>
      </c>
      <c r="G302" s="785">
        <v>523703</v>
      </c>
      <c r="H302" s="785"/>
      <c r="I302" s="786">
        <v>30170</v>
      </c>
      <c r="J302" s="787">
        <v>127156</v>
      </c>
      <c r="K302" s="786">
        <v>74792</v>
      </c>
      <c r="L302" s="785">
        <v>3795</v>
      </c>
      <c r="M302" s="785"/>
      <c r="N302" s="786">
        <v>14824</v>
      </c>
      <c r="O302" s="786">
        <v>0</v>
      </c>
      <c r="P302" s="786">
        <v>0</v>
      </c>
      <c r="Q302" s="785">
        <v>19989</v>
      </c>
      <c r="R302" s="785"/>
      <c r="S302" s="786">
        <v>176489</v>
      </c>
      <c r="T302" s="788">
        <v>-4355</v>
      </c>
      <c r="U302" s="788">
        <f>172133+1</f>
        <v>172134</v>
      </c>
    </row>
    <row r="303" spans="1:21" x14ac:dyDescent="0.25">
      <c r="A303" s="782">
        <v>93157</v>
      </c>
      <c r="B303" s="783" t="s">
        <v>2916</v>
      </c>
      <c r="C303" s="784">
        <v>3.5999999999999998E-6</v>
      </c>
      <c r="D303" s="784">
        <v>3.8E-6</v>
      </c>
      <c r="E303" s="815">
        <v>6045</v>
      </c>
      <c r="F303" s="818">
        <v>8065</v>
      </c>
      <c r="G303" s="785">
        <v>5500</v>
      </c>
      <c r="H303" s="785"/>
      <c r="I303" s="786">
        <v>317</v>
      </c>
      <c r="J303" s="787">
        <v>1336</v>
      </c>
      <c r="K303" s="786">
        <v>785</v>
      </c>
      <c r="L303" s="785">
        <v>6931</v>
      </c>
      <c r="M303" s="785"/>
      <c r="N303" s="786">
        <v>156</v>
      </c>
      <c r="O303" s="786">
        <v>0</v>
      </c>
      <c r="P303" s="786">
        <v>0</v>
      </c>
      <c r="Q303" s="785">
        <v>340</v>
      </c>
      <c r="R303" s="785"/>
      <c r="S303" s="786">
        <v>1853</v>
      </c>
      <c r="T303" s="788">
        <v>2783</v>
      </c>
      <c r="U303" s="788">
        <f>4637-1</f>
        <v>4636</v>
      </c>
    </row>
    <row r="304" spans="1:21" x14ac:dyDescent="0.25">
      <c r="A304" s="782">
        <v>93161</v>
      </c>
      <c r="B304" s="783" t="s">
        <v>2917</v>
      </c>
      <c r="C304" s="784">
        <v>1.038E-4</v>
      </c>
      <c r="D304" s="784">
        <v>6.2500000000000001E-5</v>
      </c>
      <c r="E304" s="815">
        <v>47956</v>
      </c>
      <c r="F304" s="818">
        <v>132646</v>
      </c>
      <c r="G304" s="785">
        <v>158578</v>
      </c>
      <c r="H304" s="785"/>
      <c r="I304" s="786">
        <v>9136</v>
      </c>
      <c r="J304" s="787">
        <v>38503</v>
      </c>
      <c r="K304" s="786">
        <v>22647</v>
      </c>
      <c r="L304" s="785">
        <v>35990</v>
      </c>
      <c r="M304" s="785"/>
      <c r="N304" s="786">
        <v>4489</v>
      </c>
      <c r="O304" s="786">
        <v>0</v>
      </c>
      <c r="P304" s="786">
        <v>0</v>
      </c>
      <c r="Q304" s="785">
        <v>0</v>
      </c>
      <c r="R304" s="785"/>
      <c r="S304" s="786">
        <v>53441</v>
      </c>
      <c r="T304" s="788">
        <v>13001</v>
      </c>
      <c r="U304" s="788">
        <v>66442</v>
      </c>
    </row>
    <row r="305" spans="1:21" x14ac:dyDescent="0.25">
      <c r="A305" s="782">
        <v>93171</v>
      </c>
      <c r="B305" s="783" t="s">
        <v>2918</v>
      </c>
      <c r="C305" s="784">
        <v>5.2000000000000002E-6</v>
      </c>
      <c r="D305" s="784">
        <v>5.8000000000000004E-6</v>
      </c>
      <c r="E305" s="815">
        <v>3889</v>
      </c>
      <c r="F305" s="818">
        <v>12310</v>
      </c>
      <c r="G305" s="785">
        <v>7944</v>
      </c>
      <c r="H305" s="785"/>
      <c r="I305" s="786">
        <v>458</v>
      </c>
      <c r="J305" s="787">
        <v>1929</v>
      </c>
      <c r="K305" s="786">
        <v>1135</v>
      </c>
      <c r="L305" s="785">
        <v>1960</v>
      </c>
      <c r="M305" s="785"/>
      <c r="N305" s="786">
        <v>225</v>
      </c>
      <c r="O305" s="786">
        <v>0</v>
      </c>
      <c r="P305" s="786">
        <v>0</v>
      </c>
      <c r="Q305" s="785">
        <v>0</v>
      </c>
      <c r="R305" s="785"/>
      <c r="S305" s="786">
        <v>2677</v>
      </c>
      <c r="T305" s="788">
        <v>791</v>
      </c>
      <c r="U305" s="788">
        <v>3468</v>
      </c>
    </row>
    <row r="306" spans="1:21" x14ac:dyDescent="0.25">
      <c r="A306" s="782">
        <v>93181</v>
      </c>
      <c r="B306" s="783" t="s">
        <v>2919</v>
      </c>
      <c r="C306" s="784">
        <v>1.13E-5</v>
      </c>
      <c r="D306" s="784">
        <v>1.1E-5</v>
      </c>
      <c r="E306" s="815">
        <v>5393</v>
      </c>
      <c r="F306" s="818">
        <v>23346</v>
      </c>
      <c r="G306" s="785">
        <v>17263</v>
      </c>
      <c r="H306" s="785"/>
      <c r="I306" s="786">
        <v>995</v>
      </c>
      <c r="J306" s="787">
        <v>4191</v>
      </c>
      <c r="K306" s="786">
        <v>2465</v>
      </c>
      <c r="L306" s="785">
        <v>772</v>
      </c>
      <c r="M306" s="785"/>
      <c r="N306" s="786">
        <v>489</v>
      </c>
      <c r="O306" s="786">
        <v>0</v>
      </c>
      <c r="P306" s="786">
        <v>0</v>
      </c>
      <c r="Q306" s="785">
        <v>28</v>
      </c>
      <c r="R306" s="785"/>
      <c r="S306" s="786">
        <v>5818</v>
      </c>
      <c r="T306" s="788">
        <v>412</v>
      </c>
      <c r="U306" s="788">
        <v>6230</v>
      </c>
    </row>
    <row r="307" spans="1:21" x14ac:dyDescent="0.25">
      <c r="A307" s="782">
        <v>93191</v>
      </c>
      <c r="B307" s="783" t="s">
        <v>2920</v>
      </c>
      <c r="C307" s="784">
        <v>2.4600000000000002E-5</v>
      </c>
      <c r="D307" s="784">
        <v>3.3000000000000003E-5</v>
      </c>
      <c r="E307" s="815">
        <v>16089</v>
      </c>
      <c r="F307" s="818">
        <v>70037</v>
      </c>
      <c r="G307" s="785">
        <v>37582</v>
      </c>
      <c r="H307" s="785"/>
      <c r="I307" s="786">
        <v>2165</v>
      </c>
      <c r="J307" s="787">
        <v>9125</v>
      </c>
      <c r="K307" s="786">
        <v>5367</v>
      </c>
      <c r="L307" s="785">
        <v>1713</v>
      </c>
      <c r="M307" s="785"/>
      <c r="N307" s="786">
        <v>1064</v>
      </c>
      <c r="O307" s="786">
        <v>0</v>
      </c>
      <c r="P307" s="786">
        <v>0</v>
      </c>
      <c r="Q307" s="785">
        <v>2443</v>
      </c>
      <c r="R307" s="785"/>
      <c r="S307" s="786">
        <v>12665</v>
      </c>
      <c r="T307" s="788">
        <v>-169</v>
      </c>
      <c r="U307" s="788">
        <v>12496</v>
      </c>
    </row>
    <row r="308" spans="1:21" x14ac:dyDescent="0.25">
      <c r="A308" s="782">
        <v>93201</v>
      </c>
      <c r="B308" s="783" t="s">
        <v>2921</v>
      </c>
      <c r="C308" s="784">
        <v>1.5517E-2</v>
      </c>
      <c r="D308" s="784">
        <v>1.5819699999999999E-2</v>
      </c>
      <c r="E308" s="815">
        <v>7119270</v>
      </c>
      <c r="F308" s="818">
        <v>33574703</v>
      </c>
      <c r="G308" s="785">
        <v>23705678</v>
      </c>
      <c r="H308" s="785"/>
      <c r="I308" s="786">
        <v>1365667</v>
      </c>
      <c r="J308" s="787">
        <v>5755768</v>
      </c>
      <c r="K308" s="786">
        <v>3385499</v>
      </c>
      <c r="L308" s="785">
        <v>809545</v>
      </c>
      <c r="M308" s="785"/>
      <c r="N308" s="786">
        <v>671033</v>
      </c>
      <c r="O308" s="786">
        <v>0</v>
      </c>
      <c r="P308" s="786">
        <v>0</v>
      </c>
      <c r="Q308" s="785">
        <v>206420</v>
      </c>
      <c r="R308" s="785"/>
      <c r="S308" s="786">
        <v>7988834</v>
      </c>
      <c r="T308" s="788">
        <v>397964</v>
      </c>
      <c r="U308" s="788">
        <f>8386799-1</f>
        <v>8386798</v>
      </c>
    </row>
    <row r="309" spans="1:21" x14ac:dyDescent="0.25">
      <c r="A309" s="782">
        <v>93202</v>
      </c>
      <c r="B309" s="783" t="s">
        <v>2922</v>
      </c>
      <c r="C309" s="784">
        <v>0</v>
      </c>
      <c r="D309" s="784">
        <v>0</v>
      </c>
      <c r="E309" s="815">
        <v>0</v>
      </c>
      <c r="F309" s="818">
        <v>0</v>
      </c>
      <c r="G309" s="785">
        <v>0</v>
      </c>
      <c r="H309" s="785"/>
      <c r="I309" s="786">
        <v>0</v>
      </c>
      <c r="J309" s="787">
        <v>0</v>
      </c>
      <c r="K309" s="786">
        <v>0</v>
      </c>
      <c r="L309" s="785">
        <v>0</v>
      </c>
      <c r="M309" s="785"/>
      <c r="N309" s="786">
        <v>0</v>
      </c>
      <c r="O309" s="786">
        <v>0</v>
      </c>
      <c r="P309" s="786">
        <v>0</v>
      </c>
      <c r="Q309" s="785">
        <v>212519</v>
      </c>
      <c r="R309" s="785"/>
      <c r="S309" s="786">
        <v>0</v>
      </c>
      <c r="T309" s="788">
        <v>-109544</v>
      </c>
      <c r="U309" s="788">
        <v>-109544</v>
      </c>
    </row>
    <row r="310" spans="1:21" x14ac:dyDescent="0.25">
      <c r="A310" s="782">
        <v>93204</v>
      </c>
      <c r="B310" s="783" t="s">
        <v>2923</v>
      </c>
      <c r="C310" s="784">
        <v>3.0279999999999999E-4</v>
      </c>
      <c r="D310" s="784">
        <v>2.9480000000000001E-4</v>
      </c>
      <c r="E310" s="815">
        <v>157546</v>
      </c>
      <c r="F310" s="818">
        <v>625664</v>
      </c>
      <c r="G310" s="785">
        <v>462595</v>
      </c>
      <c r="H310" s="785"/>
      <c r="I310" s="786">
        <v>26650</v>
      </c>
      <c r="J310" s="787">
        <v>112319</v>
      </c>
      <c r="K310" s="786">
        <v>66065</v>
      </c>
      <c r="L310" s="785">
        <v>24167</v>
      </c>
      <c r="M310" s="785"/>
      <c r="N310" s="786">
        <v>13095</v>
      </c>
      <c r="O310" s="786">
        <v>0</v>
      </c>
      <c r="P310" s="786">
        <v>0</v>
      </c>
      <c r="Q310" s="785">
        <v>9452</v>
      </c>
      <c r="R310" s="785"/>
      <c r="S310" s="786">
        <v>155895</v>
      </c>
      <c r="T310" s="788">
        <v>782</v>
      </c>
      <c r="U310" s="788">
        <v>156677</v>
      </c>
    </row>
    <row r="311" spans="1:21" x14ac:dyDescent="0.25">
      <c r="A311" s="782">
        <v>93209</v>
      </c>
      <c r="B311" s="783" t="s">
        <v>2924</v>
      </c>
      <c r="C311" s="784">
        <v>4.6693999999999998E-3</v>
      </c>
      <c r="D311" s="784">
        <v>4.5113999999999996E-3</v>
      </c>
      <c r="E311" s="815">
        <v>2094525</v>
      </c>
      <c r="F311" s="818">
        <v>9574702</v>
      </c>
      <c r="G311" s="785">
        <v>7133550</v>
      </c>
      <c r="H311" s="785"/>
      <c r="I311" s="786">
        <v>410959</v>
      </c>
      <c r="J311" s="787">
        <v>1732035</v>
      </c>
      <c r="K311" s="786">
        <v>1018770</v>
      </c>
      <c r="L311" s="785">
        <v>838336</v>
      </c>
      <c r="M311" s="785"/>
      <c r="N311" s="786">
        <v>201928</v>
      </c>
      <c r="O311" s="786">
        <v>0</v>
      </c>
      <c r="P311" s="786">
        <v>0</v>
      </c>
      <c r="Q311" s="785">
        <v>0</v>
      </c>
      <c r="R311" s="785"/>
      <c r="S311" s="786">
        <v>2404013</v>
      </c>
      <c r="T311" s="788">
        <v>551077</v>
      </c>
      <c r="U311" s="788">
        <v>2955090</v>
      </c>
    </row>
    <row r="312" spans="1:21" x14ac:dyDescent="0.25">
      <c r="A312" s="782">
        <v>93211</v>
      </c>
      <c r="B312" s="783" t="s">
        <v>2925</v>
      </c>
      <c r="C312" s="784">
        <v>2.0374099999999999E-2</v>
      </c>
      <c r="D312" s="784">
        <v>2.0456800000000001E-2</v>
      </c>
      <c r="E312" s="815">
        <v>9330077</v>
      </c>
      <c r="F312" s="818">
        <v>43416183</v>
      </c>
      <c r="G312" s="785">
        <v>31125981</v>
      </c>
      <c r="H312" s="785"/>
      <c r="I312" s="786">
        <v>1793145</v>
      </c>
      <c r="J312" s="787">
        <v>7557426</v>
      </c>
      <c r="K312" s="786">
        <v>4445221</v>
      </c>
      <c r="L312" s="785">
        <v>0</v>
      </c>
      <c r="M312" s="785"/>
      <c r="N312" s="786">
        <v>881078</v>
      </c>
      <c r="O312" s="786">
        <v>0</v>
      </c>
      <c r="P312" s="786">
        <v>0</v>
      </c>
      <c r="Q312" s="785">
        <v>991023</v>
      </c>
      <c r="R312" s="785"/>
      <c r="S312" s="786">
        <v>10489483</v>
      </c>
      <c r="T312" s="788">
        <v>-507236</v>
      </c>
      <c r="U312" s="788">
        <v>9982247</v>
      </c>
    </row>
    <row r="313" spans="1:21" x14ac:dyDescent="0.25">
      <c r="A313" s="782">
        <v>93212</v>
      </c>
      <c r="B313" s="783" t="s">
        <v>2926</v>
      </c>
      <c r="C313" s="784">
        <v>2.2130000000000001E-4</v>
      </c>
      <c r="D313" s="784">
        <v>2.052E-4</v>
      </c>
      <c r="E313" s="815">
        <v>193584</v>
      </c>
      <c r="F313" s="818">
        <v>435503</v>
      </c>
      <c r="G313" s="785">
        <v>338085</v>
      </c>
      <c r="H313" s="785"/>
      <c r="I313" s="786">
        <v>19477</v>
      </c>
      <c r="J313" s="787">
        <v>82087</v>
      </c>
      <c r="K313" s="786">
        <v>48283</v>
      </c>
      <c r="L313" s="785">
        <v>158429</v>
      </c>
      <c r="M313" s="785"/>
      <c r="N313" s="786">
        <v>9570</v>
      </c>
      <c r="O313" s="786">
        <v>0</v>
      </c>
      <c r="P313" s="786">
        <v>0</v>
      </c>
      <c r="Q313" s="785">
        <v>0</v>
      </c>
      <c r="R313" s="785"/>
      <c r="S313" s="786">
        <v>113935</v>
      </c>
      <c r="T313" s="788">
        <v>53448</v>
      </c>
      <c r="U313" s="788">
        <v>167383</v>
      </c>
    </row>
    <row r="314" spans="1:21" x14ac:dyDescent="0.25">
      <c r="A314" s="782">
        <v>93219</v>
      </c>
      <c r="B314" s="783" t="s">
        <v>2927</v>
      </c>
      <c r="C314" s="784">
        <v>2.6289999999999999E-4</v>
      </c>
      <c r="D314" s="784">
        <v>2.286E-4</v>
      </c>
      <c r="E314" s="815">
        <v>120179</v>
      </c>
      <c r="F314" s="818">
        <v>485166</v>
      </c>
      <c r="G314" s="785">
        <v>401638</v>
      </c>
      <c r="H314" s="785"/>
      <c r="I314" s="786">
        <v>23138</v>
      </c>
      <c r="J314" s="787">
        <v>97518</v>
      </c>
      <c r="K314" s="786">
        <v>57360</v>
      </c>
      <c r="L314" s="785">
        <v>22706</v>
      </c>
      <c r="M314" s="785"/>
      <c r="N314" s="786">
        <v>11369</v>
      </c>
      <c r="O314" s="786">
        <v>0</v>
      </c>
      <c r="P314" s="786">
        <v>0</v>
      </c>
      <c r="Q314" s="785">
        <v>9094</v>
      </c>
      <c r="R314" s="785"/>
      <c r="S314" s="786">
        <v>135352</v>
      </c>
      <c r="T314" s="788">
        <v>1456</v>
      </c>
      <c r="U314" s="788">
        <f>136809-1</f>
        <v>136808</v>
      </c>
    </row>
    <row r="315" spans="1:21" x14ac:dyDescent="0.25">
      <c r="A315" s="782">
        <v>93301</v>
      </c>
      <c r="B315" s="783" t="s">
        <v>2928</v>
      </c>
      <c r="C315" s="784">
        <v>2.5243000000000002E-3</v>
      </c>
      <c r="D315" s="784">
        <v>2.5330999999999999E-3</v>
      </c>
      <c r="E315" s="815">
        <v>1153746</v>
      </c>
      <c r="F315" s="818">
        <v>5376087</v>
      </c>
      <c r="G315" s="785">
        <v>3856431</v>
      </c>
      <c r="H315" s="785"/>
      <c r="I315" s="786">
        <v>222166</v>
      </c>
      <c r="J315" s="787">
        <v>936346</v>
      </c>
      <c r="K315" s="786">
        <v>550752</v>
      </c>
      <c r="L315" s="785">
        <v>47371</v>
      </c>
      <c r="M315" s="785"/>
      <c r="N315" s="786">
        <v>109163</v>
      </c>
      <c r="O315" s="786">
        <v>0</v>
      </c>
      <c r="P315" s="786">
        <v>0</v>
      </c>
      <c r="Q315" s="785">
        <v>61692</v>
      </c>
      <c r="R315" s="785"/>
      <c r="S315" s="786">
        <v>1299621</v>
      </c>
      <c r="T315" s="788">
        <v>-19789</v>
      </c>
      <c r="U315" s="788">
        <f>1279831+1</f>
        <v>1279832</v>
      </c>
    </row>
    <row r="316" spans="1:21" x14ac:dyDescent="0.25">
      <c r="A316" s="782">
        <v>93304</v>
      </c>
      <c r="B316" s="783" t="s">
        <v>2929</v>
      </c>
      <c r="C316" s="784">
        <v>3.0300000000000001E-5</v>
      </c>
      <c r="D316" s="784">
        <v>3.4400000000000003E-5</v>
      </c>
      <c r="E316" s="815">
        <v>18289</v>
      </c>
      <c r="F316" s="818">
        <v>73008</v>
      </c>
      <c r="G316" s="785">
        <v>46290</v>
      </c>
      <c r="H316" s="785"/>
      <c r="I316" s="786">
        <v>2667</v>
      </c>
      <c r="J316" s="787">
        <v>11239</v>
      </c>
      <c r="K316" s="786">
        <v>6611</v>
      </c>
      <c r="L316" s="785">
        <v>9418</v>
      </c>
      <c r="M316" s="785"/>
      <c r="N316" s="786">
        <v>1310</v>
      </c>
      <c r="O316" s="786">
        <v>0</v>
      </c>
      <c r="P316" s="786">
        <v>0</v>
      </c>
      <c r="Q316" s="785">
        <v>0</v>
      </c>
      <c r="R316" s="785"/>
      <c r="S316" s="786">
        <v>15600</v>
      </c>
      <c r="T316" s="788">
        <v>5129</v>
      </c>
      <c r="U316" s="788">
        <v>20729</v>
      </c>
    </row>
    <row r="317" spans="1:21" x14ac:dyDescent="0.25">
      <c r="A317" s="782">
        <v>93305</v>
      </c>
      <c r="B317" s="783" t="s">
        <v>2930</v>
      </c>
      <c r="C317" s="784">
        <v>4.6999999999999997E-5</v>
      </c>
      <c r="D317" s="784">
        <v>4.9400000000000001E-5</v>
      </c>
      <c r="E317" s="815">
        <v>19565</v>
      </c>
      <c r="F317" s="818">
        <v>104843</v>
      </c>
      <c r="G317" s="785">
        <v>71803</v>
      </c>
      <c r="H317" s="785"/>
      <c r="I317" s="786">
        <v>4137</v>
      </c>
      <c r="J317" s="787">
        <v>17434</v>
      </c>
      <c r="K317" s="786">
        <v>10254</v>
      </c>
      <c r="L317" s="785">
        <v>0</v>
      </c>
      <c r="M317" s="785"/>
      <c r="N317" s="786">
        <v>2033</v>
      </c>
      <c r="O317" s="786">
        <v>0</v>
      </c>
      <c r="P317" s="786">
        <v>0</v>
      </c>
      <c r="Q317" s="785">
        <v>5631</v>
      </c>
      <c r="R317" s="785"/>
      <c r="S317" s="786">
        <v>24198</v>
      </c>
      <c r="T317" s="788">
        <v>-1929</v>
      </c>
      <c r="U317" s="788">
        <v>22269</v>
      </c>
    </row>
    <row r="318" spans="1:21" x14ac:dyDescent="0.25">
      <c r="A318" s="782">
        <v>93309</v>
      </c>
      <c r="B318" s="783" t="s">
        <v>2931</v>
      </c>
      <c r="C318" s="784">
        <v>1.63E-4</v>
      </c>
      <c r="D318" s="784">
        <v>1.716E-4</v>
      </c>
      <c r="E318" s="815">
        <v>89051</v>
      </c>
      <c r="F318" s="818">
        <v>364193</v>
      </c>
      <c r="G318" s="785">
        <v>249019</v>
      </c>
      <c r="H318" s="785"/>
      <c r="I318" s="786">
        <v>14346</v>
      </c>
      <c r="J318" s="787">
        <v>60462</v>
      </c>
      <c r="K318" s="786">
        <v>35563</v>
      </c>
      <c r="L318" s="785">
        <v>22457</v>
      </c>
      <c r="M318" s="785"/>
      <c r="N318" s="786">
        <v>7049</v>
      </c>
      <c r="O318" s="786">
        <v>0</v>
      </c>
      <c r="P318" s="786">
        <v>0</v>
      </c>
      <c r="Q318" s="785">
        <v>981</v>
      </c>
      <c r="R318" s="785"/>
      <c r="S318" s="786">
        <v>83920</v>
      </c>
      <c r="T318" s="788">
        <v>7147</v>
      </c>
      <c r="U318" s="788">
        <v>91067</v>
      </c>
    </row>
    <row r="319" spans="1:21" x14ac:dyDescent="0.25">
      <c r="A319" s="782">
        <v>93311</v>
      </c>
      <c r="B319" s="783" t="s">
        <v>2932</v>
      </c>
      <c r="C319" s="784">
        <v>1.1665E-3</v>
      </c>
      <c r="D319" s="784">
        <v>1.1567000000000001E-3</v>
      </c>
      <c r="E319" s="815">
        <v>529432</v>
      </c>
      <c r="F319" s="818">
        <v>2454905</v>
      </c>
      <c r="G319" s="785">
        <v>1782089</v>
      </c>
      <c r="H319" s="785"/>
      <c r="I319" s="786">
        <v>102665</v>
      </c>
      <c r="J319" s="787">
        <v>432693</v>
      </c>
      <c r="K319" s="786">
        <v>254507</v>
      </c>
      <c r="L319" s="785">
        <v>1699</v>
      </c>
      <c r="M319" s="785"/>
      <c r="N319" s="786">
        <v>50445</v>
      </c>
      <c r="O319" s="786">
        <v>0</v>
      </c>
      <c r="P319" s="786">
        <v>0</v>
      </c>
      <c r="Q319" s="785">
        <v>83745</v>
      </c>
      <c r="R319" s="785"/>
      <c r="S319" s="786">
        <v>600566</v>
      </c>
      <c r="T319" s="788">
        <v>-37677</v>
      </c>
      <c r="U319" s="788">
        <v>562889</v>
      </c>
    </row>
    <row r="320" spans="1:21" x14ac:dyDescent="0.25">
      <c r="A320" s="782">
        <v>93317</v>
      </c>
      <c r="B320" s="783" t="s">
        <v>2933</v>
      </c>
      <c r="C320" s="784">
        <v>5.0099999999999998E-5</v>
      </c>
      <c r="D320" s="784">
        <v>4.8099999999999997E-5</v>
      </c>
      <c r="E320" s="815">
        <v>21779</v>
      </c>
      <c r="F320" s="818">
        <v>102084</v>
      </c>
      <c r="G320" s="785">
        <v>76539</v>
      </c>
      <c r="H320" s="785"/>
      <c r="I320" s="786">
        <v>4409</v>
      </c>
      <c r="J320" s="787">
        <v>18583</v>
      </c>
      <c r="K320" s="786">
        <v>10931</v>
      </c>
      <c r="L320" s="785">
        <v>805</v>
      </c>
      <c r="M320" s="785"/>
      <c r="N320" s="786">
        <v>2167</v>
      </c>
      <c r="O320" s="786">
        <v>0</v>
      </c>
      <c r="P320" s="786">
        <v>0</v>
      </c>
      <c r="Q320" s="785">
        <v>277</v>
      </c>
      <c r="R320" s="785"/>
      <c r="S320" s="786">
        <v>25794</v>
      </c>
      <c r="T320" s="788">
        <v>-23</v>
      </c>
      <c r="U320" s="788">
        <f>25770+1</f>
        <v>25771</v>
      </c>
    </row>
    <row r="321" spans="1:21" x14ac:dyDescent="0.25">
      <c r="A321" s="782">
        <v>93321</v>
      </c>
      <c r="B321" s="783" t="s">
        <v>2934</v>
      </c>
      <c r="C321" s="784">
        <v>7.3600000000000002E-3</v>
      </c>
      <c r="D321" s="784">
        <v>7.4706E-3</v>
      </c>
      <c r="E321" s="815">
        <v>3205902</v>
      </c>
      <c r="F321" s="818">
        <v>15855116</v>
      </c>
      <c r="G321" s="785">
        <v>11244041</v>
      </c>
      <c r="H321" s="785"/>
      <c r="I321" s="786">
        <v>647761</v>
      </c>
      <c r="J321" s="787">
        <v>2730067</v>
      </c>
      <c r="K321" s="786">
        <v>1605805</v>
      </c>
      <c r="L321" s="785">
        <v>0</v>
      </c>
      <c r="M321" s="785"/>
      <c r="N321" s="786">
        <v>318283</v>
      </c>
      <c r="O321" s="786">
        <v>0</v>
      </c>
      <c r="P321" s="786">
        <v>0</v>
      </c>
      <c r="Q321" s="785">
        <v>681688</v>
      </c>
      <c r="R321" s="785"/>
      <c r="S321" s="786">
        <v>3789252</v>
      </c>
      <c r="T321" s="788">
        <v>-330030</v>
      </c>
      <c r="U321" s="788">
        <f>3459221+1</f>
        <v>3459222</v>
      </c>
    </row>
    <row r="322" spans="1:21" x14ac:dyDescent="0.25">
      <c r="A322" s="782">
        <v>93323</v>
      </c>
      <c r="B322" s="783" t="s">
        <v>2935</v>
      </c>
      <c r="C322" s="784">
        <v>2.19E-5</v>
      </c>
      <c r="D322" s="784">
        <v>1.0200000000000001E-5</v>
      </c>
      <c r="E322" s="815">
        <v>8923</v>
      </c>
      <c r="F322" s="818">
        <v>21648</v>
      </c>
      <c r="G322" s="785">
        <v>33457</v>
      </c>
      <c r="H322" s="785"/>
      <c r="I322" s="786">
        <v>1927</v>
      </c>
      <c r="J322" s="787">
        <v>8123</v>
      </c>
      <c r="K322" s="786">
        <v>4778</v>
      </c>
      <c r="L322" s="785">
        <v>8607</v>
      </c>
      <c r="M322" s="785"/>
      <c r="N322" s="786">
        <v>947</v>
      </c>
      <c r="O322" s="786">
        <v>0</v>
      </c>
      <c r="P322" s="786">
        <v>0</v>
      </c>
      <c r="Q322" s="785">
        <v>1100</v>
      </c>
      <c r="R322" s="785"/>
      <c r="S322" s="786">
        <v>11275</v>
      </c>
      <c r="T322" s="788">
        <v>2519</v>
      </c>
      <c r="U322" s="788">
        <v>13794</v>
      </c>
    </row>
    <row r="323" spans="1:21" x14ac:dyDescent="0.25">
      <c r="A323" s="782">
        <v>93331</v>
      </c>
      <c r="B323" s="783" t="s">
        <v>2936</v>
      </c>
      <c r="C323" s="784">
        <v>1.208E-4</v>
      </c>
      <c r="D323" s="784">
        <v>1.3090000000000001E-4</v>
      </c>
      <c r="E323" s="815">
        <v>56936</v>
      </c>
      <c r="F323" s="818">
        <v>277814</v>
      </c>
      <c r="G323" s="785">
        <v>184549</v>
      </c>
      <c r="H323" s="785"/>
      <c r="I323" s="786">
        <v>10632</v>
      </c>
      <c r="J323" s="787">
        <v>44809</v>
      </c>
      <c r="K323" s="786">
        <v>26356</v>
      </c>
      <c r="L323" s="785">
        <v>2512</v>
      </c>
      <c r="M323" s="785"/>
      <c r="N323" s="786">
        <v>5224</v>
      </c>
      <c r="O323" s="786">
        <v>0</v>
      </c>
      <c r="P323" s="786">
        <v>0</v>
      </c>
      <c r="Q323" s="785">
        <v>11531</v>
      </c>
      <c r="R323" s="785"/>
      <c r="S323" s="786">
        <v>62193</v>
      </c>
      <c r="T323" s="788">
        <v>-2506</v>
      </c>
      <c r="U323" s="788">
        <v>59687</v>
      </c>
    </row>
    <row r="324" spans="1:21" x14ac:dyDescent="0.25">
      <c r="A324" s="782">
        <v>93333</v>
      </c>
      <c r="B324" s="783" t="s">
        <v>2937</v>
      </c>
      <c r="C324" s="784">
        <v>1.796E-4</v>
      </c>
      <c r="D324" s="784">
        <v>1.9990000000000001E-4</v>
      </c>
      <c r="E324" s="815">
        <v>190543</v>
      </c>
      <c r="F324" s="818">
        <v>424255</v>
      </c>
      <c r="G324" s="785">
        <v>274379</v>
      </c>
      <c r="H324" s="785"/>
      <c r="I324" s="786">
        <v>15807</v>
      </c>
      <c r="J324" s="787">
        <v>66619</v>
      </c>
      <c r="K324" s="786">
        <v>39185</v>
      </c>
      <c r="L324" s="785">
        <v>194737</v>
      </c>
      <c r="M324" s="785"/>
      <c r="N324" s="786">
        <v>7767</v>
      </c>
      <c r="O324" s="786">
        <v>0</v>
      </c>
      <c r="P324" s="786">
        <v>0</v>
      </c>
      <c r="Q324" s="785">
        <v>0</v>
      </c>
      <c r="R324" s="785"/>
      <c r="S324" s="786">
        <v>92466</v>
      </c>
      <c r="T324" s="788">
        <v>74695</v>
      </c>
      <c r="U324" s="788">
        <v>167161</v>
      </c>
    </row>
    <row r="325" spans="1:21" x14ac:dyDescent="0.25">
      <c r="A325" s="782">
        <v>93341</v>
      </c>
      <c r="B325" s="783" t="s">
        <v>2938</v>
      </c>
      <c r="C325" s="784">
        <v>2.34E-5</v>
      </c>
      <c r="D325" s="784">
        <v>2.73E-5</v>
      </c>
      <c r="E325" s="815">
        <v>12933</v>
      </c>
      <c r="F325" s="818">
        <v>57940</v>
      </c>
      <c r="G325" s="785">
        <v>35749</v>
      </c>
      <c r="H325" s="785"/>
      <c r="I325" s="786">
        <v>2059</v>
      </c>
      <c r="J325" s="787">
        <v>8680</v>
      </c>
      <c r="K325" s="786">
        <v>5105</v>
      </c>
      <c r="L325" s="785">
        <v>1866</v>
      </c>
      <c r="M325" s="785"/>
      <c r="N325" s="786">
        <v>1012</v>
      </c>
      <c r="O325" s="786">
        <v>0</v>
      </c>
      <c r="P325" s="786">
        <v>0</v>
      </c>
      <c r="Q325" s="785">
        <v>863</v>
      </c>
      <c r="R325" s="785"/>
      <c r="S325" s="786">
        <v>12047</v>
      </c>
      <c r="T325" s="788">
        <v>708</v>
      </c>
      <c r="U325" s="788">
        <v>12755</v>
      </c>
    </row>
    <row r="326" spans="1:21" x14ac:dyDescent="0.25">
      <c r="A326" s="782">
        <v>93351</v>
      </c>
      <c r="B326" s="783" t="s">
        <v>2939</v>
      </c>
      <c r="C326" s="784">
        <v>3.4E-5</v>
      </c>
      <c r="D326" s="784">
        <v>1.5999999999999999E-5</v>
      </c>
      <c r="E326" s="815">
        <v>16319</v>
      </c>
      <c r="F326" s="818">
        <v>33957</v>
      </c>
      <c r="G326" s="785">
        <v>51943</v>
      </c>
      <c r="H326" s="785"/>
      <c r="I326" s="786">
        <v>2992</v>
      </c>
      <c r="J326" s="787">
        <v>12611</v>
      </c>
      <c r="K326" s="786">
        <v>7418</v>
      </c>
      <c r="L326" s="785">
        <v>18867</v>
      </c>
      <c r="M326" s="785"/>
      <c r="N326" s="786">
        <v>1470</v>
      </c>
      <c r="O326" s="786">
        <v>0</v>
      </c>
      <c r="P326" s="786">
        <v>0</v>
      </c>
      <c r="Q326" s="785">
        <v>4169</v>
      </c>
      <c r="R326" s="785"/>
      <c r="S326" s="786">
        <v>17505</v>
      </c>
      <c r="T326" s="788">
        <v>2906</v>
      </c>
      <c r="U326" s="788">
        <f>20410+1</f>
        <v>20411</v>
      </c>
    </row>
    <row r="327" spans="1:21" x14ac:dyDescent="0.25">
      <c r="A327" s="782">
        <v>93401</v>
      </c>
      <c r="B327" s="783" t="s">
        <v>2940</v>
      </c>
      <c r="C327" s="784">
        <v>1.3834900000000001E-2</v>
      </c>
      <c r="D327" s="784">
        <v>1.37997E-2</v>
      </c>
      <c r="E327" s="815">
        <v>6356857</v>
      </c>
      <c r="F327" s="818">
        <v>29287586</v>
      </c>
      <c r="G327" s="785">
        <v>21135895</v>
      </c>
      <c r="H327" s="785"/>
      <c r="I327" s="786">
        <v>1217623</v>
      </c>
      <c r="J327" s="787">
        <v>5131821</v>
      </c>
      <c r="K327" s="786">
        <v>3018498</v>
      </c>
      <c r="L327" s="785">
        <v>99926</v>
      </c>
      <c r="M327" s="785"/>
      <c r="N327" s="786">
        <v>598290</v>
      </c>
      <c r="O327" s="786">
        <v>0</v>
      </c>
      <c r="P327" s="786">
        <v>0</v>
      </c>
      <c r="Q327" s="785">
        <v>186001</v>
      </c>
      <c r="R327" s="785"/>
      <c r="S327" s="786">
        <v>7122815</v>
      </c>
      <c r="T327" s="788">
        <v>-76616</v>
      </c>
      <c r="U327" s="788">
        <v>7046199</v>
      </c>
    </row>
    <row r="328" spans="1:21" x14ac:dyDescent="0.25">
      <c r="A328" s="782">
        <v>93402</v>
      </c>
      <c r="B328" s="783" t="s">
        <v>2941</v>
      </c>
      <c r="C328" s="784">
        <v>9.8800000000000003E-5</v>
      </c>
      <c r="D328" s="784">
        <v>9.2999999999999997E-5</v>
      </c>
      <c r="E328" s="815">
        <v>38604</v>
      </c>
      <c r="F328" s="818">
        <v>197377</v>
      </c>
      <c r="G328" s="785">
        <v>150939</v>
      </c>
      <c r="H328" s="785"/>
      <c r="I328" s="786">
        <v>8695</v>
      </c>
      <c r="J328" s="787">
        <v>36648</v>
      </c>
      <c r="K328" s="786">
        <v>21556</v>
      </c>
      <c r="L328" s="785">
        <v>5545</v>
      </c>
      <c r="M328" s="785"/>
      <c r="N328" s="786">
        <v>4273</v>
      </c>
      <c r="O328" s="786">
        <v>0</v>
      </c>
      <c r="P328" s="786">
        <v>0</v>
      </c>
      <c r="Q328" s="785">
        <v>3446</v>
      </c>
      <c r="R328" s="785"/>
      <c r="S328" s="786">
        <v>50867</v>
      </c>
      <c r="T328" s="788">
        <v>3029</v>
      </c>
      <c r="U328" s="788">
        <f>53895+1</f>
        <v>53896</v>
      </c>
    </row>
    <row r="329" spans="1:21" x14ac:dyDescent="0.25">
      <c r="A329" s="782">
        <v>93406</v>
      </c>
      <c r="B329" s="783" t="s">
        <v>2942</v>
      </c>
      <c r="C329" s="784">
        <v>6.5059999999999998E-4</v>
      </c>
      <c r="D329" s="784">
        <v>7.1170000000000001E-4</v>
      </c>
      <c r="E329" s="815">
        <v>289720</v>
      </c>
      <c r="F329" s="818">
        <v>1510466</v>
      </c>
      <c r="G329" s="785">
        <v>993937</v>
      </c>
      <c r="H329" s="785"/>
      <c r="I329" s="786">
        <v>57260</v>
      </c>
      <c r="J329" s="787">
        <v>241329</v>
      </c>
      <c r="K329" s="786">
        <v>141948</v>
      </c>
      <c r="L329" s="785">
        <v>26056</v>
      </c>
      <c r="M329" s="785"/>
      <c r="N329" s="786">
        <v>28135</v>
      </c>
      <c r="O329" s="786">
        <v>0</v>
      </c>
      <c r="P329" s="786">
        <v>0</v>
      </c>
      <c r="Q329" s="785">
        <v>48133</v>
      </c>
      <c r="R329" s="785"/>
      <c r="S329" s="786">
        <v>334958</v>
      </c>
      <c r="T329" s="788">
        <v>7011</v>
      </c>
      <c r="U329" s="788">
        <f>341968+1</f>
        <v>341969</v>
      </c>
    </row>
    <row r="330" spans="1:21" x14ac:dyDescent="0.25">
      <c r="A330" s="782">
        <v>93408</v>
      </c>
      <c r="B330" s="783" t="s">
        <v>2943</v>
      </c>
      <c r="C330" s="784">
        <v>0</v>
      </c>
      <c r="D330" s="784">
        <v>1.8967999999999999E-3</v>
      </c>
      <c r="E330" s="815">
        <v>73962</v>
      </c>
      <c r="F330" s="818">
        <v>4025645</v>
      </c>
      <c r="G330" s="785">
        <v>0</v>
      </c>
      <c r="H330" s="785"/>
      <c r="I330" s="786">
        <v>0</v>
      </c>
      <c r="J330" s="787">
        <v>0</v>
      </c>
      <c r="K330" s="786">
        <v>0</v>
      </c>
      <c r="L330" s="785">
        <v>173575</v>
      </c>
      <c r="M330" s="785"/>
      <c r="N330" s="786">
        <v>0</v>
      </c>
      <c r="O330" s="786">
        <v>0</v>
      </c>
      <c r="P330" s="786">
        <v>0</v>
      </c>
      <c r="Q330" s="785">
        <v>1605024</v>
      </c>
      <c r="R330" s="785"/>
      <c r="S330" s="786">
        <v>0</v>
      </c>
      <c r="T330" s="788">
        <v>-292149</v>
      </c>
      <c r="U330" s="788">
        <v>-292149</v>
      </c>
    </row>
    <row r="331" spans="1:21" x14ac:dyDescent="0.25">
      <c r="A331" s="782">
        <v>93411</v>
      </c>
      <c r="B331" s="783" t="s">
        <v>2944</v>
      </c>
      <c r="C331" s="784">
        <v>1.7454999999999998E-2</v>
      </c>
      <c r="D331" s="784">
        <v>1.73309E-2</v>
      </c>
      <c r="E331" s="815">
        <v>8222694</v>
      </c>
      <c r="F331" s="818">
        <v>36781976</v>
      </c>
      <c r="G331" s="785">
        <v>26666405</v>
      </c>
      <c r="H331" s="785"/>
      <c r="I331" s="786">
        <v>1536232</v>
      </c>
      <c r="J331" s="787">
        <v>6474635</v>
      </c>
      <c r="K331" s="786">
        <v>3808332</v>
      </c>
      <c r="L331" s="785">
        <v>250711</v>
      </c>
      <c r="M331" s="785"/>
      <c r="N331" s="786">
        <v>754841</v>
      </c>
      <c r="O331" s="786">
        <v>0</v>
      </c>
      <c r="P331" s="786">
        <v>0</v>
      </c>
      <c r="Q331" s="785">
        <v>594754</v>
      </c>
      <c r="R331" s="785"/>
      <c r="S331" s="786">
        <v>8986602</v>
      </c>
      <c r="T331" s="788">
        <v>-306468</v>
      </c>
      <c r="U331" s="788">
        <v>8680134</v>
      </c>
    </row>
    <row r="332" spans="1:21" x14ac:dyDescent="0.25">
      <c r="A332" s="782">
        <v>93413</v>
      </c>
      <c r="B332" s="783" t="s">
        <v>2945</v>
      </c>
      <c r="C332" s="784">
        <v>7.7070000000000003E-4</v>
      </c>
      <c r="D332" s="784">
        <v>8.0130000000000002E-4</v>
      </c>
      <c r="E332" s="815">
        <v>378796</v>
      </c>
      <c r="F332" s="818">
        <v>1700627</v>
      </c>
      <c r="G332" s="785">
        <v>1177416</v>
      </c>
      <c r="H332" s="785"/>
      <c r="I332" s="786">
        <v>67830</v>
      </c>
      <c r="J332" s="787">
        <v>285878</v>
      </c>
      <c r="K332" s="786">
        <v>168151</v>
      </c>
      <c r="L332" s="785">
        <v>0</v>
      </c>
      <c r="M332" s="785"/>
      <c r="N332" s="786">
        <v>33329</v>
      </c>
      <c r="O332" s="786">
        <v>0</v>
      </c>
      <c r="P332" s="786">
        <v>0</v>
      </c>
      <c r="Q332" s="785">
        <v>35372</v>
      </c>
      <c r="R332" s="785"/>
      <c r="S332" s="786">
        <v>396790</v>
      </c>
      <c r="T332" s="788">
        <v>-17507</v>
      </c>
      <c r="U332" s="788">
        <v>379283</v>
      </c>
    </row>
    <row r="333" spans="1:21" x14ac:dyDescent="0.25">
      <c r="A333" s="782">
        <v>93417</v>
      </c>
      <c r="B333" s="783" t="s">
        <v>2946</v>
      </c>
      <c r="C333" s="784">
        <v>3.4430000000000002E-4</v>
      </c>
      <c r="D333" s="784">
        <v>4.1130000000000002E-4</v>
      </c>
      <c r="E333" s="815">
        <v>172878</v>
      </c>
      <c r="F333" s="818">
        <v>872916</v>
      </c>
      <c r="G333" s="785">
        <v>525995</v>
      </c>
      <c r="H333" s="785"/>
      <c r="I333" s="786">
        <v>30302</v>
      </c>
      <c r="J333" s="787">
        <v>127712</v>
      </c>
      <c r="K333" s="786">
        <v>75119</v>
      </c>
      <c r="L333" s="785">
        <v>15432</v>
      </c>
      <c r="M333" s="785"/>
      <c r="N333" s="786">
        <v>14889</v>
      </c>
      <c r="O333" s="786">
        <v>0</v>
      </c>
      <c r="P333" s="786">
        <v>0</v>
      </c>
      <c r="Q333" s="785">
        <v>33069</v>
      </c>
      <c r="R333" s="785"/>
      <c r="S333" s="786">
        <v>177261</v>
      </c>
      <c r="T333" s="788">
        <v>5883</v>
      </c>
      <c r="U333" s="788">
        <v>183144</v>
      </c>
    </row>
    <row r="334" spans="1:21" x14ac:dyDescent="0.25">
      <c r="A334" s="782">
        <v>93421</v>
      </c>
      <c r="B334" s="783" t="s">
        <v>2947</v>
      </c>
      <c r="C334" s="784">
        <v>2.1294999999999999E-3</v>
      </c>
      <c r="D334" s="784">
        <v>2.1646E-3</v>
      </c>
      <c r="E334" s="815">
        <v>893357</v>
      </c>
      <c r="F334" s="818">
        <v>4594006</v>
      </c>
      <c r="G334" s="785">
        <v>3253286</v>
      </c>
      <c r="H334" s="785"/>
      <c r="I334" s="786">
        <v>187419</v>
      </c>
      <c r="J334" s="787">
        <v>789902</v>
      </c>
      <c r="K334" s="786">
        <v>464614</v>
      </c>
      <c r="L334" s="785">
        <v>0</v>
      </c>
      <c r="M334" s="785"/>
      <c r="N334" s="786">
        <v>92090</v>
      </c>
      <c r="O334" s="786">
        <v>0</v>
      </c>
      <c r="P334" s="786">
        <v>0</v>
      </c>
      <c r="Q334" s="785">
        <v>273225</v>
      </c>
      <c r="R334" s="785"/>
      <c r="S334" s="786">
        <v>1096360</v>
      </c>
      <c r="T334" s="788">
        <v>-126565</v>
      </c>
      <c r="U334" s="788">
        <v>969795</v>
      </c>
    </row>
    <row r="335" spans="1:21" x14ac:dyDescent="0.25">
      <c r="A335" s="782">
        <v>93431</v>
      </c>
      <c r="B335" s="783" t="s">
        <v>2948</v>
      </c>
      <c r="C335" s="784">
        <v>1.2689999999999999E-4</v>
      </c>
      <c r="D335" s="784">
        <v>1.127E-4</v>
      </c>
      <c r="E335" s="815">
        <v>61080</v>
      </c>
      <c r="F335" s="818">
        <v>239187</v>
      </c>
      <c r="G335" s="785">
        <v>193868</v>
      </c>
      <c r="H335" s="785"/>
      <c r="I335" s="786">
        <v>11169</v>
      </c>
      <c r="J335" s="787">
        <v>47071</v>
      </c>
      <c r="K335" s="786">
        <v>27687</v>
      </c>
      <c r="L335" s="785">
        <v>12612</v>
      </c>
      <c r="M335" s="785"/>
      <c r="N335" s="786">
        <v>5488</v>
      </c>
      <c r="O335" s="786">
        <v>0</v>
      </c>
      <c r="P335" s="786">
        <v>0</v>
      </c>
      <c r="Q335" s="785">
        <v>5397</v>
      </c>
      <c r="R335" s="785"/>
      <c r="S335" s="786">
        <v>65334</v>
      </c>
      <c r="T335" s="788">
        <v>1734</v>
      </c>
      <c r="U335" s="788">
        <v>67068</v>
      </c>
    </row>
    <row r="336" spans="1:21" x14ac:dyDescent="0.25">
      <c r="A336" s="782">
        <v>93441</v>
      </c>
      <c r="B336" s="783" t="s">
        <v>2949</v>
      </c>
      <c r="C336" s="784">
        <v>1.54E-4</v>
      </c>
      <c r="D336" s="784">
        <v>1.4970000000000001E-4</v>
      </c>
      <c r="E336" s="815">
        <v>77933</v>
      </c>
      <c r="F336" s="818">
        <v>317714</v>
      </c>
      <c r="G336" s="785">
        <v>235269</v>
      </c>
      <c r="H336" s="785"/>
      <c r="I336" s="786">
        <v>13554</v>
      </c>
      <c r="J336" s="787">
        <v>57124</v>
      </c>
      <c r="K336" s="786">
        <v>33600</v>
      </c>
      <c r="L336" s="785">
        <v>30786</v>
      </c>
      <c r="M336" s="785"/>
      <c r="N336" s="786">
        <v>6660</v>
      </c>
      <c r="O336" s="786">
        <v>0</v>
      </c>
      <c r="P336" s="786">
        <v>0</v>
      </c>
      <c r="Q336" s="785">
        <v>0</v>
      </c>
      <c r="R336" s="785"/>
      <c r="S336" s="786">
        <v>79286</v>
      </c>
      <c r="T336" s="788">
        <v>14822</v>
      </c>
      <c r="U336" s="788">
        <v>94108</v>
      </c>
    </row>
    <row r="337" spans="1:21" x14ac:dyDescent="0.25">
      <c r="A337" s="782">
        <v>93442</v>
      </c>
      <c r="B337" s="783" t="s">
        <v>2950</v>
      </c>
      <c r="C337" s="784">
        <v>1.505E-4</v>
      </c>
      <c r="D337" s="784">
        <v>1.3540000000000001E-4</v>
      </c>
      <c r="E337" s="815">
        <v>57507</v>
      </c>
      <c r="F337" s="818">
        <v>287364</v>
      </c>
      <c r="G337" s="785">
        <v>229922</v>
      </c>
      <c r="H337" s="785"/>
      <c r="I337" s="786">
        <v>13246</v>
      </c>
      <c r="J337" s="787">
        <v>55826</v>
      </c>
      <c r="K337" s="786">
        <v>32836</v>
      </c>
      <c r="L337" s="785">
        <v>5191</v>
      </c>
      <c r="M337" s="785"/>
      <c r="N337" s="786">
        <v>6508</v>
      </c>
      <c r="O337" s="786">
        <v>0</v>
      </c>
      <c r="P337" s="786">
        <v>0</v>
      </c>
      <c r="Q337" s="785">
        <v>20988</v>
      </c>
      <c r="R337" s="785"/>
      <c r="S337" s="786">
        <v>77484</v>
      </c>
      <c r="T337" s="788">
        <v>-6353</v>
      </c>
      <c r="U337" s="788">
        <v>71131</v>
      </c>
    </row>
    <row r="338" spans="1:21" x14ac:dyDescent="0.25">
      <c r="A338" s="782">
        <v>93451</v>
      </c>
      <c r="B338" s="783" t="s">
        <v>2951</v>
      </c>
      <c r="C338" s="784">
        <v>7.0900000000000002E-5</v>
      </c>
      <c r="D338" s="784">
        <v>7.6899999999999999E-5</v>
      </c>
      <c r="E338" s="815">
        <v>41775</v>
      </c>
      <c r="F338" s="818">
        <v>163208</v>
      </c>
      <c r="G338" s="785">
        <v>108316</v>
      </c>
      <c r="H338" s="785"/>
      <c r="I338" s="786">
        <v>6240</v>
      </c>
      <c r="J338" s="787">
        <v>26299</v>
      </c>
      <c r="K338" s="786">
        <v>15469</v>
      </c>
      <c r="L338" s="785">
        <v>16242</v>
      </c>
      <c r="M338" s="785"/>
      <c r="N338" s="786">
        <v>3066</v>
      </c>
      <c r="O338" s="786">
        <v>0</v>
      </c>
      <c r="P338" s="786">
        <v>0</v>
      </c>
      <c r="Q338" s="785">
        <v>1492</v>
      </c>
      <c r="R338" s="785"/>
      <c r="S338" s="786">
        <v>36502</v>
      </c>
      <c r="T338" s="788">
        <v>5181</v>
      </c>
      <c r="U338" s="788">
        <f>41684-1</f>
        <v>41683</v>
      </c>
    </row>
    <row r="339" spans="1:21" x14ac:dyDescent="0.25">
      <c r="A339" s="782">
        <v>93461</v>
      </c>
      <c r="B339" s="783" t="s">
        <v>2952</v>
      </c>
      <c r="C339" s="784">
        <v>1.66E-5</v>
      </c>
      <c r="D339" s="784">
        <v>1.7200000000000001E-5</v>
      </c>
      <c r="E339" s="815">
        <v>8264</v>
      </c>
      <c r="F339" s="818">
        <v>36504</v>
      </c>
      <c r="G339" s="785">
        <v>25360</v>
      </c>
      <c r="H339" s="785"/>
      <c r="I339" s="786">
        <v>1461</v>
      </c>
      <c r="J339" s="787">
        <v>6157</v>
      </c>
      <c r="K339" s="786">
        <v>3622</v>
      </c>
      <c r="L339" s="785">
        <v>580</v>
      </c>
      <c r="M339" s="785"/>
      <c r="N339" s="786">
        <v>718</v>
      </c>
      <c r="O339" s="786">
        <v>0</v>
      </c>
      <c r="P339" s="786">
        <v>0</v>
      </c>
      <c r="Q339" s="785">
        <v>0</v>
      </c>
      <c r="R339" s="785"/>
      <c r="S339" s="786">
        <v>8546</v>
      </c>
      <c r="T339" s="788">
        <v>254</v>
      </c>
      <c r="U339" s="788">
        <f>8801-1</f>
        <v>8800</v>
      </c>
    </row>
    <row r="340" spans="1:21" x14ac:dyDescent="0.25">
      <c r="A340" s="782">
        <v>93471</v>
      </c>
      <c r="B340" s="783" t="s">
        <v>2953</v>
      </c>
      <c r="C340" s="784">
        <v>1.31E-5</v>
      </c>
      <c r="D340" s="784">
        <v>1.1800000000000001E-5</v>
      </c>
      <c r="E340" s="815">
        <v>8324</v>
      </c>
      <c r="F340" s="818">
        <v>25044</v>
      </c>
      <c r="G340" s="785">
        <v>20013</v>
      </c>
      <c r="H340" s="785"/>
      <c r="I340" s="786">
        <v>1153</v>
      </c>
      <c r="J340" s="787">
        <v>4859</v>
      </c>
      <c r="K340" s="786">
        <v>2858</v>
      </c>
      <c r="L340" s="785">
        <v>4280</v>
      </c>
      <c r="M340" s="785"/>
      <c r="N340" s="786">
        <v>567</v>
      </c>
      <c r="O340" s="786">
        <v>0</v>
      </c>
      <c r="P340" s="786">
        <v>0</v>
      </c>
      <c r="Q340" s="785">
        <v>63</v>
      </c>
      <c r="R340" s="785"/>
      <c r="S340" s="786">
        <v>6744</v>
      </c>
      <c r="T340" s="788">
        <v>1243</v>
      </c>
      <c r="U340" s="788">
        <v>7987</v>
      </c>
    </row>
    <row r="341" spans="1:21" x14ac:dyDescent="0.25">
      <c r="A341" s="782">
        <v>93501</v>
      </c>
      <c r="B341" s="783" t="s">
        <v>2954</v>
      </c>
      <c r="C341" s="784">
        <v>3.6113999999999999E-3</v>
      </c>
      <c r="D341" s="784">
        <v>3.4039000000000001E-3</v>
      </c>
      <c r="E341" s="815">
        <v>1661033</v>
      </c>
      <c r="F341" s="818">
        <v>7224216</v>
      </c>
      <c r="G341" s="785">
        <v>5517219</v>
      </c>
      <c r="H341" s="785"/>
      <c r="I341" s="786">
        <v>317843</v>
      </c>
      <c r="J341" s="787">
        <v>1339587</v>
      </c>
      <c r="K341" s="786">
        <v>787935</v>
      </c>
      <c r="L341" s="785">
        <v>233815</v>
      </c>
      <c r="M341" s="785"/>
      <c r="N341" s="786">
        <v>156175</v>
      </c>
      <c r="O341" s="786">
        <v>0</v>
      </c>
      <c r="P341" s="786">
        <v>0</v>
      </c>
      <c r="Q341" s="785">
        <v>57589</v>
      </c>
      <c r="R341" s="785"/>
      <c r="S341" s="786">
        <v>1859308</v>
      </c>
      <c r="T341" s="788">
        <v>88331</v>
      </c>
      <c r="U341" s="788">
        <v>1947639</v>
      </c>
    </row>
    <row r="342" spans="1:21" x14ac:dyDescent="0.25">
      <c r="A342" s="782">
        <v>93511</v>
      </c>
      <c r="B342" s="783" t="s">
        <v>2955</v>
      </c>
      <c r="C342" s="784">
        <v>8.8300000000000005E-5</v>
      </c>
      <c r="D342" s="784">
        <v>9.8999999999999994E-5</v>
      </c>
      <c r="E342" s="815">
        <v>45050</v>
      </c>
      <c r="F342" s="818">
        <v>210111</v>
      </c>
      <c r="G342" s="785">
        <v>134898</v>
      </c>
      <c r="H342" s="785"/>
      <c r="I342" s="786">
        <v>7771</v>
      </c>
      <c r="J342" s="787">
        <v>32753</v>
      </c>
      <c r="K342" s="786">
        <v>19265</v>
      </c>
      <c r="L342" s="785">
        <v>2589</v>
      </c>
      <c r="M342" s="785"/>
      <c r="N342" s="786">
        <v>3819</v>
      </c>
      <c r="O342" s="786">
        <v>0</v>
      </c>
      <c r="P342" s="786">
        <v>0</v>
      </c>
      <c r="Q342" s="785">
        <v>13801</v>
      </c>
      <c r="R342" s="785"/>
      <c r="S342" s="786">
        <v>45461</v>
      </c>
      <c r="T342" s="788">
        <v>-2683</v>
      </c>
      <c r="U342" s="788">
        <v>42778</v>
      </c>
    </row>
    <row r="343" spans="1:21" x14ac:dyDescent="0.25">
      <c r="A343" s="782">
        <v>93517</v>
      </c>
      <c r="B343" s="783" t="s">
        <v>2956</v>
      </c>
      <c r="C343" s="784">
        <v>6.0000000000000002E-6</v>
      </c>
      <c r="D343" s="784">
        <v>6.4999999999999996E-6</v>
      </c>
      <c r="E343" s="815">
        <v>4387</v>
      </c>
      <c r="F343" s="818">
        <v>13795</v>
      </c>
      <c r="G343" s="785">
        <v>9166</v>
      </c>
      <c r="H343" s="785"/>
      <c r="I343" s="786">
        <v>528</v>
      </c>
      <c r="J343" s="787">
        <v>2226</v>
      </c>
      <c r="K343" s="786">
        <v>1309</v>
      </c>
      <c r="L343" s="785">
        <v>3133</v>
      </c>
      <c r="M343" s="785"/>
      <c r="N343" s="786">
        <v>259</v>
      </c>
      <c r="O343" s="786">
        <v>0</v>
      </c>
      <c r="P343" s="786">
        <v>0</v>
      </c>
      <c r="Q343" s="785">
        <v>503</v>
      </c>
      <c r="R343" s="785"/>
      <c r="S343" s="786">
        <v>3089</v>
      </c>
      <c r="T343" s="788">
        <v>771</v>
      </c>
      <c r="U343" s="788">
        <v>3860</v>
      </c>
    </row>
    <row r="344" spans="1:21" x14ac:dyDescent="0.25">
      <c r="A344" s="782">
        <v>93521</v>
      </c>
      <c r="B344" s="783" t="s">
        <v>2957</v>
      </c>
      <c r="C344" s="784">
        <v>4.5649999999999998E-4</v>
      </c>
      <c r="D344" s="784">
        <v>5.6389999999999999E-4</v>
      </c>
      <c r="E344" s="815">
        <v>213305</v>
      </c>
      <c r="F344" s="818">
        <v>1196785</v>
      </c>
      <c r="G344" s="785">
        <v>697406</v>
      </c>
      <c r="H344" s="785"/>
      <c r="I344" s="786">
        <v>40177</v>
      </c>
      <c r="J344" s="787">
        <v>169331</v>
      </c>
      <c r="K344" s="786">
        <v>99599</v>
      </c>
      <c r="L344" s="785">
        <v>7159</v>
      </c>
      <c r="M344" s="785"/>
      <c r="N344" s="786">
        <v>19741</v>
      </c>
      <c r="O344" s="786">
        <v>0</v>
      </c>
      <c r="P344" s="786">
        <v>0</v>
      </c>
      <c r="Q344" s="785">
        <v>74583</v>
      </c>
      <c r="R344" s="785"/>
      <c r="S344" s="786">
        <v>235026</v>
      </c>
      <c r="T344" s="788">
        <v>-19847</v>
      </c>
      <c r="U344" s="788">
        <f>215180-1</f>
        <v>215179</v>
      </c>
    </row>
    <row r="345" spans="1:21" x14ac:dyDescent="0.25">
      <c r="A345" s="782">
        <v>93527</v>
      </c>
      <c r="B345" s="783" t="s">
        <v>2958</v>
      </c>
      <c r="C345" s="784">
        <v>1.2099999999999999E-5</v>
      </c>
      <c r="D345" s="784">
        <v>5.4E-6</v>
      </c>
      <c r="E345" s="815">
        <v>9591</v>
      </c>
      <c r="F345" s="818">
        <v>11461</v>
      </c>
      <c r="G345" s="785">
        <v>18485</v>
      </c>
      <c r="H345" s="785"/>
      <c r="I345" s="786">
        <v>1065</v>
      </c>
      <c r="J345" s="787">
        <v>4488</v>
      </c>
      <c r="K345" s="786">
        <v>2640</v>
      </c>
      <c r="L345" s="785">
        <v>15016</v>
      </c>
      <c r="M345" s="785"/>
      <c r="N345" s="786">
        <v>523</v>
      </c>
      <c r="O345" s="786">
        <v>0</v>
      </c>
      <c r="P345" s="786">
        <v>0</v>
      </c>
      <c r="Q345" s="785">
        <v>0</v>
      </c>
      <c r="R345" s="785"/>
      <c r="S345" s="786">
        <v>6230</v>
      </c>
      <c r="T345" s="788">
        <v>5872</v>
      </c>
      <c r="U345" s="788">
        <f>12101+1</f>
        <v>12102</v>
      </c>
    </row>
    <row r="346" spans="1:21" x14ac:dyDescent="0.25">
      <c r="A346" s="782">
        <v>93531</v>
      </c>
      <c r="B346" s="783" t="s">
        <v>2959</v>
      </c>
      <c r="C346" s="784">
        <v>1.7E-5</v>
      </c>
      <c r="D346" s="784">
        <v>2.4000000000000001E-5</v>
      </c>
      <c r="E346" s="815">
        <v>11624</v>
      </c>
      <c r="F346" s="818">
        <v>50936</v>
      </c>
      <c r="G346" s="785">
        <v>25971</v>
      </c>
      <c r="H346" s="785"/>
      <c r="I346" s="786">
        <v>1496</v>
      </c>
      <c r="J346" s="787">
        <v>6306</v>
      </c>
      <c r="K346" s="786">
        <v>3709</v>
      </c>
      <c r="L346" s="785">
        <v>791</v>
      </c>
      <c r="M346" s="785"/>
      <c r="N346" s="786">
        <v>735</v>
      </c>
      <c r="O346" s="786">
        <v>0</v>
      </c>
      <c r="P346" s="786">
        <v>0</v>
      </c>
      <c r="Q346" s="785">
        <v>2743</v>
      </c>
      <c r="R346" s="785"/>
      <c r="S346" s="786">
        <v>8752</v>
      </c>
      <c r="T346" s="788">
        <v>-1210</v>
      </c>
      <c r="U346" s="788">
        <v>7542</v>
      </c>
    </row>
    <row r="347" spans="1:21" x14ac:dyDescent="0.25">
      <c r="A347" s="782">
        <v>93537</v>
      </c>
      <c r="B347" s="783" t="s">
        <v>2960</v>
      </c>
      <c r="C347" s="784">
        <v>1.1199999999999999E-5</v>
      </c>
      <c r="D347" s="784">
        <v>1.17E-5</v>
      </c>
      <c r="E347" s="815">
        <v>4064</v>
      </c>
      <c r="F347" s="818">
        <v>24831</v>
      </c>
      <c r="G347" s="785">
        <v>17110</v>
      </c>
      <c r="H347" s="785"/>
      <c r="I347" s="786">
        <v>986</v>
      </c>
      <c r="J347" s="787">
        <v>4154</v>
      </c>
      <c r="K347" s="786">
        <v>2444</v>
      </c>
      <c r="L347" s="785">
        <v>0</v>
      </c>
      <c r="M347" s="785"/>
      <c r="N347" s="786">
        <v>484</v>
      </c>
      <c r="O347" s="786">
        <v>0</v>
      </c>
      <c r="P347" s="786">
        <v>0</v>
      </c>
      <c r="Q347" s="785">
        <v>1898</v>
      </c>
      <c r="R347" s="785"/>
      <c r="S347" s="786">
        <v>5766</v>
      </c>
      <c r="T347" s="788">
        <v>-575</v>
      </c>
      <c r="U347" s="788">
        <v>5191</v>
      </c>
    </row>
    <row r="348" spans="1:21" x14ac:dyDescent="0.25">
      <c r="A348" s="782">
        <v>93541</v>
      </c>
      <c r="B348" s="783" t="s">
        <v>2961</v>
      </c>
      <c r="C348" s="784">
        <v>1.0560000000000001E-4</v>
      </c>
      <c r="D348" s="784">
        <v>1.061E-4</v>
      </c>
      <c r="E348" s="815">
        <v>49276</v>
      </c>
      <c r="F348" s="818">
        <v>225180</v>
      </c>
      <c r="G348" s="785">
        <v>161328</v>
      </c>
      <c r="H348" s="785"/>
      <c r="I348" s="786">
        <v>9294</v>
      </c>
      <c r="J348" s="787">
        <v>39171</v>
      </c>
      <c r="K348" s="786">
        <v>23040</v>
      </c>
      <c r="L348" s="785">
        <v>4560</v>
      </c>
      <c r="M348" s="785"/>
      <c r="N348" s="786">
        <v>4567</v>
      </c>
      <c r="O348" s="786">
        <v>0</v>
      </c>
      <c r="P348" s="786">
        <v>0</v>
      </c>
      <c r="Q348" s="785">
        <v>781</v>
      </c>
      <c r="R348" s="785"/>
      <c r="S348" s="786">
        <v>54368</v>
      </c>
      <c r="T348" s="788">
        <v>4003</v>
      </c>
      <c r="U348" s="788">
        <f>58370+1</f>
        <v>58371</v>
      </c>
    </row>
    <row r="349" spans="1:21" x14ac:dyDescent="0.25">
      <c r="A349" s="782">
        <v>93601</v>
      </c>
      <c r="B349" s="783" t="s">
        <v>2962</v>
      </c>
      <c r="C349" s="784">
        <v>1.0721400000000001E-2</v>
      </c>
      <c r="D349" s="784">
        <v>1.1139899999999999E-2</v>
      </c>
      <c r="E349" s="815">
        <v>5038240</v>
      </c>
      <c r="F349" s="818">
        <v>23642600</v>
      </c>
      <c r="G349" s="785">
        <v>16379329</v>
      </c>
      <c r="H349" s="785"/>
      <c r="I349" s="786">
        <v>943601</v>
      </c>
      <c r="J349" s="787">
        <v>3976921</v>
      </c>
      <c r="K349" s="786">
        <v>2339195</v>
      </c>
      <c r="L349" s="785">
        <v>65732</v>
      </c>
      <c r="M349" s="785"/>
      <c r="N349" s="786">
        <v>463647</v>
      </c>
      <c r="O349" s="786">
        <v>0</v>
      </c>
      <c r="P349" s="786">
        <v>0</v>
      </c>
      <c r="Q349" s="785">
        <v>282932</v>
      </c>
      <c r="R349" s="785"/>
      <c r="S349" s="786">
        <v>5519848</v>
      </c>
      <c r="T349" s="788">
        <v>-87424</v>
      </c>
      <c r="U349" s="788">
        <f>5432425-1</f>
        <v>5432424</v>
      </c>
    </row>
    <row r="350" spans="1:21" x14ac:dyDescent="0.25">
      <c r="A350" s="782">
        <v>93602</v>
      </c>
      <c r="B350" s="783" t="s">
        <v>2963</v>
      </c>
      <c r="C350" s="784">
        <v>1.7540000000000001E-4</v>
      </c>
      <c r="D350" s="784">
        <v>1.7200000000000001E-4</v>
      </c>
      <c r="E350" s="815">
        <v>82188</v>
      </c>
      <c r="F350" s="818">
        <v>365042</v>
      </c>
      <c r="G350" s="785">
        <v>267963</v>
      </c>
      <c r="H350" s="785"/>
      <c r="I350" s="786">
        <v>15437</v>
      </c>
      <c r="J350" s="787">
        <v>65062</v>
      </c>
      <c r="K350" s="786">
        <v>38269</v>
      </c>
      <c r="L350" s="785">
        <v>4381</v>
      </c>
      <c r="M350" s="785"/>
      <c r="N350" s="786">
        <v>7585</v>
      </c>
      <c r="O350" s="786">
        <v>0</v>
      </c>
      <c r="P350" s="786">
        <v>0</v>
      </c>
      <c r="Q350" s="785">
        <v>10262</v>
      </c>
      <c r="R350" s="785"/>
      <c r="S350" s="786">
        <v>90304</v>
      </c>
      <c r="T350" s="788">
        <v>-2871</v>
      </c>
      <c r="U350" s="788">
        <v>87433</v>
      </c>
    </row>
    <row r="351" spans="1:21" x14ac:dyDescent="0.25">
      <c r="A351" s="782">
        <v>93609</v>
      </c>
      <c r="B351" s="783" t="s">
        <v>2964</v>
      </c>
      <c r="C351" s="784">
        <v>3.7629999999999999E-3</v>
      </c>
      <c r="D351" s="784">
        <v>3.0569E-3</v>
      </c>
      <c r="E351" s="815">
        <v>1743934</v>
      </c>
      <c r="F351" s="818">
        <v>6487766</v>
      </c>
      <c r="G351" s="785">
        <v>5748822</v>
      </c>
      <c r="H351" s="785"/>
      <c r="I351" s="786">
        <v>331185</v>
      </c>
      <c r="J351" s="787">
        <v>1395821</v>
      </c>
      <c r="K351" s="786">
        <v>821011</v>
      </c>
      <c r="L351" s="785">
        <v>823315</v>
      </c>
      <c r="M351" s="785"/>
      <c r="N351" s="786">
        <v>162731</v>
      </c>
      <c r="O351" s="786">
        <v>0</v>
      </c>
      <c r="P351" s="786">
        <v>0</v>
      </c>
      <c r="Q351" s="785">
        <v>0</v>
      </c>
      <c r="R351" s="785"/>
      <c r="S351" s="786">
        <v>1937358</v>
      </c>
      <c r="T351" s="788">
        <v>360052</v>
      </c>
      <c r="U351" s="788">
        <v>2297410</v>
      </c>
    </row>
    <row r="352" spans="1:21" x14ac:dyDescent="0.25">
      <c r="A352" s="782">
        <v>93610</v>
      </c>
      <c r="B352" s="783" t="s">
        <v>2965</v>
      </c>
      <c r="C352" s="784">
        <v>1.33E-5</v>
      </c>
      <c r="D352" s="784">
        <v>6.4999999999999996E-6</v>
      </c>
      <c r="E352" s="815">
        <v>5846</v>
      </c>
      <c r="F352" s="818">
        <v>13795</v>
      </c>
      <c r="G352" s="785">
        <v>20319</v>
      </c>
      <c r="H352" s="785"/>
      <c r="I352" s="786">
        <v>1171</v>
      </c>
      <c r="J352" s="787">
        <v>4933</v>
      </c>
      <c r="K352" s="786">
        <v>2902</v>
      </c>
      <c r="L352" s="785">
        <v>6303</v>
      </c>
      <c r="M352" s="785"/>
      <c r="N352" s="786">
        <v>575</v>
      </c>
      <c r="O352" s="786">
        <v>0</v>
      </c>
      <c r="P352" s="786">
        <v>0</v>
      </c>
      <c r="Q352" s="785">
        <v>3373</v>
      </c>
      <c r="R352" s="785"/>
      <c r="S352" s="786">
        <v>6847</v>
      </c>
      <c r="T352" s="788">
        <v>1242</v>
      </c>
      <c r="U352" s="788">
        <f>8090-1</f>
        <v>8089</v>
      </c>
    </row>
    <row r="353" spans="1:21" x14ac:dyDescent="0.25">
      <c r="A353" s="782">
        <v>93611</v>
      </c>
      <c r="B353" s="783" t="s">
        <v>2966</v>
      </c>
      <c r="C353" s="784">
        <v>6.9544000000000003E-3</v>
      </c>
      <c r="D353" s="784">
        <v>6.9325000000000003E-3</v>
      </c>
      <c r="E353" s="815">
        <v>3250733</v>
      </c>
      <c r="F353" s="818">
        <v>14713087</v>
      </c>
      <c r="G353" s="785">
        <v>10624397</v>
      </c>
      <c r="H353" s="785"/>
      <c r="I353" s="786">
        <v>612064</v>
      </c>
      <c r="J353" s="787">
        <v>2579617</v>
      </c>
      <c r="K353" s="786">
        <v>1517311</v>
      </c>
      <c r="L353" s="785">
        <v>61146</v>
      </c>
      <c r="M353" s="785"/>
      <c r="N353" s="786">
        <v>300743</v>
      </c>
      <c r="O353" s="786">
        <v>0</v>
      </c>
      <c r="P353" s="786">
        <v>0</v>
      </c>
      <c r="Q353" s="785">
        <v>153061</v>
      </c>
      <c r="R353" s="785"/>
      <c r="S353" s="786">
        <v>3580431</v>
      </c>
      <c r="T353" s="788">
        <v>-98066</v>
      </c>
      <c r="U353" s="788">
        <v>3482365</v>
      </c>
    </row>
    <row r="354" spans="1:21" x14ac:dyDescent="0.25">
      <c r="A354" s="782">
        <v>93617</v>
      </c>
      <c r="B354" s="783" t="s">
        <v>2967</v>
      </c>
      <c r="C354" s="784">
        <v>8.2799999999999993E-5</v>
      </c>
      <c r="D354" s="784">
        <v>9.5000000000000005E-5</v>
      </c>
      <c r="E354" s="815">
        <v>49100</v>
      </c>
      <c r="F354" s="818">
        <v>201622</v>
      </c>
      <c r="G354" s="785">
        <v>126495</v>
      </c>
      <c r="H354" s="785"/>
      <c r="I354" s="786">
        <v>7287</v>
      </c>
      <c r="J354" s="787">
        <v>30714</v>
      </c>
      <c r="K354" s="786">
        <v>18065</v>
      </c>
      <c r="L354" s="785">
        <v>19622</v>
      </c>
      <c r="M354" s="785"/>
      <c r="N354" s="786">
        <v>3581</v>
      </c>
      <c r="O354" s="786">
        <v>0</v>
      </c>
      <c r="P354" s="786">
        <v>0</v>
      </c>
      <c r="Q354" s="785">
        <v>0</v>
      </c>
      <c r="R354" s="785"/>
      <c r="S354" s="786">
        <v>42629</v>
      </c>
      <c r="T354" s="788">
        <v>10180</v>
      </c>
      <c r="U354" s="788">
        <v>52809</v>
      </c>
    </row>
    <row r="355" spans="1:21" x14ac:dyDescent="0.25">
      <c r="A355" s="782">
        <v>93618</v>
      </c>
      <c r="B355" s="783" t="s">
        <v>2968</v>
      </c>
      <c r="C355" s="784">
        <v>1.11E-5</v>
      </c>
      <c r="D355" s="784">
        <v>1.17E-5</v>
      </c>
      <c r="E355" s="815">
        <v>23982</v>
      </c>
      <c r="F355" s="818">
        <v>24831</v>
      </c>
      <c r="G355" s="785">
        <v>16958</v>
      </c>
      <c r="H355" s="785"/>
      <c r="I355" s="786">
        <v>977</v>
      </c>
      <c r="J355" s="787">
        <v>4117</v>
      </c>
      <c r="K355" s="786">
        <v>2422</v>
      </c>
      <c r="L355" s="785">
        <v>33625</v>
      </c>
      <c r="M355" s="785"/>
      <c r="N355" s="786">
        <v>480</v>
      </c>
      <c r="O355" s="786">
        <v>0</v>
      </c>
      <c r="P355" s="786">
        <v>0</v>
      </c>
      <c r="Q355" s="785">
        <v>0</v>
      </c>
      <c r="R355" s="785"/>
      <c r="S355" s="786">
        <v>5715</v>
      </c>
      <c r="T355" s="788">
        <v>12182</v>
      </c>
      <c r="U355" s="788">
        <v>17897</v>
      </c>
    </row>
    <row r="356" spans="1:21" x14ac:dyDescent="0.25">
      <c r="A356" s="782">
        <v>93621</v>
      </c>
      <c r="B356" s="783" t="s">
        <v>2969</v>
      </c>
      <c r="C356" s="784">
        <v>9.5719999999999996E-4</v>
      </c>
      <c r="D356" s="784">
        <v>8.5320000000000003E-4</v>
      </c>
      <c r="E356" s="815">
        <v>412639</v>
      </c>
      <c r="F356" s="818">
        <v>1810776</v>
      </c>
      <c r="G356" s="785">
        <v>1462336</v>
      </c>
      <c r="H356" s="785"/>
      <c r="I356" s="786">
        <v>84244</v>
      </c>
      <c r="J356" s="787">
        <v>355057</v>
      </c>
      <c r="K356" s="786">
        <v>208842</v>
      </c>
      <c r="L356" s="785">
        <v>48292</v>
      </c>
      <c r="M356" s="785"/>
      <c r="N356" s="786">
        <v>41394</v>
      </c>
      <c r="O356" s="786">
        <v>0</v>
      </c>
      <c r="P356" s="786">
        <v>0</v>
      </c>
      <c r="Q356" s="785">
        <v>79767</v>
      </c>
      <c r="R356" s="785"/>
      <c r="S356" s="786">
        <v>492809</v>
      </c>
      <c r="T356" s="788">
        <v>-26570</v>
      </c>
      <c r="U356" s="788">
        <f>466238+1</f>
        <v>466239</v>
      </c>
    </row>
    <row r="357" spans="1:21" x14ac:dyDescent="0.25">
      <c r="A357" s="782">
        <v>93623</v>
      </c>
      <c r="B357" s="783" t="s">
        <v>2970</v>
      </c>
      <c r="C357" s="784">
        <v>1.2799999999999999E-5</v>
      </c>
      <c r="D357" s="784">
        <v>1.2500000000000001E-5</v>
      </c>
      <c r="E357" s="815">
        <v>8720</v>
      </c>
      <c r="F357" s="818">
        <v>26529</v>
      </c>
      <c r="G357" s="785">
        <v>19555</v>
      </c>
      <c r="H357" s="785"/>
      <c r="I357" s="786">
        <v>1127</v>
      </c>
      <c r="J357" s="787">
        <v>4748</v>
      </c>
      <c r="K357" s="786">
        <v>2793</v>
      </c>
      <c r="L357" s="785">
        <v>5501</v>
      </c>
      <c r="M357" s="785"/>
      <c r="N357" s="786">
        <v>554</v>
      </c>
      <c r="O357" s="786">
        <v>0</v>
      </c>
      <c r="P357" s="786">
        <v>0</v>
      </c>
      <c r="Q357" s="785">
        <v>1</v>
      </c>
      <c r="R357" s="785"/>
      <c r="S357" s="786">
        <v>6590</v>
      </c>
      <c r="T357" s="788">
        <v>1908</v>
      </c>
      <c r="U357" s="788">
        <v>8498</v>
      </c>
    </row>
    <row r="358" spans="1:21" x14ac:dyDescent="0.25">
      <c r="A358" s="782">
        <v>93631</v>
      </c>
      <c r="B358" s="783" t="s">
        <v>2971</v>
      </c>
      <c r="C358" s="784">
        <v>2.252E-4</v>
      </c>
      <c r="D358" s="784">
        <v>2.3440000000000001E-4</v>
      </c>
      <c r="E358" s="815">
        <v>100501</v>
      </c>
      <c r="F358" s="818">
        <v>497475</v>
      </c>
      <c r="G358" s="785">
        <v>344043</v>
      </c>
      <c r="H358" s="785"/>
      <c r="I358" s="786">
        <v>19820</v>
      </c>
      <c r="J358" s="787">
        <v>83534</v>
      </c>
      <c r="K358" s="786">
        <v>49134</v>
      </c>
      <c r="L358" s="785">
        <v>435</v>
      </c>
      <c r="M358" s="785"/>
      <c r="N358" s="786">
        <v>9739</v>
      </c>
      <c r="O358" s="786">
        <v>0</v>
      </c>
      <c r="P358" s="786">
        <v>0</v>
      </c>
      <c r="Q358" s="785">
        <v>20459</v>
      </c>
      <c r="R358" s="785"/>
      <c r="S358" s="786">
        <v>115943</v>
      </c>
      <c r="T358" s="788">
        <v>-7001</v>
      </c>
      <c r="U358" s="788">
        <v>108942</v>
      </c>
    </row>
    <row r="359" spans="1:21" x14ac:dyDescent="0.25">
      <c r="A359" s="782">
        <v>93641</v>
      </c>
      <c r="B359" s="783" t="s">
        <v>2972</v>
      </c>
      <c r="C359" s="784">
        <v>4.0450000000000002E-4</v>
      </c>
      <c r="D359" s="784">
        <v>4.3550000000000001E-4</v>
      </c>
      <c r="E359" s="815">
        <v>197852</v>
      </c>
      <c r="F359" s="818">
        <v>924277</v>
      </c>
      <c r="G359" s="785">
        <v>617964</v>
      </c>
      <c r="H359" s="785"/>
      <c r="I359" s="786">
        <v>35600</v>
      </c>
      <c r="J359" s="787">
        <v>150042</v>
      </c>
      <c r="K359" s="786">
        <v>88254</v>
      </c>
      <c r="L359" s="785">
        <v>14033</v>
      </c>
      <c r="M359" s="785"/>
      <c r="N359" s="786">
        <v>17493</v>
      </c>
      <c r="O359" s="786">
        <v>0</v>
      </c>
      <c r="P359" s="786">
        <v>0</v>
      </c>
      <c r="Q359" s="785">
        <v>11062</v>
      </c>
      <c r="R359" s="785"/>
      <c r="S359" s="786">
        <v>208254</v>
      </c>
      <c r="T359" s="788">
        <v>4772</v>
      </c>
      <c r="U359" s="788">
        <v>213026</v>
      </c>
    </row>
    <row r="360" spans="1:21" x14ac:dyDescent="0.25">
      <c r="A360" s="782">
        <v>93647</v>
      </c>
      <c r="B360" s="783" t="s">
        <v>2973</v>
      </c>
      <c r="C360" s="784">
        <v>6.0000000000000002E-6</v>
      </c>
      <c r="D360" s="784">
        <v>6.1E-6</v>
      </c>
      <c r="E360" s="815">
        <v>9062</v>
      </c>
      <c r="F360" s="818">
        <v>12946</v>
      </c>
      <c r="G360" s="785">
        <v>9166</v>
      </c>
      <c r="H360" s="785"/>
      <c r="I360" s="786">
        <v>528</v>
      </c>
      <c r="J360" s="787">
        <v>2226</v>
      </c>
      <c r="K360" s="786">
        <v>1309</v>
      </c>
      <c r="L360" s="785">
        <v>12039</v>
      </c>
      <c r="M360" s="785"/>
      <c r="N360" s="786">
        <v>259</v>
      </c>
      <c r="O360" s="786">
        <v>0</v>
      </c>
      <c r="P360" s="786">
        <v>0</v>
      </c>
      <c r="Q360" s="785">
        <v>0</v>
      </c>
      <c r="R360" s="785"/>
      <c r="S360" s="786">
        <v>3089</v>
      </c>
      <c r="T360" s="788">
        <v>4642</v>
      </c>
      <c r="U360" s="788">
        <v>7731</v>
      </c>
    </row>
    <row r="361" spans="1:21" x14ac:dyDescent="0.25">
      <c r="A361" s="782">
        <v>93651</v>
      </c>
      <c r="B361" s="783" t="s">
        <v>2974</v>
      </c>
      <c r="C361" s="784">
        <v>4.3800000000000002E-4</v>
      </c>
      <c r="D361" s="784">
        <v>4.282E-4</v>
      </c>
      <c r="E361" s="815">
        <v>185953</v>
      </c>
      <c r="F361" s="818">
        <v>908784</v>
      </c>
      <c r="G361" s="785">
        <v>669143</v>
      </c>
      <c r="H361" s="785"/>
      <c r="I361" s="786">
        <v>38549</v>
      </c>
      <c r="J361" s="787">
        <v>162468</v>
      </c>
      <c r="K361" s="786">
        <v>95563</v>
      </c>
      <c r="L361" s="785">
        <v>5830</v>
      </c>
      <c r="M361" s="785"/>
      <c r="N361" s="786">
        <v>18941</v>
      </c>
      <c r="O361" s="786">
        <v>0</v>
      </c>
      <c r="P361" s="786">
        <v>0</v>
      </c>
      <c r="Q361" s="785">
        <v>13910</v>
      </c>
      <c r="R361" s="785"/>
      <c r="S361" s="786">
        <v>225502</v>
      </c>
      <c r="T361" s="788">
        <v>-1521</v>
      </c>
      <c r="U361" s="788">
        <f>223980+1</f>
        <v>223981</v>
      </c>
    </row>
    <row r="362" spans="1:21" x14ac:dyDescent="0.25">
      <c r="A362" s="782">
        <v>93661</v>
      </c>
      <c r="B362" s="783" t="s">
        <v>2975</v>
      </c>
      <c r="C362" s="784">
        <v>1.3410000000000001E-4</v>
      </c>
      <c r="D362" s="784">
        <v>1.3420000000000001E-4</v>
      </c>
      <c r="E362" s="815">
        <v>66084</v>
      </c>
      <c r="F362" s="818">
        <v>284817</v>
      </c>
      <c r="G362" s="785">
        <v>204868</v>
      </c>
      <c r="H362" s="785"/>
      <c r="I362" s="786">
        <v>11802</v>
      </c>
      <c r="J362" s="787">
        <v>49742</v>
      </c>
      <c r="K362" s="786">
        <v>29258</v>
      </c>
      <c r="L362" s="785">
        <v>11769</v>
      </c>
      <c r="M362" s="785"/>
      <c r="N362" s="786">
        <v>5799</v>
      </c>
      <c r="O362" s="786">
        <v>0</v>
      </c>
      <c r="P362" s="786">
        <v>0</v>
      </c>
      <c r="Q362" s="785">
        <v>0</v>
      </c>
      <c r="R362" s="785"/>
      <c r="S362" s="786">
        <v>69041</v>
      </c>
      <c r="T362" s="788">
        <v>4842</v>
      </c>
      <c r="U362" s="788">
        <v>73883</v>
      </c>
    </row>
    <row r="363" spans="1:21" x14ac:dyDescent="0.25">
      <c r="A363" s="782">
        <v>93671</v>
      </c>
      <c r="B363" s="783" t="s">
        <v>2976</v>
      </c>
      <c r="C363" s="784">
        <v>3.5530000000000002E-4</v>
      </c>
      <c r="D363" s="784">
        <v>3.6900000000000002E-4</v>
      </c>
      <c r="E363" s="815">
        <v>172672</v>
      </c>
      <c r="F363" s="818">
        <v>783142</v>
      </c>
      <c r="G363" s="785">
        <v>542800</v>
      </c>
      <c r="H363" s="785"/>
      <c r="I363" s="786">
        <v>31270</v>
      </c>
      <c r="J363" s="787">
        <v>131793</v>
      </c>
      <c r="K363" s="786">
        <v>77519</v>
      </c>
      <c r="L363" s="785">
        <v>38666</v>
      </c>
      <c r="M363" s="785"/>
      <c r="N363" s="786">
        <v>15365</v>
      </c>
      <c r="O363" s="786">
        <v>0</v>
      </c>
      <c r="P363" s="786">
        <v>0</v>
      </c>
      <c r="Q363" s="785">
        <v>2899</v>
      </c>
      <c r="R363" s="785"/>
      <c r="S363" s="786">
        <v>182924</v>
      </c>
      <c r="T363" s="788">
        <v>28467</v>
      </c>
      <c r="U363" s="788">
        <v>211391</v>
      </c>
    </row>
    <row r="364" spans="1:21" x14ac:dyDescent="0.25">
      <c r="A364" s="782">
        <v>93677</v>
      </c>
      <c r="B364" s="783" t="s">
        <v>1495</v>
      </c>
      <c r="C364" s="784">
        <v>0</v>
      </c>
      <c r="D364" s="784">
        <v>0</v>
      </c>
      <c r="E364" s="815">
        <v>0</v>
      </c>
      <c r="F364" s="818">
        <v>0</v>
      </c>
      <c r="G364" s="785">
        <v>0</v>
      </c>
      <c r="H364" s="785"/>
      <c r="I364" s="786">
        <v>0</v>
      </c>
      <c r="J364" s="787">
        <v>0</v>
      </c>
      <c r="K364" s="786">
        <v>0</v>
      </c>
      <c r="L364" s="785">
        <v>0</v>
      </c>
      <c r="M364" s="785"/>
      <c r="N364" s="786">
        <v>0</v>
      </c>
      <c r="O364" s="786">
        <v>0</v>
      </c>
      <c r="P364" s="786">
        <v>0</v>
      </c>
      <c r="Q364" s="785">
        <v>718</v>
      </c>
      <c r="R364" s="785"/>
      <c r="S364" s="786">
        <v>0</v>
      </c>
      <c r="T364" s="788">
        <v>-725</v>
      </c>
      <c r="U364" s="788">
        <v>-725</v>
      </c>
    </row>
    <row r="365" spans="1:21" x14ac:dyDescent="0.25">
      <c r="A365" s="782">
        <v>93681</v>
      </c>
      <c r="B365" s="783" t="s">
        <v>2977</v>
      </c>
      <c r="C365" s="784">
        <v>1.1179999999999999E-4</v>
      </c>
      <c r="D365" s="784">
        <v>1.1010000000000001E-4</v>
      </c>
      <c r="E365" s="815">
        <v>48115</v>
      </c>
      <c r="F365" s="818">
        <v>233669</v>
      </c>
      <c r="G365" s="785">
        <v>170799</v>
      </c>
      <c r="H365" s="785"/>
      <c r="I365" s="786">
        <v>9840</v>
      </c>
      <c r="J365" s="787">
        <v>41470</v>
      </c>
      <c r="K365" s="786">
        <v>24393</v>
      </c>
      <c r="L365" s="785">
        <v>264</v>
      </c>
      <c r="M365" s="785"/>
      <c r="N365" s="786">
        <v>4835</v>
      </c>
      <c r="O365" s="786">
        <v>0</v>
      </c>
      <c r="P365" s="786">
        <v>0</v>
      </c>
      <c r="Q365" s="785">
        <v>12629</v>
      </c>
      <c r="R365" s="785"/>
      <c r="S365" s="786">
        <v>57560</v>
      </c>
      <c r="T365" s="788">
        <v>-6498</v>
      </c>
      <c r="U365" s="788">
        <f>51061+1</f>
        <v>51062</v>
      </c>
    </row>
    <row r="366" spans="1:21" x14ac:dyDescent="0.25">
      <c r="A366" s="782">
        <v>93691</v>
      </c>
      <c r="B366" s="783" t="s">
        <v>2978</v>
      </c>
      <c r="C366" s="784">
        <v>1.0858E-3</v>
      </c>
      <c r="D366" s="784">
        <v>1.1251E-3</v>
      </c>
      <c r="E366" s="815">
        <v>464182</v>
      </c>
      <c r="F366" s="818">
        <v>2387839</v>
      </c>
      <c r="G366" s="785">
        <v>1658802</v>
      </c>
      <c r="H366" s="785"/>
      <c r="I366" s="786">
        <v>95562</v>
      </c>
      <c r="J366" s="787">
        <v>402759</v>
      </c>
      <c r="K366" s="786">
        <v>236900</v>
      </c>
      <c r="L366" s="785">
        <v>0</v>
      </c>
      <c r="M366" s="785"/>
      <c r="N366" s="786">
        <v>46955</v>
      </c>
      <c r="O366" s="786">
        <v>0</v>
      </c>
      <c r="P366" s="786">
        <v>0</v>
      </c>
      <c r="Q366" s="785">
        <v>115438</v>
      </c>
      <c r="R366" s="785"/>
      <c r="S366" s="786">
        <v>559018</v>
      </c>
      <c r="T366" s="788">
        <v>-42411</v>
      </c>
      <c r="U366" s="788">
        <v>516607</v>
      </c>
    </row>
    <row r="367" spans="1:21" x14ac:dyDescent="0.25">
      <c r="A367" s="782">
        <v>93701</v>
      </c>
      <c r="B367" s="783" t="s">
        <v>3667</v>
      </c>
      <c r="C367" s="784">
        <v>4.5800000000000002E-4</v>
      </c>
      <c r="D367" s="784">
        <v>4.6200000000000001E-4</v>
      </c>
      <c r="E367" s="815">
        <v>201820</v>
      </c>
      <c r="F367" s="818">
        <v>0</v>
      </c>
      <c r="G367" s="785">
        <v>699697</v>
      </c>
      <c r="H367" s="785"/>
      <c r="I367" s="786">
        <v>40309</v>
      </c>
      <c r="J367" s="787">
        <v>169888</v>
      </c>
      <c r="K367" s="786">
        <v>99926</v>
      </c>
      <c r="L367" s="785">
        <v>7923</v>
      </c>
      <c r="M367" s="785"/>
      <c r="N367" s="786">
        <v>19806</v>
      </c>
      <c r="O367" s="786">
        <v>0</v>
      </c>
      <c r="P367" s="786">
        <v>0</v>
      </c>
      <c r="Q367" s="785">
        <v>17631</v>
      </c>
      <c r="R367" s="785"/>
      <c r="S367" s="786">
        <v>235799</v>
      </c>
      <c r="T367" s="788">
        <v>566</v>
      </c>
      <c r="U367" s="788">
        <v>236365</v>
      </c>
    </row>
    <row r="368" spans="1:21" x14ac:dyDescent="0.25">
      <c r="A368" s="782">
        <v>93704</v>
      </c>
      <c r="B368" s="783" t="s">
        <v>2980</v>
      </c>
      <c r="C368" s="784">
        <v>3.0000000000000001E-6</v>
      </c>
      <c r="D368" s="784">
        <v>3.3000000000000002E-6</v>
      </c>
      <c r="E368" s="815">
        <v>1962</v>
      </c>
      <c r="F368" s="818">
        <v>7004</v>
      </c>
      <c r="G368" s="785">
        <v>4583</v>
      </c>
      <c r="H368" s="785"/>
      <c r="I368" s="786">
        <v>264</v>
      </c>
      <c r="J368" s="787">
        <v>1113</v>
      </c>
      <c r="K368" s="786">
        <v>655</v>
      </c>
      <c r="L368" s="785">
        <v>578</v>
      </c>
      <c r="M368" s="785"/>
      <c r="N368" s="786">
        <v>130</v>
      </c>
      <c r="O368" s="786">
        <v>0</v>
      </c>
      <c r="P368" s="786">
        <v>0</v>
      </c>
      <c r="Q368" s="785">
        <v>49</v>
      </c>
      <c r="R368" s="785"/>
      <c r="S368" s="786">
        <v>1545</v>
      </c>
      <c r="T368" s="788">
        <v>136</v>
      </c>
      <c r="U368" s="788">
        <v>1681</v>
      </c>
    </row>
    <row r="369" spans="1:21" x14ac:dyDescent="0.25">
      <c r="A369" s="782">
        <v>93801</v>
      </c>
      <c r="B369" s="783" t="s">
        <v>2981</v>
      </c>
      <c r="C369" s="784">
        <v>4.7889999999999999E-4</v>
      </c>
      <c r="D369" s="784">
        <v>5.4180000000000005E-4</v>
      </c>
      <c r="E369" s="815">
        <v>205984</v>
      </c>
      <c r="F369" s="818">
        <v>1149881</v>
      </c>
      <c r="G369" s="785">
        <v>731627</v>
      </c>
      <c r="H369" s="785"/>
      <c r="I369" s="786">
        <v>42148</v>
      </c>
      <c r="J369" s="787">
        <v>177639</v>
      </c>
      <c r="K369" s="786">
        <v>104486</v>
      </c>
      <c r="L369" s="785">
        <v>113630</v>
      </c>
      <c r="M369" s="785"/>
      <c r="N369" s="786">
        <v>20710</v>
      </c>
      <c r="O369" s="786">
        <v>0</v>
      </c>
      <c r="P369" s="786">
        <v>0</v>
      </c>
      <c r="Q369" s="785">
        <v>54734</v>
      </c>
      <c r="R369" s="785"/>
      <c r="S369" s="786">
        <v>246559</v>
      </c>
      <c r="T369" s="788">
        <v>28052</v>
      </c>
      <c r="U369" s="788">
        <v>274611</v>
      </c>
    </row>
    <row r="370" spans="1:21" x14ac:dyDescent="0.25">
      <c r="A370" s="782">
        <v>93803</v>
      </c>
      <c r="B370" s="783" t="s">
        <v>2982</v>
      </c>
      <c r="C370" s="784">
        <v>1.1900000000000001E-4</v>
      </c>
      <c r="D370" s="784">
        <v>1.4469999999999999E-4</v>
      </c>
      <c r="E370" s="815">
        <v>50573</v>
      </c>
      <c r="F370" s="818">
        <v>307102</v>
      </c>
      <c r="G370" s="785">
        <v>181799</v>
      </c>
      <c r="H370" s="785"/>
      <c r="I370" s="786">
        <v>10473</v>
      </c>
      <c r="J370" s="787">
        <v>44141</v>
      </c>
      <c r="K370" s="786">
        <v>25963</v>
      </c>
      <c r="L370" s="785">
        <v>0</v>
      </c>
      <c r="M370" s="785"/>
      <c r="N370" s="786">
        <v>5146</v>
      </c>
      <c r="O370" s="786">
        <v>0</v>
      </c>
      <c r="P370" s="786">
        <v>0</v>
      </c>
      <c r="Q370" s="785">
        <v>42594</v>
      </c>
      <c r="R370" s="785"/>
      <c r="S370" s="786">
        <v>61266</v>
      </c>
      <c r="T370" s="788">
        <v>-17510</v>
      </c>
      <c r="U370" s="788">
        <v>43756</v>
      </c>
    </row>
    <row r="371" spans="1:21" x14ac:dyDescent="0.25">
      <c r="A371" s="782">
        <v>93806</v>
      </c>
      <c r="B371" s="783" t="s">
        <v>2983</v>
      </c>
      <c r="C371" s="784">
        <v>9.3900000000000006E-5</v>
      </c>
      <c r="D371" s="784">
        <v>7.3700000000000002E-5</v>
      </c>
      <c r="E371" s="815">
        <v>41336</v>
      </c>
      <c r="F371" s="818">
        <v>156416</v>
      </c>
      <c r="G371" s="785">
        <v>143453</v>
      </c>
      <c r="H371" s="785"/>
      <c r="I371" s="786">
        <v>8264</v>
      </c>
      <c r="J371" s="787">
        <v>34831</v>
      </c>
      <c r="K371" s="786">
        <v>20487</v>
      </c>
      <c r="L371" s="785">
        <v>13283</v>
      </c>
      <c r="M371" s="785"/>
      <c r="N371" s="786">
        <v>4061</v>
      </c>
      <c r="O371" s="786">
        <v>0</v>
      </c>
      <c r="P371" s="786">
        <v>0</v>
      </c>
      <c r="Q371" s="785">
        <v>10049</v>
      </c>
      <c r="R371" s="785"/>
      <c r="S371" s="786">
        <v>48344</v>
      </c>
      <c r="T371" s="788">
        <v>-6121</v>
      </c>
      <c r="U371" s="788">
        <v>42223</v>
      </c>
    </row>
    <row r="372" spans="1:21" x14ac:dyDescent="0.25">
      <c r="A372" s="782">
        <v>93821</v>
      </c>
      <c r="B372" s="783" t="s">
        <v>2984</v>
      </c>
      <c r="C372" s="784">
        <v>2.9899999999999998E-5</v>
      </c>
      <c r="D372" s="784">
        <v>5.7200000000000001E-5</v>
      </c>
      <c r="E372" s="815">
        <v>36177</v>
      </c>
      <c r="F372" s="818">
        <v>121398</v>
      </c>
      <c r="G372" s="785">
        <v>45679</v>
      </c>
      <c r="H372" s="785"/>
      <c r="I372" s="786">
        <v>2632</v>
      </c>
      <c r="J372" s="787">
        <v>11090</v>
      </c>
      <c r="K372" s="786">
        <v>6524</v>
      </c>
      <c r="L372" s="785">
        <v>18424</v>
      </c>
      <c r="M372" s="785"/>
      <c r="N372" s="786">
        <v>1293</v>
      </c>
      <c r="O372" s="786">
        <v>0</v>
      </c>
      <c r="P372" s="786">
        <v>0</v>
      </c>
      <c r="Q372" s="785">
        <v>343</v>
      </c>
      <c r="R372" s="785"/>
      <c r="S372" s="786">
        <v>15394</v>
      </c>
      <c r="T372" s="788">
        <v>7633</v>
      </c>
      <c r="U372" s="788">
        <f>23026+1</f>
        <v>23027</v>
      </c>
    </row>
    <row r="373" spans="1:21" x14ac:dyDescent="0.25">
      <c r="A373" s="782">
        <v>93901</v>
      </c>
      <c r="B373" s="783" t="s">
        <v>2985</v>
      </c>
      <c r="C373" s="784">
        <v>1.7974E-3</v>
      </c>
      <c r="D373" s="784">
        <v>1.8059E-3</v>
      </c>
      <c r="E373" s="815">
        <v>887170</v>
      </c>
      <c r="F373" s="818">
        <v>3832725</v>
      </c>
      <c r="G373" s="785">
        <v>2745929</v>
      </c>
      <c r="H373" s="785"/>
      <c r="I373" s="786">
        <v>158191</v>
      </c>
      <c r="J373" s="787">
        <v>666715</v>
      </c>
      <c r="K373" s="786">
        <v>392157</v>
      </c>
      <c r="L373" s="785">
        <v>89069</v>
      </c>
      <c r="M373" s="785"/>
      <c r="N373" s="786">
        <v>77729</v>
      </c>
      <c r="O373" s="786">
        <v>0</v>
      </c>
      <c r="P373" s="786">
        <v>0</v>
      </c>
      <c r="Q373" s="785">
        <v>0</v>
      </c>
      <c r="R373" s="785"/>
      <c r="S373" s="786">
        <v>925381</v>
      </c>
      <c r="T373" s="788">
        <v>32657</v>
      </c>
      <c r="U373" s="788">
        <v>958038</v>
      </c>
    </row>
    <row r="374" spans="1:21" x14ac:dyDescent="0.25">
      <c r="A374" s="782">
        <v>93904</v>
      </c>
      <c r="B374" s="783" t="s">
        <v>2986</v>
      </c>
      <c r="C374" s="784">
        <v>3.0000000000000001E-5</v>
      </c>
      <c r="D374" s="784">
        <v>2.4700000000000001E-5</v>
      </c>
      <c r="E374" s="815">
        <v>17302</v>
      </c>
      <c r="F374" s="818">
        <v>52422</v>
      </c>
      <c r="G374" s="785">
        <v>45832</v>
      </c>
      <c r="H374" s="785"/>
      <c r="I374" s="786">
        <v>2640</v>
      </c>
      <c r="J374" s="787">
        <v>11128</v>
      </c>
      <c r="K374" s="786">
        <v>6545</v>
      </c>
      <c r="L374" s="785">
        <v>9710</v>
      </c>
      <c r="M374" s="785"/>
      <c r="N374" s="786">
        <v>1297</v>
      </c>
      <c r="O374" s="786">
        <v>0</v>
      </c>
      <c r="P374" s="786">
        <v>0</v>
      </c>
      <c r="Q374" s="785">
        <v>28</v>
      </c>
      <c r="R374" s="785"/>
      <c r="S374" s="786">
        <v>15445</v>
      </c>
      <c r="T374" s="788">
        <v>3144</v>
      </c>
      <c r="U374" s="788">
        <v>18589</v>
      </c>
    </row>
    <row r="375" spans="1:21" x14ac:dyDescent="0.25">
      <c r="A375" s="782">
        <v>93906</v>
      </c>
      <c r="B375" s="783" t="s">
        <v>2987</v>
      </c>
      <c r="C375" s="784">
        <v>3.3882000000000001E-3</v>
      </c>
      <c r="D375" s="784">
        <v>3.4513E-3</v>
      </c>
      <c r="E375" s="815">
        <v>1486051</v>
      </c>
      <c r="F375" s="818">
        <v>7324815</v>
      </c>
      <c r="G375" s="785">
        <v>5176231</v>
      </c>
      <c r="H375" s="785"/>
      <c r="I375" s="786">
        <v>298199</v>
      </c>
      <c r="J375" s="787">
        <v>1256796</v>
      </c>
      <c r="K375" s="786">
        <v>739237</v>
      </c>
      <c r="L375" s="785">
        <v>14983</v>
      </c>
      <c r="M375" s="785"/>
      <c r="N375" s="786">
        <v>146523</v>
      </c>
      <c r="O375" s="786">
        <v>0</v>
      </c>
      <c r="P375" s="786">
        <v>0</v>
      </c>
      <c r="Q375" s="785">
        <v>222323</v>
      </c>
      <c r="R375" s="785"/>
      <c r="S375" s="786">
        <v>1744394</v>
      </c>
      <c r="T375" s="788">
        <v>-70525</v>
      </c>
      <c r="U375" s="788">
        <v>1673869</v>
      </c>
    </row>
    <row r="376" spans="1:21" x14ac:dyDescent="0.25">
      <c r="A376" s="782">
        <v>93908</v>
      </c>
      <c r="B376" s="783" t="s">
        <v>3668</v>
      </c>
      <c r="C376" s="784">
        <v>5.1219999999999998E-4</v>
      </c>
      <c r="D376" s="784">
        <v>5.0239999999999996E-4</v>
      </c>
      <c r="E376" s="815">
        <v>237114</v>
      </c>
      <c r="F376" s="818">
        <v>0</v>
      </c>
      <c r="G376" s="785">
        <v>782500</v>
      </c>
      <c r="H376" s="785"/>
      <c r="I376" s="786">
        <v>45079</v>
      </c>
      <c r="J376" s="787">
        <v>189992</v>
      </c>
      <c r="K376" s="786">
        <v>111752</v>
      </c>
      <c r="L376" s="785">
        <v>12340</v>
      </c>
      <c r="M376" s="785"/>
      <c r="N376" s="786">
        <v>22150</v>
      </c>
      <c r="O376" s="786">
        <v>0</v>
      </c>
      <c r="P376" s="786">
        <v>0</v>
      </c>
      <c r="Q376" s="785">
        <v>16479</v>
      </c>
      <c r="R376" s="785"/>
      <c r="S376" s="786">
        <v>263703</v>
      </c>
      <c r="T376" s="788">
        <v>-2302</v>
      </c>
      <c r="U376" s="788">
        <v>261401</v>
      </c>
    </row>
    <row r="377" spans="1:21" x14ac:dyDescent="0.25">
      <c r="A377" s="782">
        <v>93910</v>
      </c>
      <c r="B377" s="783" t="s">
        <v>2989</v>
      </c>
      <c r="C377" s="784">
        <v>2.786E-4</v>
      </c>
      <c r="D377" s="784">
        <v>2.9129999999999998E-4</v>
      </c>
      <c r="E377" s="815">
        <v>117578</v>
      </c>
      <c r="F377" s="818">
        <v>618236</v>
      </c>
      <c r="G377" s="785">
        <v>425624</v>
      </c>
      <c r="H377" s="785"/>
      <c r="I377" s="786">
        <v>24520</v>
      </c>
      <c r="J377" s="787">
        <v>103342</v>
      </c>
      <c r="K377" s="786">
        <v>60785</v>
      </c>
      <c r="L377" s="785">
        <v>0</v>
      </c>
      <c r="M377" s="785"/>
      <c r="N377" s="786">
        <v>12048</v>
      </c>
      <c r="O377" s="786">
        <v>0</v>
      </c>
      <c r="P377" s="786">
        <v>0</v>
      </c>
      <c r="Q377" s="785">
        <v>34002</v>
      </c>
      <c r="R377" s="785"/>
      <c r="S377" s="786">
        <v>143436</v>
      </c>
      <c r="T377" s="788">
        <v>-14513</v>
      </c>
      <c r="U377" s="788">
        <v>128923</v>
      </c>
    </row>
    <row r="378" spans="1:21" x14ac:dyDescent="0.25">
      <c r="A378" s="782">
        <v>93911</v>
      </c>
      <c r="B378" s="783" t="s">
        <v>2990</v>
      </c>
      <c r="C378" s="784">
        <v>6.3429999999999997E-4</v>
      </c>
      <c r="D378" s="784">
        <v>6.9890000000000002E-4</v>
      </c>
      <c r="E378" s="815">
        <v>301989</v>
      </c>
      <c r="F378" s="818">
        <v>1483300</v>
      </c>
      <c r="G378" s="785">
        <v>969035</v>
      </c>
      <c r="H378" s="785"/>
      <c r="I378" s="786">
        <v>55825</v>
      </c>
      <c r="J378" s="787">
        <v>235283</v>
      </c>
      <c r="K378" s="786">
        <v>138392</v>
      </c>
      <c r="L378" s="785">
        <v>13175</v>
      </c>
      <c r="M378" s="785"/>
      <c r="N378" s="786">
        <v>27430</v>
      </c>
      <c r="O378" s="786">
        <v>0</v>
      </c>
      <c r="P378" s="786">
        <v>0</v>
      </c>
      <c r="Q378" s="785">
        <v>54353</v>
      </c>
      <c r="R378" s="785"/>
      <c r="S378" s="786">
        <v>326566</v>
      </c>
      <c r="T378" s="788">
        <v>-6922</v>
      </c>
      <c r="U378" s="788">
        <v>319644</v>
      </c>
    </row>
    <row r="379" spans="1:21" x14ac:dyDescent="0.25">
      <c r="A379" s="782">
        <v>93913</v>
      </c>
      <c r="B379" s="783" t="s">
        <v>2991</v>
      </c>
      <c r="C379" s="784">
        <v>5.8799999999999999E-5</v>
      </c>
      <c r="D379" s="784">
        <v>6.2600000000000004E-5</v>
      </c>
      <c r="E379" s="815">
        <v>29910</v>
      </c>
      <c r="F379" s="818">
        <v>132858</v>
      </c>
      <c r="G379" s="785">
        <v>89830</v>
      </c>
      <c r="H379" s="785"/>
      <c r="I379" s="786">
        <v>5175</v>
      </c>
      <c r="J379" s="787">
        <v>21810</v>
      </c>
      <c r="K379" s="786">
        <v>12829</v>
      </c>
      <c r="L379" s="785">
        <v>2902</v>
      </c>
      <c r="M379" s="785"/>
      <c r="N379" s="786">
        <v>2543</v>
      </c>
      <c r="O379" s="786">
        <v>0</v>
      </c>
      <c r="P379" s="786">
        <v>0</v>
      </c>
      <c r="Q379" s="785">
        <v>1064</v>
      </c>
      <c r="R379" s="785"/>
      <c r="S379" s="786">
        <v>30273</v>
      </c>
      <c r="T379" s="788">
        <v>476</v>
      </c>
      <c r="U379" s="788">
        <v>30749</v>
      </c>
    </row>
    <row r="380" spans="1:21" x14ac:dyDescent="0.25">
      <c r="A380" s="782">
        <v>93914</v>
      </c>
      <c r="B380" s="783" t="s">
        <v>2992</v>
      </c>
      <c r="C380" s="784">
        <v>8.1000000000000004E-6</v>
      </c>
      <c r="D380" s="784">
        <v>9.0999999999999993E-6</v>
      </c>
      <c r="E380" s="815">
        <v>6536</v>
      </c>
      <c r="F380" s="818">
        <v>19313</v>
      </c>
      <c r="G380" s="785">
        <v>12375</v>
      </c>
      <c r="H380" s="785"/>
      <c r="I380" s="786">
        <v>713</v>
      </c>
      <c r="J380" s="787">
        <v>3005</v>
      </c>
      <c r="K380" s="786">
        <v>1767</v>
      </c>
      <c r="L380" s="785">
        <v>3568</v>
      </c>
      <c r="M380" s="785"/>
      <c r="N380" s="786">
        <v>350</v>
      </c>
      <c r="O380" s="786">
        <v>0</v>
      </c>
      <c r="P380" s="786">
        <v>0</v>
      </c>
      <c r="Q380" s="785">
        <v>0</v>
      </c>
      <c r="R380" s="785"/>
      <c r="S380" s="786">
        <v>4170</v>
      </c>
      <c r="T380" s="788">
        <v>1520</v>
      </c>
      <c r="U380" s="788">
        <v>5690</v>
      </c>
    </row>
    <row r="381" spans="1:21" x14ac:dyDescent="0.25">
      <c r="A381" s="782">
        <v>93921</v>
      </c>
      <c r="B381" s="783" t="s">
        <v>2993</v>
      </c>
      <c r="C381" s="784">
        <v>2.9020000000000001E-4</v>
      </c>
      <c r="D381" s="784">
        <v>2.7139999999999998E-4</v>
      </c>
      <c r="E381" s="815">
        <v>126884</v>
      </c>
      <c r="F381" s="818">
        <v>576002</v>
      </c>
      <c r="G381" s="785">
        <v>443345</v>
      </c>
      <c r="H381" s="785"/>
      <c r="I381" s="786">
        <v>25541</v>
      </c>
      <c r="J381" s="787">
        <v>107645</v>
      </c>
      <c r="K381" s="786">
        <v>63316</v>
      </c>
      <c r="L381" s="785">
        <v>16222</v>
      </c>
      <c r="M381" s="785"/>
      <c r="N381" s="786">
        <v>12550</v>
      </c>
      <c r="O381" s="786">
        <v>0</v>
      </c>
      <c r="P381" s="786">
        <v>0</v>
      </c>
      <c r="Q381" s="785">
        <v>5036</v>
      </c>
      <c r="R381" s="785"/>
      <c r="S381" s="786">
        <v>149408</v>
      </c>
      <c r="T381" s="788">
        <v>6326</v>
      </c>
      <c r="U381" s="788">
        <v>155734</v>
      </c>
    </row>
    <row r="382" spans="1:21" x14ac:dyDescent="0.25">
      <c r="A382" s="782">
        <v>93931</v>
      </c>
      <c r="B382" s="783" t="s">
        <v>2994</v>
      </c>
      <c r="C382" s="784">
        <v>5.0029999999999996E-4</v>
      </c>
      <c r="D382" s="784">
        <v>5.2260000000000002E-4</v>
      </c>
      <c r="E382" s="815">
        <v>212623</v>
      </c>
      <c r="F382" s="818">
        <v>1109132</v>
      </c>
      <c r="G382" s="785">
        <v>764320</v>
      </c>
      <c r="H382" s="785"/>
      <c r="I382" s="786">
        <v>44032</v>
      </c>
      <c r="J382" s="787">
        <v>185578</v>
      </c>
      <c r="K382" s="786">
        <v>109155</v>
      </c>
      <c r="L382" s="785">
        <v>107572</v>
      </c>
      <c r="M382" s="785"/>
      <c r="N382" s="786">
        <v>21635</v>
      </c>
      <c r="O382" s="786">
        <v>0</v>
      </c>
      <c r="P382" s="786">
        <v>0</v>
      </c>
      <c r="Q382" s="785">
        <v>39017</v>
      </c>
      <c r="R382" s="785"/>
      <c r="S382" s="786">
        <v>257576</v>
      </c>
      <c r="T382" s="788">
        <v>79129</v>
      </c>
      <c r="U382" s="788">
        <v>336705</v>
      </c>
    </row>
    <row r="383" spans="1:21" x14ac:dyDescent="0.25">
      <c r="A383" s="782">
        <v>94001</v>
      </c>
      <c r="B383" s="783" t="s">
        <v>2995</v>
      </c>
      <c r="C383" s="784">
        <v>9.209E-4</v>
      </c>
      <c r="D383" s="784">
        <v>9.0240000000000003E-4</v>
      </c>
      <c r="E383" s="815">
        <v>430503</v>
      </c>
      <c r="F383" s="818">
        <v>1915195</v>
      </c>
      <c r="G383" s="785">
        <v>1406880</v>
      </c>
      <c r="H383" s="785"/>
      <c r="I383" s="786">
        <v>81049</v>
      </c>
      <c r="J383" s="787">
        <v>341592</v>
      </c>
      <c r="K383" s="786">
        <v>200922</v>
      </c>
      <c r="L383" s="785">
        <v>45532</v>
      </c>
      <c r="M383" s="785"/>
      <c r="N383" s="786">
        <v>39824</v>
      </c>
      <c r="O383" s="786">
        <v>0</v>
      </c>
      <c r="P383" s="786">
        <v>0</v>
      </c>
      <c r="Q383" s="785">
        <v>27168</v>
      </c>
      <c r="R383" s="785"/>
      <c r="S383" s="786">
        <v>474120</v>
      </c>
      <c r="T383" s="788">
        <v>-12411</v>
      </c>
      <c r="U383" s="788">
        <v>461709</v>
      </c>
    </row>
    <row r="384" spans="1:21" x14ac:dyDescent="0.25">
      <c r="A384" s="782">
        <v>94002</v>
      </c>
      <c r="B384" s="783" t="s">
        <v>2996</v>
      </c>
      <c r="C384" s="784">
        <v>7.0999999999999998E-6</v>
      </c>
      <c r="D384" s="784">
        <v>7.6000000000000001E-6</v>
      </c>
      <c r="E384" s="815">
        <v>4693</v>
      </c>
      <c r="F384" s="818">
        <v>16130</v>
      </c>
      <c r="G384" s="785">
        <v>10847</v>
      </c>
      <c r="H384" s="785"/>
      <c r="I384" s="786">
        <v>625</v>
      </c>
      <c r="J384" s="787">
        <v>2633</v>
      </c>
      <c r="K384" s="786">
        <v>1549</v>
      </c>
      <c r="L384" s="785">
        <v>1428</v>
      </c>
      <c r="M384" s="785"/>
      <c r="N384" s="786">
        <v>307</v>
      </c>
      <c r="O384" s="786">
        <v>0</v>
      </c>
      <c r="P384" s="786">
        <v>0</v>
      </c>
      <c r="Q384" s="785">
        <v>214</v>
      </c>
      <c r="R384" s="785"/>
      <c r="S384" s="786">
        <v>3655</v>
      </c>
      <c r="T384" s="788">
        <v>237</v>
      </c>
      <c r="U384" s="788">
        <v>3892</v>
      </c>
    </row>
    <row r="385" spans="1:21" x14ac:dyDescent="0.25">
      <c r="A385" s="782">
        <v>94004</v>
      </c>
      <c r="B385" s="783" t="s">
        <v>2997</v>
      </c>
      <c r="C385" s="784">
        <v>7.3000000000000004E-6</v>
      </c>
      <c r="D385" s="784">
        <v>2.7999999999999999E-6</v>
      </c>
      <c r="E385" s="815">
        <v>4145</v>
      </c>
      <c r="F385" s="818">
        <v>5943</v>
      </c>
      <c r="G385" s="785">
        <v>11152</v>
      </c>
      <c r="H385" s="785"/>
      <c r="I385" s="786">
        <v>642</v>
      </c>
      <c r="J385" s="787">
        <v>2708</v>
      </c>
      <c r="K385" s="786">
        <v>1593</v>
      </c>
      <c r="L385" s="785">
        <v>4768</v>
      </c>
      <c r="M385" s="785"/>
      <c r="N385" s="786">
        <v>316</v>
      </c>
      <c r="O385" s="786">
        <v>0</v>
      </c>
      <c r="P385" s="786">
        <v>0</v>
      </c>
      <c r="Q385" s="785">
        <v>626</v>
      </c>
      <c r="R385" s="785"/>
      <c r="S385" s="786">
        <v>3758</v>
      </c>
      <c r="T385" s="788">
        <v>706</v>
      </c>
      <c r="U385" s="788">
        <v>4464</v>
      </c>
    </row>
    <row r="386" spans="1:21" x14ac:dyDescent="0.25">
      <c r="A386" s="782">
        <v>94005</v>
      </c>
      <c r="B386" s="783" t="s">
        <v>2998</v>
      </c>
      <c r="C386" s="784">
        <v>0</v>
      </c>
      <c r="D386" s="784">
        <v>5.4999999999999999E-6</v>
      </c>
      <c r="E386" s="815">
        <v>560</v>
      </c>
      <c r="F386" s="818">
        <v>11673</v>
      </c>
      <c r="G386" s="785">
        <v>0</v>
      </c>
      <c r="H386" s="785"/>
      <c r="I386" s="786">
        <v>0</v>
      </c>
      <c r="J386" s="787">
        <v>0</v>
      </c>
      <c r="K386" s="786">
        <v>0</v>
      </c>
      <c r="L386" s="785">
        <v>0</v>
      </c>
      <c r="M386" s="785"/>
      <c r="N386" s="786">
        <v>0</v>
      </c>
      <c r="O386" s="786">
        <v>0</v>
      </c>
      <c r="P386" s="786">
        <v>0</v>
      </c>
      <c r="Q386" s="785">
        <v>5864</v>
      </c>
      <c r="R386" s="785"/>
      <c r="S386" s="786">
        <v>0</v>
      </c>
      <c r="T386" s="788">
        <v>-1984</v>
      </c>
      <c r="U386" s="788">
        <v>-1984</v>
      </c>
    </row>
    <row r="387" spans="1:21" x14ac:dyDescent="0.25">
      <c r="A387" s="782">
        <v>94011</v>
      </c>
      <c r="B387" s="783" t="s">
        <v>2999</v>
      </c>
      <c r="C387" s="784">
        <v>2.3600000000000001E-5</v>
      </c>
      <c r="D387" s="784">
        <v>2.5599999999999999E-5</v>
      </c>
      <c r="E387" s="815">
        <v>9233</v>
      </c>
      <c r="F387" s="818">
        <v>54332</v>
      </c>
      <c r="G387" s="785">
        <v>36054</v>
      </c>
      <c r="H387" s="785"/>
      <c r="I387" s="786">
        <v>2077</v>
      </c>
      <c r="J387" s="787">
        <v>8754</v>
      </c>
      <c r="K387" s="786">
        <v>5149</v>
      </c>
      <c r="L387" s="785">
        <v>3216</v>
      </c>
      <c r="M387" s="785"/>
      <c r="N387" s="786">
        <v>1021</v>
      </c>
      <c r="O387" s="786">
        <v>0</v>
      </c>
      <c r="P387" s="786">
        <v>0</v>
      </c>
      <c r="Q387" s="785">
        <v>3156</v>
      </c>
      <c r="R387" s="785"/>
      <c r="S387" s="786">
        <v>12150</v>
      </c>
      <c r="T387" s="788">
        <v>-16</v>
      </c>
      <c r="U387" s="788">
        <v>12134</v>
      </c>
    </row>
    <row r="388" spans="1:21" x14ac:dyDescent="0.25">
      <c r="A388" s="782">
        <v>94021</v>
      </c>
      <c r="B388" s="783" t="s">
        <v>3000</v>
      </c>
      <c r="C388" s="784">
        <v>9.3399999999999993E-5</v>
      </c>
      <c r="D388" s="784">
        <v>8.1699999999999994E-5</v>
      </c>
      <c r="E388" s="815">
        <v>47346</v>
      </c>
      <c r="F388" s="818">
        <v>173395</v>
      </c>
      <c r="G388" s="785">
        <v>142689</v>
      </c>
      <c r="H388" s="785"/>
      <c r="I388" s="786">
        <v>8220</v>
      </c>
      <c r="J388" s="787">
        <v>34645</v>
      </c>
      <c r="K388" s="786">
        <v>20378</v>
      </c>
      <c r="L388" s="785">
        <v>20025</v>
      </c>
      <c r="M388" s="785"/>
      <c r="N388" s="786">
        <v>4039</v>
      </c>
      <c r="O388" s="786">
        <v>0</v>
      </c>
      <c r="P388" s="786">
        <v>0</v>
      </c>
      <c r="Q388" s="785">
        <v>0</v>
      </c>
      <c r="R388" s="785"/>
      <c r="S388" s="786">
        <v>48086</v>
      </c>
      <c r="T388" s="788">
        <v>8567</v>
      </c>
      <c r="U388" s="788">
        <v>56653</v>
      </c>
    </row>
    <row r="389" spans="1:21" x14ac:dyDescent="0.25">
      <c r="A389" s="782">
        <v>94031</v>
      </c>
      <c r="B389" s="783" t="s">
        <v>3001</v>
      </c>
      <c r="C389" s="784">
        <v>5.4E-6</v>
      </c>
      <c r="D389" s="784">
        <v>8.1000000000000004E-6</v>
      </c>
      <c r="E389" s="815">
        <v>6800</v>
      </c>
      <c r="F389" s="818">
        <v>17191</v>
      </c>
      <c r="G389" s="785">
        <v>8250</v>
      </c>
      <c r="H389" s="785"/>
      <c r="I389" s="786">
        <v>475</v>
      </c>
      <c r="J389" s="787">
        <v>2003</v>
      </c>
      <c r="K389" s="786">
        <v>1178</v>
      </c>
      <c r="L389" s="785">
        <v>7232</v>
      </c>
      <c r="M389" s="785"/>
      <c r="N389" s="786">
        <v>234</v>
      </c>
      <c r="O389" s="786">
        <v>0</v>
      </c>
      <c r="P389" s="786">
        <v>0</v>
      </c>
      <c r="Q389" s="785">
        <v>41</v>
      </c>
      <c r="R389" s="785"/>
      <c r="S389" s="786">
        <v>2780</v>
      </c>
      <c r="T389" s="788">
        <v>2829</v>
      </c>
      <c r="U389" s="788">
        <v>5609</v>
      </c>
    </row>
    <row r="390" spans="1:21" x14ac:dyDescent="0.25">
      <c r="A390" s="782">
        <v>94101</v>
      </c>
      <c r="B390" s="783" t="s">
        <v>3002</v>
      </c>
      <c r="C390" s="784">
        <v>1.8321799999999999E-2</v>
      </c>
      <c r="D390" s="784">
        <v>1.85028E-2</v>
      </c>
      <c r="E390" s="815">
        <v>8515875</v>
      </c>
      <c r="F390" s="818">
        <v>39269140</v>
      </c>
      <c r="G390" s="785">
        <v>27990635</v>
      </c>
      <c r="H390" s="785"/>
      <c r="I390" s="786">
        <v>1612520</v>
      </c>
      <c r="J390" s="787">
        <v>6796161</v>
      </c>
      <c r="K390" s="786">
        <v>3997450</v>
      </c>
      <c r="L390" s="785">
        <v>271577</v>
      </c>
      <c r="M390" s="785"/>
      <c r="N390" s="786">
        <v>792326</v>
      </c>
      <c r="O390" s="786">
        <v>0</v>
      </c>
      <c r="P390" s="786">
        <v>0</v>
      </c>
      <c r="Q390" s="785">
        <v>721969</v>
      </c>
      <c r="R390" s="785"/>
      <c r="S390" s="786">
        <v>9432869</v>
      </c>
      <c r="T390" s="788">
        <v>-270678</v>
      </c>
      <c r="U390" s="788">
        <v>9162191</v>
      </c>
    </row>
    <row r="391" spans="1:21" x14ac:dyDescent="0.25">
      <c r="A391" s="782">
        <v>94102</v>
      </c>
      <c r="B391" s="783" t="s">
        <v>3003</v>
      </c>
      <c r="C391" s="784">
        <v>2.965E-4</v>
      </c>
      <c r="D391" s="784">
        <v>2.7569999999999998E-4</v>
      </c>
      <c r="E391" s="815">
        <v>104557</v>
      </c>
      <c r="F391" s="818">
        <v>585128</v>
      </c>
      <c r="G391" s="785">
        <v>452970</v>
      </c>
      <c r="H391" s="785"/>
      <c r="I391" s="786">
        <v>26095</v>
      </c>
      <c r="J391" s="787">
        <v>109981</v>
      </c>
      <c r="K391" s="786">
        <v>64690</v>
      </c>
      <c r="L391" s="785">
        <v>2570</v>
      </c>
      <c r="M391" s="785"/>
      <c r="N391" s="786">
        <v>12822</v>
      </c>
      <c r="O391" s="786">
        <v>0</v>
      </c>
      <c r="P391" s="786">
        <v>0</v>
      </c>
      <c r="Q391" s="785">
        <v>36856</v>
      </c>
      <c r="R391" s="785"/>
      <c r="S391" s="786">
        <v>152651</v>
      </c>
      <c r="T391" s="788">
        <v>-11311</v>
      </c>
      <c r="U391" s="788">
        <v>141340</v>
      </c>
    </row>
    <row r="392" spans="1:21" x14ac:dyDescent="0.25">
      <c r="A392" s="782">
        <v>94108</v>
      </c>
      <c r="B392" s="783" t="s">
        <v>3004</v>
      </c>
      <c r="C392" s="784">
        <v>3.1389999999999999E-4</v>
      </c>
      <c r="D392" s="784">
        <v>3.1809999999999998E-4</v>
      </c>
      <c r="E392" s="815">
        <v>112936</v>
      </c>
      <c r="F392" s="818">
        <v>675115</v>
      </c>
      <c r="G392" s="785">
        <v>479552</v>
      </c>
      <c r="H392" s="785"/>
      <c r="I392" s="786">
        <v>27627</v>
      </c>
      <c r="J392" s="787">
        <v>116436</v>
      </c>
      <c r="K392" s="786">
        <v>68487</v>
      </c>
      <c r="L392" s="785">
        <v>0</v>
      </c>
      <c r="M392" s="785"/>
      <c r="N392" s="786">
        <v>13575</v>
      </c>
      <c r="O392" s="786">
        <v>0</v>
      </c>
      <c r="P392" s="786">
        <v>0</v>
      </c>
      <c r="Q392" s="785">
        <v>108607</v>
      </c>
      <c r="R392" s="785"/>
      <c r="S392" s="786">
        <v>161610</v>
      </c>
      <c r="T392" s="788">
        <v>-47459</v>
      </c>
      <c r="U392" s="788">
        <v>114151</v>
      </c>
    </row>
    <row r="393" spans="1:21" x14ac:dyDescent="0.25">
      <c r="A393" s="782">
        <v>94109</v>
      </c>
      <c r="B393" s="783" t="s">
        <v>3005</v>
      </c>
      <c r="C393" s="784">
        <v>9.09E-5</v>
      </c>
      <c r="D393" s="784">
        <v>1.0399999999999999E-4</v>
      </c>
      <c r="E393" s="815">
        <v>31710</v>
      </c>
      <c r="F393" s="818">
        <v>220723</v>
      </c>
      <c r="G393" s="785">
        <v>138870</v>
      </c>
      <c r="H393" s="785"/>
      <c r="I393" s="786">
        <v>8000</v>
      </c>
      <c r="J393" s="787">
        <v>33718</v>
      </c>
      <c r="K393" s="786">
        <v>19833</v>
      </c>
      <c r="L393" s="785">
        <v>796</v>
      </c>
      <c r="M393" s="785"/>
      <c r="N393" s="786">
        <v>3931</v>
      </c>
      <c r="O393" s="786">
        <v>0</v>
      </c>
      <c r="P393" s="786">
        <v>0</v>
      </c>
      <c r="Q393" s="785">
        <v>41294</v>
      </c>
      <c r="R393" s="785"/>
      <c r="S393" s="786">
        <v>46799</v>
      </c>
      <c r="T393" s="788">
        <v>-12890</v>
      </c>
      <c r="U393" s="788">
        <v>33909</v>
      </c>
    </row>
    <row r="394" spans="1:21" x14ac:dyDescent="0.25">
      <c r="A394" s="782">
        <v>94111</v>
      </c>
      <c r="B394" s="783" t="s">
        <v>3006</v>
      </c>
      <c r="C394" s="784">
        <v>2.5682300000000002E-2</v>
      </c>
      <c r="D394" s="784">
        <v>2.5623300000000002E-2</v>
      </c>
      <c r="E394" s="815">
        <v>11270051</v>
      </c>
      <c r="F394" s="818">
        <v>54381226</v>
      </c>
      <c r="G394" s="785">
        <v>39235440</v>
      </c>
      <c r="H394" s="785"/>
      <c r="I394" s="786">
        <v>2260325</v>
      </c>
      <c r="J394" s="787">
        <v>9526412</v>
      </c>
      <c r="K394" s="786">
        <v>5603364</v>
      </c>
      <c r="L394" s="785">
        <v>7528</v>
      </c>
      <c r="M394" s="785"/>
      <c r="N394" s="786">
        <v>1110631</v>
      </c>
      <c r="O394" s="786">
        <v>0</v>
      </c>
      <c r="P394" s="786">
        <v>0</v>
      </c>
      <c r="Q394" s="785">
        <v>1491627</v>
      </c>
      <c r="R394" s="785"/>
      <c r="S394" s="786">
        <v>13222378</v>
      </c>
      <c r="T394" s="788">
        <v>-524586</v>
      </c>
      <c r="U394" s="788">
        <v>12697792</v>
      </c>
    </row>
    <row r="395" spans="1:21" x14ac:dyDescent="0.25">
      <c r="A395" s="782">
        <v>94112</v>
      </c>
      <c r="B395" s="783" t="s">
        <v>3007</v>
      </c>
      <c r="C395" s="784">
        <v>1.6699999999999999E-4</v>
      </c>
      <c r="D395" s="784">
        <v>1.6530000000000001E-4</v>
      </c>
      <c r="E395" s="815">
        <v>68640</v>
      </c>
      <c r="F395" s="818">
        <v>350822</v>
      </c>
      <c r="G395" s="785">
        <v>255130</v>
      </c>
      <c r="H395" s="785"/>
      <c r="I395" s="786">
        <v>14698</v>
      </c>
      <c r="J395" s="787">
        <v>61946</v>
      </c>
      <c r="K395" s="786">
        <v>36436</v>
      </c>
      <c r="L395" s="785">
        <v>0</v>
      </c>
      <c r="M395" s="785"/>
      <c r="N395" s="786">
        <v>7222</v>
      </c>
      <c r="O395" s="786">
        <v>0</v>
      </c>
      <c r="P395" s="786">
        <v>0</v>
      </c>
      <c r="Q395" s="785">
        <v>18973</v>
      </c>
      <c r="R395" s="785"/>
      <c r="S395" s="786">
        <v>85979</v>
      </c>
      <c r="T395" s="788">
        <v>-8534</v>
      </c>
      <c r="U395" s="788">
        <v>77445</v>
      </c>
    </row>
    <row r="396" spans="1:21" x14ac:dyDescent="0.25">
      <c r="A396" s="782">
        <v>94117</v>
      </c>
      <c r="B396" s="783" t="s">
        <v>3008</v>
      </c>
      <c r="C396" s="784">
        <v>3.9809999999999997E-4</v>
      </c>
      <c r="D396" s="784">
        <v>4.0709999999999997E-4</v>
      </c>
      <c r="E396" s="815">
        <v>179744</v>
      </c>
      <c r="F396" s="818">
        <v>864003</v>
      </c>
      <c r="G396" s="785">
        <v>608187</v>
      </c>
      <c r="H396" s="785"/>
      <c r="I396" s="786">
        <v>35037</v>
      </c>
      <c r="J396" s="787">
        <v>147669</v>
      </c>
      <c r="K396" s="786">
        <v>86857</v>
      </c>
      <c r="L396" s="785">
        <v>8133</v>
      </c>
      <c r="M396" s="785"/>
      <c r="N396" s="786">
        <v>17216</v>
      </c>
      <c r="O396" s="786">
        <v>0</v>
      </c>
      <c r="P396" s="786">
        <v>0</v>
      </c>
      <c r="Q396" s="785">
        <v>15587</v>
      </c>
      <c r="R396" s="785"/>
      <c r="S396" s="786">
        <v>204959</v>
      </c>
      <c r="T396" s="788">
        <v>-79</v>
      </c>
      <c r="U396" s="788">
        <v>204880</v>
      </c>
    </row>
    <row r="397" spans="1:21" x14ac:dyDescent="0.25">
      <c r="A397" s="782">
        <v>94118</v>
      </c>
      <c r="B397" s="783" t="s">
        <v>3009</v>
      </c>
      <c r="C397" s="784">
        <v>1.494E-4</v>
      </c>
      <c r="D397" s="784">
        <v>1.63E-4</v>
      </c>
      <c r="E397" s="815">
        <v>57233</v>
      </c>
      <c r="F397" s="818">
        <v>345941</v>
      </c>
      <c r="G397" s="785">
        <v>228242</v>
      </c>
      <c r="H397" s="785"/>
      <c r="I397" s="786">
        <v>13149</v>
      </c>
      <c r="J397" s="787">
        <v>55417</v>
      </c>
      <c r="K397" s="786">
        <v>32596</v>
      </c>
      <c r="L397" s="785">
        <v>0</v>
      </c>
      <c r="M397" s="785"/>
      <c r="N397" s="786">
        <v>6461</v>
      </c>
      <c r="O397" s="786">
        <v>0</v>
      </c>
      <c r="P397" s="786">
        <v>0</v>
      </c>
      <c r="Q397" s="785">
        <v>56599</v>
      </c>
      <c r="R397" s="785"/>
      <c r="S397" s="786">
        <v>76918</v>
      </c>
      <c r="T397" s="788">
        <v>-24768</v>
      </c>
      <c r="U397" s="788">
        <v>52150</v>
      </c>
    </row>
    <row r="398" spans="1:21" x14ac:dyDescent="0.25">
      <c r="A398" s="782">
        <v>94121</v>
      </c>
      <c r="B398" s="783" t="s">
        <v>3010</v>
      </c>
      <c r="C398" s="784">
        <v>1.1246000000000001E-2</v>
      </c>
      <c r="D398" s="784">
        <v>1.12823E-2</v>
      </c>
      <c r="E398" s="815">
        <v>5240634</v>
      </c>
      <c r="F398" s="818">
        <v>23944820</v>
      </c>
      <c r="G398" s="785">
        <v>17180773</v>
      </c>
      <c r="H398" s="785"/>
      <c r="I398" s="786">
        <v>989772</v>
      </c>
      <c r="J398" s="787">
        <v>4171512</v>
      </c>
      <c r="K398" s="786">
        <v>2453652</v>
      </c>
      <c r="L398" s="785">
        <v>65556</v>
      </c>
      <c r="M398" s="785"/>
      <c r="N398" s="786">
        <v>486333</v>
      </c>
      <c r="O398" s="786">
        <v>0</v>
      </c>
      <c r="P398" s="786">
        <v>0</v>
      </c>
      <c r="Q398" s="785">
        <v>276825</v>
      </c>
      <c r="R398" s="785"/>
      <c r="S398" s="786">
        <v>5789936</v>
      </c>
      <c r="T398" s="788">
        <v>-128084</v>
      </c>
      <c r="U398" s="788">
        <v>5661852</v>
      </c>
    </row>
    <row r="399" spans="1:21" x14ac:dyDescent="0.25">
      <c r="A399" s="782">
        <v>94127</v>
      </c>
      <c r="B399" s="783" t="s">
        <v>3011</v>
      </c>
      <c r="C399" s="784">
        <v>1.7310000000000001E-4</v>
      </c>
      <c r="D399" s="784">
        <v>1.528E-4</v>
      </c>
      <c r="E399" s="815">
        <v>70093</v>
      </c>
      <c r="F399" s="818">
        <v>324293</v>
      </c>
      <c r="G399" s="785">
        <v>264449</v>
      </c>
      <c r="H399" s="785"/>
      <c r="I399" s="786">
        <v>15235</v>
      </c>
      <c r="J399" s="787">
        <v>64208</v>
      </c>
      <c r="K399" s="786">
        <v>37767</v>
      </c>
      <c r="L399" s="785">
        <v>8697</v>
      </c>
      <c r="M399" s="785"/>
      <c r="N399" s="786">
        <v>7486</v>
      </c>
      <c r="O399" s="786">
        <v>0</v>
      </c>
      <c r="P399" s="786">
        <v>0</v>
      </c>
      <c r="Q399" s="785">
        <v>398</v>
      </c>
      <c r="R399" s="785"/>
      <c r="S399" s="786">
        <v>89119</v>
      </c>
      <c r="T399" s="788">
        <v>2605</v>
      </c>
      <c r="U399" s="788">
        <v>91724</v>
      </c>
    </row>
    <row r="400" spans="1:21" x14ac:dyDescent="0.25">
      <c r="A400" s="782">
        <v>94131</v>
      </c>
      <c r="B400" s="783" t="s">
        <v>3012</v>
      </c>
      <c r="C400" s="784">
        <v>1.7479999999999999E-4</v>
      </c>
      <c r="D400" s="784">
        <v>2.0049999999999999E-4</v>
      </c>
      <c r="E400" s="815">
        <v>91156</v>
      </c>
      <c r="F400" s="818">
        <v>425528</v>
      </c>
      <c r="G400" s="785">
        <v>267046</v>
      </c>
      <c r="H400" s="785"/>
      <c r="I400" s="786">
        <v>15384</v>
      </c>
      <c r="J400" s="787">
        <v>64840</v>
      </c>
      <c r="K400" s="786">
        <v>38138</v>
      </c>
      <c r="L400" s="785">
        <v>3004</v>
      </c>
      <c r="M400" s="785"/>
      <c r="N400" s="786">
        <v>7559</v>
      </c>
      <c r="O400" s="786">
        <v>0</v>
      </c>
      <c r="P400" s="786">
        <v>0</v>
      </c>
      <c r="Q400" s="785">
        <v>9062</v>
      </c>
      <c r="R400" s="785"/>
      <c r="S400" s="786">
        <v>89995</v>
      </c>
      <c r="T400" s="788">
        <v>-1148</v>
      </c>
      <c r="U400" s="788">
        <v>88847</v>
      </c>
    </row>
    <row r="401" spans="1:21" x14ac:dyDescent="0.25">
      <c r="A401" s="782">
        <v>94151</v>
      </c>
      <c r="B401" s="783" t="s">
        <v>3013</v>
      </c>
      <c r="C401" s="784">
        <v>4.1590000000000003E-4</v>
      </c>
      <c r="D401" s="784">
        <v>4.2870000000000001E-4</v>
      </c>
      <c r="E401" s="815">
        <v>171244</v>
      </c>
      <c r="F401" s="818">
        <v>909845</v>
      </c>
      <c r="G401" s="785">
        <v>635380</v>
      </c>
      <c r="H401" s="785"/>
      <c r="I401" s="786">
        <v>36604</v>
      </c>
      <c r="J401" s="787">
        <v>154271</v>
      </c>
      <c r="K401" s="786">
        <v>90741</v>
      </c>
      <c r="L401" s="785">
        <v>0</v>
      </c>
      <c r="M401" s="785"/>
      <c r="N401" s="786">
        <v>17986</v>
      </c>
      <c r="O401" s="786">
        <v>0</v>
      </c>
      <c r="P401" s="786">
        <v>0</v>
      </c>
      <c r="Q401" s="785">
        <v>36672</v>
      </c>
      <c r="R401" s="785"/>
      <c r="S401" s="786">
        <v>214124</v>
      </c>
      <c r="T401" s="788">
        <v>-12878</v>
      </c>
      <c r="U401" s="788">
        <v>201246</v>
      </c>
    </row>
    <row r="402" spans="1:21" x14ac:dyDescent="0.25">
      <c r="A402" s="782">
        <v>94157</v>
      </c>
      <c r="B402" s="783" t="s">
        <v>3014</v>
      </c>
      <c r="C402" s="784">
        <v>8.8999999999999995E-6</v>
      </c>
      <c r="D402" s="784">
        <v>9.3999999999999998E-6</v>
      </c>
      <c r="E402" s="815">
        <v>5186</v>
      </c>
      <c r="F402" s="818">
        <v>19950</v>
      </c>
      <c r="G402" s="785">
        <v>13597</v>
      </c>
      <c r="H402" s="785"/>
      <c r="I402" s="786">
        <v>783</v>
      </c>
      <c r="J402" s="787">
        <v>3302</v>
      </c>
      <c r="K402" s="786">
        <v>1942</v>
      </c>
      <c r="L402" s="785">
        <v>3748</v>
      </c>
      <c r="M402" s="785"/>
      <c r="N402" s="786">
        <v>385</v>
      </c>
      <c r="O402" s="786">
        <v>0</v>
      </c>
      <c r="P402" s="786">
        <v>0</v>
      </c>
      <c r="Q402" s="785">
        <v>0</v>
      </c>
      <c r="R402" s="785"/>
      <c r="S402" s="786">
        <v>4582</v>
      </c>
      <c r="T402" s="788">
        <v>2084</v>
      </c>
      <c r="U402" s="788">
        <v>6666</v>
      </c>
    </row>
    <row r="403" spans="1:21" x14ac:dyDescent="0.25">
      <c r="A403" s="782">
        <v>94161</v>
      </c>
      <c r="B403" s="783" t="s">
        <v>3015</v>
      </c>
      <c r="C403" s="784">
        <v>5.1900000000000001E-5</v>
      </c>
      <c r="D403" s="784">
        <v>5.7899999999999998E-5</v>
      </c>
      <c r="E403" s="815">
        <v>24925</v>
      </c>
      <c r="F403" s="818">
        <v>122883</v>
      </c>
      <c r="G403" s="785">
        <v>79289</v>
      </c>
      <c r="H403" s="785"/>
      <c r="I403" s="786">
        <v>4568</v>
      </c>
      <c r="J403" s="787">
        <v>19252</v>
      </c>
      <c r="K403" s="786">
        <v>11324</v>
      </c>
      <c r="L403" s="785">
        <v>5455</v>
      </c>
      <c r="M403" s="785"/>
      <c r="N403" s="786">
        <v>2244</v>
      </c>
      <c r="O403" s="786">
        <v>0</v>
      </c>
      <c r="P403" s="786">
        <v>0</v>
      </c>
      <c r="Q403" s="785">
        <v>3144</v>
      </c>
      <c r="R403" s="785"/>
      <c r="S403" s="786">
        <v>26720</v>
      </c>
      <c r="T403" s="788">
        <v>2302</v>
      </c>
      <c r="U403" s="788">
        <v>29022</v>
      </c>
    </row>
    <row r="404" spans="1:21" x14ac:dyDescent="0.25">
      <c r="A404" s="782">
        <v>94168</v>
      </c>
      <c r="B404" s="783" t="s">
        <v>3016</v>
      </c>
      <c r="C404" s="784">
        <v>2.5899999999999999E-5</v>
      </c>
      <c r="D404" s="784">
        <v>3.4E-5</v>
      </c>
      <c r="E404" s="815">
        <v>14686</v>
      </c>
      <c r="F404" s="818">
        <v>72159</v>
      </c>
      <c r="G404" s="785">
        <v>39568</v>
      </c>
      <c r="H404" s="785"/>
      <c r="I404" s="786">
        <v>2279</v>
      </c>
      <c r="J404" s="787">
        <v>9607</v>
      </c>
      <c r="K404" s="786">
        <v>5651</v>
      </c>
      <c r="L404" s="785">
        <v>0</v>
      </c>
      <c r="M404" s="785"/>
      <c r="N404" s="786">
        <v>1120</v>
      </c>
      <c r="O404" s="786">
        <v>0</v>
      </c>
      <c r="P404" s="786">
        <v>0</v>
      </c>
      <c r="Q404" s="785">
        <v>11664</v>
      </c>
      <c r="R404" s="785"/>
      <c r="S404" s="786">
        <v>13334</v>
      </c>
      <c r="T404" s="788">
        <v>-5442</v>
      </c>
      <c r="U404" s="788">
        <v>7892</v>
      </c>
    </row>
    <row r="405" spans="1:21" x14ac:dyDescent="0.25">
      <c r="A405" s="782">
        <v>94171</v>
      </c>
      <c r="B405" s="783" t="s">
        <v>3017</v>
      </c>
      <c r="C405" s="784">
        <v>6.9800000000000003E-5</v>
      </c>
      <c r="D405" s="784">
        <v>5.5000000000000002E-5</v>
      </c>
      <c r="E405" s="815">
        <v>26828</v>
      </c>
      <c r="F405" s="818">
        <v>116728</v>
      </c>
      <c r="G405" s="785">
        <v>106635</v>
      </c>
      <c r="H405" s="785"/>
      <c r="I405" s="786">
        <v>6143</v>
      </c>
      <c r="J405" s="787">
        <v>25891</v>
      </c>
      <c r="K405" s="786">
        <v>15229</v>
      </c>
      <c r="L405" s="785">
        <v>10026</v>
      </c>
      <c r="M405" s="785"/>
      <c r="N405" s="786">
        <v>3019</v>
      </c>
      <c r="O405" s="786">
        <v>0</v>
      </c>
      <c r="P405" s="786">
        <v>0</v>
      </c>
      <c r="Q405" s="785">
        <v>862</v>
      </c>
      <c r="R405" s="785"/>
      <c r="S405" s="786">
        <v>35936</v>
      </c>
      <c r="T405" s="788">
        <v>2780</v>
      </c>
      <c r="U405" s="788">
        <v>38716</v>
      </c>
    </row>
    <row r="406" spans="1:21" x14ac:dyDescent="0.25">
      <c r="A406" s="782">
        <v>94172</v>
      </c>
      <c r="B406" s="783" t="s">
        <v>3018</v>
      </c>
      <c r="C406" s="784">
        <v>2.6289999999999999E-4</v>
      </c>
      <c r="D406" s="784">
        <v>2.6699999999999998E-4</v>
      </c>
      <c r="E406" s="815">
        <v>91553</v>
      </c>
      <c r="F406" s="818">
        <v>566663</v>
      </c>
      <c r="G406" s="785">
        <v>401638</v>
      </c>
      <c r="H406" s="785"/>
      <c r="I406" s="786">
        <v>23138</v>
      </c>
      <c r="J406" s="787">
        <v>97518</v>
      </c>
      <c r="K406" s="786">
        <v>57360</v>
      </c>
      <c r="L406" s="785">
        <v>0</v>
      </c>
      <c r="M406" s="785"/>
      <c r="N406" s="786">
        <v>11369</v>
      </c>
      <c r="O406" s="786">
        <v>0</v>
      </c>
      <c r="P406" s="786">
        <v>0</v>
      </c>
      <c r="Q406" s="785">
        <v>90059</v>
      </c>
      <c r="R406" s="785"/>
      <c r="S406" s="786">
        <v>135352</v>
      </c>
      <c r="T406" s="788">
        <v>-41178</v>
      </c>
      <c r="U406" s="788">
        <v>94174</v>
      </c>
    </row>
    <row r="407" spans="1:21" x14ac:dyDescent="0.25">
      <c r="A407" s="782">
        <v>94201</v>
      </c>
      <c r="B407" s="783" t="s">
        <v>3019</v>
      </c>
      <c r="C407" s="784">
        <v>3.3658999999999998E-3</v>
      </c>
      <c r="D407" s="784">
        <v>3.4813000000000001E-3</v>
      </c>
      <c r="E407" s="815">
        <v>1556105</v>
      </c>
      <c r="F407" s="818">
        <v>7388485</v>
      </c>
      <c r="G407" s="785">
        <v>5142163</v>
      </c>
      <c r="H407" s="785"/>
      <c r="I407" s="786">
        <v>296236</v>
      </c>
      <c r="J407" s="787">
        <v>1248524</v>
      </c>
      <c r="K407" s="786">
        <v>734372</v>
      </c>
      <c r="L407" s="785">
        <v>37947</v>
      </c>
      <c r="M407" s="785"/>
      <c r="N407" s="786">
        <v>145558</v>
      </c>
      <c r="O407" s="786">
        <v>0</v>
      </c>
      <c r="P407" s="786">
        <v>0</v>
      </c>
      <c r="Q407" s="785">
        <v>70514</v>
      </c>
      <c r="R407" s="785"/>
      <c r="S407" s="786">
        <v>1732913</v>
      </c>
      <c r="T407" s="788">
        <v>-942</v>
      </c>
      <c r="U407" s="788">
        <v>1731971</v>
      </c>
    </row>
    <row r="408" spans="1:21" x14ac:dyDescent="0.25">
      <c r="A408" s="782">
        <v>94204</v>
      </c>
      <c r="B408" s="783" t="s">
        <v>3020</v>
      </c>
      <c r="C408" s="784">
        <v>2.5899999999999999E-5</v>
      </c>
      <c r="D408" s="784">
        <v>2.4899999999999999E-5</v>
      </c>
      <c r="E408" s="815">
        <v>17428</v>
      </c>
      <c r="F408" s="818">
        <v>52846</v>
      </c>
      <c r="G408" s="785">
        <v>39568</v>
      </c>
      <c r="H408" s="785"/>
      <c r="I408" s="786">
        <v>2279</v>
      </c>
      <c r="J408" s="787">
        <v>9607</v>
      </c>
      <c r="K408" s="786">
        <v>5651</v>
      </c>
      <c r="L408" s="785">
        <v>12190</v>
      </c>
      <c r="M408" s="785"/>
      <c r="N408" s="786">
        <v>1120</v>
      </c>
      <c r="O408" s="786">
        <v>0</v>
      </c>
      <c r="P408" s="786">
        <v>0</v>
      </c>
      <c r="Q408" s="785">
        <v>0</v>
      </c>
      <c r="R408" s="785"/>
      <c r="S408" s="786">
        <v>13334</v>
      </c>
      <c r="T408" s="788">
        <v>4996</v>
      </c>
      <c r="U408" s="788">
        <v>18330</v>
      </c>
    </row>
    <row r="409" spans="1:21" x14ac:dyDescent="0.25">
      <c r="A409" s="782">
        <v>94205</v>
      </c>
      <c r="B409" s="783" t="s">
        <v>3021</v>
      </c>
      <c r="C409" s="784">
        <v>2.0699999999999998E-5</v>
      </c>
      <c r="D409" s="784">
        <v>2.6100000000000001E-5</v>
      </c>
      <c r="E409" s="815">
        <v>11902</v>
      </c>
      <c r="F409" s="818">
        <v>55393</v>
      </c>
      <c r="G409" s="785">
        <v>31624</v>
      </c>
      <c r="H409" s="785"/>
      <c r="I409" s="786">
        <v>1822</v>
      </c>
      <c r="J409" s="787">
        <v>7678</v>
      </c>
      <c r="K409" s="786">
        <v>4516</v>
      </c>
      <c r="L409" s="785">
        <v>1652</v>
      </c>
      <c r="M409" s="785"/>
      <c r="N409" s="786">
        <v>895</v>
      </c>
      <c r="O409" s="786">
        <v>0</v>
      </c>
      <c r="P409" s="786">
        <v>0</v>
      </c>
      <c r="Q409" s="785">
        <v>5048</v>
      </c>
      <c r="R409" s="785"/>
      <c r="S409" s="786">
        <v>10657</v>
      </c>
      <c r="T409" s="788">
        <v>-3026</v>
      </c>
      <c r="U409" s="788">
        <v>7631</v>
      </c>
    </row>
    <row r="410" spans="1:21" x14ac:dyDescent="0.25">
      <c r="A410" s="782">
        <v>94209</v>
      </c>
      <c r="B410" s="783" t="s">
        <v>3022</v>
      </c>
      <c r="C410" s="784">
        <v>3.4190000000000002E-4</v>
      </c>
      <c r="D410" s="784">
        <v>3.2909999999999998E-4</v>
      </c>
      <c r="E410" s="815">
        <v>157003</v>
      </c>
      <c r="F410" s="818">
        <v>698460</v>
      </c>
      <c r="G410" s="785">
        <v>522328</v>
      </c>
      <c r="H410" s="785"/>
      <c r="I410" s="786">
        <v>30091</v>
      </c>
      <c r="J410" s="787">
        <v>126822</v>
      </c>
      <c r="K410" s="786">
        <v>74596</v>
      </c>
      <c r="L410" s="785">
        <v>23431</v>
      </c>
      <c r="M410" s="785"/>
      <c r="N410" s="786">
        <v>14785</v>
      </c>
      <c r="O410" s="786">
        <v>0</v>
      </c>
      <c r="P410" s="786">
        <v>0</v>
      </c>
      <c r="Q410" s="785">
        <v>7196</v>
      </c>
      <c r="R410" s="785"/>
      <c r="S410" s="786">
        <v>176025</v>
      </c>
      <c r="T410" s="788">
        <v>9128</v>
      </c>
      <c r="U410" s="788">
        <v>185153</v>
      </c>
    </row>
    <row r="411" spans="1:21" x14ac:dyDescent="0.25">
      <c r="A411" s="782">
        <v>94211</v>
      </c>
      <c r="B411" s="783" t="s">
        <v>3023</v>
      </c>
      <c r="C411" s="784">
        <v>1.3660000000000001E-4</v>
      </c>
      <c r="D411" s="784">
        <v>1.2400000000000001E-4</v>
      </c>
      <c r="E411" s="815">
        <v>61663</v>
      </c>
      <c r="F411" s="818">
        <v>263170</v>
      </c>
      <c r="G411" s="785">
        <v>208687</v>
      </c>
      <c r="H411" s="785"/>
      <c r="I411" s="786">
        <v>12022</v>
      </c>
      <c r="J411" s="787">
        <v>50669</v>
      </c>
      <c r="K411" s="786">
        <v>29803</v>
      </c>
      <c r="L411" s="785">
        <v>7857</v>
      </c>
      <c r="M411" s="785"/>
      <c r="N411" s="786">
        <v>5907</v>
      </c>
      <c r="O411" s="786">
        <v>0</v>
      </c>
      <c r="P411" s="786">
        <v>0</v>
      </c>
      <c r="Q411" s="785">
        <v>17326</v>
      </c>
      <c r="R411" s="785"/>
      <c r="S411" s="786">
        <v>70328</v>
      </c>
      <c r="T411" s="788">
        <v>-11553</v>
      </c>
      <c r="U411" s="788">
        <v>58775</v>
      </c>
    </row>
    <row r="412" spans="1:21" x14ac:dyDescent="0.25">
      <c r="A412" s="782">
        <v>94221</v>
      </c>
      <c r="B412" s="783" t="s">
        <v>3024</v>
      </c>
      <c r="C412" s="784">
        <v>1.0436E-3</v>
      </c>
      <c r="D412" s="784">
        <v>1.0705999999999999E-3</v>
      </c>
      <c r="E412" s="815">
        <v>459328</v>
      </c>
      <c r="F412" s="818">
        <v>2272172</v>
      </c>
      <c r="G412" s="785">
        <v>1594332</v>
      </c>
      <c r="H412" s="785"/>
      <c r="I412" s="786">
        <v>91848</v>
      </c>
      <c r="J412" s="787">
        <v>387106</v>
      </c>
      <c r="K412" s="786">
        <v>227693</v>
      </c>
      <c r="L412" s="785">
        <v>63725</v>
      </c>
      <c r="M412" s="785"/>
      <c r="N412" s="786">
        <v>45130</v>
      </c>
      <c r="O412" s="786">
        <v>0</v>
      </c>
      <c r="P412" s="786">
        <v>0</v>
      </c>
      <c r="Q412" s="785">
        <v>120971</v>
      </c>
      <c r="R412" s="785"/>
      <c r="S412" s="786">
        <v>537291</v>
      </c>
      <c r="T412" s="788">
        <v>-24799</v>
      </c>
      <c r="U412" s="788">
        <v>512492</v>
      </c>
    </row>
    <row r="413" spans="1:21" x14ac:dyDescent="0.25">
      <c r="A413" s="782">
        <v>94231</v>
      </c>
      <c r="B413" s="783" t="s">
        <v>3025</v>
      </c>
      <c r="C413" s="784">
        <v>2.2609999999999999E-4</v>
      </c>
      <c r="D413" s="784">
        <v>2.1269999999999999E-4</v>
      </c>
      <c r="E413" s="815">
        <v>101171</v>
      </c>
      <c r="F413" s="818">
        <v>451421</v>
      </c>
      <c r="G413" s="785">
        <v>345418</v>
      </c>
      <c r="H413" s="785"/>
      <c r="I413" s="786">
        <v>19899</v>
      </c>
      <c r="J413" s="787">
        <v>83868</v>
      </c>
      <c r="K413" s="786">
        <v>49330</v>
      </c>
      <c r="L413" s="785">
        <v>8354</v>
      </c>
      <c r="M413" s="785"/>
      <c r="N413" s="786">
        <v>9778</v>
      </c>
      <c r="O413" s="786">
        <v>0</v>
      </c>
      <c r="P413" s="786">
        <v>0</v>
      </c>
      <c r="Q413" s="785">
        <v>6714</v>
      </c>
      <c r="R413" s="785"/>
      <c r="S413" s="786">
        <v>116406</v>
      </c>
      <c r="T413" s="788">
        <v>-2799</v>
      </c>
      <c r="U413" s="788">
        <v>113607</v>
      </c>
    </row>
    <row r="414" spans="1:21" x14ac:dyDescent="0.25">
      <c r="A414" s="782">
        <v>94241</v>
      </c>
      <c r="B414" s="783" t="s">
        <v>3026</v>
      </c>
      <c r="C414" s="784">
        <v>1.2669999999999999E-4</v>
      </c>
      <c r="D414" s="784">
        <v>8.4099999999999998E-5</v>
      </c>
      <c r="E414" s="815">
        <v>53317</v>
      </c>
      <c r="F414" s="818">
        <v>178488</v>
      </c>
      <c r="G414" s="785">
        <v>193563</v>
      </c>
      <c r="H414" s="785"/>
      <c r="I414" s="786">
        <v>11151</v>
      </c>
      <c r="J414" s="787">
        <v>46997</v>
      </c>
      <c r="K414" s="786">
        <v>27643</v>
      </c>
      <c r="L414" s="785">
        <v>26711</v>
      </c>
      <c r="M414" s="785"/>
      <c r="N414" s="786">
        <v>5479</v>
      </c>
      <c r="O414" s="786">
        <v>0</v>
      </c>
      <c r="P414" s="786">
        <v>0</v>
      </c>
      <c r="Q414" s="785">
        <v>856</v>
      </c>
      <c r="R414" s="785"/>
      <c r="S414" s="786">
        <v>65231</v>
      </c>
      <c r="T414" s="788">
        <v>6835</v>
      </c>
      <c r="U414" s="788">
        <v>72066</v>
      </c>
    </row>
    <row r="415" spans="1:21" x14ac:dyDescent="0.25">
      <c r="A415" s="782">
        <v>94251</v>
      </c>
      <c r="B415" s="783" t="s">
        <v>3027</v>
      </c>
      <c r="C415" s="784">
        <v>1.95E-5</v>
      </c>
      <c r="D415" s="784">
        <v>1.4E-5</v>
      </c>
      <c r="E415" s="815">
        <v>8455</v>
      </c>
      <c r="F415" s="818">
        <v>29713</v>
      </c>
      <c r="G415" s="785">
        <v>29791</v>
      </c>
      <c r="H415" s="785"/>
      <c r="I415" s="786">
        <v>1716</v>
      </c>
      <c r="J415" s="787">
        <v>7233</v>
      </c>
      <c r="K415" s="786">
        <v>4255</v>
      </c>
      <c r="L415" s="785">
        <v>3290</v>
      </c>
      <c r="M415" s="785"/>
      <c r="N415" s="786">
        <v>843</v>
      </c>
      <c r="O415" s="786">
        <v>0</v>
      </c>
      <c r="P415" s="786">
        <v>0</v>
      </c>
      <c r="Q415" s="785">
        <v>6508</v>
      </c>
      <c r="R415" s="785"/>
      <c r="S415" s="786">
        <v>10039</v>
      </c>
      <c r="T415" s="788">
        <v>-2297</v>
      </c>
      <c r="U415" s="788">
        <v>7742</v>
      </c>
    </row>
    <row r="416" spans="1:21" x14ac:dyDescent="0.25">
      <c r="A416" s="782">
        <v>94261</v>
      </c>
      <c r="B416" s="783" t="s">
        <v>3028</v>
      </c>
      <c r="C416" s="784">
        <v>3.9199999999999997E-5</v>
      </c>
      <c r="D416" s="784">
        <v>2.9499999999999999E-5</v>
      </c>
      <c r="E416" s="815">
        <v>18726</v>
      </c>
      <c r="F416" s="818">
        <v>62609</v>
      </c>
      <c r="G416" s="785">
        <v>59887</v>
      </c>
      <c r="H416" s="785"/>
      <c r="I416" s="786">
        <v>3450</v>
      </c>
      <c r="J416" s="787">
        <v>14541</v>
      </c>
      <c r="K416" s="786">
        <v>8553</v>
      </c>
      <c r="L416" s="785">
        <v>15518</v>
      </c>
      <c r="M416" s="785"/>
      <c r="N416" s="786">
        <v>1695</v>
      </c>
      <c r="O416" s="786">
        <v>0</v>
      </c>
      <c r="P416" s="786">
        <v>0</v>
      </c>
      <c r="Q416" s="785">
        <v>0</v>
      </c>
      <c r="R416" s="785"/>
      <c r="S416" s="786">
        <v>20182</v>
      </c>
      <c r="T416" s="788">
        <v>5508</v>
      </c>
      <c r="U416" s="788">
        <v>25690</v>
      </c>
    </row>
    <row r="417" spans="1:21" x14ac:dyDescent="0.25">
      <c r="A417" s="782">
        <v>94301</v>
      </c>
      <c r="B417" s="783" t="s">
        <v>3029</v>
      </c>
      <c r="C417" s="784">
        <v>6.2988999999999996E-3</v>
      </c>
      <c r="D417" s="784">
        <v>6.0746999999999997E-3</v>
      </c>
      <c r="E417" s="815">
        <v>2799560</v>
      </c>
      <c r="F417" s="818">
        <v>12892548</v>
      </c>
      <c r="G417" s="785">
        <v>9622974</v>
      </c>
      <c r="H417" s="785"/>
      <c r="I417" s="786">
        <v>554372</v>
      </c>
      <c r="J417" s="787">
        <v>2336470</v>
      </c>
      <c r="K417" s="786">
        <v>1374294</v>
      </c>
      <c r="L417" s="785">
        <v>85982</v>
      </c>
      <c r="M417" s="785"/>
      <c r="N417" s="786">
        <v>272396</v>
      </c>
      <c r="O417" s="786">
        <v>0</v>
      </c>
      <c r="P417" s="786">
        <v>0</v>
      </c>
      <c r="Q417" s="785">
        <v>117980</v>
      </c>
      <c r="R417" s="785"/>
      <c r="S417" s="786">
        <v>3242951</v>
      </c>
      <c r="T417" s="788">
        <v>-22710</v>
      </c>
      <c r="U417" s="788">
        <v>3220241</v>
      </c>
    </row>
    <row r="418" spans="1:21" x14ac:dyDescent="0.25">
      <c r="A418" s="782">
        <v>94311</v>
      </c>
      <c r="B418" s="783" t="s">
        <v>3030</v>
      </c>
      <c r="C418" s="784">
        <v>7.8540000000000001E-4</v>
      </c>
      <c r="D418" s="784">
        <v>7.4399999999999998E-4</v>
      </c>
      <c r="E418" s="815">
        <v>355079</v>
      </c>
      <c r="F418" s="818">
        <v>1579017</v>
      </c>
      <c r="G418" s="785">
        <v>1199874</v>
      </c>
      <c r="H418" s="785"/>
      <c r="I418" s="786">
        <v>69124</v>
      </c>
      <c r="J418" s="787">
        <v>291331</v>
      </c>
      <c r="K418" s="786">
        <v>171359</v>
      </c>
      <c r="L418" s="785">
        <v>26150</v>
      </c>
      <c r="M418" s="785"/>
      <c r="N418" s="786">
        <v>33965</v>
      </c>
      <c r="O418" s="786">
        <v>0</v>
      </c>
      <c r="P418" s="786">
        <v>0</v>
      </c>
      <c r="Q418" s="785">
        <v>52115</v>
      </c>
      <c r="R418" s="785"/>
      <c r="S418" s="786">
        <v>404358</v>
      </c>
      <c r="T418" s="788">
        <v>-13365</v>
      </c>
      <c r="U418" s="788">
        <v>390993</v>
      </c>
    </row>
    <row r="419" spans="1:21" x14ac:dyDescent="0.25">
      <c r="A419" s="782">
        <v>94313</v>
      </c>
      <c r="B419" s="783" t="s">
        <v>3031</v>
      </c>
      <c r="C419" s="784">
        <v>1.8700000000000001E-5</v>
      </c>
      <c r="D419" s="784">
        <v>2.0299999999999999E-5</v>
      </c>
      <c r="E419" s="815">
        <v>12663</v>
      </c>
      <c r="F419" s="818">
        <v>43083</v>
      </c>
      <c r="G419" s="785">
        <v>28568</v>
      </c>
      <c r="H419" s="785"/>
      <c r="I419" s="786">
        <v>1646</v>
      </c>
      <c r="J419" s="787">
        <v>6936</v>
      </c>
      <c r="K419" s="786">
        <v>4080</v>
      </c>
      <c r="L419" s="785">
        <v>7421</v>
      </c>
      <c r="M419" s="785"/>
      <c r="N419" s="786">
        <v>809</v>
      </c>
      <c r="O419" s="786">
        <v>0</v>
      </c>
      <c r="P419" s="786">
        <v>0</v>
      </c>
      <c r="Q419" s="785">
        <v>0</v>
      </c>
      <c r="R419" s="785"/>
      <c r="S419" s="786">
        <v>9628</v>
      </c>
      <c r="T419" s="788">
        <v>3124</v>
      </c>
      <c r="U419" s="788">
        <v>12752</v>
      </c>
    </row>
    <row r="420" spans="1:21" x14ac:dyDescent="0.25">
      <c r="A420" s="782">
        <v>94317</v>
      </c>
      <c r="B420" s="783" t="s">
        <v>3032</v>
      </c>
      <c r="C420" s="784">
        <v>1.2E-5</v>
      </c>
      <c r="D420" s="784">
        <v>1.2099999999999999E-5</v>
      </c>
      <c r="E420" s="815">
        <v>9618</v>
      </c>
      <c r="F420" s="818">
        <v>25680</v>
      </c>
      <c r="G420" s="785">
        <v>18333</v>
      </c>
      <c r="H420" s="785"/>
      <c r="I420" s="786">
        <v>1056</v>
      </c>
      <c r="J420" s="787">
        <v>4451</v>
      </c>
      <c r="K420" s="786">
        <v>2618</v>
      </c>
      <c r="L420" s="785">
        <v>7663</v>
      </c>
      <c r="M420" s="785"/>
      <c r="N420" s="786">
        <v>519</v>
      </c>
      <c r="O420" s="786">
        <v>0</v>
      </c>
      <c r="P420" s="786">
        <v>0</v>
      </c>
      <c r="Q420" s="785">
        <v>0</v>
      </c>
      <c r="R420" s="785"/>
      <c r="S420" s="786">
        <v>6178</v>
      </c>
      <c r="T420" s="788">
        <v>3130</v>
      </c>
      <c r="U420" s="788">
        <v>9308</v>
      </c>
    </row>
    <row r="421" spans="1:21" x14ac:dyDescent="0.25">
      <c r="A421" s="782">
        <v>94321</v>
      </c>
      <c r="B421" s="783" t="s">
        <v>3033</v>
      </c>
      <c r="C421" s="784">
        <v>2.7760000000000003E-4</v>
      </c>
      <c r="D421" s="784">
        <v>2.7070000000000002E-4</v>
      </c>
      <c r="E421" s="815">
        <v>115395</v>
      </c>
      <c r="F421" s="818">
        <v>574516</v>
      </c>
      <c r="G421" s="785">
        <v>424096</v>
      </c>
      <c r="H421" s="785"/>
      <c r="I421" s="786">
        <v>24432</v>
      </c>
      <c r="J421" s="787">
        <v>102971</v>
      </c>
      <c r="K421" s="786">
        <v>60567</v>
      </c>
      <c r="L421" s="785">
        <v>1692</v>
      </c>
      <c r="M421" s="785"/>
      <c r="N421" s="786">
        <v>12005</v>
      </c>
      <c r="O421" s="786">
        <v>0</v>
      </c>
      <c r="P421" s="786">
        <v>0</v>
      </c>
      <c r="Q421" s="785">
        <v>19924</v>
      </c>
      <c r="R421" s="785"/>
      <c r="S421" s="786">
        <v>142921</v>
      </c>
      <c r="T421" s="788">
        <v>-5646</v>
      </c>
      <c r="U421" s="788">
        <v>137275</v>
      </c>
    </row>
    <row r="422" spans="1:21" x14ac:dyDescent="0.25">
      <c r="A422" s="782">
        <v>94331</v>
      </c>
      <c r="B422" s="783" t="s">
        <v>3034</v>
      </c>
      <c r="C422" s="784">
        <v>1.3569999999999999E-4</v>
      </c>
      <c r="D422" s="784">
        <v>1.517E-4</v>
      </c>
      <c r="E422" s="815">
        <v>68284</v>
      </c>
      <c r="F422" s="818">
        <v>321958</v>
      </c>
      <c r="G422" s="785">
        <v>207312</v>
      </c>
      <c r="H422" s="785"/>
      <c r="I422" s="786">
        <v>11943</v>
      </c>
      <c r="J422" s="787">
        <v>50336</v>
      </c>
      <c r="K422" s="786">
        <v>29607</v>
      </c>
      <c r="L422" s="785">
        <v>7715</v>
      </c>
      <c r="M422" s="785"/>
      <c r="N422" s="786">
        <v>5868</v>
      </c>
      <c r="O422" s="786">
        <v>0</v>
      </c>
      <c r="P422" s="786">
        <v>0</v>
      </c>
      <c r="Q422" s="785">
        <v>10557</v>
      </c>
      <c r="R422" s="785"/>
      <c r="S422" s="786">
        <v>69864</v>
      </c>
      <c r="T422" s="788">
        <v>2981</v>
      </c>
      <c r="U422" s="788">
        <v>72845</v>
      </c>
    </row>
    <row r="423" spans="1:21" x14ac:dyDescent="0.25">
      <c r="A423" s="782">
        <v>94341</v>
      </c>
      <c r="B423" s="783" t="s">
        <v>3035</v>
      </c>
      <c r="C423" s="784">
        <v>9.4699999999999998E-5</v>
      </c>
      <c r="D423" s="784">
        <v>8.1000000000000004E-5</v>
      </c>
      <c r="E423" s="815">
        <v>38534</v>
      </c>
      <c r="F423" s="818">
        <v>171909</v>
      </c>
      <c r="G423" s="785">
        <v>144675</v>
      </c>
      <c r="H423" s="785"/>
      <c r="I423" s="786">
        <v>8335</v>
      </c>
      <c r="J423" s="787">
        <v>35127</v>
      </c>
      <c r="K423" s="786">
        <v>20662</v>
      </c>
      <c r="L423" s="785">
        <v>5564</v>
      </c>
      <c r="M423" s="785"/>
      <c r="N423" s="786">
        <v>4095</v>
      </c>
      <c r="O423" s="786">
        <v>0</v>
      </c>
      <c r="P423" s="786">
        <v>0</v>
      </c>
      <c r="Q423" s="785">
        <v>5713</v>
      </c>
      <c r="R423" s="785"/>
      <c r="S423" s="786">
        <v>48756</v>
      </c>
      <c r="T423" s="788">
        <v>-1783</v>
      </c>
      <c r="U423" s="788">
        <v>46973</v>
      </c>
    </row>
    <row r="424" spans="1:21" x14ac:dyDescent="0.25">
      <c r="A424" s="782">
        <v>94347</v>
      </c>
      <c r="B424" s="783" t="s">
        <v>3036</v>
      </c>
      <c r="C424" s="784">
        <v>1.22E-5</v>
      </c>
      <c r="D424" s="784">
        <v>1.2300000000000001E-5</v>
      </c>
      <c r="E424" s="815">
        <v>8691</v>
      </c>
      <c r="F424" s="818">
        <v>26105</v>
      </c>
      <c r="G424" s="785">
        <v>18638</v>
      </c>
      <c r="H424" s="785"/>
      <c r="I424" s="786">
        <v>1074</v>
      </c>
      <c r="J424" s="787">
        <v>4526</v>
      </c>
      <c r="K424" s="786">
        <v>2662</v>
      </c>
      <c r="L424" s="785">
        <v>4271</v>
      </c>
      <c r="M424" s="785"/>
      <c r="N424" s="786">
        <v>528</v>
      </c>
      <c r="O424" s="786">
        <v>0</v>
      </c>
      <c r="P424" s="786">
        <v>0</v>
      </c>
      <c r="Q424" s="785">
        <v>0</v>
      </c>
      <c r="R424" s="785"/>
      <c r="S424" s="786">
        <v>6281</v>
      </c>
      <c r="T424" s="788">
        <v>1892</v>
      </c>
      <c r="U424" s="788">
        <v>8173</v>
      </c>
    </row>
    <row r="425" spans="1:21" x14ac:dyDescent="0.25">
      <c r="A425" s="782">
        <v>94351</v>
      </c>
      <c r="B425" s="783" t="s">
        <v>3037</v>
      </c>
      <c r="C425" s="784">
        <v>2.433E-4</v>
      </c>
      <c r="D425" s="784">
        <v>2.377E-4</v>
      </c>
      <c r="E425" s="815">
        <v>104639</v>
      </c>
      <c r="F425" s="818">
        <v>504479</v>
      </c>
      <c r="G425" s="785">
        <v>371695</v>
      </c>
      <c r="H425" s="785"/>
      <c r="I425" s="786">
        <v>21413</v>
      </c>
      <c r="J425" s="787">
        <v>90248</v>
      </c>
      <c r="K425" s="786">
        <v>53083</v>
      </c>
      <c r="L425" s="785">
        <v>1592</v>
      </c>
      <c r="M425" s="785"/>
      <c r="N425" s="786">
        <v>10522</v>
      </c>
      <c r="O425" s="786">
        <v>0</v>
      </c>
      <c r="P425" s="786">
        <v>0</v>
      </c>
      <c r="Q425" s="785">
        <v>4723</v>
      </c>
      <c r="R425" s="785"/>
      <c r="S425" s="786">
        <v>125262</v>
      </c>
      <c r="T425" s="788">
        <v>-1683</v>
      </c>
      <c r="U425" s="788">
        <v>123579</v>
      </c>
    </row>
    <row r="426" spans="1:21" x14ac:dyDescent="0.25">
      <c r="A426" s="782">
        <v>94401</v>
      </c>
      <c r="B426" s="783" t="s">
        <v>3669</v>
      </c>
      <c r="C426" s="784">
        <v>3.2718000000000001E-3</v>
      </c>
      <c r="D426" s="784">
        <v>3.4548999999999999E-3</v>
      </c>
      <c r="E426" s="815">
        <v>1551159</v>
      </c>
      <c r="F426" s="818">
        <v>0</v>
      </c>
      <c r="G426" s="785">
        <v>4998404</v>
      </c>
      <c r="H426" s="785"/>
      <c r="I426" s="786">
        <v>287954</v>
      </c>
      <c r="J426" s="787">
        <v>1213619</v>
      </c>
      <c r="K426" s="786">
        <v>713841</v>
      </c>
      <c r="L426" s="785">
        <v>20795</v>
      </c>
      <c r="M426" s="785"/>
      <c r="N426" s="786">
        <v>141489</v>
      </c>
      <c r="O426" s="786">
        <v>0</v>
      </c>
      <c r="P426" s="786">
        <v>0</v>
      </c>
      <c r="Q426" s="785">
        <v>83776</v>
      </c>
      <c r="R426" s="785"/>
      <c r="S426" s="786">
        <v>1684467</v>
      </c>
      <c r="T426" s="788">
        <v>-11283</v>
      </c>
      <c r="U426" s="788">
        <v>1673184</v>
      </c>
    </row>
    <row r="427" spans="1:21" x14ac:dyDescent="0.25">
      <c r="A427" s="782">
        <v>94402</v>
      </c>
      <c r="B427" s="783" t="s">
        <v>3038</v>
      </c>
      <c r="C427" s="784">
        <v>0</v>
      </c>
      <c r="D427" s="784">
        <v>0</v>
      </c>
      <c r="E427" s="815">
        <v>0</v>
      </c>
      <c r="F427" s="818">
        <v>0</v>
      </c>
      <c r="G427" s="785">
        <v>0</v>
      </c>
      <c r="H427" s="785"/>
      <c r="I427" s="786">
        <v>0</v>
      </c>
      <c r="J427" s="787">
        <v>0</v>
      </c>
      <c r="K427" s="786">
        <v>0</v>
      </c>
      <c r="L427" s="785">
        <v>0</v>
      </c>
      <c r="M427" s="785"/>
      <c r="N427" s="786">
        <v>0</v>
      </c>
      <c r="O427" s="786">
        <v>0</v>
      </c>
      <c r="P427" s="786">
        <v>0</v>
      </c>
      <c r="Q427" s="785">
        <v>1774367</v>
      </c>
      <c r="R427" s="785"/>
      <c r="S427" s="786">
        <v>0</v>
      </c>
      <c r="T427" s="788">
        <v>-1007431</v>
      </c>
      <c r="U427" s="788">
        <v>-1007431</v>
      </c>
    </row>
    <row r="428" spans="1:21" x14ac:dyDescent="0.25">
      <c r="A428" s="782">
        <v>94403</v>
      </c>
      <c r="B428" s="783" t="s">
        <v>3670</v>
      </c>
      <c r="C428" s="784">
        <v>2.2099999999999998E-5</v>
      </c>
      <c r="D428" s="784">
        <v>0</v>
      </c>
      <c r="E428" s="815">
        <v>9904</v>
      </c>
      <c r="F428" s="818">
        <v>0</v>
      </c>
      <c r="G428" s="785">
        <v>33763</v>
      </c>
      <c r="H428" s="785"/>
      <c r="I428" s="786">
        <v>1945</v>
      </c>
      <c r="J428" s="787">
        <v>8198</v>
      </c>
      <c r="K428" s="786">
        <v>4822</v>
      </c>
      <c r="L428" s="785">
        <v>14624</v>
      </c>
      <c r="M428" s="785"/>
      <c r="N428" s="786">
        <v>956</v>
      </c>
      <c r="O428" s="786">
        <v>0</v>
      </c>
      <c r="P428" s="786">
        <v>0</v>
      </c>
      <c r="Q428" s="785">
        <v>0</v>
      </c>
      <c r="R428" s="785"/>
      <c r="S428" s="786">
        <v>11378</v>
      </c>
      <c r="T428" s="788">
        <v>3656</v>
      </c>
      <c r="U428" s="788">
        <v>15034</v>
      </c>
    </row>
    <row r="429" spans="1:21" x14ac:dyDescent="0.25">
      <c r="A429" s="782">
        <v>94408</v>
      </c>
      <c r="B429" s="783" t="s">
        <v>3039</v>
      </c>
      <c r="C429" s="784">
        <v>4.2400000000000001E-5</v>
      </c>
      <c r="D429" s="784">
        <v>4.0099999999999999E-5</v>
      </c>
      <c r="E429" s="815">
        <v>14750</v>
      </c>
      <c r="F429" s="818">
        <v>85106</v>
      </c>
      <c r="G429" s="785">
        <v>64775</v>
      </c>
      <c r="H429" s="785"/>
      <c r="I429" s="786">
        <v>3732</v>
      </c>
      <c r="J429" s="787">
        <v>15728</v>
      </c>
      <c r="K429" s="786">
        <v>9251</v>
      </c>
      <c r="L429" s="785">
        <v>7577</v>
      </c>
      <c r="M429" s="785"/>
      <c r="N429" s="786">
        <v>1834</v>
      </c>
      <c r="O429" s="786">
        <v>0</v>
      </c>
      <c r="P429" s="786">
        <v>0</v>
      </c>
      <c r="Q429" s="785">
        <v>4064</v>
      </c>
      <c r="R429" s="785"/>
      <c r="S429" s="786">
        <v>21829</v>
      </c>
      <c r="T429" s="788">
        <v>382</v>
      </c>
      <c r="U429" s="788">
        <v>22211</v>
      </c>
    </row>
    <row r="430" spans="1:21" x14ac:dyDescent="0.25">
      <c r="A430" s="782">
        <v>94411</v>
      </c>
      <c r="B430" s="783" t="s">
        <v>3040</v>
      </c>
      <c r="C430" s="784">
        <v>1.2672E-3</v>
      </c>
      <c r="D430" s="784">
        <v>1.1592E-3</v>
      </c>
      <c r="E430" s="815">
        <v>555106</v>
      </c>
      <c r="F430" s="818">
        <v>2460211</v>
      </c>
      <c r="G430" s="785">
        <v>1935931</v>
      </c>
      <c r="H430" s="785"/>
      <c r="I430" s="786">
        <v>111528</v>
      </c>
      <c r="J430" s="787">
        <v>470046</v>
      </c>
      <c r="K430" s="786">
        <v>276478</v>
      </c>
      <c r="L430" s="785">
        <v>63511</v>
      </c>
      <c r="M430" s="785"/>
      <c r="N430" s="786">
        <v>54800</v>
      </c>
      <c r="O430" s="786">
        <v>0</v>
      </c>
      <c r="P430" s="786">
        <v>0</v>
      </c>
      <c r="Q430" s="785">
        <v>4125</v>
      </c>
      <c r="R430" s="785"/>
      <c r="S430" s="786">
        <v>652410</v>
      </c>
      <c r="T430" s="788">
        <v>18114</v>
      </c>
      <c r="U430" s="788">
        <v>670524</v>
      </c>
    </row>
    <row r="431" spans="1:21" x14ac:dyDescent="0.25">
      <c r="A431" s="782">
        <v>94412</v>
      </c>
      <c r="B431" s="783" t="s">
        <v>3041</v>
      </c>
      <c r="C431" s="784">
        <v>1.5099999999999999E-5</v>
      </c>
      <c r="D431" s="784">
        <v>1.63E-5</v>
      </c>
      <c r="E431" s="815">
        <v>13059</v>
      </c>
      <c r="F431" s="818">
        <v>34594</v>
      </c>
      <c r="G431" s="785">
        <v>23069</v>
      </c>
      <c r="H431" s="785"/>
      <c r="I431" s="786">
        <v>1329</v>
      </c>
      <c r="J431" s="787">
        <v>5602</v>
      </c>
      <c r="K431" s="786">
        <v>3295</v>
      </c>
      <c r="L431" s="785">
        <v>12533</v>
      </c>
      <c r="M431" s="785"/>
      <c r="N431" s="786">
        <v>653</v>
      </c>
      <c r="O431" s="786">
        <v>0</v>
      </c>
      <c r="P431" s="786">
        <v>0</v>
      </c>
      <c r="Q431" s="785">
        <v>0</v>
      </c>
      <c r="R431" s="785"/>
      <c r="S431" s="786">
        <v>7774</v>
      </c>
      <c r="T431" s="788">
        <v>5893</v>
      </c>
      <c r="U431" s="788">
        <v>13667</v>
      </c>
    </row>
    <row r="432" spans="1:21" x14ac:dyDescent="0.25">
      <c r="A432" s="782">
        <v>94421</v>
      </c>
      <c r="B432" s="783" t="s">
        <v>3042</v>
      </c>
      <c r="C432" s="784">
        <v>1.6679999999999999E-4</v>
      </c>
      <c r="D432" s="784">
        <v>1.6899999999999999E-4</v>
      </c>
      <c r="E432" s="815">
        <v>80768</v>
      </c>
      <c r="F432" s="818">
        <v>358675</v>
      </c>
      <c r="G432" s="785">
        <v>254824</v>
      </c>
      <c r="H432" s="785"/>
      <c r="I432" s="786">
        <v>14680</v>
      </c>
      <c r="J432" s="787">
        <v>61871</v>
      </c>
      <c r="K432" s="786">
        <v>36392</v>
      </c>
      <c r="L432" s="785">
        <v>4157</v>
      </c>
      <c r="M432" s="785"/>
      <c r="N432" s="786">
        <v>7213</v>
      </c>
      <c r="O432" s="786">
        <v>0</v>
      </c>
      <c r="P432" s="786">
        <v>0</v>
      </c>
      <c r="Q432" s="785">
        <v>6763</v>
      </c>
      <c r="R432" s="785"/>
      <c r="S432" s="786">
        <v>85876</v>
      </c>
      <c r="T432" s="788">
        <v>-3870</v>
      </c>
      <c r="U432" s="788">
        <v>82006</v>
      </c>
    </row>
    <row r="433" spans="1:21" x14ac:dyDescent="0.25">
      <c r="A433" s="782">
        <v>94427</v>
      </c>
      <c r="B433" s="783" t="s">
        <v>3043</v>
      </c>
      <c r="C433" s="784">
        <v>1.5699999999999999E-5</v>
      </c>
      <c r="D433" s="784">
        <v>1.29E-5</v>
      </c>
      <c r="E433" s="815">
        <v>9340</v>
      </c>
      <c r="F433" s="818">
        <v>27378</v>
      </c>
      <c r="G433" s="785">
        <v>23985</v>
      </c>
      <c r="H433" s="785"/>
      <c r="I433" s="786">
        <v>1382</v>
      </c>
      <c r="J433" s="787">
        <v>5824</v>
      </c>
      <c r="K433" s="786">
        <v>3425</v>
      </c>
      <c r="L433" s="785">
        <v>4090</v>
      </c>
      <c r="M433" s="785"/>
      <c r="N433" s="786">
        <v>679</v>
      </c>
      <c r="O433" s="786">
        <v>0</v>
      </c>
      <c r="P433" s="786">
        <v>0</v>
      </c>
      <c r="Q433" s="785">
        <v>478</v>
      </c>
      <c r="R433" s="785"/>
      <c r="S433" s="786">
        <v>8083</v>
      </c>
      <c r="T433" s="788">
        <v>943</v>
      </c>
      <c r="U433" s="788">
        <v>9026</v>
      </c>
    </row>
    <row r="434" spans="1:21" x14ac:dyDescent="0.25">
      <c r="A434" s="782">
        <v>94428</v>
      </c>
      <c r="B434" s="783" t="s">
        <v>3044</v>
      </c>
      <c r="C434" s="784">
        <v>6.5199999999999999E-5</v>
      </c>
      <c r="D434" s="784">
        <v>7.4400000000000006E-5</v>
      </c>
      <c r="E434" s="815">
        <v>33460</v>
      </c>
      <c r="F434" s="818">
        <v>157902</v>
      </c>
      <c r="G434" s="785">
        <v>99608</v>
      </c>
      <c r="H434" s="785"/>
      <c r="I434" s="786">
        <v>5738</v>
      </c>
      <c r="J434" s="787">
        <v>24185</v>
      </c>
      <c r="K434" s="786">
        <v>14225</v>
      </c>
      <c r="L434" s="785">
        <v>2315</v>
      </c>
      <c r="M434" s="785"/>
      <c r="N434" s="786">
        <v>2820</v>
      </c>
      <c r="O434" s="786">
        <v>0</v>
      </c>
      <c r="P434" s="786">
        <v>0</v>
      </c>
      <c r="Q434" s="785">
        <v>3346</v>
      </c>
      <c r="R434" s="785"/>
      <c r="S434" s="786">
        <v>33568</v>
      </c>
      <c r="T434" s="788">
        <v>366</v>
      </c>
      <c r="U434" s="788">
        <v>33934</v>
      </c>
    </row>
    <row r="435" spans="1:21" x14ac:dyDescent="0.25">
      <c r="A435" s="782">
        <v>94431</v>
      </c>
      <c r="B435" s="783" t="s">
        <v>3045</v>
      </c>
      <c r="C435" s="784">
        <v>4.2440000000000002E-4</v>
      </c>
      <c r="D435" s="784">
        <v>3.7589999999999998E-4</v>
      </c>
      <c r="E435" s="815">
        <v>293286</v>
      </c>
      <c r="F435" s="818">
        <v>797786</v>
      </c>
      <c r="G435" s="785">
        <v>648366</v>
      </c>
      <c r="H435" s="785"/>
      <c r="I435" s="786">
        <v>37352</v>
      </c>
      <c r="J435" s="787">
        <v>157424</v>
      </c>
      <c r="K435" s="786">
        <v>92596</v>
      </c>
      <c r="L435" s="785">
        <v>210809</v>
      </c>
      <c r="M435" s="785"/>
      <c r="N435" s="786">
        <v>18353</v>
      </c>
      <c r="O435" s="786">
        <v>0</v>
      </c>
      <c r="P435" s="786">
        <v>0</v>
      </c>
      <c r="Q435" s="785">
        <v>611</v>
      </c>
      <c r="R435" s="785"/>
      <c r="S435" s="786">
        <v>218500</v>
      </c>
      <c r="T435" s="788">
        <v>68328</v>
      </c>
      <c r="U435" s="788">
        <v>286828</v>
      </c>
    </row>
    <row r="436" spans="1:21" x14ac:dyDescent="0.25">
      <c r="A436" s="782">
        <v>94437</v>
      </c>
      <c r="B436" s="783" t="s">
        <v>3046</v>
      </c>
      <c r="C436" s="784">
        <v>1.5299999999999999E-5</v>
      </c>
      <c r="D436" s="784">
        <v>1.34E-5</v>
      </c>
      <c r="E436" s="815">
        <v>12848</v>
      </c>
      <c r="F436" s="818">
        <v>28439</v>
      </c>
      <c r="G436" s="785">
        <v>23374</v>
      </c>
      <c r="H436" s="785"/>
      <c r="I436" s="786">
        <v>1347</v>
      </c>
      <c r="J436" s="787">
        <v>5675</v>
      </c>
      <c r="K436" s="786">
        <v>3338</v>
      </c>
      <c r="L436" s="785">
        <v>13868</v>
      </c>
      <c r="M436" s="785"/>
      <c r="N436" s="786">
        <v>662</v>
      </c>
      <c r="O436" s="786">
        <v>0</v>
      </c>
      <c r="P436" s="786">
        <v>0</v>
      </c>
      <c r="Q436" s="785">
        <v>0</v>
      </c>
      <c r="R436" s="785"/>
      <c r="S436" s="786">
        <v>7877</v>
      </c>
      <c r="T436" s="788">
        <v>5640</v>
      </c>
      <c r="U436" s="788">
        <v>13517</v>
      </c>
    </row>
    <row r="437" spans="1:21" x14ac:dyDescent="0.25">
      <c r="A437" s="782">
        <v>94501</v>
      </c>
      <c r="B437" s="783" t="s">
        <v>3047</v>
      </c>
      <c r="C437" s="784">
        <v>5.6991000000000003E-3</v>
      </c>
      <c r="D437" s="784">
        <v>5.8474E-3</v>
      </c>
      <c r="E437" s="815">
        <v>2726192</v>
      </c>
      <c r="F437" s="818">
        <v>12410142</v>
      </c>
      <c r="G437" s="785">
        <v>8706646</v>
      </c>
      <c r="H437" s="785"/>
      <c r="I437" s="786">
        <v>501583</v>
      </c>
      <c r="J437" s="787">
        <v>2113984</v>
      </c>
      <c r="K437" s="786">
        <v>1243430</v>
      </c>
      <c r="L437" s="785">
        <v>145440</v>
      </c>
      <c r="M437" s="785"/>
      <c r="N437" s="786">
        <v>246458</v>
      </c>
      <c r="O437" s="786">
        <v>0</v>
      </c>
      <c r="P437" s="786">
        <v>0</v>
      </c>
      <c r="Q437" s="785">
        <v>11569</v>
      </c>
      <c r="R437" s="785"/>
      <c r="S437" s="786">
        <v>2934147</v>
      </c>
      <c r="T437" s="788">
        <v>99795</v>
      </c>
      <c r="U437" s="788">
        <v>3033942</v>
      </c>
    </row>
    <row r="438" spans="1:21" x14ac:dyDescent="0.25">
      <c r="A438" s="782">
        <v>94511</v>
      </c>
      <c r="B438" s="783" t="s">
        <v>3048</v>
      </c>
      <c r="C438" s="784">
        <v>1.8538999999999999E-3</v>
      </c>
      <c r="D438" s="784">
        <v>1.7432000000000001E-3</v>
      </c>
      <c r="E438" s="815">
        <v>773013</v>
      </c>
      <c r="F438" s="818">
        <v>3699654</v>
      </c>
      <c r="G438" s="785">
        <v>2832246</v>
      </c>
      <c r="H438" s="785"/>
      <c r="I438" s="786">
        <v>163164</v>
      </c>
      <c r="J438" s="787">
        <v>687673</v>
      </c>
      <c r="K438" s="786">
        <v>404484</v>
      </c>
      <c r="L438" s="785">
        <v>155537</v>
      </c>
      <c r="M438" s="785"/>
      <c r="N438" s="786">
        <v>80172</v>
      </c>
      <c r="O438" s="786">
        <v>0</v>
      </c>
      <c r="P438" s="786">
        <v>0</v>
      </c>
      <c r="Q438" s="785">
        <v>31633</v>
      </c>
      <c r="R438" s="785"/>
      <c r="S438" s="786">
        <v>954469</v>
      </c>
      <c r="T438" s="788">
        <v>72914</v>
      </c>
      <c r="U438" s="788">
        <v>1027383</v>
      </c>
    </row>
    <row r="439" spans="1:21" x14ac:dyDescent="0.25">
      <c r="A439" s="782">
        <v>94512</v>
      </c>
      <c r="B439" s="783" t="s">
        <v>3049</v>
      </c>
      <c r="C439" s="784">
        <v>0</v>
      </c>
      <c r="D439" s="784">
        <v>0</v>
      </c>
      <c r="E439" s="815">
        <v>0</v>
      </c>
      <c r="F439" s="818">
        <v>0</v>
      </c>
      <c r="G439" s="785">
        <v>0</v>
      </c>
      <c r="H439" s="785"/>
      <c r="I439" s="786">
        <v>0</v>
      </c>
      <c r="J439" s="787">
        <v>0</v>
      </c>
      <c r="K439" s="786">
        <v>0</v>
      </c>
      <c r="L439" s="785">
        <v>0</v>
      </c>
      <c r="M439" s="785"/>
      <c r="N439" s="786">
        <v>0</v>
      </c>
      <c r="O439" s="786">
        <v>0</v>
      </c>
      <c r="P439" s="786">
        <v>0</v>
      </c>
      <c r="Q439" s="785">
        <v>138579</v>
      </c>
      <c r="R439" s="785"/>
      <c r="S439" s="786">
        <v>0</v>
      </c>
      <c r="T439" s="788">
        <v>-78713</v>
      </c>
      <c r="U439" s="788">
        <v>-78713</v>
      </c>
    </row>
    <row r="440" spans="1:21" x14ac:dyDescent="0.25">
      <c r="A440" s="782">
        <v>94517</v>
      </c>
      <c r="B440" s="783" t="s">
        <v>3050</v>
      </c>
      <c r="C440" s="784">
        <v>4.7599999999999998E-5</v>
      </c>
      <c r="D440" s="784">
        <v>4.9599999999999999E-5</v>
      </c>
      <c r="E440" s="815">
        <v>31750</v>
      </c>
      <c r="F440" s="818">
        <v>105268</v>
      </c>
      <c r="G440" s="785">
        <v>72720</v>
      </c>
      <c r="H440" s="785"/>
      <c r="I440" s="786">
        <v>4189</v>
      </c>
      <c r="J440" s="787">
        <v>17656</v>
      </c>
      <c r="K440" s="786">
        <v>10385</v>
      </c>
      <c r="L440" s="785">
        <v>18702</v>
      </c>
      <c r="M440" s="785"/>
      <c r="N440" s="786">
        <v>2058</v>
      </c>
      <c r="O440" s="786">
        <v>0</v>
      </c>
      <c r="P440" s="786">
        <v>0</v>
      </c>
      <c r="Q440" s="785">
        <v>0</v>
      </c>
      <c r="R440" s="785"/>
      <c r="S440" s="786">
        <v>24507</v>
      </c>
      <c r="T440" s="788">
        <v>9021</v>
      </c>
      <c r="U440" s="788">
        <v>33528</v>
      </c>
    </row>
    <row r="441" spans="1:21" x14ac:dyDescent="0.25">
      <c r="A441" s="782">
        <v>94521</v>
      </c>
      <c r="B441" s="783" t="s">
        <v>3051</v>
      </c>
      <c r="C441" s="784">
        <v>1.517E-4</v>
      </c>
      <c r="D441" s="784">
        <v>1.2410000000000001E-4</v>
      </c>
      <c r="E441" s="815">
        <v>61289</v>
      </c>
      <c r="F441" s="818">
        <v>263382</v>
      </c>
      <c r="G441" s="785">
        <v>231756</v>
      </c>
      <c r="H441" s="785"/>
      <c r="I441" s="786">
        <v>13351</v>
      </c>
      <c r="J441" s="787">
        <v>56271</v>
      </c>
      <c r="K441" s="786">
        <v>33098</v>
      </c>
      <c r="L441" s="785">
        <v>15354</v>
      </c>
      <c r="M441" s="785"/>
      <c r="N441" s="786">
        <v>6560</v>
      </c>
      <c r="O441" s="786">
        <v>0</v>
      </c>
      <c r="P441" s="786">
        <v>0</v>
      </c>
      <c r="Q441" s="785">
        <v>13856</v>
      </c>
      <c r="R441" s="785"/>
      <c r="S441" s="786">
        <v>78102</v>
      </c>
      <c r="T441" s="788">
        <v>429</v>
      </c>
      <c r="U441" s="788">
        <v>78531</v>
      </c>
    </row>
    <row r="442" spans="1:21" x14ac:dyDescent="0.25">
      <c r="A442" s="782">
        <v>94527</v>
      </c>
      <c r="B442" s="783" t="s">
        <v>3052</v>
      </c>
      <c r="C442" s="784">
        <v>5.4E-6</v>
      </c>
      <c r="D442" s="784">
        <v>6.3999999999999997E-6</v>
      </c>
      <c r="E442" s="815">
        <v>2382</v>
      </c>
      <c r="F442" s="818">
        <v>13583</v>
      </c>
      <c r="G442" s="785">
        <v>8250</v>
      </c>
      <c r="H442" s="785"/>
      <c r="I442" s="786">
        <v>475</v>
      </c>
      <c r="J442" s="787">
        <v>2003</v>
      </c>
      <c r="K442" s="786">
        <v>1178</v>
      </c>
      <c r="L442" s="785">
        <v>308</v>
      </c>
      <c r="M442" s="785"/>
      <c r="N442" s="786">
        <v>234</v>
      </c>
      <c r="O442" s="786">
        <v>0</v>
      </c>
      <c r="P442" s="786">
        <v>0</v>
      </c>
      <c r="Q442" s="785">
        <v>3369</v>
      </c>
      <c r="R442" s="785"/>
      <c r="S442" s="786">
        <v>2780</v>
      </c>
      <c r="T442" s="788">
        <v>-953</v>
      </c>
      <c r="U442" s="788">
        <v>1827</v>
      </c>
    </row>
    <row r="443" spans="1:21" x14ac:dyDescent="0.25">
      <c r="A443" s="782">
        <v>94531</v>
      </c>
      <c r="B443" s="783" t="s">
        <v>3053</v>
      </c>
      <c r="C443" s="784">
        <v>1.5E-5</v>
      </c>
      <c r="D443" s="784">
        <v>1.5500000000000001E-5</v>
      </c>
      <c r="E443" s="815">
        <v>11396</v>
      </c>
      <c r="F443" s="818">
        <v>32896</v>
      </c>
      <c r="G443" s="785">
        <v>22916</v>
      </c>
      <c r="H443" s="785"/>
      <c r="I443" s="786">
        <v>1320</v>
      </c>
      <c r="J443" s="787">
        <v>5564</v>
      </c>
      <c r="K443" s="786">
        <v>3273</v>
      </c>
      <c r="L443" s="785">
        <v>6665</v>
      </c>
      <c r="M443" s="785"/>
      <c r="N443" s="786">
        <v>649</v>
      </c>
      <c r="O443" s="786">
        <v>0</v>
      </c>
      <c r="P443" s="786">
        <v>0</v>
      </c>
      <c r="Q443" s="785">
        <v>0</v>
      </c>
      <c r="R443" s="785"/>
      <c r="S443" s="786">
        <v>7723</v>
      </c>
      <c r="T443" s="788">
        <v>2681</v>
      </c>
      <c r="U443" s="788">
        <v>10404</v>
      </c>
    </row>
    <row r="444" spans="1:21" x14ac:dyDescent="0.25">
      <c r="A444" s="782">
        <v>94532</v>
      </c>
      <c r="B444" s="783" t="s">
        <v>3054</v>
      </c>
      <c r="C444" s="784">
        <v>8.7800000000000006E-5</v>
      </c>
      <c r="D444" s="784">
        <v>9.4099999999999997E-5</v>
      </c>
      <c r="E444" s="815">
        <v>45014</v>
      </c>
      <c r="F444" s="818">
        <v>199712</v>
      </c>
      <c r="G444" s="785">
        <v>134134</v>
      </c>
      <c r="H444" s="785"/>
      <c r="I444" s="786">
        <v>7727</v>
      </c>
      <c r="J444" s="787">
        <v>32568</v>
      </c>
      <c r="K444" s="786">
        <v>19156</v>
      </c>
      <c r="L444" s="785">
        <v>0</v>
      </c>
      <c r="M444" s="785"/>
      <c r="N444" s="786">
        <v>3797</v>
      </c>
      <c r="O444" s="786">
        <v>0</v>
      </c>
      <c r="P444" s="786">
        <v>0</v>
      </c>
      <c r="Q444" s="785">
        <v>10367</v>
      </c>
      <c r="R444" s="785"/>
      <c r="S444" s="786">
        <v>45203</v>
      </c>
      <c r="T444" s="788">
        <v>-5525</v>
      </c>
      <c r="U444" s="788">
        <v>39678</v>
      </c>
    </row>
    <row r="445" spans="1:21" x14ac:dyDescent="0.25">
      <c r="A445" s="782">
        <v>94541</v>
      </c>
      <c r="B445" s="783" t="s">
        <v>3055</v>
      </c>
      <c r="C445" s="784">
        <v>2.9300000000000002E-4</v>
      </c>
      <c r="D445" s="784">
        <v>2.9839999999999999E-4</v>
      </c>
      <c r="E445" s="815">
        <v>124372</v>
      </c>
      <c r="F445" s="818">
        <v>633305</v>
      </c>
      <c r="G445" s="785">
        <v>447623</v>
      </c>
      <c r="H445" s="785"/>
      <c r="I445" s="786">
        <v>25787</v>
      </c>
      <c r="J445" s="787">
        <v>108683</v>
      </c>
      <c r="K445" s="786">
        <v>63927</v>
      </c>
      <c r="L445" s="785">
        <v>0</v>
      </c>
      <c r="M445" s="785"/>
      <c r="N445" s="786">
        <v>12671</v>
      </c>
      <c r="O445" s="786">
        <v>0</v>
      </c>
      <c r="P445" s="786">
        <v>0</v>
      </c>
      <c r="Q445" s="785">
        <v>27614</v>
      </c>
      <c r="R445" s="785"/>
      <c r="S445" s="786">
        <v>150849</v>
      </c>
      <c r="T445" s="788">
        <v>-10625</v>
      </c>
      <c r="U445" s="788">
        <v>140224</v>
      </c>
    </row>
    <row r="446" spans="1:21" x14ac:dyDescent="0.25">
      <c r="A446" s="782">
        <v>94547</v>
      </c>
      <c r="B446" s="783" t="s">
        <v>3056</v>
      </c>
      <c r="C446" s="784">
        <v>1.08E-5</v>
      </c>
      <c r="D446" s="784">
        <v>1.24E-5</v>
      </c>
      <c r="E446" s="815">
        <v>8019</v>
      </c>
      <c r="F446" s="818">
        <v>26317</v>
      </c>
      <c r="G446" s="785">
        <v>16499</v>
      </c>
      <c r="H446" s="785"/>
      <c r="I446" s="786">
        <v>951</v>
      </c>
      <c r="J446" s="787">
        <v>4006</v>
      </c>
      <c r="K446" s="786">
        <v>2356</v>
      </c>
      <c r="L446" s="785">
        <v>2853</v>
      </c>
      <c r="M446" s="785"/>
      <c r="N446" s="786">
        <v>467</v>
      </c>
      <c r="O446" s="786">
        <v>0</v>
      </c>
      <c r="P446" s="786">
        <v>0</v>
      </c>
      <c r="Q446" s="785">
        <v>0</v>
      </c>
      <c r="R446" s="785"/>
      <c r="S446" s="786">
        <v>5560</v>
      </c>
      <c r="T446" s="788">
        <v>1000</v>
      </c>
      <c r="U446" s="788">
        <v>6560</v>
      </c>
    </row>
    <row r="447" spans="1:21" x14ac:dyDescent="0.25">
      <c r="A447" s="782">
        <v>94551</v>
      </c>
      <c r="B447" s="783" t="s">
        <v>3057</v>
      </c>
      <c r="C447" s="784">
        <v>4.1900000000000002E-5</v>
      </c>
      <c r="D447" s="784">
        <v>4.5899999999999998E-5</v>
      </c>
      <c r="E447" s="815">
        <v>24929</v>
      </c>
      <c r="F447" s="818">
        <v>97415</v>
      </c>
      <c r="G447" s="785">
        <v>64012</v>
      </c>
      <c r="H447" s="785"/>
      <c r="I447" s="786">
        <v>3688</v>
      </c>
      <c r="J447" s="787">
        <v>15543</v>
      </c>
      <c r="K447" s="786">
        <v>9142</v>
      </c>
      <c r="L447" s="785">
        <v>11600</v>
      </c>
      <c r="M447" s="785"/>
      <c r="N447" s="786">
        <v>1812</v>
      </c>
      <c r="O447" s="786">
        <v>0</v>
      </c>
      <c r="P447" s="786">
        <v>0</v>
      </c>
      <c r="Q447" s="785">
        <v>1576</v>
      </c>
      <c r="R447" s="785"/>
      <c r="S447" s="786">
        <v>21572</v>
      </c>
      <c r="T447" s="788">
        <v>4116</v>
      </c>
      <c r="U447" s="788">
        <v>25688</v>
      </c>
    </row>
    <row r="448" spans="1:21" x14ac:dyDescent="0.25">
      <c r="A448" s="782">
        <v>94601</v>
      </c>
      <c r="B448" s="783" t="s">
        <v>3058</v>
      </c>
      <c r="C448" s="784">
        <v>1.0602999999999999E-3</v>
      </c>
      <c r="D448" s="784">
        <v>1.0011E-3</v>
      </c>
      <c r="E448" s="815">
        <v>501425</v>
      </c>
      <c r="F448" s="818">
        <v>2124670</v>
      </c>
      <c r="G448" s="785">
        <v>1619845</v>
      </c>
      <c r="H448" s="785"/>
      <c r="I448" s="786">
        <v>93318</v>
      </c>
      <c r="J448" s="787">
        <v>393300</v>
      </c>
      <c r="K448" s="786">
        <v>231336</v>
      </c>
      <c r="L448" s="785">
        <v>77480</v>
      </c>
      <c r="M448" s="785"/>
      <c r="N448" s="786">
        <v>45853</v>
      </c>
      <c r="O448" s="786">
        <v>0</v>
      </c>
      <c r="P448" s="786">
        <v>0</v>
      </c>
      <c r="Q448" s="785">
        <v>2182</v>
      </c>
      <c r="R448" s="785"/>
      <c r="S448" s="786">
        <v>545889</v>
      </c>
      <c r="T448" s="788">
        <v>21640</v>
      </c>
      <c r="U448" s="788">
        <v>567529</v>
      </c>
    </row>
    <row r="449" spans="1:21" x14ac:dyDescent="0.25">
      <c r="A449" s="782">
        <v>94604</v>
      </c>
      <c r="B449" s="783" t="s">
        <v>3059</v>
      </c>
      <c r="C449" s="784">
        <v>2.62E-5</v>
      </c>
      <c r="D449" s="784">
        <v>2.65E-5</v>
      </c>
      <c r="E449" s="815">
        <v>14408</v>
      </c>
      <c r="F449" s="818">
        <v>56242</v>
      </c>
      <c r="G449" s="785">
        <v>40026</v>
      </c>
      <c r="H449" s="785"/>
      <c r="I449" s="786">
        <v>2306</v>
      </c>
      <c r="J449" s="787">
        <v>9718</v>
      </c>
      <c r="K449" s="786">
        <v>5716</v>
      </c>
      <c r="L449" s="785">
        <v>2471</v>
      </c>
      <c r="M449" s="785"/>
      <c r="N449" s="786">
        <v>1133</v>
      </c>
      <c r="O449" s="786">
        <v>0</v>
      </c>
      <c r="P449" s="786">
        <v>0</v>
      </c>
      <c r="Q449" s="785">
        <v>26</v>
      </c>
      <c r="R449" s="785"/>
      <c r="S449" s="786">
        <v>13489</v>
      </c>
      <c r="T449" s="788">
        <v>697</v>
      </c>
      <c r="U449" s="788">
        <v>14186</v>
      </c>
    </row>
    <row r="450" spans="1:21" x14ac:dyDescent="0.25">
      <c r="A450" s="782">
        <v>94606</v>
      </c>
      <c r="B450" s="783" t="s">
        <v>3060</v>
      </c>
      <c r="C450" s="784">
        <v>2.3550000000000001E-4</v>
      </c>
      <c r="D450" s="784">
        <v>2.6229999999999998E-4</v>
      </c>
      <c r="E450" s="815">
        <v>106916</v>
      </c>
      <c r="F450" s="818">
        <v>556688</v>
      </c>
      <c r="G450" s="785">
        <v>359779</v>
      </c>
      <c r="H450" s="785"/>
      <c r="I450" s="786">
        <v>20727</v>
      </c>
      <c r="J450" s="787">
        <v>87355</v>
      </c>
      <c r="K450" s="786">
        <v>51381</v>
      </c>
      <c r="L450" s="785">
        <v>0</v>
      </c>
      <c r="M450" s="785"/>
      <c r="N450" s="786">
        <v>10184</v>
      </c>
      <c r="O450" s="786">
        <v>0</v>
      </c>
      <c r="P450" s="786">
        <v>0</v>
      </c>
      <c r="Q450" s="785">
        <v>51703</v>
      </c>
      <c r="R450" s="785"/>
      <c r="S450" s="786">
        <v>121246</v>
      </c>
      <c r="T450" s="788">
        <v>-24169</v>
      </c>
      <c r="U450" s="788">
        <v>97077</v>
      </c>
    </row>
    <row r="451" spans="1:21" x14ac:dyDescent="0.25">
      <c r="A451" s="782">
        <v>94611</v>
      </c>
      <c r="B451" s="783" t="s">
        <v>3061</v>
      </c>
      <c r="C451" s="784">
        <v>3.6850000000000001E-4</v>
      </c>
      <c r="D451" s="784">
        <v>4.4450000000000002E-4</v>
      </c>
      <c r="E451" s="815">
        <v>191641</v>
      </c>
      <c r="F451" s="818">
        <v>943378</v>
      </c>
      <c r="G451" s="785">
        <v>562966</v>
      </c>
      <c r="H451" s="785"/>
      <c r="I451" s="786">
        <v>32432</v>
      </c>
      <c r="J451" s="787">
        <v>136689</v>
      </c>
      <c r="K451" s="786">
        <v>80399</v>
      </c>
      <c r="L451" s="785">
        <v>2567</v>
      </c>
      <c r="M451" s="785"/>
      <c r="N451" s="786">
        <v>15936</v>
      </c>
      <c r="O451" s="786">
        <v>0</v>
      </c>
      <c r="P451" s="786">
        <v>0</v>
      </c>
      <c r="Q451" s="785">
        <v>35426</v>
      </c>
      <c r="R451" s="785"/>
      <c r="S451" s="786">
        <v>189720</v>
      </c>
      <c r="T451" s="788">
        <v>-9323</v>
      </c>
      <c r="U451" s="788">
        <v>180397</v>
      </c>
    </row>
    <row r="452" spans="1:21" x14ac:dyDescent="0.25">
      <c r="A452" s="782">
        <v>94621</v>
      </c>
      <c r="B452" s="783" t="s">
        <v>3062</v>
      </c>
      <c r="C452" s="784">
        <v>9.7600000000000001E-5</v>
      </c>
      <c r="D452" s="784">
        <v>1.3119999999999999E-4</v>
      </c>
      <c r="E452" s="815">
        <v>66541</v>
      </c>
      <c r="F452" s="818">
        <v>278450</v>
      </c>
      <c r="G452" s="785">
        <v>149106</v>
      </c>
      <c r="H452" s="785"/>
      <c r="I452" s="786">
        <v>8590</v>
      </c>
      <c r="J452" s="787">
        <v>36203</v>
      </c>
      <c r="K452" s="786">
        <v>21294</v>
      </c>
      <c r="L452" s="785">
        <v>6585</v>
      </c>
      <c r="M452" s="785"/>
      <c r="N452" s="786">
        <v>4221</v>
      </c>
      <c r="O452" s="786">
        <v>0</v>
      </c>
      <c r="P452" s="786">
        <v>0</v>
      </c>
      <c r="Q452" s="785">
        <v>18055</v>
      </c>
      <c r="R452" s="785"/>
      <c r="S452" s="786">
        <v>50249</v>
      </c>
      <c r="T452" s="788">
        <v>-1288</v>
      </c>
      <c r="U452" s="788">
        <v>48961</v>
      </c>
    </row>
    <row r="453" spans="1:21" x14ac:dyDescent="0.25">
      <c r="A453" s="782">
        <v>94631</v>
      </c>
      <c r="B453" s="783" t="s">
        <v>3063</v>
      </c>
      <c r="C453" s="784">
        <v>3.9100000000000002E-5</v>
      </c>
      <c r="D453" s="784">
        <v>3.9799999999999998E-5</v>
      </c>
      <c r="E453" s="815">
        <v>22453</v>
      </c>
      <c r="F453" s="818">
        <v>84469</v>
      </c>
      <c r="G453" s="785">
        <v>59734</v>
      </c>
      <c r="H453" s="785"/>
      <c r="I453" s="786">
        <v>3441</v>
      </c>
      <c r="J453" s="787">
        <v>14504</v>
      </c>
      <c r="K453" s="786">
        <v>8531</v>
      </c>
      <c r="L453" s="785">
        <v>6569</v>
      </c>
      <c r="M453" s="785"/>
      <c r="N453" s="786">
        <v>1691</v>
      </c>
      <c r="O453" s="786">
        <v>0</v>
      </c>
      <c r="P453" s="786">
        <v>0</v>
      </c>
      <c r="Q453" s="785">
        <v>0</v>
      </c>
      <c r="R453" s="785"/>
      <c r="S453" s="786">
        <v>20130</v>
      </c>
      <c r="T453" s="788">
        <v>2517</v>
      </c>
      <c r="U453" s="788">
        <v>22647</v>
      </c>
    </row>
    <row r="454" spans="1:21" x14ac:dyDescent="0.25">
      <c r="A454" s="782">
        <v>94641</v>
      </c>
      <c r="B454" s="783" t="s">
        <v>3064</v>
      </c>
      <c r="C454" s="784">
        <v>3.8999999999999999E-6</v>
      </c>
      <c r="D454" s="784">
        <v>4.6999999999999999E-6</v>
      </c>
      <c r="E454" s="815">
        <v>5004</v>
      </c>
      <c r="F454" s="818">
        <v>9975</v>
      </c>
      <c r="G454" s="785">
        <v>5958</v>
      </c>
      <c r="H454" s="785"/>
      <c r="I454" s="786">
        <v>343</v>
      </c>
      <c r="J454" s="787">
        <v>1446</v>
      </c>
      <c r="K454" s="786">
        <v>851</v>
      </c>
      <c r="L454" s="785">
        <v>5156</v>
      </c>
      <c r="M454" s="785"/>
      <c r="N454" s="786">
        <v>169</v>
      </c>
      <c r="O454" s="786">
        <v>0</v>
      </c>
      <c r="P454" s="786">
        <v>0</v>
      </c>
      <c r="Q454" s="785">
        <v>0</v>
      </c>
      <c r="R454" s="785"/>
      <c r="S454" s="786">
        <v>2008</v>
      </c>
      <c r="T454" s="788">
        <v>2187</v>
      </c>
      <c r="U454" s="788">
        <v>4195</v>
      </c>
    </row>
    <row r="455" spans="1:21" x14ac:dyDescent="0.25">
      <c r="A455" s="782">
        <v>94701</v>
      </c>
      <c r="B455" s="783" t="s">
        <v>3065</v>
      </c>
      <c r="C455" s="784">
        <v>2.5446000000000002E-3</v>
      </c>
      <c r="D455" s="784">
        <v>2.5636000000000001E-3</v>
      </c>
      <c r="E455" s="815">
        <v>1148600</v>
      </c>
      <c r="F455" s="818">
        <v>5440818</v>
      </c>
      <c r="G455" s="785">
        <v>3887444</v>
      </c>
      <c r="H455" s="785"/>
      <c r="I455" s="786">
        <v>223953</v>
      </c>
      <c r="J455" s="787">
        <v>943877</v>
      </c>
      <c r="K455" s="786">
        <v>555181</v>
      </c>
      <c r="L455" s="785">
        <v>45251</v>
      </c>
      <c r="M455" s="785"/>
      <c r="N455" s="786">
        <v>110041</v>
      </c>
      <c r="O455" s="786">
        <v>0</v>
      </c>
      <c r="P455" s="786">
        <v>0</v>
      </c>
      <c r="Q455" s="785">
        <v>103182</v>
      </c>
      <c r="R455" s="785"/>
      <c r="S455" s="786">
        <v>1310072</v>
      </c>
      <c r="T455" s="788">
        <v>-2731</v>
      </c>
      <c r="U455" s="788">
        <v>1307341</v>
      </c>
    </row>
    <row r="456" spans="1:21" x14ac:dyDescent="0.25">
      <c r="A456" s="782">
        <v>94704</v>
      </c>
      <c r="B456" s="783" t="s">
        <v>3066</v>
      </c>
      <c r="C456" s="784">
        <v>9.5000000000000005E-6</v>
      </c>
      <c r="D456" s="784">
        <v>1.04E-5</v>
      </c>
      <c r="E456" s="815">
        <v>5070</v>
      </c>
      <c r="F456" s="818">
        <v>22072</v>
      </c>
      <c r="G456" s="785">
        <v>14513</v>
      </c>
      <c r="H456" s="785"/>
      <c r="I456" s="786">
        <v>836</v>
      </c>
      <c r="J456" s="787">
        <v>3524</v>
      </c>
      <c r="K456" s="786">
        <v>2073</v>
      </c>
      <c r="L456" s="785">
        <v>77</v>
      </c>
      <c r="M456" s="785"/>
      <c r="N456" s="786">
        <v>411</v>
      </c>
      <c r="O456" s="786">
        <v>0</v>
      </c>
      <c r="P456" s="786">
        <v>0</v>
      </c>
      <c r="Q456" s="785">
        <v>100</v>
      </c>
      <c r="R456" s="785"/>
      <c r="S456" s="786">
        <v>4891</v>
      </c>
      <c r="T456" s="788">
        <v>38</v>
      </c>
      <c r="U456" s="788">
        <v>4929</v>
      </c>
    </row>
    <row r="457" spans="1:21" x14ac:dyDescent="0.25">
      <c r="A457" s="782">
        <v>94711</v>
      </c>
      <c r="B457" s="783" t="s">
        <v>3067</v>
      </c>
      <c r="C457" s="784">
        <v>3.3599999999999998E-4</v>
      </c>
      <c r="D457" s="784">
        <v>3.5110000000000002E-4</v>
      </c>
      <c r="E457" s="815">
        <v>165327</v>
      </c>
      <c r="F457" s="818">
        <v>745152</v>
      </c>
      <c r="G457" s="785">
        <v>513315</v>
      </c>
      <c r="H457" s="785"/>
      <c r="I457" s="786">
        <v>29572</v>
      </c>
      <c r="J457" s="787">
        <v>124633</v>
      </c>
      <c r="K457" s="786">
        <v>73308</v>
      </c>
      <c r="L457" s="785">
        <v>9113</v>
      </c>
      <c r="M457" s="785"/>
      <c r="N457" s="786">
        <v>14530</v>
      </c>
      <c r="O457" s="786">
        <v>0</v>
      </c>
      <c r="P457" s="786">
        <v>0</v>
      </c>
      <c r="Q457" s="785">
        <v>6693</v>
      </c>
      <c r="R457" s="785"/>
      <c r="S457" s="786">
        <v>172988</v>
      </c>
      <c r="T457" s="788">
        <v>1163</v>
      </c>
      <c r="U457" s="788">
        <v>174151</v>
      </c>
    </row>
    <row r="458" spans="1:21" x14ac:dyDescent="0.25">
      <c r="A458" s="782">
        <v>94801</v>
      </c>
      <c r="B458" s="783" t="s">
        <v>3068</v>
      </c>
      <c r="C458" s="784">
        <v>7.2440000000000004E-4</v>
      </c>
      <c r="D458" s="784">
        <v>7.6539999999999996E-4</v>
      </c>
      <c r="E458" s="815">
        <v>342416</v>
      </c>
      <c r="F458" s="818">
        <v>1624435</v>
      </c>
      <c r="G458" s="785">
        <v>1106683</v>
      </c>
      <c r="H458" s="785"/>
      <c r="I458" s="786">
        <v>63755</v>
      </c>
      <c r="J458" s="787">
        <v>268704</v>
      </c>
      <c r="K458" s="786">
        <v>158050</v>
      </c>
      <c r="L458" s="785">
        <v>40380</v>
      </c>
      <c r="M458" s="785"/>
      <c r="N458" s="786">
        <v>31327</v>
      </c>
      <c r="O458" s="786">
        <v>0</v>
      </c>
      <c r="P458" s="786">
        <v>0</v>
      </c>
      <c r="Q458" s="785">
        <v>19605</v>
      </c>
      <c r="R458" s="785"/>
      <c r="S458" s="786">
        <v>372953</v>
      </c>
      <c r="T458" s="788">
        <v>17711</v>
      </c>
      <c r="U458" s="788">
        <v>390664</v>
      </c>
    </row>
    <row r="459" spans="1:21" x14ac:dyDescent="0.25">
      <c r="A459" s="782">
        <v>94804</v>
      </c>
      <c r="B459" s="783" t="s">
        <v>3069</v>
      </c>
      <c r="C459" s="784">
        <v>3.8E-6</v>
      </c>
      <c r="D459" s="784">
        <v>3.8E-6</v>
      </c>
      <c r="E459" s="815">
        <v>2740</v>
      </c>
      <c r="F459" s="818">
        <v>8065</v>
      </c>
      <c r="G459" s="785">
        <v>5805</v>
      </c>
      <c r="H459" s="785"/>
      <c r="I459" s="786">
        <v>334</v>
      </c>
      <c r="J459" s="787">
        <v>1409</v>
      </c>
      <c r="K459" s="786">
        <v>829</v>
      </c>
      <c r="L459" s="785">
        <v>2556</v>
      </c>
      <c r="M459" s="785"/>
      <c r="N459" s="786">
        <v>164</v>
      </c>
      <c r="O459" s="786">
        <v>0</v>
      </c>
      <c r="P459" s="786">
        <v>0</v>
      </c>
      <c r="Q459" s="785">
        <v>218</v>
      </c>
      <c r="R459" s="785"/>
      <c r="S459" s="786">
        <v>1956</v>
      </c>
      <c r="T459" s="788">
        <v>1879</v>
      </c>
      <c r="U459" s="788">
        <v>3835</v>
      </c>
    </row>
    <row r="460" spans="1:21" x14ac:dyDescent="0.25">
      <c r="A460" s="782">
        <v>94812</v>
      </c>
      <c r="B460" s="783" t="s">
        <v>3070</v>
      </c>
      <c r="C460" s="784">
        <v>3.3000000000000003E-5</v>
      </c>
      <c r="D460" s="784">
        <v>3.3500000000000001E-5</v>
      </c>
      <c r="E460" s="815">
        <v>19658</v>
      </c>
      <c r="F460" s="818">
        <v>71098</v>
      </c>
      <c r="G460" s="785">
        <v>50415</v>
      </c>
      <c r="H460" s="785"/>
      <c r="I460" s="786">
        <v>2904</v>
      </c>
      <c r="J460" s="787">
        <v>12241</v>
      </c>
      <c r="K460" s="786">
        <v>7200</v>
      </c>
      <c r="L460" s="785">
        <v>10442</v>
      </c>
      <c r="M460" s="785"/>
      <c r="N460" s="786">
        <v>1427</v>
      </c>
      <c r="O460" s="786">
        <v>0</v>
      </c>
      <c r="P460" s="786">
        <v>0</v>
      </c>
      <c r="Q460" s="785">
        <v>0</v>
      </c>
      <c r="R460" s="785"/>
      <c r="S460" s="786">
        <v>16990</v>
      </c>
      <c r="T460" s="788">
        <v>4040</v>
      </c>
      <c r="U460" s="788">
        <v>21030</v>
      </c>
    </row>
    <row r="461" spans="1:21" x14ac:dyDescent="0.25">
      <c r="A461" s="782">
        <v>94901</v>
      </c>
      <c r="B461" s="783" t="s">
        <v>3071</v>
      </c>
      <c r="C461" s="784">
        <v>6.7841999999999998E-3</v>
      </c>
      <c r="D461" s="784">
        <v>7.0014999999999999E-3</v>
      </c>
      <c r="E461" s="815">
        <v>3201093</v>
      </c>
      <c r="F461" s="818">
        <v>14859529</v>
      </c>
      <c r="G461" s="785">
        <v>10364378</v>
      </c>
      <c r="H461" s="785"/>
      <c r="I461" s="786">
        <v>597084</v>
      </c>
      <c r="J461" s="787">
        <v>2516484</v>
      </c>
      <c r="K461" s="786">
        <v>1480177</v>
      </c>
      <c r="L461" s="785">
        <v>16760</v>
      </c>
      <c r="M461" s="785"/>
      <c r="N461" s="786">
        <v>293383</v>
      </c>
      <c r="O461" s="786">
        <v>0</v>
      </c>
      <c r="P461" s="786">
        <v>0</v>
      </c>
      <c r="Q461" s="785">
        <v>129476</v>
      </c>
      <c r="R461" s="785"/>
      <c r="S461" s="786">
        <v>3492805</v>
      </c>
      <c r="T461" s="788">
        <v>-36324</v>
      </c>
      <c r="U461" s="788">
        <v>3456481</v>
      </c>
    </row>
    <row r="462" spans="1:21" x14ac:dyDescent="0.25">
      <c r="A462" s="782">
        <v>94908</v>
      </c>
      <c r="B462" s="783" t="s">
        <v>3072</v>
      </c>
      <c r="C462" s="784">
        <v>7.7000000000000008E-6</v>
      </c>
      <c r="D462" s="784">
        <v>3.9799999999999998E-5</v>
      </c>
      <c r="E462" s="815">
        <v>7868</v>
      </c>
      <c r="F462" s="818">
        <v>84469</v>
      </c>
      <c r="G462" s="785">
        <v>11763</v>
      </c>
      <c r="H462" s="785"/>
      <c r="I462" s="786">
        <v>678</v>
      </c>
      <c r="J462" s="787">
        <v>2857</v>
      </c>
      <c r="K462" s="786">
        <v>1680</v>
      </c>
      <c r="L462" s="785">
        <v>0</v>
      </c>
      <c r="M462" s="785"/>
      <c r="N462" s="786">
        <v>333</v>
      </c>
      <c r="O462" s="786">
        <v>0</v>
      </c>
      <c r="P462" s="786">
        <v>0</v>
      </c>
      <c r="Q462" s="785">
        <v>21664</v>
      </c>
      <c r="R462" s="785"/>
      <c r="S462" s="786">
        <v>3964</v>
      </c>
      <c r="T462" s="788">
        <v>-6783</v>
      </c>
      <c r="U462" s="788">
        <v>-2819</v>
      </c>
    </row>
    <row r="463" spans="1:21" x14ac:dyDescent="0.25">
      <c r="A463" s="782">
        <v>94911</v>
      </c>
      <c r="B463" s="783" t="s">
        <v>3073</v>
      </c>
      <c r="C463" s="784">
        <v>2.8311E-3</v>
      </c>
      <c r="D463" s="784">
        <v>2.7745999999999999E-3</v>
      </c>
      <c r="E463" s="815">
        <v>1295988</v>
      </c>
      <c r="F463" s="818">
        <v>5888631</v>
      </c>
      <c r="G463" s="785">
        <v>4325137</v>
      </c>
      <c r="H463" s="785"/>
      <c r="I463" s="786">
        <v>249168</v>
      </c>
      <c r="J463" s="787">
        <v>1050149</v>
      </c>
      <c r="K463" s="786">
        <v>617689</v>
      </c>
      <c r="L463" s="785">
        <v>39747</v>
      </c>
      <c r="M463" s="785"/>
      <c r="N463" s="786">
        <v>122431</v>
      </c>
      <c r="O463" s="786">
        <v>0</v>
      </c>
      <c r="P463" s="786">
        <v>0</v>
      </c>
      <c r="Q463" s="785">
        <v>40147</v>
      </c>
      <c r="R463" s="785"/>
      <c r="S463" s="786">
        <v>1457575</v>
      </c>
      <c r="T463" s="788">
        <v>-7457</v>
      </c>
      <c r="U463" s="788">
        <v>1450118</v>
      </c>
    </row>
    <row r="464" spans="1:21" x14ac:dyDescent="0.25">
      <c r="A464" s="782">
        <v>94917</v>
      </c>
      <c r="B464" s="783" t="s">
        <v>3074</v>
      </c>
      <c r="C464" s="784">
        <v>3.5099999999999999E-5</v>
      </c>
      <c r="D464" s="784">
        <v>3.7400000000000001E-5</v>
      </c>
      <c r="E464" s="815">
        <v>27131</v>
      </c>
      <c r="F464" s="818">
        <v>79375</v>
      </c>
      <c r="G464" s="785">
        <v>53623</v>
      </c>
      <c r="H464" s="785"/>
      <c r="I464" s="786">
        <v>3089</v>
      </c>
      <c r="J464" s="787">
        <v>13020</v>
      </c>
      <c r="K464" s="786">
        <v>7658</v>
      </c>
      <c r="L464" s="785">
        <v>16574</v>
      </c>
      <c r="M464" s="785"/>
      <c r="N464" s="786">
        <v>1518</v>
      </c>
      <c r="O464" s="786">
        <v>0</v>
      </c>
      <c r="P464" s="786">
        <v>0</v>
      </c>
      <c r="Q464" s="785">
        <v>0</v>
      </c>
      <c r="R464" s="785"/>
      <c r="S464" s="786">
        <v>18071</v>
      </c>
      <c r="T464" s="788">
        <v>7114</v>
      </c>
      <c r="U464" s="788">
        <v>25185</v>
      </c>
    </row>
    <row r="465" spans="1:21" x14ac:dyDescent="0.25">
      <c r="A465" s="782">
        <v>94921</v>
      </c>
      <c r="B465" s="783" t="s">
        <v>3075</v>
      </c>
      <c r="C465" s="784">
        <v>3.9515000000000002E-3</v>
      </c>
      <c r="D465" s="784">
        <v>3.7063E-3</v>
      </c>
      <c r="E465" s="815">
        <v>1632572</v>
      </c>
      <c r="F465" s="818">
        <v>7866010</v>
      </c>
      <c r="G465" s="785">
        <v>6036797</v>
      </c>
      <c r="H465" s="785"/>
      <c r="I465" s="786">
        <v>347775</v>
      </c>
      <c r="J465" s="787">
        <v>1465741</v>
      </c>
      <c r="K465" s="786">
        <v>862138</v>
      </c>
      <c r="L465" s="785">
        <v>19200</v>
      </c>
      <c r="M465" s="785"/>
      <c r="N465" s="786">
        <v>170883</v>
      </c>
      <c r="O465" s="786">
        <v>0</v>
      </c>
      <c r="P465" s="786">
        <v>0</v>
      </c>
      <c r="Q465" s="785">
        <v>350239</v>
      </c>
      <c r="R465" s="785"/>
      <c r="S465" s="786">
        <v>2034406</v>
      </c>
      <c r="T465" s="788">
        <v>-150626</v>
      </c>
      <c r="U465" s="788">
        <v>1883780</v>
      </c>
    </row>
    <row r="466" spans="1:21" x14ac:dyDescent="0.25">
      <c r="A466" s="782">
        <v>94923</v>
      </c>
      <c r="B466" s="783" t="s">
        <v>3076</v>
      </c>
      <c r="C466" s="784">
        <v>3.0700000000000001E-5</v>
      </c>
      <c r="D466" s="784">
        <v>2.4499999999999999E-5</v>
      </c>
      <c r="E466" s="815">
        <v>14810</v>
      </c>
      <c r="F466" s="818">
        <v>51997</v>
      </c>
      <c r="G466" s="785">
        <v>46901</v>
      </c>
      <c r="H466" s="785"/>
      <c r="I466" s="786">
        <v>2702</v>
      </c>
      <c r="J466" s="787">
        <v>11387</v>
      </c>
      <c r="K466" s="786">
        <v>6698</v>
      </c>
      <c r="L466" s="785">
        <v>5727</v>
      </c>
      <c r="M466" s="785"/>
      <c r="N466" s="786">
        <v>1328</v>
      </c>
      <c r="O466" s="786">
        <v>0</v>
      </c>
      <c r="P466" s="786">
        <v>0</v>
      </c>
      <c r="Q466" s="785">
        <v>86</v>
      </c>
      <c r="R466" s="785"/>
      <c r="S466" s="786">
        <v>15806</v>
      </c>
      <c r="T466" s="788">
        <v>1556</v>
      </c>
      <c r="U466" s="788">
        <v>17362</v>
      </c>
    </row>
    <row r="467" spans="1:21" x14ac:dyDescent="0.25">
      <c r="A467" s="782">
        <v>94927</v>
      </c>
      <c r="B467" s="783" t="s">
        <v>3077</v>
      </c>
      <c r="C467" s="784">
        <v>3.0599999999999998E-5</v>
      </c>
      <c r="D467" s="784">
        <v>3.3899999999999997E-5</v>
      </c>
      <c r="E467" s="815">
        <v>17353</v>
      </c>
      <c r="F467" s="818">
        <v>71947</v>
      </c>
      <c r="G467" s="785">
        <v>46748</v>
      </c>
      <c r="H467" s="785"/>
      <c r="I467" s="786">
        <v>2693</v>
      </c>
      <c r="J467" s="787">
        <v>11350</v>
      </c>
      <c r="K467" s="786">
        <v>6676</v>
      </c>
      <c r="L467" s="785">
        <v>2683</v>
      </c>
      <c r="M467" s="785"/>
      <c r="N467" s="786">
        <v>1323</v>
      </c>
      <c r="O467" s="786">
        <v>0</v>
      </c>
      <c r="P467" s="786">
        <v>0</v>
      </c>
      <c r="Q467" s="785">
        <v>26</v>
      </c>
      <c r="R467" s="785"/>
      <c r="S467" s="786">
        <v>15754</v>
      </c>
      <c r="T467" s="788">
        <v>911</v>
      </c>
      <c r="U467" s="788">
        <v>16665</v>
      </c>
    </row>
    <row r="468" spans="1:21" x14ac:dyDescent="0.25">
      <c r="A468" s="782">
        <v>94931</v>
      </c>
      <c r="B468" s="783" t="s">
        <v>3078</v>
      </c>
      <c r="C468" s="784">
        <v>2.163E-4</v>
      </c>
      <c r="D468" s="784">
        <v>2.1130000000000001E-4</v>
      </c>
      <c r="E468" s="815">
        <v>96302</v>
      </c>
      <c r="F468" s="818">
        <v>448449</v>
      </c>
      <c r="G468" s="785">
        <v>330446</v>
      </c>
      <c r="H468" s="785"/>
      <c r="I468" s="786">
        <v>19037</v>
      </c>
      <c r="J468" s="787">
        <v>80233</v>
      </c>
      <c r="K468" s="786">
        <v>47192</v>
      </c>
      <c r="L468" s="785">
        <v>954</v>
      </c>
      <c r="M468" s="785"/>
      <c r="N468" s="786">
        <v>9354</v>
      </c>
      <c r="O468" s="786">
        <v>0</v>
      </c>
      <c r="P468" s="786">
        <v>0</v>
      </c>
      <c r="Q468" s="785">
        <v>15740</v>
      </c>
      <c r="R468" s="785"/>
      <c r="S468" s="786">
        <v>111361</v>
      </c>
      <c r="T468" s="788">
        <v>-7901</v>
      </c>
      <c r="U468" s="788">
        <v>103460</v>
      </c>
    </row>
    <row r="469" spans="1:21" x14ac:dyDescent="0.25">
      <c r="A469" s="782">
        <v>94941</v>
      </c>
      <c r="B469" s="783" t="s">
        <v>3079</v>
      </c>
      <c r="C469" s="784">
        <v>5.7879999999999997E-4</v>
      </c>
      <c r="D469" s="784">
        <v>5.2959999999999997E-4</v>
      </c>
      <c r="E469" s="815">
        <v>242954</v>
      </c>
      <c r="F469" s="818">
        <v>1123989</v>
      </c>
      <c r="G469" s="785">
        <v>884246</v>
      </c>
      <c r="H469" s="785"/>
      <c r="I469" s="786">
        <v>50941</v>
      </c>
      <c r="J469" s="787">
        <v>214696</v>
      </c>
      <c r="K469" s="786">
        <v>126283</v>
      </c>
      <c r="L469" s="785">
        <v>68775</v>
      </c>
      <c r="M469" s="785"/>
      <c r="N469" s="786">
        <v>25030</v>
      </c>
      <c r="O469" s="786">
        <v>0</v>
      </c>
      <c r="P469" s="786">
        <v>0</v>
      </c>
      <c r="Q469" s="785">
        <v>0</v>
      </c>
      <c r="R469" s="785"/>
      <c r="S469" s="786">
        <v>297992</v>
      </c>
      <c r="T469" s="788">
        <v>46151</v>
      </c>
      <c r="U469" s="788">
        <v>344143</v>
      </c>
    </row>
    <row r="470" spans="1:21" x14ac:dyDescent="0.25">
      <c r="A470" s="782">
        <v>95001</v>
      </c>
      <c r="B470" s="783" t="s">
        <v>3080</v>
      </c>
      <c r="C470" s="784">
        <v>2.4867000000000001E-3</v>
      </c>
      <c r="D470" s="784">
        <v>2.3779000000000001E-3</v>
      </c>
      <c r="E470" s="815">
        <v>1196131</v>
      </c>
      <c r="F470" s="818">
        <v>5046700</v>
      </c>
      <c r="G470" s="785">
        <v>3798989</v>
      </c>
      <c r="H470" s="785"/>
      <c r="I470" s="786">
        <v>218857</v>
      </c>
      <c r="J470" s="787">
        <v>922399</v>
      </c>
      <c r="K470" s="786">
        <v>542548</v>
      </c>
      <c r="L470" s="785">
        <v>176888</v>
      </c>
      <c r="M470" s="785"/>
      <c r="N470" s="786">
        <v>107537</v>
      </c>
      <c r="O470" s="786">
        <v>0</v>
      </c>
      <c r="P470" s="786">
        <v>0</v>
      </c>
      <c r="Q470" s="785">
        <v>3991</v>
      </c>
      <c r="R470" s="785"/>
      <c r="S470" s="786">
        <v>1280263</v>
      </c>
      <c r="T470" s="788">
        <v>51652</v>
      </c>
      <c r="U470" s="788">
        <v>1331915</v>
      </c>
    </row>
    <row r="471" spans="1:21" x14ac:dyDescent="0.25">
      <c r="A471" s="782">
        <v>95002</v>
      </c>
      <c r="B471" s="783" t="s">
        <v>3081</v>
      </c>
      <c r="C471" s="784">
        <v>1.907E-4</v>
      </c>
      <c r="D471" s="784">
        <v>2.0120000000000001E-4</v>
      </c>
      <c r="E471" s="815">
        <v>100854</v>
      </c>
      <c r="F471" s="818">
        <v>427014</v>
      </c>
      <c r="G471" s="785">
        <v>291337</v>
      </c>
      <c r="H471" s="785"/>
      <c r="I471" s="786">
        <v>16784</v>
      </c>
      <c r="J471" s="787">
        <v>70737</v>
      </c>
      <c r="K471" s="786">
        <v>41607</v>
      </c>
      <c r="L471" s="785">
        <v>15647</v>
      </c>
      <c r="M471" s="785"/>
      <c r="N471" s="786">
        <v>8247</v>
      </c>
      <c r="O471" s="786">
        <v>0</v>
      </c>
      <c r="P471" s="786">
        <v>0</v>
      </c>
      <c r="Q471" s="785">
        <v>0</v>
      </c>
      <c r="R471" s="785"/>
      <c r="S471" s="786">
        <v>98181</v>
      </c>
      <c r="T471" s="788">
        <v>6293</v>
      </c>
      <c r="U471" s="788">
        <v>104474</v>
      </c>
    </row>
    <row r="472" spans="1:21" x14ac:dyDescent="0.25">
      <c r="A472" s="782">
        <v>95005</v>
      </c>
      <c r="B472" s="783" t="s">
        <v>3082</v>
      </c>
      <c r="C472" s="784">
        <v>2.2949999999999999E-4</v>
      </c>
      <c r="D472" s="784">
        <v>2.3829999999999999E-4</v>
      </c>
      <c r="E472" s="815">
        <v>111067</v>
      </c>
      <c r="F472" s="818">
        <v>505752</v>
      </c>
      <c r="G472" s="785">
        <v>350612</v>
      </c>
      <c r="H472" s="785"/>
      <c r="I472" s="786">
        <v>20199</v>
      </c>
      <c r="J472" s="787">
        <v>85129</v>
      </c>
      <c r="K472" s="786">
        <v>50072</v>
      </c>
      <c r="L472" s="785">
        <v>13727</v>
      </c>
      <c r="M472" s="785"/>
      <c r="N472" s="786">
        <v>9925</v>
      </c>
      <c r="O472" s="786">
        <v>0</v>
      </c>
      <c r="P472" s="786">
        <v>0</v>
      </c>
      <c r="Q472" s="785">
        <v>1630</v>
      </c>
      <c r="R472" s="785"/>
      <c r="S472" s="786">
        <v>118157</v>
      </c>
      <c r="T472" s="788">
        <v>9042</v>
      </c>
      <c r="U472" s="788">
        <v>127199</v>
      </c>
    </row>
    <row r="473" spans="1:21" x14ac:dyDescent="0.25">
      <c r="A473" s="782">
        <v>95008</v>
      </c>
      <c r="B473" s="783" t="s">
        <v>3083</v>
      </c>
      <c r="C473" s="784">
        <v>1.1519999999999999E-4</v>
      </c>
      <c r="D473" s="784">
        <v>1.169E-4</v>
      </c>
      <c r="E473" s="815">
        <v>62834</v>
      </c>
      <c r="F473" s="818">
        <v>248101</v>
      </c>
      <c r="G473" s="785">
        <v>175994</v>
      </c>
      <c r="H473" s="785"/>
      <c r="I473" s="786">
        <v>10139</v>
      </c>
      <c r="J473" s="787">
        <v>42731</v>
      </c>
      <c r="K473" s="786">
        <v>25134</v>
      </c>
      <c r="L473" s="785">
        <v>19189</v>
      </c>
      <c r="M473" s="785"/>
      <c r="N473" s="786">
        <v>4982</v>
      </c>
      <c r="O473" s="786">
        <v>0</v>
      </c>
      <c r="P473" s="786">
        <v>0</v>
      </c>
      <c r="Q473" s="785">
        <v>6239</v>
      </c>
      <c r="R473" s="785"/>
      <c r="S473" s="786">
        <v>59310</v>
      </c>
      <c r="T473" s="788">
        <v>9098</v>
      </c>
      <c r="U473" s="788">
        <v>68408</v>
      </c>
    </row>
    <row r="474" spans="1:21" x14ac:dyDescent="0.25">
      <c r="A474" s="782">
        <v>95009</v>
      </c>
      <c r="B474" s="783" t="s">
        <v>3671</v>
      </c>
      <c r="C474" s="784">
        <v>4.2208999999999997E-3</v>
      </c>
      <c r="D474" s="784">
        <v>3.9902000000000002E-3</v>
      </c>
      <c r="E474" s="815">
        <v>1917856</v>
      </c>
      <c r="F474" s="818">
        <v>0</v>
      </c>
      <c r="G474" s="785">
        <v>6448366</v>
      </c>
      <c r="H474" s="785"/>
      <c r="I474" s="786">
        <v>371486</v>
      </c>
      <c r="J474" s="787">
        <v>1565671</v>
      </c>
      <c r="K474" s="786">
        <v>920916</v>
      </c>
      <c r="L474" s="785">
        <v>897451</v>
      </c>
      <c r="M474" s="785"/>
      <c r="N474" s="786">
        <v>182533</v>
      </c>
      <c r="O474" s="786">
        <v>0</v>
      </c>
      <c r="P474" s="786">
        <v>0</v>
      </c>
      <c r="Q474" s="785">
        <v>0</v>
      </c>
      <c r="R474" s="785"/>
      <c r="S474" s="786">
        <v>2173105</v>
      </c>
      <c r="T474" s="788">
        <v>582135</v>
      </c>
      <c r="U474" s="788">
        <v>2755240</v>
      </c>
    </row>
    <row r="475" spans="1:21" x14ac:dyDescent="0.25">
      <c r="A475" s="782">
        <v>95011</v>
      </c>
      <c r="B475" s="783" t="s">
        <v>3085</v>
      </c>
      <c r="C475" s="784">
        <v>1.8000000000000001E-4</v>
      </c>
      <c r="D475" s="784">
        <v>1.707E-4</v>
      </c>
      <c r="E475" s="815">
        <v>78934</v>
      </c>
      <c r="F475" s="818">
        <v>362283</v>
      </c>
      <c r="G475" s="785">
        <v>274990</v>
      </c>
      <c r="H475" s="785"/>
      <c r="I475" s="786">
        <v>15842</v>
      </c>
      <c r="J475" s="787">
        <v>66768</v>
      </c>
      <c r="K475" s="786">
        <v>39272</v>
      </c>
      <c r="L475" s="785">
        <v>3275</v>
      </c>
      <c r="M475" s="785"/>
      <c r="N475" s="786">
        <v>7784</v>
      </c>
      <c r="O475" s="786">
        <v>0</v>
      </c>
      <c r="P475" s="786">
        <v>0</v>
      </c>
      <c r="Q475" s="785">
        <v>8909</v>
      </c>
      <c r="R475" s="785"/>
      <c r="S475" s="786">
        <v>92672</v>
      </c>
      <c r="T475" s="788">
        <v>-3840</v>
      </c>
      <c r="U475" s="788">
        <v>88832</v>
      </c>
    </row>
    <row r="476" spans="1:21" x14ac:dyDescent="0.25">
      <c r="A476" s="782">
        <v>95017</v>
      </c>
      <c r="B476" s="783" t="s">
        <v>3086</v>
      </c>
      <c r="C476" s="784">
        <v>3.8800000000000001E-5</v>
      </c>
      <c r="D476" s="784">
        <v>3.5800000000000003E-5</v>
      </c>
      <c r="E476" s="815">
        <v>15330</v>
      </c>
      <c r="F476" s="818">
        <v>75980</v>
      </c>
      <c r="G476" s="785">
        <v>59276</v>
      </c>
      <c r="H476" s="785"/>
      <c r="I476" s="786">
        <v>3415</v>
      </c>
      <c r="J476" s="787">
        <v>14392</v>
      </c>
      <c r="K476" s="786">
        <v>8465</v>
      </c>
      <c r="L476" s="785">
        <v>13339</v>
      </c>
      <c r="M476" s="785"/>
      <c r="N476" s="786">
        <v>1678</v>
      </c>
      <c r="O476" s="786">
        <v>0</v>
      </c>
      <c r="P476" s="786">
        <v>0</v>
      </c>
      <c r="Q476" s="785">
        <v>0</v>
      </c>
      <c r="R476" s="785"/>
      <c r="S476" s="786">
        <v>19976</v>
      </c>
      <c r="T476" s="788">
        <v>7635</v>
      </c>
      <c r="U476" s="788">
        <v>27611</v>
      </c>
    </row>
    <row r="477" spans="1:21" x14ac:dyDescent="0.25">
      <c r="A477" s="782">
        <v>95101</v>
      </c>
      <c r="B477" s="783" t="s">
        <v>3087</v>
      </c>
      <c r="C477" s="784">
        <v>8.3750999999999999E-3</v>
      </c>
      <c r="D477" s="784">
        <v>8.0955999999999997E-3</v>
      </c>
      <c r="E477" s="815">
        <v>3555097</v>
      </c>
      <c r="F477" s="818">
        <v>17181575</v>
      </c>
      <c r="G477" s="785">
        <v>12794833</v>
      </c>
      <c r="H477" s="785"/>
      <c r="I477" s="786">
        <v>737101</v>
      </c>
      <c r="J477" s="787">
        <v>3106601</v>
      </c>
      <c r="K477" s="786">
        <v>1827279</v>
      </c>
      <c r="L477" s="785">
        <v>39562</v>
      </c>
      <c r="M477" s="785"/>
      <c r="N477" s="786">
        <v>362181</v>
      </c>
      <c r="O477" s="786">
        <v>0</v>
      </c>
      <c r="P477" s="786">
        <v>0</v>
      </c>
      <c r="Q477" s="785">
        <v>114122</v>
      </c>
      <c r="R477" s="785"/>
      <c r="S477" s="786">
        <v>4311870</v>
      </c>
      <c r="T477" s="788">
        <v>1978</v>
      </c>
      <c r="U477" s="788">
        <v>4313848</v>
      </c>
    </row>
    <row r="478" spans="1:21" x14ac:dyDescent="0.25">
      <c r="A478" s="782">
        <v>95103</v>
      </c>
      <c r="B478" s="783" t="s">
        <v>3088</v>
      </c>
      <c r="C478" s="784">
        <v>4.9100000000000001E-5</v>
      </c>
      <c r="D478" s="784">
        <v>6.02E-5</v>
      </c>
      <c r="E478" s="815">
        <v>33036</v>
      </c>
      <c r="F478" s="818">
        <v>127765</v>
      </c>
      <c r="G478" s="785">
        <v>75011</v>
      </c>
      <c r="H478" s="785"/>
      <c r="I478" s="786">
        <v>4321</v>
      </c>
      <c r="J478" s="787">
        <v>18213</v>
      </c>
      <c r="K478" s="786">
        <v>10713</v>
      </c>
      <c r="L478" s="785">
        <v>24203</v>
      </c>
      <c r="M478" s="785"/>
      <c r="N478" s="786">
        <v>2123</v>
      </c>
      <c r="O478" s="786">
        <v>0</v>
      </c>
      <c r="P478" s="786">
        <v>0</v>
      </c>
      <c r="Q478" s="785">
        <v>0</v>
      </c>
      <c r="R478" s="785"/>
      <c r="S478" s="786">
        <v>25279</v>
      </c>
      <c r="T478" s="788">
        <v>18053</v>
      </c>
      <c r="U478" s="788">
        <v>43332</v>
      </c>
    </row>
    <row r="479" spans="1:21" x14ac:dyDescent="0.25">
      <c r="A479" s="782">
        <v>95104</v>
      </c>
      <c r="B479" s="783" t="s">
        <v>3089</v>
      </c>
      <c r="C479" s="784">
        <v>1.02E-4</v>
      </c>
      <c r="D479" s="784">
        <v>1.011E-4</v>
      </c>
      <c r="E479" s="815">
        <v>55856</v>
      </c>
      <c r="F479" s="818">
        <v>214568</v>
      </c>
      <c r="G479" s="785">
        <v>155828</v>
      </c>
      <c r="H479" s="785"/>
      <c r="I479" s="786">
        <v>8977</v>
      </c>
      <c r="J479" s="787">
        <v>37835</v>
      </c>
      <c r="K479" s="786">
        <v>22254</v>
      </c>
      <c r="L479" s="785">
        <v>19729</v>
      </c>
      <c r="M479" s="785"/>
      <c r="N479" s="786">
        <v>4411</v>
      </c>
      <c r="O479" s="786">
        <v>0</v>
      </c>
      <c r="P479" s="786">
        <v>0</v>
      </c>
      <c r="Q479" s="785">
        <v>0</v>
      </c>
      <c r="R479" s="785"/>
      <c r="S479" s="786">
        <v>52514</v>
      </c>
      <c r="T479" s="788">
        <v>8399</v>
      </c>
      <c r="U479" s="788">
        <v>60913</v>
      </c>
    </row>
    <row r="480" spans="1:21" x14ac:dyDescent="0.25">
      <c r="A480" s="782">
        <v>95105</v>
      </c>
      <c r="B480" s="783" t="s">
        <v>3090</v>
      </c>
      <c r="C480" s="784">
        <v>6.1099999999999994E-5</v>
      </c>
      <c r="D480" s="784">
        <v>6.3700000000000003E-5</v>
      </c>
      <c r="E480" s="815">
        <v>33363</v>
      </c>
      <c r="F480" s="818">
        <v>135193</v>
      </c>
      <c r="G480" s="785">
        <v>93344</v>
      </c>
      <c r="H480" s="785"/>
      <c r="I480" s="786">
        <v>5377</v>
      </c>
      <c r="J480" s="787">
        <v>22664</v>
      </c>
      <c r="K480" s="786">
        <v>13331</v>
      </c>
      <c r="L480" s="785">
        <v>8129</v>
      </c>
      <c r="M480" s="785"/>
      <c r="N480" s="786">
        <v>2642</v>
      </c>
      <c r="O480" s="786">
        <v>0</v>
      </c>
      <c r="P480" s="786">
        <v>0</v>
      </c>
      <c r="Q480" s="785">
        <v>0</v>
      </c>
      <c r="R480" s="785"/>
      <c r="S480" s="786">
        <v>31457</v>
      </c>
      <c r="T480" s="788">
        <v>4018</v>
      </c>
      <c r="U480" s="788">
        <v>35475</v>
      </c>
    </row>
    <row r="481" spans="1:21" x14ac:dyDescent="0.25">
      <c r="A481" s="782">
        <v>95106</v>
      </c>
      <c r="B481" s="783" t="s">
        <v>3091</v>
      </c>
      <c r="C481" s="784">
        <v>1.2099999999999999E-5</v>
      </c>
      <c r="D481" s="784">
        <v>1.3900000000000001E-5</v>
      </c>
      <c r="E481" s="815">
        <v>5272</v>
      </c>
      <c r="F481" s="818">
        <v>29500</v>
      </c>
      <c r="G481" s="785">
        <v>18485</v>
      </c>
      <c r="H481" s="785"/>
      <c r="I481" s="786">
        <v>1065</v>
      </c>
      <c r="J481" s="787">
        <v>4488</v>
      </c>
      <c r="K481" s="786">
        <v>2640</v>
      </c>
      <c r="L481" s="785">
        <v>4918</v>
      </c>
      <c r="M481" s="785"/>
      <c r="N481" s="786">
        <v>523</v>
      </c>
      <c r="O481" s="786">
        <v>0</v>
      </c>
      <c r="P481" s="786">
        <v>0</v>
      </c>
      <c r="Q481" s="785">
        <v>1433</v>
      </c>
      <c r="R481" s="785"/>
      <c r="S481" s="786">
        <v>6230</v>
      </c>
      <c r="T481" s="788">
        <v>2234</v>
      </c>
      <c r="U481" s="788">
        <v>8464</v>
      </c>
    </row>
    <row r="482" spans="1:21" x14ac:dyDescent="0.25">
      <c r="A482" s="782">
        <v>95110</v>
      </c>
      <c r="B482" s="783" t="s">
        <v>3092</v>
      </c>
      <c r="C482" s="784">
        <v>4.2902000000000001E-3</v>
      </c>
      <c r="D482" s="784">
        <v>4.4609000000000003E-3</v>
      </c>
      <c r="E482" s="815">
        <v>1965505</v>
      </c>
      <c r="F482" s="818">
        <v>9467524</v>
      </c>
      <c r="G482" s="785">
        <v>6554237</v>
      </c>
      <c r="H482" s="785"/>
      <c r="I482" s="786">
        <v>377585</v>
      </c>
      <c r="J482" s="787">
        <v>1591377</v>
      </c>
      <c r="K482" s="786">
        <v>936036</v>
      </c>
      <c r="L482" s="785">
        <v>0</v>
      </c>
      <c r="M482" s="785"/>
      <c r="N482" s="786">
        <v>185530</v>
      </c>
      <c r="O482" s="786">
        <v>0</v>
      </c>
      <c r="P482" s="786">
        <v>0</v>
      </c>
      <c r="Q482" s="785">
        <v>1097124</v>
      </c>
      <c r="R482" s="785"/>
      <c r="S482" s="786">
        <v>2208784</v>
      </c>
      <c r="T482" s="788">
        <v>-636198</v>
      </c>
      <c r="U482" s="788">
        <v>1572586</v>
      </c>
    </row>
    <row r="483" spans="1:21" x14ac:dyDescent="0.25">
      <c r="A483" s="782">
        <v>95111</v>
      </c>
      <c r="B483" s="783" t="s">
        <v>3093</v>
      </c>
      <c r="C483" s="784">
        <v>1.0778999999999999E-3</v>
      </c>
      <c r="D483" s="784">
        <v>1.0709000000000001E-3</v>
      </c>
      <c r="E483" s="815">
        <v>470003</v>
      </c>
      <c r="F483" s="818">
        <v>2272809</v>
      </c>
      <c r="G483" s="785">
        <v>1646733</v>
      </c>
      <c r="H483" s="785"/>
      <c r="I483" s="786">
        <v>94867</v>
      </c>
      <c r="J483" s="787">
        <v>399829</v>
      </c>
      <c r="K483" s="786">
        <v>235176</v>
      </c>
      <c r="L483" s="785">
        <v>0</v>
      </c>
      <c r="M483" s="785"/>
      <c r="N483" s="786">
        <v>46614</v>
      </c>
      <c r="O483" s="786">
        <v>0</v>
      </c>
      <c r="P483" s="786">
        <v>0</v>
      </c>
      <c r="Q483" s="785">
        <v>120462</v>
      </c>
      <c r="R483" s="785"/>
      <c r="S483" s="786">
        <v>554950</v>
      </c>
      <c r="T483" s="788">
        <v>-59518</v>
      </c>
      <c r="U483" s="788">
        <v>495432</v>
      </c>
    </row>
    <row r="484" spans="1:21" x14ac:dyDescent="0.25">
      <c r="A484" s="782">
        <v>95113</v>
      </c>
      <c r="B484" s="783" t="s">
        <v>3094</v>
      </c>
      <c r="C484" s="784">
        <v>4.6699999999999997E-5</v>
      </c>
      <c r="D484" s="784">
        <v>4.7500000000000003E-5</v>
      </c>
      <c r="E484" s="815">
        <v>66187</v>
      </c>
      <c r="F484" s="818">
        <v>100811</v>
      </c>
      <c r="G484" s="785">
        <v>71345</v>
      </c>
      <c r="H484" s="785"/>
      <c r="I484" s="786">
        <v>4110</v>
      </c>
      <c r="J484" s="787">
        <v>17322</v>
      </c>
      <c r="K484" s="786">
        <v>10189</v>
      </c>
      <c r="L484" s="785">
        <v>82563</v>
      </c>
      <c r="M484" s="785"/>
      <c r="N484" s="786">
        <v>2020</v>
      </c>
      <c r="O484" s="786">
        <v>0</v>
      </c>
      <c r="P484" s="786">
        <v>0</v>
      </c>
      <c r="Q484" s="785">
        <v>0</v>
      </c>
      <c r="R484" s="785"/>
      <c r="S484" s="786">
        <v>24043</v>
      </c>
      <c r="T484" s="788">
        <v>31359</v>
      </c>
      <c r="U484" s="788">
        <v>55402</v>
      </c>
    </row>
    <row r="485" spans="1:21" x14ac:dyDescent="0.25">
      <c r="A485" s="782">
        <v>95121</v>
      </c>
      <c r="B485" s="783" t="s">
        <v>3095</v>
      </c>
      <c r="C485" s="784">
        <v>4.9770000000000001E-4</v>
      </c>
      <c r="D485" s="784">
        <v>4.9580000000000002E-4</v>
      </c>
      <c r="E485" s="815">
        <v>224754</v>
      </c>
      <c r="F485" s="818">
        <v>1052254</v>
      </c>
      <c r="G485" s="785">
        <v>760348</v>
      </c>
      <c r="H485" s="785"/>
      <c r="I485" s="786">
        <v>43803</v>
      </c>
      <c r="J485" s="787">
        <v>184613</v>
      </c>
      <c r="K485" s="786">
        <v>108588</v>
      </c>
      <c r="L485" s="785">
        <v>12640</v>
      </c>
      <c r="M485" s="785"/>
      <c r="N485" s="786">
        <v>21523</v>
      </c>
      <c r="O485" s="786">
        <v>0</v>
      </c>
      <c r="P485" s="786">
        <v>0</v>
      </c>
      <c r="Q485" s="785">
        <v>14371</v>
      </c>
      <c r="R485" s="785"/>
      <c r="S485" s="786">
        <v>256238</v>
      </c>
      <c r="T485" s="788">
        <v>-7628</v>
      </c>
      <c r="U485" s="788">
        <v>248610</v>
      </c>
    </row>
    <row r="486" spans="1:21" x14ac:dyDescent="0.25">
      <c r="A486" s="782">
        <v>95122</v>
      </c>
      <c r="B486" s="783" t="s">
        <v>3096</v>
      </c>
      <c r="C486" s="784">
        <v>6.4999999999999996E-6</v>
      </c>
      <c r="D486" s="784">
        <v>2.7999999999999999E-6</v>
      </c>
      <c r="E486" s="815">
        <v>3103</v>
      </c>
      <c r="F486" s="818">
        <v>5943</v>
      </c>
      <c r="G486" s="785">
        <v>9930</v>
      </c>
      <c r="H486" s="785"/>
      <c r="I486" s="786">
        <v>572</v>
      </c>
      <c r="J486" s="787">
        <v>2411</v>
      </c>
      <c r="K486" s="786">
        <v>1418</v>
      </c>
      <c r="L486" s="785">
        <v>3675</v>
      </c>
      <c r="M486" s="785"/>
      <c r="N486" s="786">
        <v>281</v>
      </c>
      <c r="O486" s="786">
        <v>0</v>
      </c>
      <c r="P486" s="786">
        <v>0</v>
      </c>
      <c r="Q486" s="785">
        <v>0</v>
      </c>
      <c r="R486" s="785"/>
      <c r="S486" s="786">
        <v>3346</v>
      </c>
      <c r="T486" s="788">
        <v>1103</v>
      </c>
      <c r="U486" s="788">
        <v>4449</v>
      </c>
    </row>
    <row r="487" spans="1:21" x14ac:dyDescent="0.25">
      <c r="A487" s="782">
        <v>95123</v>
      </c>
      <c r="B487" s="783" t="s">
        <v>3097</v>
      </c>
      <c r="C487" s="784">
        <v>5.7399999999999999E-5</v>
      </c>
      <c r="D487" s="784">
        <v>5.6700000000000003E-5</v>
      </c>
      <c r="E487" s="815">
        <v>29191</v>
      </c>
      <c r="F487" s="818">
        <v>120336</v>
      </c>
      <c r="G487" s="785">
        <v>87691</v>
      </c>
      <c r="H487" s="785"/>
      <c r="I487" s="786">
        <v>5052</v>
      </c>
      <c r="J487" s="787">
        <v>21291</v>
      </c>
      <c r="K487" s="786">
        <v>12524</v>
      </c>
      <c r="L487" s="785">
        <v>8811</v>
      </c>
      <c r="M487" s="785"/>
      <c r="N487" s="786">
        <v>2482</v>
      </c>
      <c r="O487" s="786">
        <v>0</v>
      </c>
      <c r="P487" s="786">
        <v>0</v>
      </c>
      <c r="Q487" s="785">
        <v>1459</v>
      </c>
      <c r="R487" s="785"/>
      <c r="S487" s="786">
        <v>29552</v>
      </c>
      <c r="T487" s="788">
        <v>1830</v>
      </c>
      <c r="U487" s="788">
        <v>31382</v>
      </c>
    </row>
    <row r="488" spans="1:21" x14ac:dyDescent="0.25">
      <c r="A488" s="782">
        <v>95131</v>
      </c>
      <c r="B488" s="783" t="s">
        <v>3098</v>
      </c>
      <c r="C488" s="784">
        <v>1.6682999999999999E-3</v>
      </c>
      <c r="D488" s="784">
        <v>1.5451E-3</v>
      </c>
      <c r="E488" s="815">
        <v>749707</v>
      </c>
      <c r="F488" s="818">
        <v>3279220</v>
      </c>
      <c r="G488" s="785">
        <v>2548700</v>
      </c>
      <c r="H488" s="785"/>
      <c r="I488" s="786">
        <v>146829</v>
      </c>
      <c r="J488" s="787">
        <v>618827</v>
      </c>
      <c r="K488" s="786">
        <v>363990</v>
      </c>
      <c r="L488" s="785">
        <v>105945</v>
      </c>
      <c r="M488" s="785"/>
      <c r="N488" s="786">
        <v>72146</v>
      </c>
      <c r="O488" s="786">
        <v>0</v>
      </c>
      <c r="P488" s="786">
        <v>0</v>
      </c>
      <c r="Q488" s="785">
        <v>846</v>
      </c>
      <c r="R488" s="785"/>
      <c r="S488" s="786">
        <v>858914</v>
      </c>
      <c r="T488" s="788">
        <v>33842</v>
      </c>
      <c r="U488" s="788">
        <v>892756</v>
      </c>
    </row>
    <row r="489" spans="1:21" x14ac:dyDescent="0.25">
      <c r="A489" s="782">
        <v>95141</v>
      </c>
      <c r="B489" s="783" t="s">
        <v>3099</v>
      </c>
      <c r="C489" s="784">
        <v>3.2220000000000003E-4</v>
      </c>
      <c r="D489" s="784">
        <v>3.1819999999999998E-4</v>
      </c>
      <c r="E489" s="815">
        <v>131053</v>
      </c>
      <c r="F489" s="818">
        <v>675327</v>
      </c>
      <c r="G489" s="785">
        <v>492232</v>
      </c>
      <c r="H489" s="785"/>
      <c r="I489" s="786">
        <v>28357</v>
      </c>
      <c r="J489" s="787">
        <v>119515</v>
      </c>
      <c r="K489" s="786">
        <v>70298</v>
      </c>
      <c r="L489" s="785">
        <v>1251</v>
      </c>
      <c r="M489" s="785"/>
      <c r="N489" s="786">
        <v>13934</v>
      </c>
      <c r="O489" s="786">
        <v>0</v>
      </c>
      <c r="P489" s="786">
        <v>0</v>
      </c>
      <c r="Q489" s="785">
        <v>29129</v>
      </c>
      <c r="R489" s="785"/>
      <c r="S489" s="786">
        <v>165883</v>
      </c>
      <c r="T489" s="788">
        <v>-11233</v>
      </c>
      <c r="U489" s="788">
        <v>154650</v>
      </c>
    </row>
    <row r="490" spans="1:21" x14ac:dyDescent="0.25">
      <c r="A490" s="782">
        <v>95151</v>
      </c>
      <c r="B490" s="783" t="s">
        <v>3100</v>
      </c>
      <c r="C490" s="784">
        <v>1.092E-4</v>
      </c>
      <c r="D490" s="784">
        <v>1.158E-4</v>
      </c>
      <c r="E490" s="815">
        <v>46663</v>
      </c>
      <c r="F490" s="818">
        <v>245766</v>
      </c>
      <c r="G490" s="785">
        <v>166827</v>
      </c>
      <c r="H490" s="785"/>
      <c r="I490" s="786">
        <v>9611</v>
      </c>
      <c r="J490" s="787">
        <v>40506</v>
      </c>
      <c r="K490" s="786">
        <v>23825</v>
      </c>
      <c r="L490" s="785">
        <v>364</v>
      </c>
      <c r="M490" s="785"/>
      <c r="N490" s="786">
        <v>4722</v>
      </c>
      <c r="O490" s="786">
        <v>0</v>
      </c>
      <c r="P490" s="786">
        <v>0</v>
      </c>
      <c r="Q490" s="785">
        <v>10802</v>
      </c>
      <c r="R490" s="785"/>
      <c r="S490" s="786">
        <v>56221</v>
      </c>
      <c r="T490" s="788">
        <v>-3332</v>
      </c>
      <c r="U490" s="788">
        <v>52889</v>
      </c>
    </row>
    <row r="491" spans="1:21" x14ac:dyDescent="0.25">
      <c r="A491" s="782">
        <v>95161</v>
      </c>
      <c r="B491" s="783" t="s">
        <v>3101</v>
      </c>
      <c r="C491" s="784">
        <v>6.8100000000000002E-5</v>
      </c>
      <c r="D491" s="784">
        <v>7.4800000000000002E-5</v>
      </c>
      <c r="E491" s="815">
        <v>38087</v>
      </c>
      <c r="F491" s="818">
        <v>158751</v>
      </c>
      <c r="G491" s="785">
        <v>104038</v>
      </c>
      <c r="H491" s="785"/>
      <c r="I491" s="786">
        <v>5994</v>
      </c>
      <c r="J491" s="787">
        <v>25261</v>
      </c>
      <c r="K491" s="786">
        <v>14858</v>
      </c>
      <c r="L491" s="785">
        <v>5468</v>
      </c>
      <c r="M491" s="785"/>
      <c r="N491" s="786">
        <v>2945</v>
      </c>
      <c r="O491" s="786">
        <v>0</v>
      </c>
      <c r="P491" s="786">
        <v>0</v>
      </c>
      <c r="Q491" s="785">
        <v>1353</v>
      </c>
      <c r="R491" s="785"/>
      <c r="S491" s="786">
        <v>35061</v>
      </c>
      <c r="T491" s="788">
        <v>1287</v>
      </c>
      <c r="U491" s="788">
        <v>36348</v>
      </c>
    </row>
    <row r="492" spans="1:21" x14ac:dyDescent="0.25">
      <c r="A492" s="782">
        <v>95171</v>
      </c>
      <c r="B492" s="783" t="s">
        <v>3102</v>
      </c>
      <c r="C492" s="784">
        <v>1.0459999999999999E-4</v>
      </c>
      <c r="D492" s="784">
        <v>1.2300000000000001E-4</v>
      </c>
      <c r="E492" s="815">
        <v>53917</v>
      </c>
      <c r="F492" s="818">
        <v>261047</v>
      </c>
      <c r="G492" s="785">
        <v>159800</v>
      </c>
      <c r="H492" s="785"/>
      <c r="I492" s="786">
        <v>9206</v>
      </c>
      <c r="J492" s="787">
        <v>38799</v>
      </c>
      <c r="K492" s="786">
        <v>22822</v>
      </c>
      <c r="L492" s="785">
        <v>6705</v>
      </c>
      <c r="M492" s="785"/>
      <c r="N492" s="786">
        <v>4523</v>
      </c>
      <c r="O492" s="786">
        <v>0</v>
      </c>
      <c r="P492" s="786">
        <v>0</v>
      </c>
      <c r="Q492" s="785">
        <v>14987</v>
      </c>
      <c r="R492" s="785"/>
      <c r="S492" s="786">
        <v>53853</v>
      </c>
      <c r="T492" s="788">
        <v>-3646</v>
      </c>
      <c r="U492" s="788">
        <v>50207</v>
      </c>
    </row>
    <row r="493" spans="1:21" x14ac:dyDescent="0.25">
      <c r="A493" s="782">
        <v>95181</v>
      </c>
      <c r="B493" s="783" t="s">
        <v>3103</v>
      </c>
      <c r="C493" s="784">
        <v>7.7100000000000004E-5</v>
      </c>
      <c r="D493" s="784">
        <v>7.7899999999999996E-5</v>
      </c>
      <c r="E493" s="815">
        <v>30099</v>
      </c>
      <c r="F493" s="818">
        <v>165330</v>
      </c>
      <c r="G493" s="785">
        <v>117787</v>
      </c>
      <c r="H493" s="785"/>
      <c r="I493" s="786">
        <v>6786</v>
      </c>
      <c r="J493" s="787">
        <v>28599</v>
      </c>
      <c r="K493" s="786">
        <v>16822</v>
      </c>
      <c r="L493" s="785">
        <v>1069</v>
      </c>
      <c r="M493" s="785"/>
      <c r="N493" s="786">
        <v>3334</v>
      </c>
      <c r="O493" s="786">
        <v>0</v>
      </c>
      <c r="P493" s="786">
        <v>0</v>
      </c>
      <c r="Q493" s="785">
        <v>9474</v>
      </c>
      <c r="R493" s="785"/>
      <c r="S493" s="786">
        <v>39694</v>
      </c>
      <c r="T493" s="788">
        <v>-2444</v>
      </c>
      <c r="U493" s="788">
        <v>37250</v>
      </c>
    </row>
    <row r="494" spans="1:21" x14ac:dyDescent="0.25">
      <c r="A494" s="782">
        <v>95191</v>
      </c>
      <c r="B494" s="783" t="s">
        <v>3104</v>
      </c>
      <c r="C494" s="784">
        <v>5.3999999999999998E-5</v>
      </c>
      <c r="D494" s="784">
        <v>5.3999999999999998E-5</v>
      </c>
      <c r="E494" s="815">
        <v>31311</v>
      </c>
      <c r="F494" s="818">
        <v>114606</v>
      </c>
      <c r="G494" s="785">
        <v>82497</v>
      </c>
      <c r="H494" s="785"/>
      <c r="I494" s="786">
        <v>4753</v>
      </c>
      <c r="J494" s="787">
        <v>20031</v>
      </c>
      <c r="K494" s="786">
        <v>11782</v>
      </c>
      <c r="L494" s="785">
        <v>12522</v>
      </c>
      <c r="M494" s="785"/>
      <c r="N494" s="786">
        <v>2335</v>
      </c>
      <c r="O494" s="786">
        <v>0</v>
      </c>
      <c r="P494" s="786">
        <v>0</v>
      </c>
      <c r="Q494" s="785">
        <v>5293</v>
      </c>
      <c r="R494" s="785"/>
      <c r="S494" s="786">
        <v>27802</v>
      </c>
      <c r="T494" s="788">
        <v>4438</v>
      </c>
      <c r="U494" s="788">
        <v>32240</v>
      </c>
    </row>
    <row r="495" spans="1:21" x14ac:dyDescent="0.25">
      <c r="A495" s="782">
        <v>95201</v>
      </c>
      <c r="B495" s="783" t="s">
        <v>3105</v>
      </c>
      <c r="C495" s="784">
        <v>7.0969999999999996E-4</v>
      </c>
      <c r="D495" s="784">
        <v>6.8329999999999997E-4</v>
      </c>
      <c r="E495" s="815">
        <v>303949</v>
      </c>
      <c r="F495" s="818">
        <v>1450192</v>
      </c>
      <c r="G495" s="785">
        <v>1084225</v>
      </c>
      <c r="H495" s="785"/>
      <c r="I495" s="786">
        <v>62461</v>
      </c>
      <c r="J495" s="787">
        <v>263252</v>
      </c>
      <c r="K495" s="786">
        <v>154842</v>
      </c>
      <c r="L495" s="785">
        <v>6474</v>
      </c>
      <c r="M495" s="785"/>
      <c r="N495" s="786">
        <v>30691</v>
      </c>
      <c r="O495" s="786">
        <v>0</v>
      </c>
      <c r="P495" s="786">
        <v>0</v>
      </c>
      <c r="Q495" s="785">
        <v>21158</v>
      </c>
      <c r="R495" s="785"/>
      <c r="S495" s="786">
        <v>365385</v>
      </c>
      <c r="T495" s="788">
        <v>-9663</v>
      </c>
      <c r="U495" s="788">
        <v>355722</v>
      </c>
    </row>
    <row r="496" spans="1:21" x14ac:dyDescent="0.25">
      <c r="A496" s="782">
        <v>95204</v>
      </c>
      <c r="B496" s="783" t="s">
        <v>3106</v>
      </c>
      <c r="C496" s="784">
        <v>1.26E-5</v>
      </c>
      <c r="D496" s="784">
        <v>1.1600000000000001E-5</v>
      </c>
      <c r="E496" s="815">
        <v>7226</v>
      </c>
      <c r="F496" s="818">
        <v>24619</v>
      </c>
      <c r="G496" s="785">
        <v>19249</v>
      </c>
      <c r="H496" s="785"/>
      <c r="I496" s="786">
        <v>1109</v>
      </c>
      <c r="J496" s="787">
        <v>4674</v>
      </c>
      <c r="K496" s="786">
        <v>2749</v>
      </c>
      <c r="L496" s="785">
        <v>1824</v>
      </c>
      <c r="M496" s="785"/>
      <c r="N496" s="786">
        <v>545</v>
      </c>
      <c r="O496" s="786">
        <v>0</v>
      </c>
      <c r="P496" s="786">
        <v>0</v>
      </c>
      <c r="Q496" s="785">
        <v>1143</v>
      </c>
      <c r="R496" s="785"/>
      <c r="S496" s="786">
        <v>6487</v>
      </c>
      <c r="T496" s="788">
        <v>-195</v>
      </c>
      <c r="U496" s="788">
        <v>6292</v>
      </c>
    </row>
    <row r="497" spans="1:21" x14ac:dyDescent="0.25">
      <c r="A497" s="782">
        <v>95205</v>
      </c>
      <c r="B497" s="783" t="s">
        <v>3107</v>
      </c>
      <c r="C497" s="784">
        <v>4.5000000000000001E-6</v>
      </c>
      <c r="D497" s="784">
        <v>4.7999999999999998E-6</v>
      </c>
      <c r="E497" s="815">
        <v>2455</v>
      </c>
      <c r="F497" s="818">
        <v>10187</v>
      </c>
      <c r="G497" s="785">
        <v>6875</v>
      </c>
      <c r="H497" s="785"/>
      <c r="I497" s="786">
        <v>396</v>
      </c>
      <c r="J497" s="787">
        <v>1669</v>
      </c>
      <c r="K497" s="786">
        <v>982</v>
      </c>
      <c r="L497" s="785">
        <v>605</v>
      </c>
      <c r="M497" s="785"/>
      <c r="N497" s="786">
        <v>195</v>
      </c>
      <c r="O497" s="786">
        <v>0</v>
      </c>
      <c r="P497" s="786">
        <v>0</v>
      </c>
      <c r="Q497" s="785">
        <v>0</v>
      </c>
      <c r="R497" s="785"/>
      <c r="S497" s="786">
        <v>2317</v>
      </c>
      <c r="T497" s="788">
        <v>311</v>
      </c>
      <c r="U497" s="788">
        <v>2628</v>
      </c>
    </row>
    <row r="498" spans="1:21" x14ac:dyDescent="0.25">
      <c r="A498" s="782">
        <v>95211</v>
      </c>
      <c r="B498" s="783" t="s">
        <v>3108</v>
      </c>
      <c r="C498" s="784">
        <v>8.3999999999999992E-6</v>
      </c>
      <c r="D498" s="784">
        <v>9.2E-6</v>
      </c>
      <c r="E498" s="815">
        <v>4222</v>
      </c>
      <c r="F498" s="818">
        <v>19525</v>
      </c>
      <c r="G498" s="785">
        <v>12833</v>
      </c>
      <c r="H498" s="785"/>
      <c r="I498" s="786">
        <v>739</v>
      </c>
      <c r="J498" s="787">
        <v>3115</v>
      </c>
      <c r="K498" s="786">
        <v>1833</v>
      </c>
      <c r="L498" s="785">
        <v>1455</v>
      </c>
      <c r="M498" s="785"/>
      <c r="N498" s="786">
        <v>363</v>
      </c>
      <c r="O498" s="786">
        <v>0</v>
      </c>
      <c r="P498" s="786">
        <v>0</v>
      </c>
      <c r="Q498" s="785">
        <v>1231</v>
      </c>
      <c r="R498" s="785"/>
      <c r="S498" s="786">
        <v>4325</v>
      </c>
      <c r="T498" s="788">
        <v>-523</v>
      </c>
      <c r="U498" s="788">
        <v>3802</v>
      </c>
    </row>
    <row r="499" spans="1:21" x14ac:dyDescent="0.25">
      <c r="A499" s="782">
        <v>95221</v>
      </c>
      <c r="B499" s="783" t="s">
        <v>3109</v>
      </c>
      <c r="C499" s="784">
        <v>4.4100000000000001E-5</v>
      </c>
      <c r="D499" s="784">
        <v>1.6900000000000001E-5</v>
      </c>
      <c r="E499" s="815">
        <v>20361</v>
      </c>
      <c r="F499" s="818">
        <v>35867</v>
      </c>
      <c r="G499" s="785">
        <v>67373</v>
      </c>
      <c r="H499" s="785"/>
      <c r="I499" s="786">
        <v>3881</v>
      </c>
      <c r="J499" s="787">
        <v>16358</v>
      </c>
      <c r="K499" s="786">
        <v>9622</v>
      </c>
      <c r="L499" s="785">
        <v>21037</v>
      </c>
      <c r="M499" s="785"/>
      <c r="N499" s="786">
        <v>1907</v>
      </c>
      <c r="O499" s="786">
        <v>0</v>
      </c>
      <c r="P499" s="786">
        <v>0</v>
      </c>
      <c r="Q499" s="785">
        <v>11299</v>
      </c>
      <c r="R499" s="785"/>
      <c r="S499" s="786">
        <v>22705</v>
      </c>
      <c r="T499" s="788">
        <v>2535</v>
      </c>
      <c r="U499" s="788">
        <v>25240</v>
      </c>
    </row>
    <row r="500" spans="1:21" x14ac:dyDescent="0.25">
      <c r="A500" s="782">
        <v>95301</v>
      </c>
      <c r="B500" s="783" t="s">
        <v>3110</v>
      </c>
      <c r="C500" s="784">
        <v>2.3917999999999999E-3</v>
      </c>
      <c r="D500" s="784">
        <v>2.4063999999999999E-3</v>
      </c>
      <c r="E500" s="815">
        <v>1141657</v>
      </c>
      <c r="F500" s="818">
        <v>5107187</v>
      </c>
      <c r="G500" s="785">
        <v>3654008</v>
      </c>
      <c r="H500" s="785"/>
      <c r="I500" s="786">
        <v>210505</v>
      </c>
      <c r="J500" s="787">
        <v>887197</v>
      </c>
      <c r="K500" s="786">
        <v>521843</v>
      </c>
      <c r="L500" s="785">
        <v>73478</v>
      </c>
      <c r="M500" s="785"/>
      <c r="N500" s="786">
        <v>103433</v>
      </c>
      <c r="O500" s="786">
        <v>0</v>
      </c>
      <c r="P500" s="786">
        <v>0</v>
      </c>
      <c r="Q500" s="785">
        <v>11228</v>
      </c>
      <c r="R500" s="785"/>
      <c r="S500" s="786">
        <v>1231404</v>
      </c>
      <c r="T500" s="788">
        <v>19362</v>
      </c>
      <c r="U500" s="788">
        <f>1250765+1</f>
        <v>1250766</v>
      </c>
    </row>
    <row r="501" spans="1:21" x14ac:dyDescent="0.25">
      <c r="A501" s="782">
        <v>95311</v>
      </c>
      <c r="B501" s="783" t="s">
        <v>3111</v>
      </c>
      <c r="C501" s="784">
        <v>2.6873999999999999E-3</v>
      </c>
      <c r="D501" s="784">
        <v>2.6841999999999999E-3</v>
      </c>
      <c r="E501" s="815">
        <v>1275634</v>
      </c>
      <c r="F501" s="818">
        <v>5696772</v>
      </c>
      <c r="G501" s="785">
        <v>4105603</v>
      </c>
      <c r="H501" s="785"/>
      <c r="I501" s="786">
        <v>236521</v>
      </c>
      <c r="J501" s="787">
        <v>996846</v>
      </c>
      <c r="K501" s="786">
        <v>586337</v>
      </c>
      <c r="L501" s="785">
        <v>41083</v>
      </c>
      <c r="M501" s="785"/>
      <c r="N501" s="786">
        <v>116217</v>
      </c>
      <c r="O501" s="786">
        <v>0</v>
      </c>
      <c r="P501" s="786">
        <v>0</v>
      </c>
      <c r="Q501" s="785">
        <v>117171</v>
      </c>
      <c r="R501" s="785"/>
      <c r="S501" s="786">
        <v>1383592</v>
      </c>
      <c r="T501" s="788">
        <v>-46704</v>
      </c>
      <c r="U501" s="788">
        <v>1336888</v>
      </c>
    </row>
    <row r="502" spans="1:21" x14ac:dyDescent="0.25">
      <c r="A502" s="782">
        <v>95317</v>
      </c>
      <c r="B502" s="783" t="s">
        <v>3112</v>
      </c>
      <c r="C502" s="784">
        <v>4.8900000000000003E-5</v>
      </c>
      <c r="D502" s="784">
        <v>5.1400000000000003E-5</v>
      </c>
      <c r="E502" s="815">
        <v>27511</v>
      </c>
      <c r="F502" s="818">
        <v>109088</v>
      </c>
      <c r="G502" s="785">
        <v>74706</v>
      </c>
      <c r="H502" s="785"/>
      <c r="I502" s="786">
        <v>4304</v>
      </c>
      <c r="J502" s="787">
        <v>18138</v>
      </c>
      <c r="K502" s="786">
        <v>10669</v>
      </c>
      <c r="L502" s="785">
        <v>6328</v>
      </c>
      <c r="M502" s="785"/>
      <c r="N502" s="786">
        <v>2115</v>
      </c>
      <c r="O502" s="786">
        <v>0</v>
      </c>
      <c r="P502" s="786">
        <v>0</v>
      </c>
      <c r="Q502" s="785">
        <v>38</v>
      </c>
      <c r="R502" s="785"/>
      <c r="S502" s="786">
        <v>25176</v>
      </c>
      <c r="T502" s="788">
        <v>2474</v>
      </c>
      <c r="U502" s="788">
        <v>27650</v>
      </c>
    </row>
    <row r="503" spans="1:21" x14ac:dyDescent="0.25">
      <c r="A503" s="782">
        <v>95321</v>
      </c>
      <c r="B503" s="783" t="s">
        <v>3113</v>
      </c>
      <c r="C503" s="784">
        <v>4.71E-5</v>
      </c>
      <c r="D503" s="784">
        <v>5.7000000000000003E-5</v>
      </c>
      <c r="E503" s="815">
        <v>27222</v>
      </c>
      <c r="F503" s="818">
        <v>120973</v>
      </c>
      <c r="G503" s="785">
        <v>71956</v>
      </c>
      <c r="H503" s="785"/>
      <c r="I503" s="786">
        <v>4145</v>
      </c>
      <c r="J503" s="787">
        <v>17471</v>
      </c>
      <c r="K503" s="786">
        <v>10276</v>
      </c>
      <c r="L503" s="785">
        <v>3087</v>
      </c>
      <c r="M503" s="785"/>
      <c r="N503" s="786">
        <v>2037</v>
      </c>
      <c r="O503" s="786">
        <v>0</v>
      </c>
      <c r="P503" s="786">
        <v>0</v>
      </c>
      <c r="Q503" s="785">
        <v>2158</v>
      </c>
      <c r="R503" s="785"/>
      <c r="S503" s="786">
        <v>24249</v>
      </c>
      <c r="T503" s="788">
        <v>1089</v>
      </c>
      <c r="U503" s="788">
        <v>25338</v>
      </c>
    </row>
    <row r="504" spans="1:21" x14ac:dyDescent="0.25">
      <c r="A504" s="782">
        <v>95401</v>
      </c>
      <c r="B504" s="783" t="s">
        <v>3114</v>
      </c>
      <c r="C504" s="784">
        <v>2.9992E-3</v>
      </c>
      <c r="D504" s="784">
        <v>2.9979999999999998E-3</v>
      </c>
      <c r="E504" s="815">
        <v>1351002</v>
      </c>
      <c r="F504" s="818">
        <v>6362760</v>
      </c>
      <c r="G504" s="785">
        <v>4581947</v>
      </c>
      <c r="H504" s="785"/>
      <c r="I504" s="786">
        <v>263963</v>
      </c>
      <c r="J504" s="787">
        <v>1112502</v>
      </c>
      <c r="K504" s="786">
        <v>654365</v>
      </c>
      <c r="L504" s="785">
        <v>27695</v>
      </c>
      <c r="M504" s="785"/>
      <c r="N504" s="786">
        <v>129700</v>
      </c>
      <c r="O504" s="786">
        <v>0</v>
      </c>
      <c r="P504" s="786">
        <v>0</v>
      </c>
      <c r="Q504" s="785">
        <v>19902</v>
      </c>
      <c r="R504" s="785"/>
      <c r="S504" s="786">
        <v>1544120</v>
      </c>
      <c r="T504" s="788">
        <v>10089</v>
      </c>
      <c r="U504" s="788">
        <v>1554209</v>
      </c>
    </row>
    <row r="505" spans="1:21" x14ac:dyDescent="0.25">
      <c r="A505" s="782">
        <v>95404</v>
      </c>
      <c r="B505" s="783" t="s">
        <v>3115</v>
      </c>
      <c r="C505" s="784">
        <v>5.3100000000000003E-5</v>
      </c>
      <c r="D505" s="784">
        <v>4.9799999999999998E-5</v>
      </c>
      <c r="E505" s="815">
        <v>22123</v>
      </c>
      <c r="F505" s="818">
        <v>105692</v>
      </c>
      <c r="G505" s="785">
        <v>81122</v>
      </c>
      <c r="H505" s="785"/>
      <c r="I505" s="786">
        <v>4673</v>
      </c>
      <c r="J505" s="787">
        <v>19697</v>
      </c>
      <c r="K505" s="786">
        <v>11585</v>
      </c>
      <c r="L505" s="785">
        <v>5158</v>
      </c>
      <c r="M505" s="785"/>
      <c r="N505" s="786">
        <v>2296</v>
      </c>
      <c r="O505" s="786">
        <v>0</v>
      </c>
      <c r="P505" s="786">
        <v>0</v>
      </c>
      <c r="Q505" s="785">
        <v>0</v>
      </c>
      <c r="R505" s="785"/>
      <c r="S505" s="786">
        <v>27338</v>
      </c>
      <c r="T505" s="788">
        <v>1949</v>
      </c>
      <c r="U505" s="788">
        <v>29287</v>
      </c>
    </row>
    <row r="506" spans="1:21" x14ac:dyDescent="0.25">
      <c r="A506" s="782">
        <v>95405</v>
      </c>
      <c r="B506" s="783" t="s">
        <v>3116</v>
      </c>
      <c r="C506" s="784">
        <v>1.84E-5</v>
      </c>
      <c r="D506" s="784">
        <v>1.84E-5</v>
      </c>
      <c r="E506" s="815">
        <v>17053</v>
      </c>
      <c r="F506" s="818">
        <v>39051</v>
      </c>
      <c r="G506" s="785">
        <v>28110</v>
      </c>
      <c r="H506" s="785"/>
      <c r="I506" s="786">
        <v>1619</v>
      </c>
      <c r="J506" s="787">
        <v>6826</v>
      </c>
      <c r="K506" s="786">
        <v>4015</v>
      </c>
      <c r="L506" s="785">
        <v>15544</v>
      </c>
      <c r="M506" s="785"/>
      <c r="N506" s="786">
        <v>796</v>
      </c>
      <c r="O506" s="786">
        <v>0</v>
      </c>
      <c r="P506" s="786">
        <v>0</v>
      </c>
      <c r="Q506" s="785">
        <v>0</v>
      </c>
      <c r="R506" s="785"/>
      <c r="S506" s="786">
        <v>9473</v>
      </c>
      <c r="T506" s="788">
        <v>5475</v>
      </c>
      <c r="U506" s="788">
        <v>14948</v>
      </c>
    </row>
    <row r="507" spans="1:21" x14ac:dyDescent="0.25">
      <c r="A507" s="782">
        <v>95411</v>
      </c>
      <c r="B507" s="783" t="s">
        <v>3117</v>
      </c>
      <c r="C507" s="784">
        <v>2.2173000000000002E-3</v>
      </c>
      <c r="D507" s="784">
        <v>2.3272000000000002E-3</v>
      </c>
      <c r="E507" s="815">
        <v>1058017</v>
      </c>
      <c r="F507" s="818">
        <v>4939098</v>
      </c>
      <c r="G507" s="785">
        <v>3387420</v>
      </c>
      <c r="H507" s="785"/>
      <c r="I507" s="786">
        <v>195147</v>
      </c>
      <c r="J507" s="787">
        <v>822470</v>
      </c>
      <c r="K507" s="786">
        <v>483771</v>
      </c>
      <c r="L507" s="785">
        <v>14015</v>
      </c>
      <c r="M507" s="785"/>
      <c r="N507" s="786">
        <v>95887</v>
      </c>
      <c r="O507" s="786">
        <v>0</v>
      </c>
      <c r="P507" s="786">
        <v>0</v>
      </c>
      <c r="Q507" s="785">
        <v>60237</v>
      </c>
      <c r="R507" s="785"/>
      <c r="S507" s="786">
        <v>1141564</v>
      </c>
      <c r="T507" s="788">
        <v>-23907</v>
      </c>
      <c r="U507" s="788">
        <f>1117656+1</f>
        <v>1117657</v>
      </c>
    </row>
    <row r="508" spans="1:21" x14ac:dyDescent="0.25">
      <c r="A508" s="782">
        <v>95412</v>
      </c>
      <c r="B508" s="783" t="s">
        <v>3118</v>
      </c>
      <c r="C508" s="784">
        <v>0</v>
      </c>
      <c r="D508" s="784">
        <v>0</v>
      </c>
      <c r="E508" s="815">
        <v>0</v>
      </c>
      <c r="F508" s="818">
        <v>0</v>
      </c>
      <c r="G508" s="785">
        <v>0</v>
      </c>
      <c r="H508" s="785"/>
      <c r="I508" s="786">
        <v>0</v>
      </c>
      <c r="J508" s="787">
        <v>0</v>
      </c>
      <c r="K508" s="786">
        <v>0</v>
      </c>
      <c r="L508" s="785">
        <v>0</v>
      </c>
      <c r="M508" s="785"/>
      <c r="N508" s="786">
        <v>0</v>
      </c>
      <c r="O508" s="786">
        <v>0</v>
      </c>
      <c r="P508" s="786">
        <v>0</v>
      </c>
      <c r="Q508" s="785">
        <v>27831</v>
      </c>
      <c r="R508" s="785"/>
      <c r="S508" s="786">
        <v>0</v>
      </c>
      <c r="T508" s="788">
        <v>-18518</v>
      </c>
      <c r="U508" s="788">
        <v>-18518</v>
      </c>
    </row>
    <row r="509" spans="1:21" x14ac:dyDescent="0.25">
      <c r="A509" s="782">
        <v>95413</v>
      </c>
      <c r="B509" s="783" t="s">
        <v>3119</v>
      </c>
      <c r="C509" s="784">
        <v>2.5809999999999999E-4</v>
      </c>
      <c r="D509" s="784">
        <v>2.945E-4</v>
      </c>
      <c r="E509" s="815">
        <v>285392</v>
      </c>
      <c r="F509" s="818">
        <v>625028</v>
      </c>
      <c r="G509" s="785">
        <v>394305</v>
      </c>
      <c r="H509" s="785"/>
      <c r="I509" s="786">
        <v>22716</v>
      </c>
      <c r="J509" s="787">
        <v>95737</v>
      </c>
      <c r="K509" s="786">
        <v>56312</v>
      </c>
      <c r="L509" s="785">
        <v>247679</v>
      </c>
      <c r="M509" s="785"/>
      <c r="N509" s="786">
        <v>11162</v>
      </c>
      <c r="O509" s="786">
        <v>0</v>
      </c>
      <c r="P509" s="786">
        <v>0</v>
      </c>
      <c r="Q509" s="785">
        <v>9401</v>
      </c>
      <c r="R509" s="785"/>
      <c r="S509" s="786">
        <v>132881</v>
      </c>
      <c r="T509" s="788">
        <v>77340</v>
      </c>
      <c r="U509" s="788">
        <v>210221</v>
      </c>
    </row>
    <row r="510" spans="1:21" x14ac:dyDescent="0.25">
      <c r="A510" s="782">
        <v>95415</v>
      </c>
      <c r="B510" s="783" t="s">
        <v>3120</v>
      </c>
      <c r="C510" s="784">
        <v>6.2899999999999997E-5</v>
      </c>
      <c r="D510" s="784">
        <v>7.9499999999999994E-5</v>
      </c>
      <c r="E510" s="815">
        <v>28158</v>
      </c>
      <c r="F510" s="818">
        <v>168726</v>
      </c>
      <c r="G510" s="785">
        <v>96094</v>
      </c>
      <c r="H510" s="785"/>
      <c r="I510" s="786">
        <v>5536</v>
      </c>
      <c r="J510" s="787">
        <v>23331</v>
      </c>
      <c r="K510" s="786">
        <v>13724</v>
      </c>
      <c r="L510" s="785">
        <v>5301</v>
      </c>
      <c r="M510" s="785"/>
      <c r="N510" s="786">
        <v>2720</v>
      </c>
      <c r="O510" s="786">
        <v>0</v>
      </c>
      <c r="P510" s="786">
        <v>0</v>
      </c>
      <c r="Q510" s="785">
        <v>16874</v>
      </c>
      <c r="R510" s="785"/>
      <c r="S510" s="786">
        <v>32384</v>
      </c>
      <c r="T510" s="788">
        <v>-165</v>
      </c>
      <c r="U510" s="788">
        <v>32219</v>
      </c>
    </row>
    <row r="511" spans="1:21" x14ac:dyDescent="0.25">
      <c r="A511" s="782">
        <v>95421</v>
      </c>
      <c r="B511" s="783" t="s">
        <v>3121</v>
      </c>
      <c r="C511" s="784">
        <v>3.8699999999999999E-5</v>
      </c>
      <c r="D511" s="784">
        <v>3.9100000000000002E-5</v>
      </c>
      <c r="E511" s="815">
        <v>18385</v>
      </c>
      <c r="F511" s="818">
        <v>82983</v>
      </c>
      <c r="G511" s="785">
        <v>59123</v>
      </c>
      <c r="H511" s="785"/>
      <c r="I511" s="786">
        <v>3406</v>
      </c>
      <c r="J511" s="787">
        <v>14355</v>
      </c>
      <c r="K511" s="786">
        <v>8444</v>
      </c>
      <c r="L511" s="785">
        <v>226</v>
      </c>
      <c r="M511" s="785"/>
      <c r="N511" s="786">
        <v>1674</v>
      </c>
      <c r="O511" s="786">
        <v>0</v>
      </c>
      <c r="P511" s="786">
        <v>0</v>
      </c>
      <c r="Q511" s="785">
        <v>9353</v>
      </c>
      <c r="R511" s="785"/>
      <c r="S511" s="786">
        <v>19924</v>
      </c>
      <c r="T511" s="788">
        <v>-4913</v>
      </c>
      <c r="U511" s="788">
        <f>15012-1</f>
        <v>15011</v>
      </c>
    </row>
    <row r="512" spans="1:21" x14ac:dyDescent="0.25">
      <c r="A512" s="782">
        <v>95431</v>
      </c>
      <c r="B512" s="783" t="s">
        <v>3122</v>
      </c>
      <c r="C512" s="784">
        <v>1.5300000000000001E-4</v>
      </c>
      <c r="D512" s="784">
        <v>1.8009999999999999E-4</v>
      </c>
      <c r="E512" s="815">
        <v>61885</v>
      </c>
      <c r="F512" s="818">
        <v>382233</v>
      </c>
      <c r="G512" s="785">
        <v>233742</v>
      </c>
      <c r="H512" s="785"/>
      <c r="I512" s="786">
        <v>13466</v>
      </c>
      <c r="J512" s="787">
        <v>56753</v>
      </c>
      <c r="K512" s="786">
        <v>33382</v>
      </c>
      <c r="L512" s="785">
        <v>224</v>
      </c>
      <c r="M512" s="785"/>
      <c r="N512" s="786">
        <v>6616</v>
      </c>
      <c r="O512" s="786">
        <v>0</v>
      </c>
      <c r="P512" s="786">
        <v>0</v>
      </c>
      <c r="Q512" s="785">
        <v>34003</v>
      </c>
      <c r="R512" s="785"/>
      <c r="S512" s="786">
        <v>78771</v>
      </c>
      <c r="T512" s="788">
        <v>-9919</v>
      </c>
      <c r="U512" s="788">
        <v>68852</v>
      </c>
    </row>
    <row r="513" spans="1:21" x14ac:dyDescent="0.25">
      <c r="A513" s="782">
        <v>95501</v>
      </c>
      <c r="B513" s="783" t="s">
        <v>3123</v>
      </c>
      <c r="C513" s="784">
        <v>4.8764999999999998E-3</v>
      </c>
      <c r="D513" s="784">
        <v>4.7917999999999997E-3</v>
      </c>
      <c r="E513" s="815">
        <v>2104813</v>
      </c>
      <c r="F513" s="818">
        <v>10169805</v>
      </c>
      <c r="G513" s="785">
        <v>7449941</v>
      </c>
      <c r="H513" s="785"/>
      <c r="I513" s="786">
        <v>429186</v>
      </c>
      <c r="J513" s="787">
        <v>1808855</v>
      </c>
      <c r="K513" s="786">
        <v>1063955</v>
      </c>
      <c r="L513" s="785">
        <v>31695</v>
      </c>
      <c r="M513" s="785"/>
      <c r="N513" s="786">
        <v>210884</v>
      </c>
      <c r="O513" s="786">
        <v>0</v>
      </c>
      <c r="P513" s="786">
        <v>0</v>
      </c>
      <c r="Q513" s="785">
        <v>124610</v>
      </c>
      <c r="R513" s="785"/>
      <c r="S513" s="786">
        <v>2510637</v>
      </c>
      <c r="T513" s="788">
        <v>-8646</v>
      </c>
      <c r="U513" s="788">
        <v>2501991</v>
      </c>
    </row>
    <row r="514" spans="1:21" x14ac:dyDescent="0.25">
      <c r="A514" s="782">
        <v>95504</v>
      </c>
      <c r="B514" s="783" t="s">
        <v>3124</v>
      </c>
      <c r="C514" s="784">
        <v>9.3999999999999998E-6</v>
      </c>
      <c r="D514" s="784">
        <v>8.8999999999999995E-6</v>
      </c>
      <c r="E514" s="815">
        <v>9297</v>
      </c>
      <c r="F514" s="818">
        <v>18889</v>
      </c>
      <c r="G514" s="785">
        <v>14361</v>
      </c>
      <c r="H514" s="785"/>
      <c r="I514" s="786">
        <v>827</v>
      </c>
      <c r="J514" s="787">
        <v>3487</v>
      </c>
      <c r="K514" s="786">
        <v>2051</v>
      </c>
      <c r="L514" s="785">
        <v>7912</v>
      </c>
      <c r="M514" s="785"/>
      <c r="N514" s="786">
        <v>407</v>
      </c>
      <c r="O514" s="786">
        <v>0</v>
      </c>
      <c r="P514" s="786">
        <v>0</v>
      </c>
      <c r="Q514" s="785">
        <v>0</v>
      </c>
      <c r="R514" s="785"/>
      <c r="S514" s="786">
        <v>4840</v>
      </c>
      <c r="T514" s="788">
        <v>2952</v>
      </c>
      <c r="U514" s="788">
        <f>7791+1</f>
        <v>7792</v>
      </c>
    </row>
    <row r="515" spans="1:21" x14ac:dyDescent="0.25">
      <c r="A515" s="782">
        <v>95511</v>
      </c>
      <c r="B515" s="783" t="s">
        <v>3125</v>
      </c>
      <c r="C515" s="784">
        <v>9.7460000000000005E-4</v>
      </c>
      <c r="D515" s="784">
        <v>9.6049999999999998E-4</v>
      </c>
      <c r="E515" s="815">
        <v>484188</v>
      </c>
      <c r="F515" s="818">
        <v>2038503</v>
      </c>
      <c r="G515" s="785">
        <v>1488919</v>
      </c>
      <c r="H515" s="785"/>
      <c r="I515" s="786">
        <v>85776</v>
      </c>
      <c r="J515" s="787">
        <v>361511</v>
      </c>
      <c r="K515" s="786">
        <v>212638</v>
      </c>
      <c r="L515" s="785">
        <v>44242</v>
      </c>
      <c r="M515" s="785"/>
      <c r="N515" s="786">
        <v>42147</v>
      </c>
      <c r="O515" s="786">
        <v>0</v>
      </c>
      <c r="P515" s="786">
        <v>0</v>
      </c>
      <c r="Q515" s="785">
        <v>52155</v>
      </c>
      <c r="R515" s="785"/>
      <c r="S515" s="786">
        <v>501767</v>
      </c>
      <c r="T515" s="788">
        <v>-4607</v>
      </c>
      <c r="U515" s="788">
        <v>497160</v>
      </c>
    </row>
    <row r="516" spans="1:21" x14ac:dyDescent="0.25">
      <c r="A516" s="782">
        <v>95513</v>
      </c>
      <c r="B516" s="783" t="s">
        <v>3126</v>
      </c>
      <c r="C516" s="784">
        <v>4.6699999999999997E-5</v>
      </c>
      <c r="D516" s="784">
        <v>4.5500000000000001E-5</v>
      </c>
      <c r="E516" s="815">
        <v>31793</v>
      </c>
      <c r="F516" s="818">
        <v>96566</v>
      </c>
      <c r="G516" s="785">
        <v>71345</v>
      </c>
      <c r="H516" s="785"/>
      <c r="I516" s="786">
        <v>4110</v>
      </c>
      <c r="J516" s="787">
        <v>17322</v>
      </c>
      <c r="K516" s="786">
        <v>10189</v>
      </c>
      <c r="L516" s="785">
        <v>21773</v>
      </c>
      <c r="M516" s="785"/>
      <c r="N516" s="786">
        <v>2020</v>
      </c>
      <c r="O516" s="786">
        <v>0</v>
      </c>
      <c r="P516" s="786">
        <v>0</v>
      </c>
      <c r="Q516" s="785">
        <v>0</v>
      </c>
      <c r="R516" s="785"/>
      <c r="S516" s="786">
        <v>24043</v>
      </c>
      <c r="T516" s="788">
        <v>9103</v>
      </c>
      <c r="U516" s="788">
        <v>33146</v>
      </c>
    </row>
    <row r="517" spans="1:21" x14ac:dyDescent="0.25">
      <c r="A517" s="782">
        <v>95517</v>
      </c>
      <c r="B517" s="783" t="s">
        <v>3127</v>
      </c>
      <c r="C517" s="784">
        <v>2.4499999999999999E-5</v>
      </c>
      <c r="D517" s="784">
        <v>1.66E-5</v>
      </c>
      <c r="E517" s="815">
        <v>15695</v>
      </c>
      <c r="F517" s="818">
        <v>35231</v>
      </c>
      <c r="G517" s="785">
        <v>37429</v>
      </c>
      <c r="H517" s="785"/>
      <c r="I517" s="786">
        <v>2156</v>
      </c>
      <c r="J517" s="787">
        <v>9087</v>
      </c>
      <c r="K517" s="786">
        <v>5345</v>
      </c>
      <c r="L517" s="785">
        <v>17989</v>
      </c>
      <c r="M517" s="785"/>
      <c r="N517" s="786">
        <v>1060</v>
      </c>
      <c r="O517" s="786">
        <v>0</v>
      </c>
      <c r="P517" s="786">
        <v>0</v>
      </c>
      <c r="Q517" s="785">
        <v>0</v>
      </c>
      <c r="R517" s="785"/>
      <c r="S517" s="786">
        <v>12614</v>
      </c>
      <c r="T517" s="788">
        <v>6544</v>
      </c>
      <c r="U517" s="788">
        <v>19158</v>
      </c>
    </row>
    <row r="518" spans="1:21" x14ac:dyDescent="0.25">
      <c r="A518" s="782">
        <v>95601</v>
      </c>
      <c r="B518" s="783" t="s">
        <v>3128</v>
      </c>
      <c r="C518" s="784">
        <v>2.6280000000000001E-3</v>
      </c>
      <c r="D518" s="784">
        <v>2.6592999999999999E-3</v>
      </c>
      <c r="E518" s="815">
        <v>1208853</v>
      </c>
      <c r="F518" s="818">
        <v>5643925</v>
      </c>
      <c r="G518" s="785">
        <v>4014856</v>
      </c>
      <c r="H518" s="785"/>
      <c r="I518" s="786">
        <v>231293</v>
      </c>
      <c r="J518" s="787">
        <v>974812</v>
      </c>
      <c r="K518" s="786">
        <v>573377</v>
      </c>
      <c r="L518" s="785">
        <v>85590</v>
      </c>
      <c r="M518" s="785"/>
      <c r="N518" s="786">
        <v>113648</v>
      </c>
      <c r="O518" s="786">
        <v>0</v>
      </c>
      <c r="P518" s="786">
        <v>0</v>
      </c>
      <c r="Q518" s="785">
        <v>19082</v>
      </c>
      <c r="R518" s="785"/>
      <c r="S518" s="786">
        <v>1353010</v>
      </c>
      <c r="T518" s="788">
        <v>47697</v>
      </c>
      <c r="U518" s="788">
        <v>1400707</v>
      </c>
    </row>
    <row r="519" spans="1:21" x14ac:dyDescent="0.25">
      <c r="A519" s="782">
        <v>95611</v>
      </c>
      <c r="B519" s="783" t="s">
        <v>3129</v>
      </c>
      <c r="C519" s="784">
        <v>4.0660000000000002E-4</v>
      </c>
      <c r="D519" s="784">
        <v>3.9540000000000002E-4</v>
      </c>
      <c r="E519" s="815">
        <v>186384</v>
      </c>
      <c r="F519" s="818">
        <v>839171</v>
      </c>
      <c r="G519" s="785">
        <v>621172</v>
      </c>
      <c r="H519" s="785"/>
      <c r="I519" s="786">
        <v>35785</v>
      </c>
      <c r="J519" s="787">
        <v>150821</v>
      </c>
      <c r="K519" s="786">
        <v>88712</v>
      </c>
      <c r="L519" s="785">
        <v>8653</v>
      </c>
      <c r="M519" s="785"/>
      <c r="N519" s="786">
        <v>17583</v>
      </c>
      <c r="O519" s="786">
        <v>0</v>
      </c>
      <c r="P519" s="786">
        <v>0</v>
      </c>
      <c r="Q519" s="785">
        <v>3649</v>
      </c>
      <c r="R519" s="785"/>
      <c r="S519" s="786">
        <v>209336</v>
      </c>
      <c r="T519" s="788">
        <v>1212</v>
      </c>
      <c r="U519" s="788">
        <f>210547+1</f>
        <v>210548</v>
      </c>
    </row>
    <row r="520" spans="1:21" x14ac:dyDescent="0.25">
      <c r="A520" s="782">
        <v>95617</v>
      </c>
      <c r="B520" s="783" t="s">
        <v>3130</v>
      </c>
      <c r="C520" s="784">
        <v>1.6399999999999999E-5</v>
      </c>
      <c r="D520" s="784">
        <v>1.6500000000000001E-5</v>
      </c>
      <c r="E520" s="815">
        <v>8201</v>
      </c>
      <c r="F520" s="818">
        <v>35019</v>
      </c>
      <c r="G520" s="785">
        <v>25055</v>
      </c>
      <c r="H520" s="785"/>
      <c r="I520" s="786">
        <v>1443</v>
      </c>
      <c r="J520" s="787">
        <v>6084</v>
      </c>
      <c r="K520" s="786">
        <v>3578</v>
      </c>
      <c r="L520" s="785">
        <v>722</v>
      </c>
      <c r="M520" s="785"/>
      <c r="N520" s="786">
        <v>709</v>
      </c>
      <c r="O520" s="786">
        <v>0</v>
      </c>
      <c r="P520" s="786">
        <v>0</v>
      </c>
      <c r="Q520" s="785">
        <v>1277</v>
      </c>
      <c r="R520" s="785"/>
      <c r="S520" s="786">
        <v>8443</v>
      </c>
      <c r="T520" s="788">
        <v>-659</v>
      </c>
      <c r="U520" s="788">
        <v>7784</v>
      </c>
    </row>
    <row r="521" spans="1:21" x14ac:dyDescent="0.25">
      <c r="A521" s="782">
        <v>95621</v>
      </c>
      <c r="B521" s="783" t="s">
        <v>3131</v>
      </c>
      <c r="C521" s="784">
        <v>4.5360000000000002E-4</v>
      </c>
      <c r="D521" s="784">
        <v>4.8020000000000002E-4</v>
      </c>
      <c r="E521" s="815">
        <v>227836</v>
      </c>
      <c r="F521" s="818">
        <v>1019145</v>
      </c>
      <c r="G521" s="785">
        <v>692975</v>
      </c>
      <c r="H521" s="785"/>
      <c r="I521" s="786">
        <v>39922</v>
      </c>
      <c r="J521" s="787">
        <v>168255</v>
      </c>
      <c r="K521" s="786">
        <v>98966</v>
      </c>
      <c r="L521" s="785">
        <v>3166</v>
      </c>
      <c r="M521" s="785"/>
      <c r="N521" s="786">
        <v>19616</v>
      </c>
      <c r="O521" s="786">
        <v>0</v>
      </c>
      <c r="P521" s="786">
        <v>0</v>
      </c>
      <c r="Q521" s="785">
        <v>4423</v>
      </c>
      <c r="R521" s="785"/>
      <c r="S521" s="786">
        <v>233533</v>
      </c>
      <c r="T521" s="788">
        <v>1481</v>
      </c>
      <c r="U521" s="788">
        <f>235015-1</f>
        <v>235014</v>
      </c>
    </row>
    <row r="522" spans="1:21" x14ac:dyDescent="0.25">
      <c r="A522" s="782">
        <v>95701</v>
      </c>
      <c r="B522" s="783" t="s">
        <v>3132</v>
      </c>
      <c r="C522" s="784">
        <v>1.3747E-3</v>
      </c>
      <c r="D522" s="784">
        <v>1.291E-3</v>
      </c>
      <c r="E522" s="815">
        <v>600622</v>
      </c>
      <c r="F522" s="818">
        <v>2739934</v>
      </c>
      <c r="G522" s="785">
        <v>2100161</v>
      </c>
      <c r="H522" s="785"/>
      <c r="I522" s="786">
        <v>120989</v>
      </c>
      <c r="J522" s="787">
        <v>509922</v>
      </c>
      <c r="K522" s="786">
        <v>299932</v>
      </c>
      <c r="L522" s="785">
        <v>62898</v>
      </c>
      <c r="M522" s="785"/>
      <c r="N522" s="786">
        <v>59449</v>
      </c>
      <c r="O522" s="786">
        <v>0</v>
      </c>
      <c r="P522" s="786">
        <v>0</v>
      </c>
      <c r="Q522" s="785">
        <v>0</v>
      </c>
      <c r="R522" s="785"/>
      <c r="S522" s="786">
        <v>707756</v>
      </c>
      <c r="T522" s="788">
        <v>28646</v>
      </c>
      <c r="U522" s="788">
        <v>736402</v>
      </c>
    </row>
    <row r="523" spans="1:21" x14ac:dyDescent="0.25">
      <c r="A523" s="782">
        <v>95711</v>
      </c>
      <c r="B523" s="783" t="s">
        <v>3133</v>
      </c>
      <c r="C523" s="784">
        <v>1.394E-4</v>
      </c>
      <c r="D523" s="784">
        <v>1.382E-4</v>
      </c>
      <c r="E523" s="815">
        <v>55785</v>
      </c>
      <c r="F523" s="818">
        <v>293307</v>
      </c>
      <c r="G523" s="785">
        <v>212965</v>
      </c>
      <c r="H523" s="785"/>
      <c r="I523" s="786">
        <v>12269</v>
      </c>
      <c r="J523" s="787">
        <v>51708</v>
      </c>
      <c r="K523" s="786">
        <v>30414</v>
      </c>
      <c r="L523" s="785">
        <v>6056</v>
      </c>
      <c r="M523" s="785"/>
      <c r="N523" s="786">
        <v>6028</v>
      </c>
      <c r="O523" s="786">
        <v>0</v>
      </c>
      <c r="P523" s="786">
        <v>0</v>
      </c>
      <c r="Q523" s="785">
        <v>5836</v>
      </c>
      <c r="R523" s="785"/>
      <c r="S523" s="786">
        <v>71769</v>
      </c>
      <c r="T523" s="788">
        <v>1663</v>
      </c>
      <c r="U523" s="788">
        <v>73432</v>
      </c>
    </row>
    <row r="524" spans="1:21" x14ac:dyDescent="0.25">
      <c r="A524" s="782">
        <v>95721</v>
      </c>
      <c r="B524" s="783" t="s">
        <v>3134</v>
      </c>
      <c r="C524" s="784">
        <v>6.7600000000000003E-5</v>
      </c>
      <c r="D524" s="784">
        <v>6.6199999999999996E-5</v>
      </c>
      <c r="E524" s="815">
        <v>25093</v>
      </c>
      <c r="F524" s="818">
        <v>140499</v>
      </c>
      <c r="G524" s="785">
        <v>103274</v>
      </c>
      <c r="H524" s="785"/>
      <c r="I524" s="786">
        <v>5950</v>
      </c>
      <c r="J524" s="787">
        <v>25075</v>
      </c>
      <c r="K524" s="786">
        <v>14749</v>
      </c>
      <c r="L524" s="785">
        <v>0</v>
      </c>
      <c r="M524" s="785"/>
      <c r="N524" s="786">
        <v>2923</v>
      </c>
      <c r="O524" s="786">
        <v>0</v>
      </c>
      <c r="P524" s="786">
        <v>0</v>
      </c>
      <c r="Q524" s="785">
        <v>9622</v>
      </c>
      <c r="R524" s="785"/>
      <c r="S524" s="786">
        <v>34803</v>
      </c>
      <c r="T524" s="788">
        <v>-4619</v>
      </c>
      <c r="U524" s="788">
        <f>30185-1</f>
        <v>30184</v>
      </c>
    </row>
    <row r="525" spans="1:21" x14ac:dyDescent="0.25">
      <c r="A525" s="782">
        <v>95733</v>
      </c>
      <c r="B525" s="783" t="s">
        <v>3135</v>
      </c>
      <c r="C525" s="784">
        <v>1.5400000000000002E-5</v>
      </c>
      <c r="D525" s="784">
        <v>1.56E-5</v>
      </c>
      <c r="E525" s="815">
        <v>6898</v>
      </c>
      <c r="F525" s="818">
        <v>33108</v>
      </c>
      <c r="G525" s="785">
        <v>23527</v>
      </c>
      <c r="H525" s="785"/>
      <c r="I525" s="786">
        <v>1355</v>
      </c>
      <c r="J525" s="787">
        <v>5712</v>
      </c>
      <c r="K525" s="786">
        <v>3360</v>
      </c>
      <c r="L525" s="785">
        <v>581</v>
      </c>
      <c r="M525" s="785"/>
      <c r="N525" s="786">
        <v>666</v>
      </c>
      <c r="O525" s="786">
        <v>0</v>
      </c>
      <c r="P525" s="786">
        <v>0</v>
      </c>
      <c r="Q525" s="785">
        <v>464</v>
      </c>
      <c r="R525" s="785"/>
      <c r="S525" s="786">
        <v>7929</v>
      </c>
      <c r="T525" s="788">
        <v>209</v>
      </c>
      <c r="U525" s="788">
        <v>8138</v>
      </c>
    </row>
    <row r="526" spans="1:21" x14ac:dyDescent="0.25">
      <c r="A526" s="782">
        <v>95801</v>
      </c>
      <c r="B526" s="783" t="s">
        <v>3136</v>
      </c>
      <c r="C526" s="784">
        <v>9.6310000000000005E-4</v>
      </c>
      <c r="D526" s="784">
        <v>8.9349999999999998E-4</v>
      </c>
      <c r="E526" s="815">
        <v>449779</v>
      </c>
      <c r="F526" s="818">
        <v>1896306</v>
      </c>
      <c r="G526" s="785">
        <v>1471350</v>
      </c>
      <c r="H526" s="785"/>
      <c r="I526" s="786">
        <v>84763</v>
      </c>
      <c r="J526" s="787">
        <v>357246</v>
      </c>
      <c r="K526" s="786">
        <v>210129</v>
      </c>
      <c r="L526" s="785">
        <v>62205</v>
      </c>
      <c r="M526" s="785"/>
      <c r="N526" s="786">
        <v>41649</v>
      </c>
      <c r="O526" s="786">
        <v>0</v>
      </c>
      <c r="P526" s="786">
        <v>0</v>
      </c>
      <c r="Q526" s="785">
        <v>4103</v>
      </c>
      <c r="R526" s="785"/>
      <c r="S526" s="786">
        <v>495846</v>
      </c>
      <c r="T526" s="788">
        <v>14399</v>
      </c>
      <c r="U526" s="788">
        <v>510245</v>
      </c>
    </row>
    <row r="527" spans="1:21" x14ac:dyDescent="0.25">
      <c r="A527" s="782">
        <v>95802</v>
      </c>
      <c r="B527" s="783" t="s">
        <v>3137</v>
      </c>
      <c r="C527" s="784">
        <v>6.1E-6</v>
      </c>
      <c r="D527" s="784">
        <v>6.8000000000000001E-6</v>
      </c>
      <c r="E527" s="815">
        <v>5124</v>
      </c>
      <c r="F527" s="818">
        <v>14432</v>
      </c>
      <c r="G527" s="785">
        <v>9319</v>
      </c>
      <c r="H527" s="785"/>
      <c r="I527" s="786">
        <v>537</v>
      </c>
      <c r="J527" s="787">
        <v>2263</v>
      </c>
      <c r="K527" s="786">
        <v>1331</v>
      </c>
      <c r="L527" s="785">
        <v>3297</v>
      </c>
      <c r="M527" s="785"/>
      <c r="N527" s="786">
        <v>264</v>
      </c>
      <c r="O527" s="786">
        <v>0</v>
      </c>
      <c r="P527" s="786">
        <v>0</v>
      </c>
      <c r="Q527" s="785">
        <v>1248</v>
      </c>
      <c r="R527" s="785"/>
      <c r="S527" s="786">
        <v>3141</v>
      </c>
      <c r="T527" s="788">
        <v>-81</v>
      </c>
      <c r="U527" s="788">
        <v>3060</v>
      </c>
    </row>
    <row r="528" spans="1:21" x14ac:dyDescent="0.25">
      <c r="A528" s="782">
        <v>95804</v>
      </c>
      <c r="B528" s="783" t="s">
        <v>3138</v>
      </c>
      <c r="C528" s="784">
        <v>2.19E-5</v>
      </c>
      <c r="D528" s="784">
        <v>1.63E-5</v>
      </c>
      <c r="E528" s="815">
        <v>7566</v>
      </c>
      <c r="F528" s="818">
        <v>34594</v>
      </c>
      <c r="G528" s="785">
        <v>33457</v>
      </c>
      <c r="H528" s="785"/>
      <c r="I528" s="786">
        <v>1927</v>
      </c>
      <c r="J528" s="787">
        <v>8123</v>
      </c>
      <c r="K528" s="786">
        <v>4778</v>
      </c>
      <c r="L528" s="785">
        <v>3631</v>
      </c>
      <c r="M528" s="785"/>
      <c r="N528" s="786">
        <v>947</v>
      </c>
      <c r="O528" s="786">
        <v>0</v>
      </c>
      <c r="P528" s="786">
        <v>0</v>
      </c>
      <c r="Q528" s="785">
        <v>0</v>
      </c>
      <c r="R528" s="785"/>
      <c r="S528" s="786">
        <v>11275</v>
      </c>
      <c r="T528" s="788">
        <v>1628</v>
      </c>
      <c r="U528" s="788">
        <f>12904-1</f>
        <v>12903</v>
      </c>
    </row>
    <row r="529" spans="1:21" x14ac:dyDescent="0.25">
      <c r="A529" s="782">
        <v>95811</v>
      </c>
      <c r="B529" s="783" t="s">
        <v>3139</v>
      </c>
      <c r="C529" s="784">
        <v>5.3129999999999996E-4</v>
      </c>
      <c r="D529" s="784">
        <v>5.3410000000000003E-4</v>
      </c>
      <c r="E529" s="815">
        <v>243909</v>
      </c>
      <c r="F529" s="818">
        <v>1133539</v>
      </c>
      <c r="G529" s="785">
        <v>811679</v>
      </c>
      <c r="H529" s="785"/>
      <c r="I529" s="786">
        <v>46760</v>
      </c>
      <c r="J529" s="787">
        <v>197076</v>
      </c>
      <c r="K529" s="786">
        <v>115919</v>
      </c>
      <c r="L529" s="785">
        <v>1678</v>
      </c>
      <c r="M529" s="785"/>
      <c r="N529" s="786">
        <v>22976</v>
      </c>
      <c r="O529" s="786">
        <v>0</v>
      </c>
      <c r="P529" s="786">
        <v>0</v>
      </c>
      <c r="Q529" s="785">
        <v>5329</v>
      </c>
      <c r="R529" s="785"/>
      <c r="S529" s="786">
        <v>273537</v>
      </c>
      <c r="T529" s="788">
        <v>-1501</v>
      </c>
      <c r="U529" s="788">
        <f>272035+1</f>
        <v>272036</v>
      </c>
    </row>
    <row r="530" spans="1:21" x14ac:dyDescent="0.25">
      <c r="A530" s="782">
        <v>95813</v>
      </c>
      <c r="B530" s="783" t="s">
        <v>3140</v>
      </c>
      <c r="C530" s="784">
        <v>4.88E-5</v>
      </c>
      <c r="D530" s="784">
        <v>4.4400000000000002E-5</v>
      </c>
      <c r="E530" s="815">
        <v>63299</v>
      </c>
      <c r="F530" s="818">
        <v>94232</v>
      </c>
      <c r="G530" s="785">
        <v>74553</v>
      </c>
      <c r="H530" s="785"/>
      <c r="I530" s="786">
        <v>4295</v>
      </c>
      <c r="J530" s="787">
        <v>18101</v>
      </c>
      <c r="K530" s="786">
        <v>10647</v>
      </c>
      <c r="L530" s="785">
        <v>72000</v>
      </c>
      <c r="M530" s="785"/>
      <c r="N530" s="786">
        <v>2110</v>
      </c>
      <c r="O530" s="786">
        <v>0</v>
      </c>
      <c r="P530" s="786">
        <v>0</v>
      </c>
      <c r="Q530" s="785">
        <v>0</v>
      </c>
      <c r="R530" s="785"/>
      <c r="S530" s="786">
        <v>25124</v>
      </c>
      <c r="T530" s="788">
        <v>24457</v>
      </c>
      <c r="U530" s="788">
        <v>49581</v>
      </c>
    </row>
    <row r="531" spans="1:21" x14ac:dyDescent="0.25">
      <c r="A531" s="782">
        <v>95821</v>
      </c>
      <c r="B531" s="783" t="s">
        <v>3141</v>
      </c>
      <c r="C531" s="784">
        <v>0</v>
      </c>
      <c r="D531" s="784">
        <v>1.7E-6</v>
      </c>
      <c r="E531" s="815">
        <v>610</v>
      </c>
      <c r="F531" s="818">
        <v>3608</v>
      </c>
      <c r="G531" s="785">
        <v>0</v>
      </c>
      <c r="H531" s="785"/>
      <c r="I531" s="786">
        <v>0</v>
      </c>
      <c r="J531" s="787">
        <v>0</v>
      </c>
      <c r="K531" s="786">
        <v>0</v>
      </c>
      <c r="L531" s="785">
        <v>1293</v>
      </c>
      <c r="M531" s="785"/>
      <c r="N531" s="786">
        <v>0</v>
      </c>
      <c r="O531" s="786">
        <v>0</v>
      </c>
      <c r="P531" s="786">
        <v>0</v>
      </c>
      <c r="Q531" s="785">
        <v>652</v>
      </c>
      <c r="R531" s="785"/>
      <c r="S531" s="786">
        <v>0</v>
      </c>
      <c r="T531" s="788">
        <v>460</v>
      </c>
      <c r="U531" s="788">
        <v>460</v>
      </c>
    </row>
    <row r="532" spans="1:21" x14ac:dyDescent="0.25">
      <c r="A532" s="782">
        <v>95831</v>
      </c>
      <c r="B532" s="783" t="s">
        <v>3142</v>
      </c>
      <c r="C532" s="784">
        <v>1.6799999999999998E-5</v>
      </c>
      <c r="D532" s="784">
        <v>1.36E-5</v>
      </c>
      <c r="E532" s="815">
        <v>22034</v>
      </c>
      <c r="F532" s="818">
        <v>28864</v>
      </c>
      <c r="G532" s="785">
        <v>25666</v>
      </c>
      <c r="H532" s="785"/>
      <c r="I532" s="786">
        <v>1479</v>
      </c>
      <c r="J532" s="787">
        <v>6232</v>
      </c>
      <c r="K532" s="786">
        <v>3665</v>
      </c>
      <c r="L532" s="785">
        <v>23962</v>
      </c>
      <c r="M532" s="785"/>
      <c r="N532" s="786">
        <v>727</v>
      </c>
      <c r="O532" s="786">
        <v>0</v>
      </c>
      <c r="P532" s="786">
        <v>0</v>
      </c>
      <c r="Q532" s="785">
        <v>0</v>
      </c>
      <c r="R532" s="785"/>
      <c r="S532" s="786">
        <v>8649</v>
      </c>
      <c r="T532" s="788">
        <v>8068</v>
      </c>
      <c r="U532" s="788">
        <v>16717</v>
      </c>
    </row>
    <row r="533" spans="1:21" x14ac:dyDescent="0.25">
      <c r="A533" s="782">
        <v>95841</v>
      </c>
      <c r="B533" s="783" t="s">
        <v>3143</v>
      </c>
      <c r="C533" s="784">
        <v>2.0999999999999999E-5</v>
      </c>
      <c r="D533" s="784">
        <v>2.1100000000000001E-5</v>
      </c>
      <c r="E533" s="815">
        <v>10805</v>
      </c>
      <c r="F533" s="818">
        <v>44781</v>
      </c>
      <c r="G533" s="785">
        <v>32082</v>
      </c>
      <c r="H533" s="785"/>
      <c r="I533" s="786">
        <v>1848</v>
      </c>
      <c r="J533" s="787">
        <v>7790</v>
      </c>
      <c r="K533" s="786">
        <v>4582</v>
      </c>
      <c r="L533" s="785">
        <v>2103</v>
      </c>
      <c r="M533" s="785"/>
      <c r="N533" s="786">
        <v>908</v>
      </c>
      <c r="O533" s="786">
        <v>0</v>
      </c>
      <c r="P533" s="786">
        <v>0</v>
      </c>
      <c r="Q533" s="785">
        <v>0</v>
      </c>
      <c r="R533" s="785"/>
      <c r="S533" s="786">
        <v>10812</v>
      </c>
      <c r="T533" s="788">
        <v>817</v>
      </c>
      <c r="U533" s="788">
        <v>11629</v>
      </c>
    </row>
    <row r="534" spans="1:21" x14ac:dyDescent="0.25">
      <c r="A534" s="782">
        <v>95851</v>
      </c>
      <c r="B534" s="783" t="s">
        <v>3144</v>
      </c>
      <c r="C534" s="784">
        <v>1.327E-4</v>
      </c>
      <c r="D534" s="784">
        <v>1.3009999999999999E-4</v>
      </c>
      <c r="E534" s="815">
        <v>142459</v>
      </c>
      <c r="F534" s="818">
        <v>276116</v>
      </c>
      <c r="G534" s="785">
        <v>202729</v>
      </c>
      <c r="H534" s="785"/>
      <c r="I534" s="786">
        <v>11679</v>
      </c>
      <c r="J534" s="787">
        <v>49223</v>
      </c>
      <c r="K534" s="786">
        <v>28952</v>
      </c>
      <c r="L534" s="785">
        <v>130637</v>
      </c>
      <c r="M534" s="785"/>
      <c r="N534" s="786">
        <v>5739</v>
      </c>
      <c r="O534" s="786">
        <v>0</v>
      </c>
      <c r="P534" s="786">
        <v>0</v>
      </c>
      <c r="Q534" s="785">
        <v>4180</v>
      </c>
      <c r="R534" s="785"/>
      <c r="S534" s="786">
        <v>68320</v>
      </c>
      <c r="T534" s="788">
        <v>39831</v>
      </c>
      <c r="U534" s="788">
        <v>108151</v>
      </c>
    </row>
    <row r="535" spans="1:21" x14ac:dyDescent="0.25">
      <c r="A535" s="782">
        <v>95853</v>
      </c>
      <c r="B535" s="783" t="s">
        <v>3145</v>
      </c>
      <c r="C535" s="784">
        <v>2.69E-5</v>
      </c>
      <c r="D535" s="784">
        <v>2.4000000000000001E-5</v>
      </c>
      <c r="E535" s="815">
        <v>14344</v>
      </c>
      <c r="F535" s="818">
        <v>50936</v>
      </c>
      <c r="G535" s="785">
        <v>41096</v>
      </c>
      <c r="H535" s="785"/>
      <c r="I535" s="786">
        <v>2367</v>
      </c>
      <c r="J535" s="787">
        <v>9978</v>
      </c>
      <c r="K535" s="786">
        <v>5869</v>
      </c>
      <c r="L535" s="785">
        <v>8793</v>
      </c>
      <c r="M535" s="785"/>
      <c r="N535" s="786">
        <v>1163</v>
      </c>
      <c r="O535" s="786">
        <v>0</v>
      </c>
      <c r="P535" s="786">
        <v>0</v>
      </c>
      <c r="Q535" s="785">
        <v>0</v>
      </c>
      <c r="R535" s="785"/>
      <c r="S535" s="786">
        <v>13849</v>
      </c>
      <c r="T535" s="788">
        <v>3675</v>
      </c>
      <c r="U535" s="788">
        <f>17525-1</f>
        <v>17524</v>
      </c>
    </row>
    <row r="536" spans="1:21" x14ac:dyDescent="0.25">
      <c r="A536" s="782">
        <v>95901</v>
      </c>
      <c r="B536" s="783" t="s">
        <v>3146</v>
      </c>
      <c r="C536" s="784">
        <v>1.8714999999999999E-3</v>
      </c>
      <c r="D536" s="784">
        <v>1.8266999999999999E-3</v>
      </c>
      <c r="E536" s="815">
        <v>815702</v>
      </c>
      <c r="F536" s="818">
        <v>3876869</v>
      </c>
      <c r="G536" s="785">
        <v>2859134</v>
      </c>
      <c r="H536" s="785"/>
      <c r="I536" s="786">
        <v>164713</v>
      </c>
      <c r="J536" s="787">
        <v>694201</v>
      </c>
      <c r="K536" s="786">
        <v>408324</v>
      </c>
      <c r="L536" s="785">
        <v>36652</v>
      </c>
      <c r="M536" s="785"/>
      <c r="N536" s="786">
        <v>80933</v>
      </c>
      <c r="O536" s="786">
        <v>0</v>
      </c>
      <c r="P536" s="786">
        <v>0</v>
      </c>
      <c r="Q536" s="785">
        <v>13191</v>
      </c>
      <c r="R536" s="785"/>
      <c r="S536" s="786">
        <v>963531</v>
      </c>
      <c r="T536" s="788">
        <v>28466</v>
      </c>
      <c r="U536" s="788">
        <v>991997</v>
      </c>
    </row>
    <row r="537" spans="1:21" x14ac:dyDescent="0.25">
      <c r="A537" s="782">
        <v>95908</v>
      </c>
      <c r="B537" s="783" t="s">
        <v>3147</v>
      </c>
      <c r="C537" s="784">
        <v>7.2200000000000007E-5</v>
      </c>
      <c r="D537" s="784">
        <v>7.2000000000000002E-5</v>
      </c>
      <c r="E537" s="815">
        <v>24598</v>
      </c>
      <c r="F537" s="818">
        <v>152808</v>
      </c>
      <c r="G537" s="785">
        <v>110302</v>
      </c>
      <c r="H537" s="785"/>
      <c r="I537" s="786">
        <v>6354</v>
      </c>
      <c r="J537" s="787">
        <v>26781</v>
      </c>
      <c r="K537" s="786">
        <v>15753</v>
      </c>
      <c r="L537" s="785">
        <v>0</v>
      </c>
      <c r="M537" s="785"/>
      <c r="N537" s="786">
        <v>3122</v>
      </c>
      <c r="O537" s="786">
        <v>0</v>
      </c>
      <c r="P537" s="786">
        <v>0</v>
      </c>
      <c r="Q537" s="785">
        <v>22164</v>
      </c>
      <c r="R537" s="785"/>
      <c r="S537" s="786">
        <v>37172</v>
      </c>
      <c r="T537" s="788">
        <v>-10736</v>
      </c>
      <c r="U537" s="788">
        <v>26436</v>
      </c>
    </row>
    <row r="538" spans="1:21" x14ac:dyDescent="0.25">
      <c r="A538" s="782">
        <v>95911</v>
      </c>
      <c r="B538" s="783" t="s">
        <v>3148</v>
      </c>
      <c r="C538" s="784">
        <v>5.7450000000000003E-4</v>
      </c>
      <c r="D538" s="784">
        <v>5.6979999999999997E-4</v>
      </c>
      <c r="E538" s="815">
        <v>244845</v>
      </c>
      <c r="F538" s="818">
        <v>1209306</v>
      </c>
      <c r="G538" s="785">
        <v>877677</v>
      </c>
      <c r="H538" s="785"/>
      <c r="I538" s="786">
        <v>50562</v>
      </c>
      <c r="J538" s="787">
        <v>213101</v>
      </c>
      <c r="K538" s="786">
        <v>125344</v>
      </c>
      <c r="L538" s="785">
        <v>2898</v>
      </c>
      <c r="M538" s="785"/>
      <c r="N538" s="786">
        <v>24844</v>
      </c>
      <c r="O538" s="786">
        <v>0</v>
      </c>
      <c r="P538" s="786">
        <v>0</v>
      </c>
      <c r="Q538" s="785">
        <v>40952</v>
      </c>
      <c r="R538" s="785"/>
      <c r="S538" s="786">
        <v>295778</v>
      </c>
      <c r="T538" s="788">
        <v>-14076</v>
      </c>
      <c r="U538" s="788">
        <v>281702</v>
      </c>
    </row>
    <row r="539" spans="1:21" x14ac:dyDescent="0.25">
      <c r="A539" s="782">
        <v>95917</v>
      </c>
      <c r="B539" s="783" t="s">
        <v>3149</v>
      </c>
      <c r="C539" s="784">
        <v>2.6699999999999998E-5</v>
      </c>
      <c r="D539" s="784">
        <v>2.2399999999999999E-5</v>
      </c>
      <c r="E539" s="815">
        <v>11001</v>
      </c>
      <c r="F539" s="818">
        <v>47540</v>
      </c>
      <c r="G539" s="785">
        <v>40790</v>
      </c>
      <c r="H539" s="785"/>
      <c r="I539" s="786">
        <v>2350</v>
      </c>
      <c r="J539" s="787">
        <v>9904</v>
      </c>
      <c r="K539" s="786">
        <v>5825</v>
      </c>
      <c r="L539" s="785">
        <v>4378</v>
      </c>
      <c r="M539" s="785"/>
      <c r="N539" s="786">
        <v>1155</v>
      </c>
      <c r="O539" s="786">
        <v>0</v>
      </c>
      <c r="P539" s="786">
        <v>0</v>
      </c>
      <c r="Q539" s="785">
        <v>501</v>
      </c>
      <c r="R539" s="785"/>
      <c r="S539" s="786">
        <v>13746</v>
      </c>
      <c r="T539" s="788">
        <v>2216</v>
      </c>
      <c r="U539" s="788">
        <v>15962</v>
      </c>
    </row>
    <row r="540" spans="1:21" x14ac:dyDescent="0.25">
      <c r="A540" s="782">
        <v>95921</v>
      </c>
      <c r="B540" s="783" t="s">
        <v>3150</v>
      </c>
      <c r="C540" s="784">
        <v>4.7500000000000003E-5</v>
      </c>
      <c r="D540" s="784">
        <v>4.4700000000000002E-5</v>
      </c>
      <c r="E540" s="815">
        <v>19772</v>
      </c>
      <c r="F540" s="818">
        <v>94868</v>
      </c>
      <c r="G540" s="785">
        <v>72567</v>
      </c>
      <c r="H540" s="785"/>
      <c r="I540" s="786">
        <v>4181</v>
      </c>
      <c r="J540" s="787">
        <v>17619</v>
      </c>
      <c r="K540" s="786">
        <v>10364</v>
      </c>
      <c r="L540" s="785">
        <v>3925</v>
      </c>
      <c r="M540" s="785"/>
      <c r="N540" s="786">
        <v>2054</v>
      </c>
      <c r="O540" s="786">
        <v>0</v>
      </c>
      <c r="P540" s="786">
        <v>0</v>
      </c>
      <c r="Q540" s="785">
        <v>948</v>
      </c>
      <c r="R540" s="785"/>
      <c r="S540" s="786">
        <v>24455</v>
      </c>
      <c r="T540" s="788">
        <v>526</v>
      </c>
      <c r="U540" s="788">
        <v>24981</v>
      </c>
    </row>
    <row r="541" spans="1:21" x14ac:dyDescent="0.25">
      <c r="A541" s="782">
        <v>96001</v>
      </c>
      <c r="B541" s="783" t="s">
        <v>3151</v>
      </c>
      <c r="C541" s="784">
        <v>4.4386399999999999E-2</v>
      </c>
      <c r="D541" s="784">
        <v>4.43519E-2</v>
      </c>
      <c r="E541" s="815">
        <v>20012605</v>
      </c>
      <c r="F541" s="818">
        <v>94129590</v>
      </c>
      <c r="G541" s="785">
        <v>67810124</v>
      </c>
      <c r="H541" s="785"/>
      <c r="I541" s="786">
        <v>3906491</v>
      </c>
      <c r="J541" s="787">
        <v>16464380</v>
      </c>
      <c r="K541" s="786">
        <v>9684225</v>
      </c>
      <c r="L541" s="785">
        <v>1457342</v>
      </c>
      <c r="M541" s="785"/>
      <c r="N541" s="786">
        <v>1919490</v>
      </c>
      <c r="O541" s="786">
        <v>0</v>
      </c>
      <c r="P541" s="786">
        <v>0</v>
      </c>
      <c r="Q541" s="785">
        <v>477903</v>
      </c>
      <c r="R541" s="785"/>
      <c r="S541" s="786">
        <v>22852072</v>
      </c>
      <c r="T541" s="788">
        <v>1208760</v>
      </c>
      <c r="U541" s="788">
        <v>24060832</v>
      </c>
    </row>
    <row r="542" spans="1:21" x14ac:dyDescent="0.25">
      <c r="A542" s="782">
        <v>96003</v>
      </c>
      <c r="B542" s="783" t="s">
        <v>3152</v>
      </c>
      <c r="C542" s="784">
        <v>1.6523E-3</v>
      </c>
      <c r="D542" s="784">
        <v>1.7309000000000001E-3</v>
      </c>
      <c r="E542" s="815">
        <v>743373</v>
      </c>
      <c r="F542" s="818">
        <v>3673550</v>
      </c>
      <c r="G542" s="785">
        <v>2524257</v>
      </c>
      <c r="H542" s="785"/>
      <c r="I542" s="786">
        <v>145421</v>
      </c>
      <c r="J542" s="787">
        <v>612893</v>
      </c>
      <c r="K542" s="786">
        <v>360499</v>
      </c>
      <c r="L542" s="785">
        <v>3089</v>
      </c>
      <c r="M542" s="785"/>
      <c r="N542" s="786">
        <v>71454</v>
      </c>
      <c r="O542" s="786">
        <v>0</v>
      </c>
      <c r="P542" s="786">
        <v>0</v>
      </c>
      <c r="Q542" s="785">
        <v>135978</v>
      </c>
      <c r="R542" s="785"/>
      <c r="S542" s="786">
        <v>850677</v>
      </c>
      <c r="T542" s="788">
        <v>-56030</v>
      </c>
      <c r="U542" s="788">
        <v>794647</v>
      </c>
    </row>
    <row r="543" spans="1:21" x14ac:dyDescent="0.25">
      <c r="A543" s="782">
        <v>96004</v>
      </c>
      <c r="B543" s="783" t="s">
        <v>3153</v>
      </c>
      <c r="C543" s="784">
        <v>8.9439999999999995E-4</v>
      </c>
      <c r="D543" s="784">
        <v>8.7699999999999996E-4</v>
      </c>
      <c r="E543" s="815">
        <v>462352</v>
      </c>
      <c r="F543" s="818">
        <v>1861288</v>
      </c>
      <c r="G543" s="785">
        <v>1366395</v>
      </c>
      <c r="H543" s="785"/>
      <c r="I543" s="786">
        <v>78717</v>
      </c>
      <c r="J543" s="787">
        <v>331762</v>
      </c>
      <c r="K543" s="786">
        <v>195140</v>
      </c>
      <c r="L543" s="785">
        <v>149546</v>
      </c>
      <c r="M543" s="785"/>
      <c r="N543" s="786">
        <v>38678</v>
      </c>
      <c r="O543" s="786">
        <v>0</v>
      </c>
      <c r="P543" s="786">
        <v>0</v>
      </c>
      <c r="Q543" s="785">
        <v>0</v>
      </c>
      <c r="R543" s="785"/>
      <c r="S543" s="786">
        <v>460476</v>
      </c>
      <c r="T543" s="788">
        <v>65505</v>
      </c>
      <c r="U543" s="788">
        <f>525982-1</f>
        <v>525981</v>
      </c>
    </row>
    <row r="544" spans="1:21" x14ac:dyDescent="0.25">
      <c r="A544" s="782">
        <v>96005</v>
      </c>
      <c r="B544" s="783" t="s">
        <v>3154</v>
      </c>
      <c r="C544" s="784">
        <v>2.6733999999999998E-3</v>
      </c>
      <c r="D544" s="784">
        <v>2.6457E-3</v>
      </c>
      <c r="E544" s="815">
        <v>1240290</v>
      </c>
      <c r="F544" s="818">
        <v>5615062</v>
      </c>
      <c r="G544" s="785">
        <v>4084215</v>
      </c>
      <c r="H544" s="785"/>
      <c r="I544" s="786">
        <v>235289</v>
      </c>
      <c r="J544" s="787">
        <v>991653</v>
      </c>
      <c r="K544" s="786">
        <v>583282</v>
      </c>
      <c r="L544" s="785">
        <v>222285</v>
      </c>
      <c r="M544" s="785"/>
      <c r="N544" s="786">
        <v>115611</v>
      </c>
      <c r="O544" s="786">
        <v>0</v>
      </c>
      <c r="P544" s="786">
        <v>0</v>
      </c>
      <c r="Q544" s="785">
        <v>0</v>
      </c>
      <c r="R544" s="785"/>
      <c r="S544" s="786">
        <v>1376384</v>
      </c>
      <c r="T544" s="788">
        <v>159087</v>
      </c>
      <c r="U544" s="788">
        <v>1535471</v>
      </c>
    </row>
    <row r="545" spans="1:21" x14ac:dyDescent="0.25">
      <c r="A545" s="782">
        <v>96008</v>
      </c>
      <c r="B545" s="783" t="s">
        <v>3155</v>
      </c>
      <c r="C545" s="784">
        <v>5.9955E-3</v>
      </c>
      <c r="D545" s="784">
        <v>5.9388000000000002E-3</v>
      </c>
      <c r="E545" s="815">
        <v>2075076</v>
      </c>
      <c r="F545" s="818">
        <v>12604123</v>
      </c>
      <c r="G545" s="785">
        <v>9159463</v>
      </c>
      <c r="H545" s="785"/>
      <c r="I545" s="786">
        <v>527670</v>
      </c>
      <c r="J545" s="787">
        <v>2223929</v>
      </c>
      <c r="K545" s="786">
        <v>1308098</v>
      </c>
      <c r="L545" s="785">
        <v>0</v>
      </c>
      <c r="M545" s="785"/>
      <c r="N545" s="786">
        <v>259275</v>
      </c>
      <c r="O545" s="786">
        <v>0</v>
      </c>
      <c r="P545" s="786">
        <v>0</v>
      </c>
      <c r="Q545" s="785">
        <v>767021</v>
      </c>
      <c r="R545" s="785"/>
      <c r="S545" s="786">
        <v>3086747</v>
      </c>
      <c r="T545" s="788">
        <v>-274630</v>
      </c>
      <c r="U545" s="788">
        <v>2812117</v>
      </c>
    </row>
    <row r="546" spans="1:21" x14ac:dyDescent="0.25">
      <c r="A546" s="782">
        <v>96009</v>
      </c>
      <c r="B546" s="783" t="s">
        <v>3156</v>
      </c>
      <c r="C546" s="784">
        <v>3.7609999999999998E-4</v>
      </c>
      <c r="D546" s="784">
        <v>3.5980000000000002E-4</v>
      </c>
      <c r="E546" s="815">
        <v>192063</v>
      </c>
      <c r="F546" s="818">
        <v>763616</v>
      </c>
      <c r="G546" s="785">
        <v>574577</v>
      </c>
      <c r="H546" s="785"/>
      <c r="I546" s="786">
        <v>33101</v>
      </c>
      <c r="J546" s="787">
        <v>139508</v>
      </c>
      <c r="K546" s="786">
        <v>82057</v>
      </c>
      <c r="L546" s="785">
        <v>33181</v>
      </c>
      <c r="M546" s="785"/>
      <c r="N546" s="786">
        <v>16264</v>
      </c>
      <c r="O546" s="786">
        <v>0</v>
      </c>
      <c r="P546" s="786">
        <v>0</v>
      </c>
      <c r="Q546" s="785">
        <v>2595</v>
      </c>
      <c r="R546" s="785"/>
      <c r="S546" s="786">
        <v>193633</v>
      </c>
      <c r="T546" s="788">
        <v>11508</v>
      </c>
      <c r="U546" s="788">
        <v>205141</v>
      </c>
    </row>
    <row r="547" spans="1:21" x14ac:dyDescent="0.25">
      <c r="A547" s="782">
        <v>96011</v>
      </c>
      <c r="B547" s="783" t="s">
        <v>3157</v>
      </c>
      <c r="C547" s="784">
        <v>6.1150400000000001E-2</v>
      </c>
      <c r="D547" s="784">
        <v>6.0489000000000001E-2</v>
      </c>
      <c r="E547" s="815">
        <v>28379211</v>
      </c>
      <c r="F547" s="818">
        <v>128377922</v>
      </c>
      <c r="G547" s="785">
        <v>93420873</v>
      </c>
      <c r="H547" s="785"/>
      <c r="I547" s="786">
        <v>5381908</v>
      </c>
      <c r="J547" s="787">
        <v>22682701</v>
      </c>
      <c r="K547" s="786">
        <v>13341794</v>
      </c>
      <c r="L547" s="785">
        <v>796221</v>
      </c>
      <c r="M547" s="785"/>
      <c r="N547" s="786">
        <v>2644449</v>
      </c>
      <c r="O547" s="786">
        <v>0</v>
      </c>
      <c r="P547" s="786">
        <v>0</v>
      </c>
      <c r="Q547" s="785">
        <v>51460</v>
      </c>
      <c r="R547" s="785"/>
      <c r="S547" s="786">
        <v>31482917</v>
      </c>
      <c r="T547" s="788">
        <v>212508</v>
      </c>
      <c r="U547" s="788">
        <v>31695425</v>
      </c>
    </row>
    <row r="548" spans="1:21" x14ac:dyDescent="0.25">
      <c r="A548" s="782">
        <v>96012</v>
      </c>
      <c r="B548" s="783" t="s">
        <v>3158</v>
      </c>
      <c r="C548" s="784">
        <v>2.4417000000000002E-3</v>
      </c>
      <c r="D548" s="784">
        <v>2.4095000000000002E-3</v>
      </c>
      <c r="E548" s="815">
        <v>1092788</v>
      </c>
      <c r="F548" s="818">
        <v>5113766</v>
      </c>
      <c r="G548" s="785">
        <v>3730241</v>
      </c>
      <c r="H548" s="785"/>
      <c r="I548" s="786">
        <v>214896</v>
      </c>
      <c r="J548" s="787">
        <v>905707</v>
      </c>
      <c r="K548" s="786">
        <v>532730</v>
      </c>
      <c r="L548" s="785">
        <v>77080</v>
      </c>
      <c r="M548" s="785"/>
      <c r="N548" s="786">
        <v>105591</v>
      </c>
      <c r="O548" s="786">
        <v>0</v>
      </c>
      <c r="P548" s="786">
        <v>0</v>
      </c>
      <c r="Q548" s="785">
        <v>937</v>
      </c>
      <c r="R548" s="785"/>
      <c r="S548" s="786">
        <v>1257095</v>
      </c>
      <c r="T548" s="788">
        <v>35595</v>
      </c>
      <c r="U548" s="788">
        <v>1292690</v>
      </c>
    </row>
    <row r="549" spans="1:21" x14ac:dyDescent="0.25">
      <c r="A549" s="782">
        <v>96018</v>
      </c>
      <c r="B549" s="783" t="s">
        <v>3159</v>
      </c>
      <c r="C549" s="784">
        <v>4.3600000000000003E-5</v>
      </c>
      <c r="D549" s="784">
        <v>3.6199999999999999E-5</v>
      </c>
      <c r="E549" s="815">
        <v>18035</v>
      </c>
      <c r="F549" s="818">
        <v>76829</v>
      </c>
      <c r="G549" s="785">
        <v>66609</v>
      </c>
      <c r="H549" s="785"/>
      <c r="I549" s="786">
        <v>3837</v>
      </c>
      <c r="J549" s="787">
        <v>16173</v>
      </c>
      <c r="K549" s="786">
        <v>9513</v>
      </c>
      <c r="L549" s="785">
        <v>9704</v>
      </c>
      <c r="M549" s="785"/>
      <c r="N549" s="786">
        <v>1885</v>
      </c>
      <c r="O549" s="786">
        <v>0</v>
      </c>
      <c r="P549" s="786">
        <v>0</v>
      </c>
      <c r="Q549" s="785">
        <v>0</v>
      </c>
      <c r="R549" s="785"/>
      <c r="S549" s="786">
        <v>22447</v>
      </c>
      <c r="T549" s="788">
        <v>5913</v>
      </c>
      <c r="U549" s="788">
        <v>28360</v>
      </c>
    </row>
    <row r="550" spans="1:21" x14ac:dyDescent="0.25">
      <c r="A550" s="782">
        <v>96021</v>
      </c>
      <c r="B550" s="783" t="s">
        <v>3160</v>
      </c>
      <c r="C550" s="784">
        <v>7.2090000000000001E-4</v>
      </c>
      <c r="D550" s="784">
        <v>8.5829999999999999E-4</v>
      </c>
      <c r="E550" s="815">
        <v>327690</v>
      </c>
      <c r="F550" s="818">
        <v>1821600</v>
      </c>
      <c r="G550" s="785">
        <v>1101336</v>
      </c>
      <c r="H550" s="785"/>
      <c r="I550" s="786">
        <v>63447</v>
      </c>
      <c r="J550" s="787">
        <v>267406</v>
      </c>
      <c r="K550" s="786">
        <v>157286</v>
      </c>
      <c r="L550" s="785">
        <v>31959</v>
      </c>
      <c r="M550" s="785"/>
      <c r="N550" s="786">
        <v>31175</v>
      </c>
      <c r="O550" s="786">
        <v>0</v>
      </c>
      <c r="P550" s="786">
        <v>0</v>
      </c>
      <c r="Q550" s="785">
        <v>119309</v>
      </c>
      <c r="R550" s="785"/>
      <c r="S550" s="786">
        <v>371151</v>
      </c>
      <c r="T550" s="788">
        <v>-13869</v>
      </c>
      <c r="U550" s="788">
        <v>357282</v>
      </c>
    </row>
    <row r="551" spans="1:21" x14ac:dyDescent="0.25">
      <c r="A551" s="782">
        <v>96031</v>
      </c>
      <c r="B551" s="783" t="s">
        <v>3161</v>
      </c>
      <c r="C551" s="784">
        <v>8.2580000000000001E-4</v>
      </c>
      <c r="D551" s="784">
        <v>9.0189999999999997E-4</v>
      </c>
      <c r="E551" s="815">
        <v>325476</v>
      </c>
      <c r="F551" s="818">
        <v>1914134</v>
      </c>
      <c r="G551" s="785">
        <v>1261594</v>
      </c>
      <c r="H551" s="785"/>
      <c r="I551" s="786">
        <v>72679</v>
      </c>
      <c r="J551" s="787">
        <v>306317</v>
      </c>
      <c r="K551" s="786">
        <v>180173</v>
      </c>
      <c r="L551" s="785">
        <v>0</v>
      </c>
      <c r="M551" s="785"/>
      <c r="N551" s="786">
        <v>35712</v>
      </c>
      <c r="O551" s="786">
        <v>0</v>
      </c>
      <c r="P551" s="786">
        <v>0</v>
      </c>
      <c r="Q551" s="785">
        <v>179263</v>
      </c>
      <c r="R551" s="785"/>
      <c r="S551" s="786">
        <v>425158</v>
      </c>
      <c r="T551" s="788">
        <v>-74461</v>
      </c>
      <c r="U551" s="788">
        <v>350697</v>
      </c>
    </row>
    <row r="552" spans="1:21" x14ac:dyDescent="0.25">
      <c r="A552" s="782">
        <v>96041</v>
      </c>
      <c r="B552" s="783" t="s">
        <v>3162</v>
      </c>
      <c r="C552" s="784">
        <v>1.7361E-3</v>
      </c>
      <c r="D552" s="784">
        <v>1.7323E-3</v>
      </c>
      <c r="E552" s="815">
        <v>721544</v>
      </c>
      <c r="F552" s="818">
        <v>3676521</v>
      </c>
      <c r="G552" s="785">
        <v>2652280</v>
      </c>
      <c r="H552" s="785"/>
      <c r="I552" s="786">
        <v>152796</v>
      </c>
      <c r="J552" s="787">
        <v>643977</v>
      </c>
      <c r="K552" s="786">
        <v>378782</v>
      </c>
      <c r="L552" s="785">
        <v>0</v>
      </c>
      <c r="M552" s="785"/>
      <c r="N552" s="786">
        <v>75078</v>
      </c>
      <c r="O552" s="786">
        <v>0</v>
      </c>
      <c r="P552" s="786">
        <v>0</v>
      </c>
      <c r="Q552" s="785">
        <v>139404</v>
      </c>
      <c r="R552" s="785"/>
      <c r="S552" s="786">
        <v>893821</v>
      </c>
      <c r="T552" s="788">
        <v>-60075</v>
      </c>
      <c r="U552" s="788">
        <v>833746</v>
      </c>
    </row>
    <row r="553" spans="1:21" x14ac:dyDescent="0.25">
      <c r="A553" s="782">
        <v>96051</v>
      </c>
      <c r="B553" s="783" t="s">
        <v>3163</v>
      </c>
      <c r="C553" s="784">
        <v>1.0062000000000001E-3</v>
      </c>
      <c r="D553" s="784">
        <v>1.0258000000000001E-3</v>
      </c>
      <c r="E553" s="815">
        <v>418346</v>
      </c>
      <c r="F553" s="818">
        <v>2177091</v>
      </c>
      <c r="G553" s="785">
        <v>1537195</v>
      </c>
      <c r="H553" s="785"/>
      <c r="I553" s="786">
        <v>88557</v>
      </c>
      <c r="J553" s="787">
        <v>373233</v>
      </c>
      <c r="K553" s="786">
        <v>219533</v>
      </c>
      <c r="L553" s="785">
        <v>0</v>
      </c>
      <c r="M553" s="785"/>
      <c r="N553" s="786">
        <v>43513</v>
      </c>
      <c r="O553" s="786">
        <v>0</v>
      </c>
      <c r="P553" s="786">
        <v>0</v>
      </c>
      <c r="Q553" s="785">
        <v>109605</v>
      </c>
      <c r="R553" s="785"/>
      <c r="S553" s="786">
        <v>518036</v>
      </c>
      <c r="T553" s="788">
        <v>-44751</v>
      </c>
      <c r="U553" s="788">
        <v>473285</v>
      </c>
    </row>
    <row r="554" spans="1:21" x14ac:dyDescent="0.25">
      <c r="A554" s="782">
        <v>96061</v>
      </c>
      <c r="B554" s="783" t="s">
        <v>3164</v>
      </c>
      <c r="C554" s="784">
        <v>3.3950000000000001E-4</v>
      </c>
      <c r="D554" s="784">
        <v>3.0800000000000001E-4</v>
      </c>
      <c r="E554" s="815">
        <v>154988</v>
      </c>
      <c r="F554" s="818">
        <v>653679</v>
      </c>
      <c r="G554" s="785">
        <v>518662</v>
      </c>
      <c r="H554" s="785"/>
      <c r="I554" s="786">
        <v>29880</v>
      </c>
      <c r="J554" s="787">
        <v>125932</v>
      </c>
      <c r="K554" s="786">
        <v>74072</v>
      </c>
      <c r="L554" s="785">
        <v>21868</v>
      </c>
      <c r="M554" s="785"/>
      <c r="N554" s="786">
        <v>14682</v>
      </c>
      <c r="O554" s="786">
        <v>0</v>
      </c>
      <c r="P554" s="786">
        <v>0</v>
      </c>
      <c r="Q554" s="785">
        <v>7447</v>
      </c>
      <c r="R554" s="785"/>
      <c r="S554" s="786">
        <v>174790</v>
      </c>
      <c r="T554" s="788">
        <v>2241</v>
      </c>
      <c r="U554" s="788">
        <v>177031</v>
      </c>
    </row>
    <row r="555" spans="1:21" x14ac:dyDescent="0.25">
      <c r="A555" s="782">
        <v>96071</v>
      </c>
      <c r="B555" s="783" t="s">
        <v>3165</v>
      </c>
      <c r="C555" s="784">
        <v>1.1367E-3</v>
      </c>
      <c r="D555" s="784">
        <v>1.1280999999999999E-3</v>
      </c>
      <c r="E555" s="815">
        <v>554009</v>
      </c>
      <c r="F555" s="818">
        <v>2394206</v>
      </c>
      <c r="G555" s="785">
        <v>1736563</v>
      </c>
      <c r="H555" s="785"/>
      <c r="I555" s="786">
        <v>100042</v>
      </c>
      <c r="J555" s="787">
        <v>421639</v>
      </c>
      <c r="K555" s="786">
        <v>248005</v>
      </c>
      <c r="L555" s="785">
        <v>72999</v>
      </c>
      <c r="M555" s="785"/>
      <c r="N555" s="786">
        <v>49157</v>
      </c>
      <c r="O555" s="786">
        <v>0</v>
      </c>
      <c r="P555" s="786">
        <v>0</v>
      </c>
      <c r="Q555" s="785">
        <v>71715</v>
      </c>
      <c r="R555" s="785"/>
      <c r="S555" s="786">
        <v>585223</v>
      </c>
      <c r="T555" s="788">
        <v>-1282</v>
      </c>
      <c r="U555" s="788">
        <v>583941</v>
      </c>
    </row>
    <row r="556" spans="1:21" x14ac:dyDescent="0.25">
      <c r="A556" s="782">
        <v>96081</v>
      </c>
      <c r="B556" s="783" t="s">
        <v>3166</v>
      </c>
      <c r="C556" s="784">
        <v>5.0900000000000001E-4</v>
      </c>
      <c r="D556" s="784">
        <v>4.7820000000000002E-4</v>
      </c>
      <c r="E556" s="815">
        <v>211520</v>
      </c>
      <c r="F556" s="818">
        <v>1014901</v>
      </c>
      <c r="G556" s="785">
        <v>777611</v>
      </c>
      <c r="H556" s="785"/>
      <c r="I556" s="786">
        <v>44798</v>
      </c>
      <c r="J556" s="787">
        <v>188805</v>
      </c>
      <c r="K556" s="786">
        <v>111054</v>
      </c>
      <c r="L556" s="785">
        <v>10640</v>
      </c>
      <c r="M556" s="785"/>
      <c r="N556" s="786">
        <v>22012</v>
      </c>
      <c r="O556" s="786">
        <v>0</v>
      </c>
      <c r="P556" s="786">
        <v>0</v>
      </c>
      <c r="Q556" s="785">
        <v>4115</v>
      </c>
      <c r="R556" s="785"/>
      <c r="S556" s="786">
        <v>262056</v>
      </c>
      <c r="T556" s="788">
        <v>5137</v>
      </c>
      <c r="U556" s="788">
        <v>267193</v>
      </c>
    </row>
    <row r="557" spans="1:21" x14ac:dyDescent="0.25">
      <c r="A557" s="782">
        <v>96101</v>
      </c>
      <c r="B557" s="783" t="s">
        <v>3167</v>
      </c>
      <c r="C557" s="784">
        <v>7.6749999999999995E-4</v>
      </c>
      <c r="D557" s="784">
        <v>7.5860000000000001E-4</v>
      </c>
      <c r="E557" s="815">
        <v>371541</v>
      </c>
      <c r="F557" s="818">
        <v>1610003</v>
      </c>
      <c r="G557" s="785">
        <v>1172527</v>
      </c>
      <c r="H557" s="785"/>
      <c r="I557" s="786">
        <v>67548</v>
      </c>
      <c r="J557" s="787">
        <v>284691</v>
      </c>
      <c r="K557" s="786">
        <v>167453</v>
      </c>
      <c r="L557" s="785">
        <v>39221</v>
      </c>
      <c r="M557" s="785"/>
      <c r="N557" s="786">
        <v>33191</v>
      </c>
      <c r="O557" s="786">
        <v>0</v>
      </c>
      <c r="P557" s="786">
        <v>0</v>
      </c>
      <c r="Q557" s="785">
        <v>3498</v>
      </c>
      <c r="R557" s="785"/>
      <c r="S557" s="786">
        <v>395143</v>
      </c>
      <c r="T557" s="788">
        <v>17230</v>
      </c>
      <c r="U557" s="788">
        <v>412373</v>
      </c>
    </row>
    <row r="558" spans="1:21" x14ac:dyDescent="0.25">
      <c r="A558" s="782">
        <v>96102</v>
      </c>
      <c r="B558" s="783" t="s">
        <v>3168</v>
      </c>
      <c r="C558" s="784">
        <v>1.36E-5</v>
      </c>
      <c r="D558" s="784">
        <v>1.42E-5</v>
      </c>
      <c r="E558" s="815">
        <v>5078</v>
      </c>
      <c r="F558" s="818">
        <v>30137</v>
      </c>
      <c r="G558" s="785">
        <v>20777</v>
      </c>
      <c r="H558" s="785"/>
      <c r="I558" s="786">
        <v>1197</v>
      </c>
      <c r="J558" s="787">
        <v>5045</v>
      </c>
      <c r="K558" s="786">
        <v>2967</v>
      </c>
      <c r="L558" s="785">
        <v>0</v>
      </c>
      <c r="M558" s="785"/>
      <c r="N558" s="786">
        <v>588</v>
      </c>
      <c r="O558" s="786">
        <v>0</v>
      </c>
      <c r="P558" s="786">
        <v>0</v>
      </c>
      <c r="Q558" s="785">
        <v>3137</v>
      </c>
      <c r="R558" s="785"/>
      <c r="S558" s="786">
        <v>7002</v>
      </c>
      <c r="T558" s="788">
        <v>-1435</v>
      </c>
      <c r="U558" s="788">
        <v>5567</v>
      </c>
    </row>
    <row r="559" spans="1:21" x14ac:dyDescent="0.25">
      <c r="A559" s="782">
        <v>96111</v>
      </c>
      <c r="B559" s="783" t="s">
        <v>3169</v>
      </c>
      <c r="C559" s="784">
        <v>1.5349999999999999E-4</v>
      </c>
      <c r="D559" s="784">
        <v>1.6119999999999999E-4</v>
      </c>
      <c r="E559" s="815">
        <v>74819</v>
      </c>
      <c r="F559" s="818">
        <v>342120</v>
      </c>
      <c r="G559" s="785">
        <v>234505</v>
      </c>
      <c r="H559" s="785"/>
      <c r="I559" s="786">
        <v>13510</v>
      </c>
      <c r="J559" s="787">
        <v>56938</v>
      </c>
      <c r="K559" s="786">
        <v>33491</v>
      </c>
      <c r="L559" s="785">
        <v>9403</v>
      </c>
      <c r="M559" s="785"/>
      <c r="N559" s="786">
        <v>6638</v>
      </c>
      <c r="O559" s="786">
        <v>0</v>
      </c>
      <c r="P559" s="786">
        <v>0</v>
      </c>
      <c r="Q559" s="785">
        <v>1683</v>
      </c>
      <c r="R559" s="785"/>
      <c r="S559" s="786">
        <v>79029</v>
      </c>
      <c r="T559" s="788">
        <v>6754</v>
      </c>
      <c r="U559" s="788">
        <v>85783</v>
      </c>
    </row>
    <row r="560" spans="1:21" x14ac:dyDescent="0.25">
      <c r="A560" s="782">
        <v>96121</v>
      </c>
      <c r="B560" s="783" t="s">
        <v>3170</v>
      </c>
      <c r="C560" s="784">
        <v>2.2500000000000001E-5</v>
      </c>
      <c r="D560" s="784">
        <v>2.2099999999999998E-5</v>
      </c>
      <c r="E560" s="815">
        <v>9052</v>
      </c>
      <c r="F560" s="818">
        <v>46904</v>
      </c>
      <c r="G560" s="785">
        <v>34374</v>
      </c>
      <c r="H560" s="785"/>
      <c r="I560" s="786">
        <v>1980</v>
      </c>
      <c r="J560" s="787">
        <v>8346</v>
      </c>
      <c r="K560" s="786">
        <v>4909</v>
      </c>
      <c r="L560" s="785">
        <v>397</v>
      </c>
      <c r="M560" s="785"/>
      <c r="N560" s="786">
        <v>973</v>
      </c>
      <c r="O560" s="786">
        <v>0</v>
      </c>
      <c r="P560" s="786">
        <v>0</v>
      </c>
      <c r="Q560" s="785">
        <v>1764</v>
      </c>
      <c r="R560" s="785"/>
      <c r="S560" s="786">
        <v>11584</v>
      </c>
      <c r="T560" s="788">
        <v>-946</v>
      </c>
      <c r="U560" s="788">
        <v>10638</v>
      </c>
    </row>
    <row r="561" spans="1:21" x14ac:dyDescent="0.25">
      <c r="A561" s="782">
        <v>96201</v>
      </c>
      <c r="B561" s="783" t="s">
        <v>3171</v>
      </c>
      <c r="C561" s="784">
        <v>1.1788E-3</v>
      </c>
      <c r="D561" s="784">
        <v>1.2302999999999999E-3</v>
      </c>
      <c r="E561" s="815">
        <v>527645</v>
      </c>
      <c r="F561" s="818">
        <v>2611109</v>
      </c>
      <c r="G561" s="785">
        <v>1800880</v>
      </c>
      <c r="H561" s="785"/>
      <c r="I561" s="786">
        <v>103747</v>
      </c>
      <c r="J561" s="787">
        <v>437256</v>
      </c>
      <c r="K561" s="786">
        <v>257191</v>
      </c>
      <c r="L561" s="785">
        <v>0</v>
      </c>
      <c r="M561" s="785"/>
      <c r="N561" s="786">
        <v>50977</v>
      </c>
      <c r="O561" s="786">
        <v>0</v>
      </c>
      <c r="P561" s="786">
        <v>0</v>
      </c>
      <c r="Q561" s="785">
        <v>73119</v>
      </c>
      <c r="R561" s="785"/>
      <c r="S561" s="786">
        <v>606898</v>
      </c>
      <c r="T561" s="788">
        <v>-23257</v>
      </c>
      <c r="U561" s="788">
        <v>583641</v>
      </c>
    </row>
    <row r="562" spans="1:21" x14ac:dyDescent="0.25">
      <c r="A562" s="782">
        <v>96204</v>
      </c>
      <c r="B562" s="783" t="s">
        <v>3172</v>
      </c>
      <c r="C562" s="784">
        <v>1.5099999999999999E-5</v>
      </c>
      <c r="D562" s="784">
        <v>1.5400000000000002E-5</v>
      </c>
      <c r="E562" s="815">
        <v>8503</v>
      </c>
      <c r="F562" s="818">
        <v>32684</v>
      </c>
      <c r="G562" s="785">
        <v>23069</v>
      </c>
      <c r="H562" s="785"/>
      <c r="I562" s="786">
        <v>1329</v>
      </c>
      <c r="J562" s="787">
        <v>5602</v>
      </c>
      <c r="K562" s="786">
        <v>3295</v>
      </c>
      <c r="L562" s="785">
        <v>3517</v>
      </c>
      <c r="M562" s="785"/>
      <c r="N562" s="786">
        <v>653</v>
      </c>
      <c r="O562" s="786">
        <v>0</v>
      </c>
      <c r="P562" s="786">
        <v>0</v>
      </c>
      <c r="Q562" s="785">
        <v>0</v>
      </c>
      <c r="R562" s="785"/>
      <c r="S562" s="786">
        <v>7774</v>
      </c>
      <c r="T562" s="788">
        <v>1655</v>
      </c>
      <c r="U562" s="788">
        <f>9430-1</f>
        <v>9429</v>
      </c>
    </row>
    <row r="563" spans="1:21" x14ac:dyDescent="0.25">
      <c r="A563" s="782">
        <v>96211</v>
      </c>
      <c r="B563" s="783" t="s">
        <v>3173</v>
      </c>
      <c r="C563" s="784">
        <v>2.62E-5</v>
      </c>
      <c r="D563" s="784">
        <v>3.0700000000000001E-5</v>
      </c>
      <c r="E563" s="815">
        <v>16678</v>
      </c>
      <c r="F563" s="818">
        <v>65156</v>
      </c>
      <c r="G563" s="785">
        <v>40026</v>
      </c>
      <c r="H563" s="785"/>
      <c r="I563" s="786">
        <v>2306</v>
      </c>
      <c r="J563" s="787">
        <v>9718</v>
      </c>
      <c r="K563" s="786">
        <v>5716</v>
      </c>
      <c r="L563" s="785">
        <v>4494</v>
      </c>
      <c r="M563" s="785"/>
      <c r="N563" s="786">
        <v>1133</v>
      </c>
      <c r="O563" s="786">
        <v>0</v>
      </c>
      <c r="P563" s="786">
        <v>0</v>
      </c>
      <c r="Q563" s="785">
        <v>4462</v>
      </c>
      <c r="R563" s="785"/>
      <c r="S563" s="786">
        <v>13489</v>
      </c>
      <c r="T563" s="788">
        <v>-2681</v>
      </c>
      <c r="U563" s="788">
        <v>10808</v>
      </c>
    </row>
    <row r="564" spans="1:21" x14ac:dyDescent="0.25">
      <c r="A564" s="782">
        <v>96221</v>
      </c>
      <c r="B564" s="783" t="s">
        <v>3174</v>
      </c>
      <c r="C564" s="784">
        <v>2.3350000000000001E-4</v>
      </c>
      <c r="D564" s="784">
        <v>2.287E-4</v>
      </c>
      <c r="E564" s="815">
        <v>98415</v>
      </c>
      <c r="F564" s="818">
        <v>485378</v>
      </c>
      <c r="G564" s="785">
        <v>356723</v>
      </c>
      <c r="H564" s="785"/>
      <c r="I564" s="786">
        <v>20551</v>
      </c>
      <c r="J564" s="787">
        <v>86613</v>
      </c>
      <c r="K564" s="786">
        <v>50945</v>
      </c>
      <c r="L564" s="785">
        <v>2439</v>
      </c>
      <c r="M564" s="785"/>
      <c r="N564" s="786">
        <v>10098</v>
      </c>
      <c r="O564" s="786">
        <v>0</v>
      </c>
      <c r="P564" s="786">
        <v>0</v>
      </c>
      <c r="Q564" s="785">
        <v>15042</v>
      </c>
      <c r="R564" s="785"/>
      <c r="S564" s="786">
        <v>120216</v>
      </c>
      <c r="T564" s="788">
        <v>-3357</v>
      </c>
      <c r="U564" s="788">
        <f>116860-1</f>
        <v>116859</v>
      </c>
    </row>
    <row r="565" spans="1:21" x14ac:dyDescent="0.25">
      <c r="A565" s="782">
        <v>96231</v>
      </c>
      <c r="B565" s="783" t="s">
        <v>3175</v>
      </c>
      <c r="C565" s="784">
        <v>1.3339999999999999E-4</v>
      </c>
      <c r="D565" s="784">
        <v>1.145E-4</v>
      </c>
      <c r="E565" s="815">
        <v>48595</v>
      </c>
      <c r="F565" s="818">
        <v>243007</v>
      </c>
      <c r="G565" s="785">
        <v>203798</v>
      </c>
      <c r="H565" s="785"/>
      <c r="I565" s="786">
        <v>11741</v>
      </c>
      <c r="J565" s="787">
        <v>49482</v>
      </c>
      <c r="K565" s="786">
        <v>29105</v>
      </c>
      <c r="L565" s="785">
        <v>2554</v>
      </c>
      <c r="M565" s="785"/>
      <c r="N565" s="786">
        <v>5769</v>
      </c>
      <c r="O565" s="786">
        <v>0</v>
      </c>
      <c r="P565" s="786">
        <v>0</v>
      </c>
      <c r="Q565" s="785">
        <v>14959</v>
      </c>
      <c r="R565" s="785"/>
      <c r="S565" s="786">
        <v>68680</v>
      </c>
      <c r="T565" s="788">
        <v>-7094</v>
      </c>
      <c r="U565" s="788">
        <v>61586</v>
      </c>
    </row>
    <row r="566" spans="1:21" x14ac:dyDescent="0.25">
      <c r="A566" s="782">
        <v>96241</v>
      </c>
      <c r="B566" s="783" t="s">
        <v>3176</v>
      </c>
      <c r="C566" s="784">
        <v>4.4700000000000002E-5</v>
      </c>
      <c r="D566" s="784">
        <v>4.6100000000000002E-5</v>
      </c>
      <c r="E566" s="815">
        <v>22791</v>
      </c>
      <c r="F566" s="818">
        <v>97840</v>
      </c>
      <c r="G566" s="785">
        <v>68289</v>
      </c>
      <c r="H566" s="785"/>
      <c r="I566" s="786">
        <v>3934</v>
      </c>
      <c r="J566" s="787">
        <v>16580</v>
      </c>
      <c r="K566" s="786">
        <v>9753</v>
      </c>
      <c r="L566" s="785">
        <v>5027</v>
      </c>
      <c r="M566" s="785"/>
      <c r="N566" s="786">
        <v>1933</v>
      </c>
      <c r="O566" s="786">
        <v>0</v>
      </c>
      <c r="P566" s="786">
        <v>0</v>
      </c>
      <c r="Q566" s="785">
        <v>4371</v>
      </c>
      <c r="R566" s="785"/>
      <c r="S566" s="786">
        <v>23014</v>
      </c>
      <c r="T566" s="788">
        <v>2407</v>
      </c>
      <c r="U566" s="788">
        <f>25420+1</f>
        <v>25421</v>
      </c>
    </row>
    <row r="567" spans="1:21" x14ac:dyDescent="0.25">
      <c r="A567" s="782">
        <v>96251</v>
      </c>
      <c r="B567" s="783" t="s">
        <v>3177</v>
      </c>
      <c r="C567" s="784">
        <v>9.3999999999999994E-5</v>
      </c>
      <c r="D567" s="784">
        <v>7.7100000000000004E-5</v>
      </c>
      <c r="E567" s="815">
        <v>36737</v>
      </c>
      <c r="F567" s="818">
        <v>163632</v>
      </c>
      <c r="G567" s="785">
        <v>143606</v>
      </c>
      <c r="H567" s="785"/>
      <c r="I567" s="786">
        <v>8273</v>
      </c>
      <c r="J567" s="787">
        <v>34868</v>
      </c>
      <c r="K567" s="786">
        <v>20509</v>
      </c>
      <c r="L567" s="785">
        <v>6198</v>
      </c>
      <c r="M567" s="785"/>
      <c r="N567" s="786">
        <v>4065</v>
      </c>
      <c r="O567" s="786">
        <v>0</v>
      </c>
      <c r="P567" s="786">
        <v>0</v>
      </c>
      <c r="Q567" s="785">
        <v>16886</v>
      </c>
      <c r="R567" s="785"/>
      <c r="S567" s="786">
        <v>48395</v>
      </c>
      <c r="T567" s="788">
        <v>-7102</v>
      </c>
      <c r="U567" s="788">
        <v>41293</v>
      </c>
    </row>
    <row r="568" spans="1:21" x14ac:dyDescent="0.25">
      <c r="A568" s="782">
        <v>96301</v>
      </c>
      <c r="B568" s="783" t="s">
        <v>3178</v>
      </c>
      <c r="C568" s="784">
        <v>4.3712999999999998E-3</v>
      </c>
      <c r="D568" s="784">
        <v>4.3785999999999999E-3</v>
      </c>
      <c r="E568" s="815">
        <v>1938350</v>
      </c>
      <c r="F568" s="818">
        <v>9292856</v>
      </c>
      <c r="G568" s="785">
        <v>6678136</v>
      </c>
      <c r="H568" s="785"/>
      <c r="I568" s="786">
        <v>384722</v>
      </c>
      <c r="J568" s="787">
        <v>1621460</v>
      </c>
      <c r="K568" s="786">
        <v>953730</v>
      </c>
      <c r="L568" s="785">
        <v>60786</v>
      </c>
      <c r="M568" s="785"/>
      <c r="N568" s="786">
        <v>189037</v>
      </c>
      <c r="O568" s="786">
        <v>0</v>
      </c>
      <c r="P568" s="786">
        <v>0</v>
      </c>
      <c r="Q568" s="785">
        <v>160488</v>
      </c>
      <c r="R568" s="785"/>
      <c r="S568" s="786">
        <v>2250538</v>
      </c>
      <c r="T568" s="788">
        <v>-27776</v>
      </c>
      <c r="U568" s="788">
        <v>2222762</v>
      </c>
    </row>
    <row r="569" spans="1:21" x14ac:dyDescent="0.25">
      <c r="A569" s="782">
        <v>96302</v>
      </c>
      <c r="B569" s="783" t="s">
        <v>3179</v>
      </c>
      <c r="C569" s="784">
        <v>2.5199999999999999E-5</v>
      </c>
      <c r="D569" s="784">
        <v>1.9199999999999999E-5</v>
      </c>
      <c r="E569" s="815">
        <v>12121</v>
      </c>
      <c r="F569" s="818">
        <v>40749</v>
      </c>
      <c r="G569" s="785">
        <v>38499</v>
      </c>
      <c r="H569" s="785"/>
      <c r="I569" s="786">
        <v>2218</v>
      </c>
      <c r="J569" s="787">
        <v>9347</v>
      </c>
      <c r="K569" s="786">
        <v>5498</v>
      </c>
      <c r="L569" s="785">
        <v>7399</v>
      </c>
      <c r="M569" s="785"/>
      <c r="N569" s="786">
        <v>1090</v>
      </c>
      <c r="O569" s="786">
        <v>0</v>
      </c>
      <c r="P569" s="786">
        <v>0</v>
      </c>
      <c r="Q569" s="785">
        <v>0</v>
      </c>
      <c r="R569" s="785"/>
      <c r="S569" s="786">
        <v>12974</v>
      </c>
      <c r="T569" s="788">
        <v>2631</v>
      </c>
      <c r="U569" s="788">
        <v>15605</v>
      </c>
    </row>
    <row r="570" spans="1:21" x14ac:dyDescent="0.25">
      <c r="A570" s="782">
        <v>96304</v>
      </c>
      <c r="B570" s="783" t="s">
        <v>3180</v>
      </c>
      <c r="C570" s="784">
        <v>4.5500000000000001E-5</v>
      </c>
      <c r="D570" s="784">
        <v>5.4599999999999999E-5</v>
      </c>
      <c r="E570" s="815">
        <v>27294</v>
      </c>
      <c r="F570" s="818">
        <v>115879</v>
      </c>
      <c r="G570" s="785">
        <v>69511</v>
      </c>
      <c r="H570" s="785"/>
      <c r="I570" s="786">
        <v>4005</v>
      </c>
      <c r="J570" s="787">
        <v>16877</v>
      </c>
      <c r="K570" s="786">
        <v>9927</v>
      </c>
      <c r="L570" s="785">
        <v>5469</v>
      </c>
      <c r="M570" s="785"/>
      <c r="N570" s="786">
        <v>1968</v>
      </c>
      <c r="O570" s="786">
        <v>0</v>
      </c>
      <c r="P570" s="786">
        <v>0</v>
      </c>
      <c r="Q570" s="785">
        <v>1092</v>
      </c>
      <c r="R570" s="785"/>
      <c r="S570" s="786">
        <v>23425</v>
      </c>
      <c r="T570" s="788">
        <v>2085</v>
      </c>
      <c r="U570" s="788">
        <v>25510</v>
      </c>
    </row>
    <row r="571" spans="1:21" x14ac:dyDescent="0.25">
      <c r="A571" s="782">
        <v>96305</v>
      </c>
      <c r="B571" s="783" t="s">
        <v>3181</v>
      </c>
      <c r="C571" s="784">
        <v>4.5500000000000001E-5</v>
      </c>
      <c r="D571" s="784">
        <v>4.8199999999999999E-5</v>
      </c>
      <c r="E571" s="815">
        <v>30520</v>
      </c>
      <c r="F571" s="818">
        <v>102297</v>
      </c>
      <c r="G571" s="785">
        <v>69511</v>
      </c>
      <c r="H571" s="785"/>
      <c r="I571" s="786">
        <v>4005</v>
      </c>
      <c r="J571" s="787">
        <v>16877</v>
      </c>
      <c r="K571" s="786">
        <v>9927</v>
      </c>
      <c r="L571" s="785">
        <v>13328</v>
      </c>
      <c r="M571" s="785"/>
      <c r="N571" s="786">
        <v>1968</v>
      </c>
      <c r="O571" s="786">
        <v>0</v>
      </c>
      <c r="P571" s="786">
        <v>0</v>
      </c>
      <c r="Q571" s="785">
        <v>0</v>
      </c>
      <c r="R571" s="785"/>
      <c r="S571" s="786">
        <v>23425</v>
      </c>
      <c r="T571" s="788">
        <v>4752</v>
      </c>
      <c r="U571" s="788">
        <v>28177</v>
      </c>
    </row>
    <row r="572" spans="1:21" x14ac:dyDescent="0.25">
      <c r="A572" s="782">
        <v>96310</v>
      </c>
      <c r="B572" s="783" t="s">
        <v>3182</v>
      </c>
      <c r="C572" s="784">
        <v>6.1099999999999994E-5</v>
      </c>
      <c r="D572" s="784">
        <v>4.88E-5</v>
      </c>
      <c r="E572" s="815">
        <v>26767</v>
      </c>
      <c r="F572" s="818">
        <v>103570</v>
      </c>
      <c r="G572" s="785">
        <v>93344</v>
      </c>
      <c r="H572" s="785"/>
      <c r="I572" s="786">
        <v>5377</v>
      </c>
      <c r="J572" s="787">
        <v>22664</v>
      </c>
      <c r="K572" s="786">
        <v>13331</v>
      </c>
      <c r="L572" s="785">
        <v>10507</v>
      </c>
      <c r="M572" s="785"/>
      <c r="N572" s="786">
        <v>2642</v>
      </c>
      <c r="O572" s="786">
        <v>0</v>
      </c>
      <c r="P572" s="786">
        <v>0</v>
      </c>
      <c r="Q572" s="785">
        <v>3055</v>
      </c>
      <c r="R572" s="785"/>
      <c r="S572" s="786">
        <v>31457</v>
      </c>
      <c r="T572" s="788">
        <v>3506</v>
      </c>
      <c r="U572" s="788">
        <v>34963</v>
      </c>
    </row>
    <row r="573" spans="1:21" x14ac:dyDescent="0.25">
      <c r="A573" s="782">
        <v>96311</v>
      </c>
      <c r="B573" s="783" t="s">
        <v>3183</v>
      </c>
      <c r="C573" s="784">
        <v>1.3113000000000001E-3</v>
      </c>
      <c r="D573" s="784">
        <v>1.4082999999999999E-3</v>
      </c>
      <c r="E573" s="815">
        <v>595124</v>
      </c>
      <c r="F573" s="818">
        <v>2988884</v>
      </c>
      <c r="G573" s="785">
        <v>2003303</v>
      </c>
      <c r="H573" s="785"/>
      <c r="I573" s="786">
        <v>115409</v>
      </c>
      <c r="J573" s="787">
        <v>486404</v>
      </c>
      <c r="K573" s="786">
        <v>286099</v>
      </c>
      <c r="L573" s="785">
        <v>11041</v>
      </c>
      <c r="M573" s="785"/>
      <c r="N573" s="786">
        <v>56707</v>
      </c>
      <c r="O573" s="786">
        <v>0</v>
      </c>
      <c r="P573" s="786">
        <v>0</v>
      </c>
      <c r="Q573" s="785">
        <v>139297</v>
      </c>
      <c r="R573" s="785"/>
      <c r="S573" s="786">
        <v>675115</v>
      </c>
      <c r="T573" s="788">
        <v>-33999</v>
      </c>
      <c r="U573" s="788">
        <v>641116</v>
      </c>
    </row>
    <row r="574" spans="1:21" x14ac:dyDescent="0.25">
      <c r="A574" s="782">
        <v>96312</v>
      </c>
      <c r="B574" s="783" t="s">
        <v>3184</v>
      </c>
      <c r="C574" s="784">
        <v>1.5999999999999999E-5</v>
      </c>
      <c r="D574" s="784">
        <v>1.5999999999999999E-6</v>
      </c>
      <c r="E574" s="815">
        <v>4820</v>
      </c>
      <c r="F574" s="818">
        <v>3396</v>
      </c>
      <c r="G574" s="785">
        <v>24444</v>
      </c>
      <c r="H574" s="785"/>
      <c r="I574" s="786">
        <v>1408</v>
      </c>
      <c r="J574" s="787">
        <v>5935</v>
      </c>
      <c r="K574" s="786">
        <v>3491</v>
      </c>
      <c r="L574" s="785">
        <v>7668</v>
      </c>
      <c r="M574" s="785"/>
      <c r="N574" s="786">
        <v>692</v>
      </c>
      <c r="O574" s="786">
        <v>0</v>
      </c>
      <c r="P574" s="786">
        <v>0</v>
      </c>
      <c r="Q574" s="785">
        <v>1864</v>
      </c>
      <c r="R574" s="785"/>
      <c r="S574" s="786">
        <v>8238</v>
      </c>
      <c r="T574" s="788">
        <v>374</v>
      </c>
      <c r="U574" s="788">
        <v>8612</v>
      </c>
    </row>
    <row r="575" spans="1:21" x14ac:dyDescent="0.25">
      <c r="A575" s="782">
        <v>96318</v>
      </c>
      <c r="B575" s="783" t="s">
        <v>3185</v>
      </c>
      <c r="C575" s="784">
        <v>2.1684999999999999E-3</v>
      </c>
      <c r="D575" s="784">
        <v>1.7782E-3</v>
      </c>
      <c r="E575" s="815">
        <v>1061238</v>
      </c>
      <c r="F575" s="818">
        <v>3773936</v>
      </c>
      <c r="G575" s="785">
        <v>3312867</v>
      </c>
      <c r="H575" s="785"/>
      <c r="I575" s="786">
        <v>190852</v>
      </c>
      <c r="J575" s="787">
        <v>804368</v>
      </c>
      <c r="K575" s="786">
        <v>473123</v>
      </c>
      <c r="L575" s="785">
        <v>7711758</v>
      </c>
      <c r="M575" s="785"/>
      <c r="N575" s="786">
        <v>93777</v>
      </c>
      <c r="O575" s="786">
        <v>0</v>
      </c>
      <c r="P575" s="786">
        <v>0</v>
      </c>
      <c r="Q575" s="785">
        <v>0</v>
      </c>
      <c r="R575" s="785"/>
      <c r="S575" s="786">
        <v>1116439</v>
      </c>
      <c r="T575" s="788">
        <v>2665103</v>
      </c>
      <c r="U575" s="788">
        <v>3781542</v>
      </c>
    </row>
    <row r="576" spans="1:21" x14ac:dyDescent="0.25">
      <c r="A576" s="782">
        <v>96321</v>
      </c>
      <c r="B576" s="783" t="s">
        <v>3186</v>
      </c>
      <c r="C576" s="784">
        <v>3.6900000000000002E-5</v>
      </c>
      <c r="D576" s="784">
        <v>3.7400000000000001E-5</v>
      </c>
      <c r="E576" s="815">
        <v>18737</v>
      </c>
      <c r="F576" s="818">
        <v>79375</v>
      </c>
      <c r="G576" s="785">
        <v>56373</v>
      </c>
      <c r="H576" s="785"/>
      <c r="I576" s="786">
        <v>3248</v>
      </c>
      <c r="J576" s="787">
        <v>13687</v>
      </c>
      <c r="K576" s="786">
        <v>8051</v>
      </c>
      <c r="L576" s="785">
        <v>1642</v>
      </c>
      <c r="M576" s="785"/>
      <c r="N576" s="786">
        <v>1596</v>
      </c>
      <c r="O576" s="786">
        <v>0</v>
      </c>
      <c r="P576" s="786">
        <v>0</v>
      </c>
      <c r="Q576" s="785">
        <v>2449</v>
      </c>
      <c r="R576" s="785"/>
      <c r="S576" s="786">
        <v>18998</v>
      </c>
      <c r="T576" s="788">
        <v>-489</v>
      </c>
      <c r="U576" s="788">
        <v>18509</v>
      </c>
    </row>
    <row r="577" spans="1:21" x14ac:dyDescent="0.25">
      <c r="A577" s="782">
        <v>96331</v>
      </c>
      <c r="B577" s="783" t="s">
        <v>3187</v>
      </c>
      <c r="C577" s="784">
        <v>7.0850000000000004E-4</v>
      </c>
      <c r="D577" s="784">
        <v>7.1699999999999997E-4</v>
      </c>
      <c r="E577" s="815">
        <v>321182</v>
      </c>
      <c r="F577" s="818">
        <v>1521714</v>
      </c>
      <c r="G577" s="785">
        <v>1082392</v>
      </c>
      <c r="H577" s="785"/>
      <c r="I577" s="786">
        <v>62356</v>
      </c>
      <c r="J577" s="787">
        <v>262806</v>
      </c>
      <c r="K577" s="786">
        <v>154581</v>
      </c>
      <c r="L577" s="785">
        <v>3107</v>
      </c>
      <c r="M577" s="785"/>
      <c r="N577" s="786">
        <v>30639</v>
      </c>
      <c r="O577" s="786">
        <v>0</v>
      </c>
      <c r="P577" s="786">
        <v>0</v>
      </c>
      <c r="Q577" s="785">
        <v>53524</v>
      </c>
      <c r="R577" s="785"/>
      <c r="S577" s="786">
        <v>364767</v>
      </c>
      <c r="T577" s="788">
        <v>-22322</v>
      </c>
      <c r="U577" s="788">
        <v>342445</v>
      </c>
    </row>
    <row r="578" spans="1:21" x14ac:dyDescent="0.25">
      <c r="A578" s="782">
        <v>96341</v>
      </c>
      <c r="B578" s="783" t="s">
        <v>3188</v>
      </c>
      <c r="C578" s="784">
        <v>8.3800000000000004E-5</v>
      </c>
      <c r="D578" s="784">
        <v>9.1600000000000004E-5</v>
      </c>
      <c r="E578" s="815">
        <v>35036</v>
      </c>
      <c r="F578" s="818">
        <v>194406</v>
      </c>
      <c r="G578" s="785">
        <v>128023</v>
      </c>
      <c r="H578" s="785"/>
      <c r="I578" s="786">
        <v>7375</v>
      </c>
      <c r="J578" s="787">
        <v>31084</v>
      </c>
      <c r="K578" s="786">
        <v>18283</v>
      </c>
      <c r="L578" s="785">
        <v>8694</v>
      </c>
      <c r="M578" s="785"/>
      <c r="N578" s="786">
        <v>3624</v>
      </c>
      <c r="O578" s="786">
        <v>0</v>
      </c>
      <c r="P578" s="786">
        <v>0</v>
      </c>
      <c r="Q578" s="785">
        <v>13544</v>
      </c>
      <c r="R578" s="785"/>
      <c r="S578" s="786">
        <v>43144</v>
      </c>
      <c r="T578" s="788">
        <v>-3090</v>
      </c>
      <c r="U578" s="788">
        <v>40054</v>
      </c>
    </row>
    <row r="579" spans="1:21" x14ac:dyDescent="0.25">
      <c r="A579" s="782">
        <v>96351</v>
      </c>
      <c r="B579" s="783" t="s">
        <v>3189</v>
      </c>
      <c r="C579" s="784">
        <v>1.0616E-3</v>
      </c>
      <c r="D579" s="784">
        <v>1.0736000000000001E-3</v>
      </c>
      <c r="E579" s="815">
        <v>488441</v>
      </c>
      <c r="F579" s="818">
        <v>2278539</v>
      </c>
      <c r="G579" s="785">
        <v>1621831</v>
      </c>
      <c r="H579" s="785"/>
      <c r="I579" s="786">
        <v>93432</v>
      </c>
      <c r="J579" s="787">
        <v>393782</v>
      </c>
      <c r="K579" s="786">
        <v>231620</v>
      </c>
      <c r="L579" s="785">
        <v>5421</v>
      </c>
      <c r="M579" s="785"/>
      <c r="N579" s="786">
        <v>45909</v>
      </c>
      <c r="O579" s="786">
        <v>0</v>
      </c>
      <c r="P579" s="786">
        <v>0</v>
      </c>
      <c r="Q579" s="785">
        <v>28542</v>
      </c>
      <c r="R579" s="785"/>
      <c r="S579" s="786">
        <v>546558</v>
      </c>
      <c r="T579" s="788">
        <v>-5218</v>
      </c>
      <c r="U579" s="788">
        <v>541340</v>
      </c>
    </row>
    <row r="580" spans="1:21" x14ac:dyDescent="0.25">
      <c r="A580" s="782">
        <v>96361</v>
      </c>
      <c r="B580" s="783" t="s">
        <v>3190</v>
      </c>
      <c r="C580" s="784">
        <v>5.5699999999999999E-5</v>
      </c>
      <c r="D580" s="784">
        <v>5.8900000000000002E-5</v>
      </c>
      <c r="E580" s="815">
        <v>24289</v>
      </c>
      <c r="F580" s="818">
        <v>125006</v>
      </c>
      <c r="G580" s="785">
        <v>85094</v>
      </c>
      <c r="H580" s="785"/>
      <c r="I580" s="786">
        <v>4902</v>
      </c>
      <c r="J580" s="787">
        <v>20661</v>
      </c>
      <c r="K580" s="786">
        <v>12153</v>
      </c>
      <c r="L580" s="785">
        <v>3403</v>
      </c>
      <c r="M580" s="785"/>
      <c r="N580" s="786">
        <v>2409</v>
      </c>
      <c r="O580" s="786">
        <v>0</v>
      </c>
      <c r="P580" s="786">
        <v>0</v>
      </c>
      <c r="Q580" s="785">
        <v>3423</v>
      </c>
      <c r="R580" s="785"/>
      <c r="S580" s="786">
        <v>28677</v>
      </c>
      <c r="T580" s="788">
        <v>936</v>
      </c>
      <c r="U580" s="788">
        <f>29612+1</f>
        <v>29613</v>
      </c>
    </row>
    <row r="581" spans="1:21" x14ac:dyDescent="0.25">
      <c r="A581" s="782">
        <v>96371</v>
      </c>
      <c r="B581" s="783" t="s">
        <v>3191</v>
      </c>
      <c r="C581" s="784">
        <v>1.5249999999999999E-4</v>
      </c>
      <c r="D581" s="784">
        <v>1.6359999999999999E-4</v>
      </c>
      <c r="E581" s="815">
        <v>67276</v>
      </c>
      <c r="F581" s="818">
        <v>347214</v>
      </c>
      <c r="G581" s="785">
        <v>232978</v>
      </c>
      <c r="H581" s="785"/>
      <c r="I581" s="786">
        <v>13422</v>
      </c>
      <c r="J581" s="787">
        <v>56568</v>
      </c>
      <c r="K581" s="786">
        <v>33272</v>
      </c>
      <c r="L581" s="785">
        <v>1335</v>
      </c>
      <c r="M581" s="785"/>
      <c r="N581" s="786">
        <v>6595</v>
      </c>
      <c r="O581" s="786">
        <v>0</v>
      </c>
      <c r="P581" s="786">
        <v>0</v>
      </c>
      <c r="Q581" s="785">
        <v>14966</v>
      </c>
      <c r="R581" s="785"/>
      <c r="S581" s="786">
        <v>78514</v>
      </c>
      <c r="T581" s="788">
        <v>-3158</v>
      </c>
      <c r="U581" s="788">
        <v>75356</v>
      </c>
    </row>
    <row r="582" spans="1:21" x14ac:dyDescent="0.25">
      <c r="A582" s="782">
        <v>96381</v>
      </c>
      <c r="B582" s="783" t="s">
        <v>3192</v>
      </c>
      <c r="C582" s="784">
        <v>3.2100000000000001E-5</v>
      </c>
      <c r="D582" s="784">
        <v>3.26E-5</v>
      </c>
      <c r="E582" s="815">
        <v>15357</v>
      </c>
      <c r="F582" s="818">
        <v>69188</v>
      </c>
      <c r="G582" s="785">
        <v>49040</v>
      </c>
      <c r="H582" s="785"/>
      <c r="I582" s="786">
        <v>2825</v>
      </c>
      <c r="J582" s="787">
        <v>11907</v>
      </c>
      <c r="K582" s="786">
        <v>7004</v>
      </c>
      <c r="L582" s="785">
        <v>235</v>
      </c>
      <c r="M582" s="785"/>
      <c r="N582" s="786">
        <v>1388</v>
      </c>
      <c r="O582" s="786">
        <v>0</v>
      </c>
      <c r="P582" s="786">
        <v>0</v>
      </c>
      <c r="Q582" s="785">
        <v>1858</v>
      </c>
      <c r="R582" s="785"/>
      <c r="S582" s="786">
        <v>16526</v>
      </c>
      <c r="T582" s="788">
        <v>-1164</v>
      </c>
      <c r="U582" s="788">
        <v>15362</v>
      </c>
    </row>
    <row r="583" spans="1:21" x14ac:dyDescent="0.25">
      <c r="A583" s="782">
        <v>96391</v>
      </c>
      <c r="B583" s="783" t="s">
        <v>3193</v>
      </c>
      <c r="C583" s="784">
        <v>2.029E-4</v>
      </c>
      <c r="D583" s="784">
        <v>1.807E-4</v>
      </c>
      <c r="E583" s="815">
        <v>74519</v>
      </c>
      <c r="F583" s="818">
        <v>383506</v>
      </c>
      <c r="G583" s="785">
        <v>309975</v>
      </c>
      <c r="H583" s="785"/>
      <c r="I583" s="786">
        <v>17857</v>
      </c>
      <c r="J583" s="787">
        <v>75263</v>
      </c>
      <c r="K583" s="786">
        <v>44269</v>
      </c>
      <c r="L583" s="785">
        <v>9831</v>
      </c>
      <c r="M583" s="785"/>
      <c r="N583" s="786">
        <v>8774</v>
      </c>
      <c r="O583" s="786">
        <v>0</v>
      </c>
      <c r="P583" s="786">
        <v>0</v>
      </c>
      <c r="Q583" s="785">
        <v>18208</v>
      </c>
      <c r="R583" s="785"/>
      <c r="S583" s="786">
        <v>104462</v>
      </c>
      <c r="T583" s="788">
        <v>2008</v>
      </c>
      <c r="U583" s="788">
        <v>106470</v>
      </c>
    </row>
    <row r="584" spans="1:21" x14ac:dyDescent="0.25">
      <c r="A584" s="782">
        <v>96401</v>
      </c>
      <c r="B584" s="783" t="s">
        <v>3194</v>
      </c>
      <c r="C584" s="784">
        <v>4.5672000000000004E-3</v>
      </c>
      <c r="D584" s="784">
        <v>4.5900000000000003E-3</v>
      </c>
      <c r="E584" s="815">
        <v>2040109</v>
      </c>
      <c r="F584" s="818">
        <v>9741518</v>
      </c>
      <c r="G584" s="785">
        <v>6977416</v>
      </c>
      <c r="H584" s="785"/>
      <c r="I584" s="786">
        <v>401964</v>
      </c>
      <c r="J584" s="787">
        <v>1694125</v>
      </c>
      <c r="K584" s="786">
        <v>996472</v>
      </c>
      <c r="L584" s="785">
        <v>15869</v>
      </c>
      <c r="M584" s="785"/>
      <c r="N584" s="786">
        <v>197509</v>
      </c>
      <c r="O584" s="786">
        <v>0</v>
      </c>
      <c r="P584" s="786">
        <v>0</v>
      </c>
      <c r="Q584" s="785">
        <v>86285</v>
      </c>
      <c r="R584" s="785"/>
      <c r="S584" s="786">
        <v>2351396</v>
      </c>
      <c r="T584" s="788">
        <v>-10848</v>
      </c>
      <c r="U584" s="788">
        <v>2340548</v>
      </c>
    </row>
    <row r="585" spans="1:21" x14ac:dyDescent="0.25">
      <c r="A585" s="782">
        <v>96404</v>
      </c>
      <c r="B585" s="783" t="s">
        <v>3195</v>
      </c>
      <c r="C585" s="784">
        <v>1.026E-4</v>
      </c>
      <c r="D585" s="784">
        <v>9.8800000000000003E-5</v>
      </c>
      <c r="E585" s="815">
        <v>57855</v>
      </c>
      <c r="F585" s="818">
        <v>209687</v>
      </c>
      <c r="G585" s="785">
        <v>156744</v>
      </c>
      <c r="H585" s="785"/>
      <c r="I585" s="786">
        <v>9030</v>
      </c>
      <c r="J585" s="787">
        <v>38058</v>
      </c>
      <c r="K585" s="786">
        <v>22385</v>
      </c>
      <c r="L585" s="785">
        <v>26983</v>
      </c>
      <c r="M585" s="785"/>
      <c r="N585" s="786">
        <v>4437</v>
      </c>
      <c r="O585" s="786">
        <v>0</v>
      </c>
      <c r="P585" s="786">
        <v>0</v>
      </c>
      <c r="Q585" s="785">
        <v>0</v>
      </c>
      <c r="R585" s="785"/>
      <c r="S585" s="786">
        <v>52823</v>
      </c>
      <c r="T585" s="788">
        <v>10540</v>
      </c>
      <c r="U585" s="788">
        <v>63363</v>
      </c>
    </row>
    <row r="586" spans="1:21" x14ac:dyDescent="0.25">
      <c r="A586" s="782">
        <v>96405</v>
      </c>
      <c r="B586" s="783" t="s">
        <v>3196</v>
      </c>
      <c r="C586" s="784">
        <v>1.6139999999999999E-4</v>
      </c>
      <c r="D586" s="784">
        <v>1.7760000000000001E-4</v>
      </c>
      <c r="E586" s="815">
        <v>86618</v>
      </c>
      <c r="F586" s="818">
        <v>376927</v>
      </c>
      <c r="G586" s="785">
        <v>246574</v>
      </c>
      <c r="H586" s="785"/>
      <c r="I586" s="786">
        <v>14205</v>
      </c>
      <c r="J586" s="787">
        <v>59869</v>
      </c>
      <c r="K586" s="786">
        <v>35214</v>
      </c>
      <c r="L586" s="785">
        <v>10221</v>
      </c>
      <c r="M586" s="785"/>
      <c r="N586" s="786">
        <v>6980</v>
      </c>
      <c r="O586" s="786">
        <v>0</v>
      </c>
      <c r="P586" s="786">
        <v>0</v>
      </c>
      <c r="Q586" s="785">
        <v>2204</v>
      </c>
      <c r="R586" s="785"/>
      <c r="S586" s="786">
        <v>83096</v>
      </c>
      <c r="T586" s="788">
        <v>4354</v>
      </c>
      <c r="U586" s="788">
        <v>87450</v>
      </c>
    </row>
    <row r="587" spans="1:21" x14ac:dyDescent="0.25">
      <c r="A587" s="782">
        <v>96411</v>
      </c>
      <c r="B587" s="783" t="s">
        <v>3197</v>
      </c>
      <c r="C587" s="784">
        <v>7.2299999999999996E-5</v>
      </c>
      <c r="D587" s="784">
        <v>5.66E-5</v>
      </c>
      <c r="E587" s="815">
        <v>28784</v>
      </c>
      <c r="F587" s="818">
        <v>120124</v>
      </c>
      <c r="G587" s="785">
        <v>110454</v>
      </c>
      <c r="H587" s="785"/>
      <c r="I587" s="786">
        <v>6363</v>
      </c>
      <c r="J587" s="787">
        <v>26818</v>
      </c>
      <c r="K587" s="786">
        <v>15774</v>
      </c>
      <c r="L587" s="785">
        <v>12280</v>
      </c>
      <c r="M587" s="785"/>
      <c r="N587" s="786">
        <v>3127</v>
      </c>
      <c r="O587" s="786">
        <v>0</v>
      </c>
      <c r="P587" s="786">
        <v>0</v>
      </c>
      <c r="Q587" s="785">
        <v>4004</v>
      </c>
      <c r="R587" s="785"/>
      <c r="S587" s="786">
        <v>37223</v>
      </c>
      <c r="T587" s="788">
        <v>2528</v>
      </c>
      <c r="U587" s="788">
        <v>39751</v>
      </c>
    </row>
    <row r="588" spans="1:21" x14ac:dyDescent="0.25">
      <c r="A588" s="782">
        <v>96421</v>
      </c>
      <c r="B588" s="783" t="s">
        <v>3198</v>
      </c>
      <c r="C588" s="784">
        <v>4.2529999999999998E-4</v>
      </c>
      <c r="D588" s="784">
        <v>4.2860000000000001E-4</v>
      </c>
      <c r="E588" s="815">
        <v>170404</v>
      </c>
      <c r="F588" s="818">
        <v>909633</v>
      </c>
      <c r="G588" s="785">
        <v>649741</v>
      </c>
      <c r="H588" s="785"/>
      <c r="I588" s="786">
        <v>37431</v>
      </c>
      <c r="J588" s="787">
        <v>157758</v>
      </c>
      <c r="K588" s="786">
        <v>92792</v>
      </c>
      <c r="L588" s="785">
        <v>0</v>
      </c>
      <c r="M588" s="785"/>
      <c r="N588" s="786">
        <v>18392</v>
      </c>
      <c r="O588" s="786">
        <v>0</v>
      </c>
      <c r="P588" s="786">
        <v>0</v>
      </c>
      <c r="Q588" s="785">
        <v>78762</v>
      </c>
      <c r="R588" s="785"/>
      <c r="S588" s="786">
        <v>218963</v>
      </c>
      <c r="T588" s="788">
        <v>-35149</v>
      </c>
      <c r="U588" s="788">
        <v>183814</v>
      </c>
    </row>
    <row r="589" spans="1:21" x14ac:dyDescent="0.25">
      <c r="A589" s="782">
        <v>96431</v>
      </c>
      <c r="B589" s="783" t="s">
        <v>3199</v>
      </c>
      <c r="C589" s="784">
        <v>4.2799999999999997E-5</v>
      </c>
      <c r="D589" s="784">
        <v>5.6100000000000002E-5</v>
      </c>
      <c r="E589" s="815">
        <v>21290</v>
      </c>
      <c r="F589" s="818">
        <v>119063</v>
      </c>
      <c r="G589" s="785">
        <v>65387</v>
      </c>
      <c r="H589" s="785"/>
      <c r="I589" s="786">
        <v>3767</v>
      </c>
      <c r="J589" s="787">
        <v>15876</v>
      </c>
      <c r="K589" s="786">
        <v>9338</v>
      </c>
      <c r="L589" s="785">
        <v>6277</v>
      </c>
      <c r="M589" s="785"/>
      <c r="N589" s="786">
        <v>1851</v>
      </c>
      <c r="O589" s="786">
        <v>0</v>
      </c>
      <c r="P589" s="786">
        <v>0</v>
      </c>
      <c r="Q589" s="785">
        <v>10135</v>
      </c>
      <c r="R589" s="785"/>
      <c r="S589" s="786">
        <v>22035</v>
      </c>
      <c r="T589" s="788">
        <v>-1596</v>
      </c>
      <c r="U589" s="788">
        <v>20439</v>
      </c>
    </row>
    <row r="590" spans="1:21" x14ac:dyDescent="0.25">
      <c r="A590" s="782">
        <v>96441</v>
      </c>
      <c r="B590" s="783" t="s">
        <v>3200</v>
      </c>
      <c r="C590" s="784">
        <v>2.97E-5</v>
      </c>
      <c r="D590" s="784">
        <v>3.1199999999999999E-5</v>
      </c>
      <c r="E590" s="815">
        <v>18707</v>
      </c>
      <c r="F590" s="818">
        <v>66217</v>
      </c>
      <c r="G590" s="785">
        <v>45373</v>
      </c>
      <c r="H590" s="785"/>
      <c r="I590" s="786">
        <v>2614</v>
      </c>
      <c r="J590" s="787">
        <v>11017</v>
      </c>
      <c r="K590" s="786">
        <v>6480</v>
      </c>
      <c r="L590" s="785">
        <v>7489</v>
      </c>
      <c r="M590" s="785"/>
      <c r="N590" s="786">
        <v>1284</v>
      </c>
      <c r="O590" s="786">
        <v>0</v>
      </c>
      <c r="P590" s="786">
        <v>0</v>
      </c>
      <c r="Q590" s="785">
        <v>440</v>
      </c>
      <c r="R590" s="785"/>
      <c r="S590" s="786">
        <v>15291</v>
      </c>
      <c r="T590" s="788">
        <v>2815</v>
      </c>
      <c r="U590" s="788">
        <v>18106</v>
      </c>
    </row>
    <row r="591" spans="1:21" x14ac:dyDescent="0.25">
      <c r="A591" s="782">
        <v>96451</v>
      </c>
      <c r="B591" s="783" t="s">
        <v>3201</v>
      </c>
      <c r="C591" s="784">
        <v>2.0299999999999999E-5</v>
      </c>
      <c r="D591" s="784">
        <v>1.38E-5</v>
      </c>
      <c r="E591" s="815">
        <v>8566</v>
      </c>
      <c r="F591" s="818">
        <v>29288</v>
      </c>
      <c r="G591" s="785">
        <v>31013</v>
      </c>
      <c r="H591" s="785"/>
      <c r="I591" s="786">
        <v>1787</v>
      </c>
      <c r="J591" s="787">
        <v>7530</v>
      </c>
      <c r="K591" s="786">
        <v>4429</v>
      </c>
      <c r="L591" s="785">
        <v>6431</v>
      </c>
      <c r="M591" s="785"/>
      <c r="N591" s="786">
        <v>878</v>
      </c>
      <c r="O591" s="786">
        <v>0</v>
      </c>
      <c r="P591" s="786">
        <v>0</v>
      </c>
      <c r="Q591" s="785">
        <v>1319</v>
      </c>
      <c r="R591" s="785"/>
      <c r="S591" s="786">
        <v>10451</v>
      </c>
      <c r="T591" s="788">
        <v>994</v>
      </c>
      <c r="U591" s="788">
        <v>11445</v>
      </c>
    </row>
    <row r="592" spans="1:21" x14ac:dyDescent="0.25">
      <c r="A592" s="782">
        <v>96461</v>
      </c>
      <c r="B592" s="783" t="s">
        <v>3202</v>
      </c>
      <c r="C592" s="784">
        <v>1.361E-4</v>
      </c>
      <c r="D592" s="784">
        <v>1.3410000000000001E-4</v>
      </c>
      <c r="E592" s="815">
        <v>63932</v>
      </c>
      <c r="F592" s="818">
        <v>284605</v>
      </c>
      <c r="G592" s="785">
        <v>207923</v>
      </c>
      <c r="H592" s="785"/>
      <c r="I592" s="786">
        <v>11978</v>
      </c>
      <c r="J592" s="787">
        <v>50484</v>
      </c>
      <c r="K592" s="786">
        <v>29694</v>
      </c>
      <c r="L592" s="785">
        <v>6504</v>
      </c>
      <c r="M592" s="785"/>
      <c r="N592" s="786">
        <v>5886</v>
      </c>
      <c r="O592" s="786">
        <v>0</v>
      </c>
      <c r="P592" s="786">
        <v>0</v>
      </c>
      <c r="Q592" s="785">
        <v>18452</v>
      </c>
      <c r="R592" s="785"/>
      <c r="S592" s="786">
        <v>70070</v>
      </c>
      <c r="T592" s="788">
        <v>-3923</v>
      </c>
      <c r="U592" s="788">
        <f>66148-1</f>
        <v>66147</v>
      </c>
    </row>
    <row r="593" spans="1:21" x14ac:dyDescent="0.25">
      <c r="A593" s="782">
        <v>96501</v>
      </c>
      <c r="B593" s="783" t="s">
        <v>3203</v>
      </c>
      <c r="C593" s="784">
        <v>1.44739E-2</v>
      </c>
      <c r="D593" s="784">
        <v>1.4156999999999999E-2</v>
      </c>
      <c r="E593" s="815">
        <v>6399556</v>
      </c>
      <c r="F593" s="818">
        <v>30045897</v>
      </c>
      <c r="G593" s="785">
        <v>22112110</v>
      </c>
      <c r="H593" s="785"/>
      <c r="I593" s="786">
        <v>1273862</v>
      </c>
      <c r="J593" s="787">
        <v>5368847</v>
      </c>
      <c r="K593" s="786">
        <v>3157916</v>
      </c>
      <c r="L593" s="785">
        <v>365065</v>
      </c>
      <c r="M593" s="785"/>
      <c r="N593" s="786">
        <v>625924</v>
      </c>
      <c r="O593" s="786">
        <v>0</v>
      </c>
      <c r="P593" s="786">
        <v>0</v>
      </c>
      <c r="Q593" s="785">
        <v>292930</v>
      </c>
      <c r="R593" s="785"/>
      <c r="S593" s="786">
        <v>7451801</v>
      </c>
      <c r="T593" s="788">
        <v>150498</v>
      </c>
      <c r="U593" s="788">
        <f>7602298+1</f>
        <v>7602299</v>
      </c>
    </row>
    <row r="594" spans="1:21" x14ac:dyDescent="0.25">
      <c r="A594" s="782">
        <v>96502</v>
      </c>
      <c r="B594" s="783" t="s">
        <v>3204</v>
      </c>
      <c r="C594" s="784">
        <v>4.2440000000000002E-4</v>
      </c>
      <c r="D594" s="784">
        <v>4.2309999999999998E-4</v>
      </c>
      <c r="E594" s="815">
        <v>198105</v>
      </c>
      <c r="F594" s="818">
        <v>897960</v>
      </c>
      <c r="G594" s="785">
        <v>648366</v>
      </c>
      <c r="H594" s="785"/>
      <c r="I594" s="786">
        <v>37352</v>
      </c>
      <c r="J594" s="787">
        <v>157424</v>
      </c>
      <c r="K594" s="786">
        <v>92596</v>
      </c>
      <c r="L594" s="785">
        <v>39317</v>
      </c>
      <c r="M594" s="785"/>
      <c r="N594" s="786">
        <v>18353</v>
      </c>
      <c r="O594" s="786">
        <v>0</v>
      </c>
      <c r="P594" s="786">
        <v>0</v>
      </c>
      <c r="Q594" s="785">
        <v>0</v>
      </c>
      <c r="R594" s="785"/>
      <c r="S594" s="786">
        <v>218500</v>
      </c>
      <c r="T594" s="788">
        <v>23185</v>
      </c>
      <c r="U594" s="788">
        <v>241685</v>
      </c>
    </row>
    <row r="595" spans="1:21" x14ac:dyDescent="0.25">
      <c r="A595" s="782">
        <v>96503</v>
      </c>
      <c r="B595" s="783" t="s">
        <v>3672</v>
      </c>
      <c r="C595" s="784">
        <v>3.0039999999999998E-4</v>
      </c>
      <c r="D595" s="784">
        <v>3.3700000000000001E-4</v>
      </c>
      <c r="E595" s="815">
        <v>293863</v>
      </c>
      <c r="F595" s="818">
        <v>0</v>
      </c>
      <c r="G595" s="785">
        <v>458928</v>
      </c>
      <c r="H595" s="785"/>
      <c r="I595" s="786">
        <v>26439</v>
      </c>
      <c r="J595" s="787">
        <v>111428</v>
      </c>
      <c r="K595" s="786">
        <v>65541</v>
      </c>
      <c r="L595" s="785">
        <v>240013</v>
      </c>
      <c r="M595" s="785"/>
      <c r="N595" s="786">
        <v>12991</v>
      </c>
      <c r="O595" s="786">
        <v>0</v>
      </c>
      <c r="P595" s="786">
        <v>0</v>
      </c>
      <c r="Q595" s="785">
        <v>14874</v>
      </c>
      <c r="R595" s="785"/>
      <c r="S595" s="786">
        <v>154659</v>
      </c>
      <c r="T595" s="788">
        <v>71167</v>
      </c>
      <c r="U595" s="788">
        <v>225826</v>
      </c>
    </row>
    <row r="596" spans="1:21" x14ac:dyDescent="0.25">
      <c r="A596" s="782">
        <v>96504</v>
      </c>
      <c r="B596" s="783" t="s">
        <v>3206</v>
      </c>
      <c r="C596" s="784">
        <v>4.1760000000000001E-4</v>
      </c>
      <c r="D596" s="784">
        <v>3.6039999999999998E-4</v>
      </c>
      <c r="E596" s="815">
        <v>189892</v>
      </c>
      <c r="F596" s="818">
        <v>764890</v>
      </c>
      <c r="G596" s="785">
        <v>637977</v>
      </c>
      <c r="H596" s="785"/>
      <c r="I596" s="786">
        <v>36753</v>
      </c>
      <c r="J596" s="787">
        <v>154902</v>
      </c>
      <c r="K596" s="786">
        <v>91112</v>
      </c>
      <c r="L596" s="785">
        <v>44166</v>
      </c>
      <c r="M596" s="785"/>
      <c r="N596" s="786">
        <v>18059</v>
      </c>
      <c r="O596" s="786">
        <v>0</v>
      </c>
      <c r="P596" s="786">
        <v>0</v>
      </c>
      <c r="Q596" s="785">
        <v>4428</v>
      </c>
      <c r="R596" s="785"/>
      <c r="S596" s="786">
        <v>214999</v>
      </c>
      <c r="T596" s="788">
        <v>11523</v>
      </c>
      <c r="U596" s="788">
        <f>226521+1</f>
        <v>226522</v>
      </c>
    </row>
    <row r="597" spans="1:21" x14ac:dyDescent="0.25">
      <c r="A597" s="782">
        <v>96507</v>
      </c>
      <c r="B597" s="783" t="s">
        <v>3207</v>
      </c>
      <c r="C597" s="784">
        <v>2.2147E-3</v>
      </c>
      <c r="D597" s="784">
        <v>2.2604999999999999E-3</v>
      </c>
      <c r="E597" s="815">
        <v>1026624</v>
      </c>
      <c r="F597" s="818">
        <v>4797538</v>
      </c>
      <c r="G597" s="785">
        <v>3383448</v>
      </c>
      <c r="H597" s="785"/>
      <c r="I597" s="786">
        <v>194918</v>
      </c>
      <c r="J597" s="787">
        <v>821505</v>
      </c>
      <c r="K597" s="786">
        <v>483203</v>
      </c>
      <c r="L597" s="785">
        <v>115759</v>
      </c>
      <c r="M597" s="785"/>
      <c r="N597" s="786">
        <v>95775</v>
      </c>
      <c r="O597" s="786">
        <v>0</v>
      </c>
      <c r="P597" s="786">
        <v>0</v>
      </c>
      <c r="Q597" s="785">
        <v>22795</v>
      </c>
      <c r="R597" s="785"/>
      <c r="S597" s="786">
        <v>1140225</v>
      </c>
      <c r="T597" s="788">
        <v>58867</v>
      </c>
      <c r="U597" s="788">
        <v>1199092</v>
      </c>
    </row>
    <row r="598" spans="1:21" x14ac:dyDescent="0.25">
      <c r="A598" s="782">
        <v>96508</v>
      </c>
      <c r="B598" s="783" t="s">
        <v>3208</v>
      </c>
      <c r="C598" s="784">
        <v>8.6000000000000007E-6</v>
      </c>
      <c r="D598" s="784">
        <v>9.7999999999999993E-6</v>
      </c>
      <c r="E598" s="815">
        <v>11086</v>
      </c>
      <c r="F598" s="818">
        <v>20799</v>
      </c>
      <c r="G598" s="785">
        <v>13138</v>
      </c>
      <c r="H598" s="785"/>
      <c r="I598" s="786">
        <v>757</v>
      </c>
      <c r="J598" s="787">
        <v>3190</v>
      </c>
      <c r="K598" s="786">
        <v>1876</v>
      </c>
      <c r="L598" s="785">
        <v>11113</v>
      </c>
      <c r="M598" s="785"/>
      <c r="N598" s="786">
        <v>372</v>
      </c>
      <c r="O598" s="786">
        <v>0</v>
      </c>
      <c r="P598" s="786">
        <v>0</v>
      </c>
      <c r="Q598" s="785">
        <v>0</v>
      </c>
      <c r="R598" s="785"/>
      <c r="S598" s="786">
        <v>4428</v>
      </c>
      <c r="T598" s="788">
        <v>4402</v>
      </c>
      <c r="U598" s="788">
        <v>8830</v>
      </c>
    </row>
    <row r="599" spans="1:21" x14ac:dyDescent="0.25">
      <c r="A599" s="782">
        <v>96511</v>
      </c>
      <c r="B599" s="783" t="s">
        <v>3209</v>
      </c>
      <c r="C599" s="784">
        <v>6.2069999999999996E-4</v>
      </c>
      <c r="D599" s="784">
        <v>6.221E-4</v>
      </c>
      <c r="E599" s="815">
        <v>276057</v>
      </c>
      <c r="F599" s="818">
        <v>1320305</v>
      </c>
      <c r="G599" s="785">
        <v>948258</v>
      </c>
      <c r="H599" s="785"/>
      <c r="I599" s="786">
        <v>54628</v>
      </c>
      <c r="J599" s="787">
        <v>230238</v>
      </c>
      <c r="K599" s="786">
        <v>135424</v>
      </c>
      <c r="L599" s="785">
        <v>0</v>
      </c>
      <c r="M599" s="785"/>
      <c r="N599" s="786">
        <v>26842</v>
      </c>
      <c r="O599" s="786">
        <v>0</v>
      </c>
      <c r="P599" s="786">
        <v>0</v>
      </c>
      <c r="Q599" s="785">
        <v>95843</v>
      </c>
      <c r="R599" s="785"/>
      <c r="S599" s="786">
        <v>319564</v>
      </c>
      <c r="T599" s="788">
        <v>-49396</v>
      </c>
      <c r="U599" s="788">
        <v>270168</v>
      </c>
    </row>
    <row r="600" spans="1:21" x14ac:dyDescent="0.25">
      <c r="A600" s="782">
        <v>96512</v>
      </c>
      <c r="B600" s="783" t="s">
        <v>3210</v>
      </c>
      <c r="C600" s="784">
        <v>1.5119999999999999E-4</v>
      </c>
      <c r="D600" s="784">
        <v>1.7000000000000001E-4</v>
      </c>
      <c r="E600" s="815">
        <v>72715</v>
      </c>
      <c r="F600" s="818">
        <v>360797</v>
      </c>
      <c r="G600" s="785">
        <v>230992</v>
      </c>
      <c r="H600" s="785"/>
      <c r="I600" s="786">
        <v>13307</v>
      </c>
      <c r="J600" s="787">
        <v>56085</v>
      </c>
      <c r="K600" s="786">
        <v>32989</v>
      </c>
      <c r="L600" s="785">
        <v>5578</v>
      </c>
      <c r="M600" s="785"/>
      <c r="N600" s="786">
        <v>6539</v>
      </c>
      <c r="O600" s="786">
        <v>0</v>
      </c>
      <c r="P600" s="786">
        <v>0</v>
      </c>
      <c r="Q600" s="785">
        <v>9964</v>
      </c>
      <c r="R600" s="785"/>
      <c r="S600" s="786">
        <v>77844</v>
      </c>
      <c r="T600" s="788">
        <v>198</v>
      </c>
      <c r="U600" s="788">
        <v>78042</v>
      </c>
    </row>
    <row r="601" spans="1:21" x14ac:dyDescent="0.25">
      <c r="A601" s="782">
        <v>96521</v>
      </c>
      <c r="B601" s="783" t="s">
        <v>3212</v>
      </c>
      <c r="C601" s="784">
        <v>9.881E-4</v>
      </c>
      <c r="D601" s="784">
        <v>9.4240000000000003E-4</v>
      </c>
      <c r="E601" s="815">
        <v>408178</v>
      </c>
      <c r="F601" s="818">
        <v>2000089</v>
      </c>
      <c r="G601" s="785">
        <v>1509543</v>
      </c>
      <c r="H601" s="785"/>
      <c r="I601" s="786">
        <v>86964</v>
      </c>
      <c r="J601" s="787">
        <v>366519</v>
      </c>
      <c r="K601" s="786">
        <v>215584</v>
      </c>
      <c r="L601" s="785">
        <v>30024</v>
      </c>
      <c r="M601" s="785"/>
      <c r="N601" s="786">
        <v>42730</v>
      </c>
      <c r="O601" s="786">
        <v>0</v>
      </c>
      <c r="P601" s="786">
        <v>0</v>
      </c>
      <c r="Q601" s="785">
        <v>25241</v>
      </c>
      <c r="R601" s="785"/>
      <c r="S601" s="786">
        <v>508717</v>
      </c>
      <c r="T601" s="788">
        <v>6710</v>
      </c>
      <c r="U601" s="788">
        <f>515428-1</f>
        <v>515427</v>
      </c>
    </row>
    <row r="602" spans="1:21" x14ac:dyDescent="0.25">
      <c r="A602" s="782">
        <v>96531</v>
      </c>
      <c r="B602" s="783" t="s">
        <v>3213</v>
      </c>
      <c r="C602" s="784">
        <v>8.5845000000000001E-3</v>
      </c>
      <c r="D602" s="784">
        <v>8.6088999999999992E-3</v>
      </c>
      <c r="E602" s="815">
        <v>3779881</v>
      </c>
      <c r="F602" s="818">
        <v>18270970</v>
      </c>
      <c r="G602" s="785">
        <v>13114738</v>
      </c>
      <c r="H602" s="785"/>
      <c r="I602" s="786">
        <v>755530</v>
      </c>
      <c r="J602" s="787">
        <v>3184274</v>
      </c>
      <c r="K602" s="786">
        <v>1872966</v>
      </c>
      <c r="L602" s="785">
        <v>48765</v>
      </c>
      <c r="M602" s="785"/>
      <c r="N602" s="786">
        <v>371237</v>
      </c>
      <c r="O602" s="786">
        <v>0</v>
      </c>
      <c r="P602" s="786">
        <v>0</v>
      </c>
      <c r="Q602" s="785">
        <v>418860</v>
      </c>
      <c r="R602" s="785"/>
      <c r="S602" s="786">
        <v>4419678</v>
      </c>
      <c r="T602" s="788">
        <v>-117601</v>
      </c>
      <c r="U602" s="788">
        <v>4302077</v>
      </c>
    </row>
    <row r="603" spans="1:21" x14ac:dyDescent="0.25">
      <c r="A603" s="782">
        <v>96541</v>
      </c>
      <c r="B603" s="783" t="s">
        <v>3214</v>
      </c>
      <c r="C603" s="784">
        <v>3.5950000000000001E-4</v>
      </c>
      <c r="D603" s="784">
        <v>3.3169999999999999E-4</v>
      </c>
      <c r="E603" s="815">
        <v>156792</v>
      </c>
      <c r="F603" s="818">
        <v>703979</v>
      </c>
      <c r="G603" s="785">
        <v>549216</v>
      </c>
      <c r="H603" s="785"/>
      <c r="I603" s="786">
        <v>31640</v>
      </c>
      <c r="J603" s="787">
        <v>133350</v>
      </c>
      <c r="K603" s="786">
        <v>78436</v>
      </c>
      <c r="L603" s="785">
        <v>24801</v>
      </c>
      <c r="M603" s="785"/>
      <c r="N603" s="786">
        <v>15547</v>
      </c>
      <c r="O603" s="786">
        <v>0</v>
      </c>
      <c r="P603" s="786">
        <v>0</v>
      </c>
      <c r="Q603" s="785">
        <v>0</v>
      </c>
      <c r="R603" s="785"/>
      <c r="S603" s="786">
        <v>185086</v>
      </c>
      <c r="T603" s="788">
        <v>13028</v>
      </c>
      <c r="U603" s="788">
        <f>198115-1</f>
        <v>198114</v>
      </c>
    </row>
    <row r="604" spans="1:21" x14ac:dyDescent="0.25">
      <c r="A604" s="782">
        <v>96601</v>
      </c>
      <c r="B604" s="783" t="s">
        <v>3215</v>
      </c>
      <c r="C604" s="784">
        <v>1.8169E-3</v>
      </c>
      <c r="D604" s="784">
        <v>1.8416000000000001E-3</v>
      </c>
      <c r="E604" s="815">
        <v>878872</v>
      </c>
      <c r="F604" s="818">
        <v>3908492</v>
      </c>
      <c r="G604" s="785">
        <v>2775720</v>
      </c>
      <c r="H604" s="785"/>
      <c r="I604" s="786">
        <v>159907</v>
      </c>
      <c r="J604" s="787">
        <v>673948</v>
      </c>
      <c r="K604" s="786">
        <v>396411</v>
      </c>
      <c r="L604" s="785">
        <v>50154</v>
      </c>
      <c r="M604" s="785"/>
      <c r="N604" s="786">
        <v>78572</v>
      </c>
      <c r="O604" s="786">
        <v>0</v>
      </c>
      <c r="P604" s="786">
        <v>0</v>
      </c>
      <c r="Q604" s="785">
        <v>4139</v>
      </c>
      <c r="R604" s="785"/>
      <c r="S604" s="786">
        <v>935420</v>
      </c>
      <c r="T604" s="788">
        <v>30132</v>
      </c>
      <c r="U604" s="788">
        <v>965552</v>
      </c>
    </row>
    <row r="605" spans="1:21" x14ac:dyDescent="0.25">
      <c r="A605" s="782">
        <v>96604</v>
      </c>
      <c r="B605" s="783" t="s">
        <v>3216</v>
      </c>
      <c r="C605" s="784">
        <v>7.6000000000000001E-6</v>
      </c>
      <c r="D605" s="784">
        <v>7.9000000000000006E-6</v>
      </c>
      <c r="E605" s="815">
        <v>5011</v>
      </c>
      <c r="F605" s="818">
        <v>16766</v>
      </c>
      <c r="G605" s="785">
        <v>11611</v>
      </c>
      <c r="H605" s="785"/>
      <c r="I605" s="786">
        <v>669</v>
      </c>
      <c r="J605" s="787">
        <v>2819</v>
      </c>
      <c r="K605" s="786">
        <v>1658</v>
      </c>
      <c r="L605" s="785">
        <v>2027</v>
      </c>
      <c r="M605" s="785"/>
      <c r="N605" s="786">
        <v>329</v>
      </c>
      <c r="O605" s="786">
        <v>0</v>
      </c>
      <c r="P605" s="786">
        <v>0</v>
      </c>
      <c r="Q605" s="785">
        <v>70</v>
      </c>
      <c r="R605" s="785"/>
      <c r="S605" s="786">
        <v>3913</v>
      </c>
      <c r="T605" s="788">
        <v>799</v>
      </c>
      <c r="U605" s="788">
        <v>4712</v>
      </c>
    </row>
    <row r="606" spans="1:21" x14ac:dyDescent="0.25">
      <c r="A606" s="782">
        <v>96611</v>
      </c>
      <c r="B606" s="783" t="s">
        <v>3217</v>
      </c>
      <c r="C606" s="784">
        <v>2.83E-5</v>
      </c>
      <c r="D606" s="784">
        <v>3.29E-5</v>
      </c>
      <c r="E606" s="815">
        <v>12016</v>
      </c>
      <c r="F606" s="818">
        <v>69825</v>
      </c>
      <c r="G606" s="785">
        <v>43235</v>
      </c>
      <c r="H606" s="785"/>
      <c r="I606" s="786">
        <v>2491</v>
      </c>
      <c r="J606" s="787">
        <v>10498</v>
      </c>
      <c r="K606" s="786">
        <v>6174</v>
      </c>
      <c r="L606" s="785">
        <v>1561</v>
      </c>
      <c r="M606" s="785"/>
      <c r="N606" s="786">
        <v>1224</v>
      </c>
      <c r="O606" s="786">
        <v>0</v>
      </c>
      <c r="P606" s="786">
        <v>0</v>
      </c>
      <c r="Q606" s="785">
        <v>4284</v>
      </c>
      <c r="R606" s="785"/>
      <c r="S606" s="786">
        <v>14570</v>
      </c>
      <c r="T606" s="788">
        <v>112</v>
      </c>
      <c r="U606" s="788">
        <f>14683-1</f>
        <v>14682</v>
      </c>
    </row>
    <row r="607" spans="1:21" x14ac:dyDescent="0.25">
      <c r="A607" s="782">
        <v>96612</v>
      </c>
      <c r="B607" s="783" t="s">
        <v>3218</v>
      </c>
      <c r="C607" s="784">
        <v>6.3299999999999994E-5</v>
      </c>
      <c r="D607" s="784">
        <v>6.3899999999999995E-5</v>
      </c>
      <c r="E607" s="815">
        <v>32834</v>
      </c>
      <c r="F607" s="818">
        <v>135617</v>
      </c>
      <c r="G607" s="785">
        <v>96705</v>
      </c>
      <c r="H607" s="785"/>
      <c r="I607" s="786">
        <v>5571</v>
      </c>
      <c r="J607" s="787">
        <v>23480</v>
      </c>
      <c r="K607" s="786">
        <v>13811</v>
      </c>
      <c r="L607" s="785">
        <v>7699</v>
      </c>
      <c r="M607" s="785"/>
      <c r="N607" s="786">
        <v>2737</v>
      </c>
      <c r="O607" s="786">
        <v>0</v>
      </c>
      <c r="P607" s="786">
        <v>0</v>
      </c>
      <c r="Q607" s="785">
        <v>658</v>
      </c>
      <c r="R607" s="785"/>
      <c r="S607" s="786">
        <v>32590</v>
      </c>
      <c r="T607" s="788">
        <v>2270</v>
      </c>
      <c r="U607" s="788">
        <f>34859+1</f>
        <v>34860</v>
      </c>
    </row>
    <row r="608" spans="1:21" x14ac:dyDescent="0.25">
      <c r="A608" s="782">
        <v>96621</v>
      </c>
      <c r="B608" s="783" t="s">
        <v>3219</v>
      </c>
      <c r="C608" s="784">
        <v>2.5999999999999998E-5</v>
      </c>
      <c r="D608" s="784">
        <v>2.65E-5</v>
      </c>
      <c r="E608" s="815">
        <v>13235</v>
      </c>
      <c r="F608" s="818">
        <v>56242</v>
      </c>
      <c r="G608" s="785">
        <v>39721</v>
      </c>
      <c r="H608" s="785"/>
      <c r="I608" s="786">
        <v>2288</v>
      </c>
      <c r="J608" s="787">
        <v>9644</v>
      </c>
      <c r="K608" s="786">
        <v>5673</v>
      </c>
      <c r="L608" s="785">
        <v>1435</v>
      </c>
      <c r="M608" s="785"/>
      <c r="N608" s="786">
        <v>1124</v>
      </c>
      <c r="O608" s="786">
        <v>0</v>
      </c>
      <c r="P608" s="786">
        <v>0</v>
      </c>
      <c r="Q608" s="785">
        <v>4828</v>
      </c>
      <c r="R608" s="785"/>
      <c r="S608" s="786">
        <v>13386</v>
      </c>
      <c r="T608" s="788">
        <v>-2281</v>
      </c>
      <c r="U608" s="788">
        <v>11105</v>
      </c>
    </row>
    <row r="609" spans="1:21" x14ac:dyDescent="0.25">
      <c r="A609" s="782">
        <v>96631</v>
      </c>
      <c r="B609" s="783" t="s">
        <v>3220</v>
      </c>
      <c r="C609" s="784">
        <v>2.51E-5</v>
      </c>
      <c r="D609" s="784">
        <v>2.5899999999999999E-5</v>
      </c>
      <c r="E609" s="815">
        <v>11905</v>
      </c>
      <c r="F609" s="818">
        <v>54968</v>
      </c>
      <c r="G609" s="785">
        <v>38346</v>
      </c>
      <c r="H609" s="785"/>
      <c r="I609" s="786">
        <v>2209</v>
      </c>
      <c r="J609" s="787">
        <v>9311</v>
      </c>
      <c r="K609" s="786">
        <v>5476</v>
      </c>
      <c r="L609" s="785">
        <v>3375</v>
      </c>
      <c r="M609" s="785"/>
      <c r="N609" s="786">
        <v>1085</v>
      </c>
      <c r="O609" s="786">
        <v>0</v>
      </c>
      <c r="P609" s="786">
        <v>0</v>
      </c>
      <c r="Q609" s="785">
        <v>345</v>
      </c>
      <c r="R609" s="785"/>
      <c r="S609" s="786">
        <v>12923</v>
      </c>
      <c r="T609" s="788">
        <v>2192</v>
      </c>
      <c r="U609" s="788">
        <f>15114+1</f>
        <v>15115</v>
      </c>
    </row>
    <row r="610" spans="1:21" x14ac:dyDescent="0.25">
      <c r="A610" s="782">
        <v>96641</v>
      </c>
      <c r="B610" s="783" t="s">
        <v>3221</v>
      </c>
      <c r="C610" s="784">
        <v>3.2199999999999997E-5</v>
      </c>
      <c r="D610" s="784">
        <v>2.6999999999999999E-5</v>
      </c>
      <c r="E610" s="815">
        <v>20865</v>
      </c>
      <c r="F610" s="818">
        <v>57303</v>
      </c>
      <c r="G610" s="785">
        <v>49193</v>
      </c>
      <c r="H610" s="785"/>
      <c r="I610" s="786">
        <v>2834</v>
      </c>
      <c r="J610" s="787">
        <v>11944</v>
      </c>
      <c r="K610" s="786">
        <v>7025</v>
      </c>
      <c r="L610" s="785">
        <v>15380</v>
      </c>
      <c r="M610" s="785"/>
      <c r="N610" s="786">
        <v>1392</v>
      </c>
      <c r="O610" s="786">
        <v>0</v>
      </c>
      <c r="P610" s="786">
        <v>0</v>
      </c>
      <c r="Q610" s="785">
        <v>0</v>
      </c>
      <c r="R610" s="785"/>
      <c r="S610" s="786">
        <v>16578</v>
      </c>
      <c r="T610" s="788">
        <v>5934</v>
      </c>
      <c r="U610" s="788">
        <v>22512</v>
      </c>
    </row>
    <row r="611" spans="1:21" x14ac:dyDescent="0.25">
      <c r="A611" s="782">
        <v>96651</v>
      </c>
      <c r="B611" s="783" t="s">
        <v>3222</v>
      </c>
      <c r="C611" s="784">
        <v>1.7399999999999999E-5</v>
      </c>
      <c r="D611" s="784">
        <v>1.9400000000000001E-5</v>
      </c>
      <c r="E611" s="815">
        <v>11419</v>
      </c>
      <c r="F611" s="818">
        <v>41173</v>
      </c>
      <c r="G611" s="785">
        <v>26582</v>
      </c>
      <c r="H611" s="785"/>
      <c r="I611" s="786">
        <v>1531</v>
      </c>
      <c r="J611" s="787">
        <v>6454</v>
      </c>
      <c r="K611" s="786">
        <v>3796</v>
      </c>
      <c r="L611" s="785">
        <v>1983</v>
      </c>
      <c r="M611" s="785"/>
      <c r="N611" s="786">
        <v>752</v>
      </c>
      <c r="O611" s="786">
        <v>0</v>
      </c>
      <c r="P611" s="786">
        <v>0</v>
      </c>
      <c r="Q611" s="785">
        <v>1305</v>
      </c>
      <c r="R611" s="785"/>
      <c r="S611" s="786">
        <v>8958</v>
      </c>
      <c r="T611" s="788">
        <v>-364</v>
      </c>
      <c r="U611" s="788">
        <f>8595-1</f>
        <v>8594</v>
      </c>
    </row>
    <row r="612" spans="1:21" x14ac:dyDescent="0.25">
      <c r="A612" s="782">
        <v>96661</v>
      </c>
      <c r="B612" s="783" t="s">
        <v>3223</v>
      </c>
      <c r="C612" s="784">
        <v>1.9700000000000001E-5</v>
      </c>
      <c r="D612" s="784">
        <v>1.9000000000000001E-5</v>
      </c>
      <c r="E612" s="815">
        <v>10400</v>
      </c>
      <c r="F612" s="818">
        <v>40324</v>
      </c>
      <c r="G612" s="785">
        <v>30096</v>
      </c>
      <c r="H612" s="785"/>
      <c r="I612" s="786">
        <v>1734</v>
      </c>
      <c r="J612" s="787">
        <v>7308</v>
      </c>
      <c r="K612" s="786">
        <v>4298</v>
      </c>
      <c r="L612" s="785">
        <v>5449</v>
      </c>
      <c r="M612" s="785"/>
      <c r="N612" s="786">
        <v>852</v>
      </c>
      <c r="O612" s="786">
        <v>0</v>
      </c>
      <c r="P612" s="786">
        <v>0</v>
      </c>
      <c r="Q612" s="785">
        <v>0</v>
      </c>
      <c r="R612" s="785"/>
      <c r="S612" s="786">
        <v>10142</v>
      </c>
      <c r="T612" s="788">
        <v>2525</v>
      </c>
      <c r="U612" s="788">
        <f>12668-1</f>
        <v>12667</v>
      </c>
    </row>
    <row r="613" spans="1:21" x14ac:dyDescent="0.25">
      <c r="A613" s="782">
        <v>96671</v>
      </c>
      <c r="B613" s="783" t="s">
        <v>3224</v>
      </c>
      <c r="C613" s="784">
        <v>1.49E-5</v>
      </c>
      <c r="D613" s="784">
        <v>1.5500000000000001E-5</v>
      </c>
      <c r="E613" s="815">
        <v>8400</v>
      </c>
      <c r="F613" s="818">
        <v>32896</v>
      </c>
      <c r="G613" s="785">
        <v>22763</v>
      </c>
      <c r="H613" s="785"/>
      <c r="I613" s="786">
        <v>1311</v>
      </c>
      <c r="J613" s="787">
        <v>5527</v>
      </c>
      <c r="K613" s="786">
        <v>3251</v>
      </c>
      <c r="L613" s="785">
        <v>8612</v>
      </c>
      <c r="M613" s="785"/>
      <c r="N613" s="786">
        <v>644</v>
      </c>
      <c r="O613" s="786">
        <v>0</v>
      </c>
      <c r="P613" s="786">
        <v>0</v>
      </c>
      <c r="Q613" s="785">
        <v>208</v>
      </c>
      <c r="R613" s="785"/>
      <c r="S613" s="786">
        <v>7671</v>
      </c>
      <c r="T613" s="788">
        <v>3620</v>
      </c>
      <c r="U613" s="788">
        <v>11291</v>
      </c>
    </row>
    <row r="614" spans="1:21" x14ac:dyDescent="0.25">
      <c r="A614" s="782">
        <v>96681</v>
      </c>
      <c r="B614" s="783" t="s">
        <v>3225</v>
      </c>
      <c r="C614" s="784">
        <v>1.7499999999999998E-5</v>
      </c>
      <c r="D614" s="784">
        <v>3.4799999999999999E-5</v>
      </c>
      <c r="E614" s="815">
        <v>12179</v>
      </c>
      <c r="F614" s="818">
        <v>73857</v>
      </c>
      <c r="G614" s="785">
        <v>26735</v>
      </c>
      <c r="H614" s="785"/>
      <c r="I614" s="786">
        <v>1540</v>
      </c>
      <c r="J614" s="787">
        <v>6491</v>
      </c>
      <c r="K614" s="786">
        <v>3818</v>
      </c>
      <c r="L614" s="785">
        <v>12682</v>
      </c>
      <c r="M614" s="785"/>
      <c r="N614" s="786">
        <v>757</v>
      </c>
      <c r="O614" s="786">
        <v>0</v>
      </c>
      <c r="P614" s="786">
        <v>0</v>
      </c>
      <c r="Q614" s="785">
        <v>9027</v>
      </c>
      <c r="R614" s="785"/>
      <c r="S614" s="786">
        <v>9010</v>
      </c>
      <c r="T614" s="788">
        <v>3129</v>
      </c>
      <c r="U614" s="788">
        <v>12139</v>
      </c>
    </row>
    <row r="615" spans="1:21" x14ac:dyDescent="0.25">
      <c r="A615" s="782">
        <v>96701</v>
      </c>
      <c r="B615" s="783" t="s">
        <v>3226</v>
      </c>
      <c r="C615" s="784">
        <v>8.4206000000000003E-3</v>
      </c>
      <c r="D615" s="784">
        <v>7.7850000000000003E-3</v>
      </c>
      <c r="E615" s="815">
        <v>3657208</v>
      </c>
      <c r="F615" s="818">
        <v>16522378</v>
      </c>
      <c r="G615" s="785">
        <v>12864344</v>
      </c>
      <c r="H615" s="785"/>
      <c r="I615" s="786">
        <v>741105</v>
      </c>
      <c r="J615" s="787">
        <v>3123478</v>
      </c>
      <c r="K615" s="786">
        <v>1837207</v>
      </c>
      <c r="L615" s="785">
        <v>445953</v>
      </c>
      <c r="M615" s="785"/>
      <c r="N615" s="786">
        <v>364149</v>
      </c>
      <c r="O615" s="786">
        <v>0</v>
      </c>
      <c r="P615" s="786">
        <v>0</v>
      </c>
      <c r="Q615" s="785">
        <v>51464</v>
      </c>
      <c r="R615" s="785"/>
      <c r="S615" s="786">
        <v>4335295</v>
      </c>
      <c r="T615" s="788">
        <v>139565</v>
      </c>
      <c r="U615" s="788">
        <f>4474861-1</f>
        <v>4474860</v>
      </c>
    </row>
    <row r="616" spans="1:21" x14ac:dyDescent="0.25">
      <c r="A616" s="782">
        <v>96704</v>
      </c>
      <c r="B616" s="783" t="s">
        <v>3227</v>
      </c>
      <c r="C616" s="784">
        <v>1.7259999999999999E-4</v>
      </c>
      <c r="D616" s="784">
        <v>1.5330000000000001E-4</v>
      </c>
      <c r="E616" s="815">
        <v>92320</v>
      </c>
      <c r="F616" s="818">
        <v>325354</v>
      </c>
      <c r="G616" s="785">
        <v>263685</v>
      </c>
      <c r="H616" s="785"/>
      <c r="I616" s="786">
        <v>15191</v>
      </c>
      <c r="J616" s="787">
        <v>64023</v>
      </c>
      <c r="K616" s="786">
        <v>37658</v>
      </c>
      <c r="L616" s="785">
        <v>28813</v>
      </c>
      <c r="M616" s="785"/>
      <c r="N616" s="786">
        <v>7464</v>
      </c>
      <c r="O616" s="786">
        <v>0</v>
      </c>
      <c r="P616" s="786">
        <v>0</v>
      </c>
      <c r="Q616" s="785">
        <v>0</v>
      </c>
      <c r="R616" s="785"/>
      <c r="S616" s="786">
        <v>88862</v>
      </c>
      <c r="T616" s="788">
        <v>9625</v>
      </c>
      <c r="U616" s="788">
        <v>98487</v>
      </c>
    </row>
    <row r="617" spans="1:21" x14ac:dyDescent="0.25">
      <c r="A617" s="782">
        <v>96708</v>
      </c>
      <c r="B617" s="783" t="s">
        <v>3228</v>
      </c>
      <c r="C617" s="784">
        <v>9.031E-4</v>
      </c>
      <c r="D617" s="784">
        <v>8.4590000000000002E-4</v>
      </c>
      <c r="E617" s="815">
        <v>441727</v>
      </c>
      <c r="F617" s="818">
        <v>1795283</v>
      </c>
      <c r="G617" s="785">
        <v>1379687</v>
      </c>
      <c r="H617" s="785"/>
      <c r="I617" s="786">
        <v>79483</v>
      </c>
      <c r="J617" s="787">
        <v>334989</v>
      </c>
      <c r="K617" s="786">
        <v>197038</v>
      </c>
      <c r="L617" s="785">
        <v>93931</v>
      </c>
      <c r="M617" s="785"/>
      <c r="N617" s="786">
        <v>39055</v>
      </c>
      <c r="O617" s="786">
        <v>0</v>
      </c>
      <c r="P617" s="786">
        <v>0</v>
      </c>
      <c r="Q617" s="785">
        <v>19895</v>
      </c>
      <c r="R617" s="785"/>
      <c r="S617" s="786">
        <v>464956</v>
      </c>
      <c r="T617" s="788">
        <v>29117</v>
      </c>
      <c r="U617" s="788">
        <v>494073</v>
      </c>
    </row>
    <row r="618" spans="1:21" x14ac:dyDescent="0.25">
      <c r="A618" s="782">
        <v>96711</v>
      </c>
      <c r="B618" s="783" t="s">
        <v>3229</v>
      </c>
      <c r="C618" s="784">
        <v>4.0464000000000003E-3</v>
      </c>
      <c r="D618" s="784">
        <v>4.4140000000000004E-3</v>
      </c>
      <c r="E618" s="815">
        <v>1869918</v>
      </c>
      <c r="F618" s="818">
        <v>9367987</v>
      </c>
      <c r="G618" s="785">
        <v>6181778</v>
      </c>
      <c r="H618" s="785"/>
      <c r="I618" s="786">
        <v>356128</v>
      </c>
      <c r="J618" s="787">
        <v>1500943</v>
      </c>
      <c r="K618" s="786">
        <v>882844</v>
      </c>
      <c r="L618" s="785">
        <v>10323</v>
      </c>
      <c r="M618" s="785"/>
      <c r="N618" s="786">
        <v>174987</v>
      </c>
      <c r="O618" s="786">
        <v>0</v>
      </c>
      <c r="P618" s="786">
        <v>0</v>
      </c>
      <c r="Q618" s="785">
        <v>468550</v>
      </c>
      <c r="R618" s="785"/>
      <c r="S618" s="786">
        <v>2083265</v>
      </c>
      <c r="T618" s="788">
        <v>-165088</v>
      </c>
      <c r="U618" s="788">
        <v>1918177</v>
      </c>
    </row>
    <row r="619" spans="1:21" x14ac:dyDescent="0.25">
      <c r="A619" s="782">
        <v>96721</v>
      </c>
      <c r="B619" s="783" t="s">
        <v>3230</v>
      </c>
      <c r="C619" s="784">
        <v>2.1379999999999999E-4</v>
      </c>
      <c r="D619" s="784">
        <v>1.9780000000000001E-4</v>
      </c>
      <c r="E619" s="815">
        <v>96163</v>
      </c>
      <c r="F619" s="818">
        <v>419798</v>
      </c>
      <c r="G619" s="785">
        <v>326627</v>
      </c>
      <c r="H619" s="785"/>
      <c r="I619" s="786">
        <v>18817</v>
      </c>
      <c r="J619" s="787">
        <v>79305</v>
      </c>
      <c r="K619" s="786">
        <v>46647</v>
      </c>
      <c r="L619" s="785">
        <v>14615</v>
      </c>
      <c r="M619" s="785"/>
      <c r="N619" s="786">
        <v>9246</v>
      </c>
      <c r="O619" s="786">
        <v>0</v>
      </c>
      <c r="P619" s="786">
        <v>0</v>
      </c>
      <c r="Q619" s="785">
        <v>25539</v>
      </c>
      <c r="R619" s="785"/>
      <c r="S619" s="786">
        <v>110074</v>
      </c>
      <c r="T619" s="788">
        <v>-1269</v>
      </c>
      <c r="U619" s="788">
        <v>108805</v>
      </c>
    </row>
    <row r="620" spans="1:21" x14ac:dyDescent="0.25">
      <c r="A620" s="782">
        <v>96731</v>
      </c>
      <c r="B620" s="783" t="s">
        <v>3231</v>
      </c>
      <c r="C620" s="784">
        <v>1.697E-4</v>
      </c>
      <c r="D620" s="784">
        <v>1.5090000000000001E-4</v>
      </c>
      <c r="E620" s="815">
        <v>72356</v>
      </c>
      <c r="F620" s="818">
        <v>320260</v>
      </c>
      <c r="G620" s="785">
        <v>259255</v>
      </c>
      <c r="H620" s="785"/>
      <c r="I620" s="786">
        <v>14935</v>
      </c>
      <c r="J620" s="787">
        <v>62947</v>
      </c>
      <c r="K620" s="786">
        <v>37025</v>
      </c>
      <c r="L620" s="785">
        <v>20951</v>
      </c>
      <c r="M620" s="785"/>
      <c r="N620" s="786">
        <v>7339</v>
      </c>
      <c r="O620" s="786">
        <v>0</v>
      </c>
      <c r="P620" s="786">
        <v>0</v>
      </c>
      <c r="Q620" s="785">
        <v>6</v>
      </c>
      <c r="R620" s="785"/>
      <c r="S620" s="786">
        <v>87369</v>
      </c>
      <c r="T620" s="788">
        <v>7300</v>
      </c>
      <c r="U620" s="788">
        <v>94669</v>
      </c>
    </row>
    <row r="621" spans="1:21" x14ac:dyDescent="0.25">
      <c r="A621" s="782">
        <v>96733</v>
      </c>
      <c r="B621" s="783" t="s">
        <v>3232</v>
      </c>
      <c r="C621" s="784">
        <v>7.3000000000000004E-6</v>
      </c>
      <c r="D621" s="784">
        <v>9.2E-6</v>
      </c>
      <c r="E621" s="815">
        <v>4279</v>
      </c>
      <c r="F621" s="818">
        <v>19525</v>
      </c>
      <c r="G621" s="785">
        <v>11152</v>
      </c>
      <c r="H621" s="785"/>
      <c r="I621" s="786">
        <v>642</v>
      </c>
      <c r="J621" s="787">
        <v>2708</v>
      </c>
      <c r="K621" s="786">
        <v>1593</v>
      </c>
      <c r="L621" s="785">
        <v>3988</v>
      </c>
      <c r="M621" s="785"/>
      <c r="N621" s="786">
        <v>316</v>
      </c>
      <c r="O621" s="786">
        <v>0</v>
      </c>
      <c r="P621" s="786">
        <v>0</v>
      </c>
      <c r="Q621" s="785">
        <v>1209</v>
      </c>
      <c r="R621" s="785"/>
      <c r="S621" s="786">
        <v>3758</v>
      </c>
      <c r="T621" s="788">
        <v>1574</v>
      </c>
      <c r="U621" s="788">
        <v>5332</v>
      </c>
    </row>
    <row r="622" spans="1:21" x14ac:dyDescent="0.25">
      <c r="A622" s="782">
        <v>96741</v>
      </c>
      <c r="B622" s="783" t="s">
        <v>3233</v>
      </c>
      <c r="C622" s="784">
        <v>9.0799999999999998E-5</v>
      </c>
      <c r="D622" s="784">
        <v>9.2399999999999996E-5</v>
      </c>
      <c r="E622" s="815">
        <v>41448</v>
      </c>
      <c r="F622" s="818">
        <v>196104</v>
      </c>
      <c r="G622" s="785">
        <v>138717</v>
      </c>
      <c r="H622" s="785"/>
      <c r="I622" s="786">
        <v>7991</v>
      </c>
      <c r="J622" s="787">
        <v>33681</v>
      </c>
      <c r="K622" s="786">
        <v>19811</v>
      </c>
      <c r="L622" s="785">
        <v>4204</v>
      </c>
      <c r="M622" s="785"/>
      <c r="N622" s="786">
        <v>3927</v>
      </c>
      <c r="O622" s="786">
        <v>0</v>
      </c>
      <c r="P622" s="786">
        <v>0</v>
      </c>
      <c r="Q622" s="785">
        <v>2410</v>
      </c>
      <c r="R622" s="785"/>
      <c r="S622" s="786">
        <v>46748</v>
      </c>
      <c r="T622" s="788">
        <v>2215</v>
      </c>
      <c r="U622" s="788">
        <v>48963</v>
      </c>
    </row>
    <row r="623" spans="1:21" x14ac:dyDescent="0.25">
      <c r="A623" s="782">
        <v>96751</v>
      </c>
      <c r="B623" s="783" t="s">
        <v>3234</v>
      </c>
      <c r="C623" s="784">
        <v>2.5809999999999999E-4</v>
      </c>
      <c r="D623" s="784">
        <v>2.6120000000000001E-4</v>
      </c>
      <c r="E623" s="815">
        <v>115660</v>
      </c>
      <c r="F623" s="818">
        <v>554354</v>
      </c>
      <c r="G623" s="785">
        <v>394305</v>
      </c>
      <c r="H623" s="785"/>
      <c r="I623" s="786">
        <v>22716</v>
      </c>
      <c r="J623" s="787">
        <v>95737</v>
      </c>
      <c r="K623" s="786">
        <v>56312</v>
      </c>
      <c r="L623" s="785">
        <v>10810</v>
      </c>
      <c r="M623" s="785"/>
      <c r="N623" s="786">
        <v>11162</v>
      </c>
      <c r="O623" s="786">
        <v>0</v>
      </c>
      <c r="P623" s="786">
        <v>0</v>
      </c>
      <c r="Q623" s="785">
        <v>31380</v>
      </c>
      <c r="R623" s="785"/>
      <c r="S623" s="786">
        <v>132881</v>
      </c>
      <c r="T623" s="788">
        <v>-737</v>
      </c>
      <c r="U623" s="788">
        <v>132144</v>
      </c>
    </row>
    <row r="624" spans="1:21" x14ac:dyDescent="0.25">
      <c r="A624" s="782">
        <v>96801</v>
      </c>
      <c r="B624" s="783" t="s">
        <v>3235</v>
      </c>
      <c r="C624" s="784">
        <v>7.5814000000000003E-3</v>
      </c>
      <c r="D624" s="784">
        <v>7.8463999999999999E-3</v>
      </c>
      <c r="E624" s="815">
        <v>3611120</v>
      </c>
      <c r="F624" s="818">
        <v>16652689</v>
      </c>
      <c r="G624" s="785">
        <v>11582279</v>
      </c>
      <c r="H624" s="785"/>
      <c r="I624" s="786">
        <v>667247</v>
      </c>
      <c r="J624" s="787">
        <v>2812192</v>
      </c>
      <c r="K624" s="786">
        <v>1654110</v>
      </c>
      <c r="L624" s="785">
        <v>406857</v>
      </c>
      <c r="M624" s="785"/>
      <c r="N624" s="786">
        <v>327858</v>
      </c>
      <c r="O624" s="786">
        <v>0</v>
      </c>
      <c r="P624" s="786">
        <v>0</v>
      </c>
      <c r="Q624" s="785">
        <v>73178</v>
      </c>
      <c r="R624" s="785"/>
      <c r="S624" s="786">
        <v>3903238</v>
      </c>
      <c r="T624" s="788">
        <v>217480</v>
      </c>
      <c r="U624" s="788">
        <v>4120718</v>
      </c>
    </row>
    <row r="625" spans="1:21" x14ac:dyDescent="0.25">
      <c r="A625" s="782">
        <v>96804</v>
      </c>
      <c r="B625" s="783" t="s">
        <v>3236</v>
      </c>
      <c r="C625" s="784">
        <v>2.654E-4</v>
      </c>
      <c r="D625" s="784">
        <v>2.4230000000000001E-4</v>
      </c>
      <c r="E625" s="815">
        <v>109175</v>
      </c>
      <c r="F625" s="818">
        <v>514242</v>
      </c>
      <c r="G625" s="785">
        <v>405458</v>
      </c>
      <c r="H625" s="785"/>
      <c r="I625" s="786">
        <v>23358</v>
      </c>
      <c r="J625" s="787">
        <v>98446</v>
      </c>
      <c r="K625" s="786">
        <v>57905</v>
      </c>
      <c r="L625" s="785">
        <v>7601</v>
      </c>
      <c r="M625" s="785"/>
      <c r="N625" s="786">
        <v>11477</v>
      </c>
      <c r="O625" s="786">
        <v>0</v>
      </c>
      <c r="P625" s="786">
        <v>0</v>
      </c>
      <c r="Q625" s="785">
        <v>2044</v>
      </c>
      <c r="R625" s="785"/>
      <c r="S625" s="786">
        <v>136640</v>
      </c>
      <c r="T625" s="788">
        <v>2424</v>
      </c>
      <c r="U625" s="788">
        <v>139064</v>
      </c>
    </row>
    <row r="626" spans="1:21" x14ac:dyDescent="0.25">
      <c r="A626" s="782">
        <v>96808</v>
      </c>
      <c r="B626" s="783" t="s">
        <v>3237</v>
      </c>
      <c r="C626" s="784">
        <v>1.2711000000000001E-3</v>
      </c>
      <c r="D626" s="784">
        <v>1.2882E-3</v>
      </c>
      <c r="E626" s="815">
        <v>593249</v>
      </c>
      <c r="F626" s="818">
        <v>2733992</v>
      </c>
      <c r="G626" s="785">
        <v>1941889</v>
      </c>
      <c r="H626" s="785"/>
      <c r="I626" s="786">
        <v>111871</v>
      </c>
      <c r="J626" s="787">
        <v>471493</v>
      </c>
      <c r="K626" s="786">
        <v>277329</v>
      </c>
      <c r="L626" s="785">
        <v>42529</v>
      </c>
      <c r="M626" s="785"/>
      <c r="N626" s="786">
        <v>54969</v>
      </c>
      <c r="O626" s="786">
        <v>0</v>
      </c>
      <c r="P626" s="786">
        <v>0</v>
      </c>
      <c r="Q626" s="785">
        <v>3699</v>
      </c>
      <c r="R626" s="785"/>
      <c r="S626" s="786">
        <v>654418</v>
      </c>
      <c r="T626" s="788">
        <v>23633</v>
      </c>
      <c r="U626" s="788">
        <v>678051</v>
      </c>
    </row>
    <row r="627" spans="1:21" x14ac:dyDescent="0.25">
      <c r="A627" s="782">
        <v>96811</v>
      </c>
      <c r="B627" s="783" t="s">
        <v>3238</v>
      </c>
      <c r="C627" s="784">
        <v>6.0096999999999998E-3</v>
      </c>
      <c r="D627" s="784">
        <v>5.9861999999999997E-3</v>
      </c>
      <c r="E627" s="815">
        <v>2786025</v>
      </c>
      <c r="F627" s="818">
        <v>12704722</v>
      </c>
      <c r="G627" s="785">
        <v>9181157</v>
      </c>
      <c r="H627" s="785"/>
      <c r="I627" s="786">
        <v>528920</v>
      </c>
      <c r="J627" s="787">
        <v>2229197</v>
      </c>
      <c r="K627" s="786">
        <v>1311196</v>
      </c>
      <c r="L627" s="785">
        <v>37410</v>
      </c>
      <c r="M627" s="785"/>
      <c r="N627" s="786">
        <v>259889</v>
      </c>
      <c r="O627" s="786">
        <v>0</v>
      </c>
      <c r="P627" s="786">
        <v>0</v>
      </c>
      <c r="Q627" s="785">
        <v>53500</v>
      </c>
      <c r="R627" s="785"/>
      <c r="S627" s="786">
        <v>3094058</v>
      </c>
      <c r="T627" s="788">
        <v>-23369</v>
      </c>
      <c r="U627" s="788">
        <v>3070689</v>
      </c>
    </row>
    <row r="628" spans="1:21" x14ac:dyDescent="0.25">
      <c r="A628" s="782">
        <v>96821</v>
      </c>
      <c r="B628" s="783" t="s">
        <v>3239</v>
      </c>
      <c r="C628" s="784">
        <v>1.3247000000000001E-3</v>
      </c>
      <c r="D628" s="784">
        <v>1.3630999999999999E-3</v>
      </c>
      <c r="E628" s="815">
        <v>603956</v>
      </c>
      <c r="F628" s="818">
        <v>2892955</v>
      </c>
      <c r="G628" s="785">
        <v>2023775</v>
      </c>
      <c r="H628" s="785"/>
      <c r="I628" s="786">
        <v>116588</v>
      </c>
      <c r="J628" s="787">
        <v>491375</v>
      </c>
      <c r="K628" s="786">
        <v>289023</v>
      </c>
      <c r="L628" s="785">
        <v>0</v>
      </c>
      <c r="M628" s="785"/>
      <c r="N628" s="786">
        <v>57287</v>
      </c>
      <c r="O628" s="786">
        <v>0</v>
      </c>
      <c r="P628" s="786">
        <v>0</v>
      </c>
      <c r="Q628" s="785">
        <v>134629</v>
      </c>
      <c r="R628" s="785"/>
      <c r="S628" s="786">
        <v>682014</v>
      </c>
      <c r="T628" s="788">
        <v>-54878</v>
      </c>
      <c r="U628" s="788">
        <v>627136</v>
      </c>
    </row>
    <row r="629" spans="1:21" x14ac:dyDescent="0.25">
      <c r="A629" s="782">
        <v>96831</v>
      </c>
      <c r="B629" s="783" t="s">
        <v>3240</v>
      </c>
      <c r="C629" s="784">
        <v>9.1929999999999996E-4</v>
      </c>
      <c r="D629" s="784">
        <v>9.2400000000000002E-4</v>
      </c>
      <c r="E629" s="815">
        <v>426593</v>
      </c>
      <c r="F629" s="818">
        <v>1961038</v>
      </c>
      <c r="G629" s="785">
        <v>1404436</v>
      </c>
      <c r="H629" s="785"/>
      <c r="I629" s="786">
        <v>80909</v>
      </c>
      <c r="J629" s="787">
        <v>340998</v>
      </c>
      <c r="K629" s="786">
        <v>200573</v>
      </c>
      <c r="L629" s="785">
        <v>37726</v>
      </c>
      <c r="M629" s="785"/>
      <c r="N629" s="786">
        <v>39755</v>
      </c>
      <c r="O629" s="786">
        <v>0</v>
      </c>
      <c r="P629" s="786">
        <v>0</v>
      </c>
      <c r="Q629" s="785">
        <v>0</v>
      </c>
      <c r="R629" s="785"/>
      <c r="S629" s="786">
        <v>473296</v>
      </c>
      <c r="T629" s="788">
        <v>19380</v>
      </c>
      <c r="U629" s="788">
        <v>492676</v>
      </c>
    </row>
    <row r="630" spans="1:21" x14ac:dyDescent="0.25">
      <c r="A630" s="782">
        <v>96901</v>
      </c>
      <c r="B630" s="783" t="s">
        <v>3241</v>
      </c>
      <c r="C630" s="784">
        <v>8.9820000000000004E-4</v>
      </c>
      <c r="D630" s="784">
        <v>8.1610000000000005E-4</v>
      </c>
      <c r="E630" s="815">
        <v>411770</v>
      </c>
      <c r="F630" s="818">
        <v>1732038</v>
      </c>
      <c r="G630" s="785">
        <v>1372201</v>
      </c>
      <c r="H630" s="785"/>
      <c r="I630" s="786">
        <v>79051</v>
      </c>
      <c r="J630" s="787">
        <v>333172</v>
      </c>
      <c r="K630" s="786">
        <v>195969</v>
      </c>
      <c r="L630" s="785">
        <v>85745</v>
      </c>
      <c r="M630" s="785"/>
      <c r="N630" s="786">
        <v>38843</v>
      </c>
      <c r="O630" s="786">
        <v>0</v>
      </c>
      <c r="P630" s="786">
        <v>0</v>
      </c>
      <c r="Q630" s="785">
        <v>0</v>
      </c>
      <c r="R630" s="785"/>
      <c r="S630" s="786">
        <v>462433</v>
      </c>
      <c r="T630" s="788">
        <v>28927</v>
      </c>
      <c r="U630" s="788">
        <v>491360</v>
      </c>
    </row>
    <row r="631" spans="1:21" x14ac:dyDescent="0.25">
      <c r="A631" s="782">
        <v>96911</v>
      </c>
      <c r="B631" s="783" t="s">
        <v>3242</v>
      </c>
      <c r="C631" s="784">
        <v>2.3999999999999999E-6</v>
      </c>
      <c r="D631" s="784">
        <v>3.7000000000000002E-6</v>
      </c>
      <c r="E631" s="815">
        <v>1942</v>
      </c>
      <c r="F631" s="818">
        <v>7853</v>
      </c>
      <c r="G631" s="785">
        <v>3667</v>
      </c>
      <c r="H631" s="785"/>
      <c r="I631" s="786">
        <v>211</v>
      </c>
      <c r="J631" s="787">
        <v>890</v>
      </c>
      <c r="K631" s="786">
        <v>524</v>
      </c>
      <c r="L631" s="785">
        <v>2464</v>
      </c>
      <c r="M631" s="785"/>
      <c r="N631" s="786">
        <v>104</v>
      </c>
      <c r="O631" s="786">
        <v>0</v>
      </c>
      <c r="P631" s="786">
        <v>0</v>
      </c>
      <c r="Q631" s="785">
        <v>2953</v>
      </c>
      <c r="R631" s="785"/>
      <c r="S631" s="786">
        <v>1236</v>
      </c>
      <c r="T631" s="788">
        <v>521</v>
      </c>
      <c r="U631" s="788">
        <f>1756+1</f>
        <v>1757</v>
      </c>
    </row>
    <row r="632" spans="1:21" x14ac:dyDescent="0.25">
      <c r="A632" s="782">
        <v>96912</v>
      </c>
      <c r="B632" s="783" t="s">
        <v>3243</v>
      </c>
      <c r="C632" s="784">
        <v>6.0099999999999997E-5</v>
      </c>
      <c r="D632" s="784">
        <v>6.0999999999999999E-5</v>
      </c>
      <c r="E632" s="815">
        <v>24610</v>
      </c>
      <c r="F632" s="818">
        <v>129462</v>
      </c>
      <c r="G632" s="785">
        <v>91816</v>
      </c>
      <c r="H632" s="785"/>
      <c r="I632" s="786">
        <v>5289</v>
      </c>
      <c r="J632" s="787">
        <v>22293</v>
      </c>
      <c r="K632" s="786">
        <v>13113</v>
      </c>
      <c r="L632" s="785">
        <v>4325</v>
      </c>
      <c r="M632" s="785"/>
      <c r="N632" s="786">
        <v>2599</v>
      </c>
      <c r="O632" s="786">
        <v>0</v>
      </c>
      <c r="P632" s="786">
        <v>0</v>
      </c>
      <c r="Q632" s="785">
        <v>3739</v>
      </c>
      <c r="R632" s="785"/>
      <c r="S632" s="786">
        <v>30942</v>
      </c>
      <c r="T632" s="788">
        <v>2307</v>
      </c>
      <c r="U632" s="788">
        <v>33249</v>
      </c>
    </row>
    <row r="633" spans="1:21" x14ac:dyDescent="0.25">
      <c r="A633" s="782">
        <v>96918</v>
      </c>
      <c r="B633" s="783" t="s">
        <v>3244</v>
      </c>
      <c r="C633" s="784">
        <v>3.8000000000000002E-5</v>
      </c>
      <c r="D633" s="784">
        <v>4.0500000000000002E-5</v>
      </c>
      <c r="E633" s="815">
        <v>20289</v>
      </c>
      <c r="F633" s="818">
        <v>85955</v>
      </c>
      <c r="G633" s="785">
        <v>58053</v>
      </c>
      <c r="H633" s="785"/>
      <c r="I633" s="786">
        <v>3344</v>
      </c>
      <c r="J633" s="787">
        <v>14095</v>
      </c>
      <c r="K633" s="786">
        <v>8291</v>
      </c>
      <c r="L633" s="785">
        <v>7713</v>
      </c>
      <c r="M633" s="785"/>
      <c r="N633" s="786">
        <v>1643</v>
      </c>
      <c r="O633" s="786">
        <v>0</v>
      </c>
      <c r="P633" s="786">
        <v>0</v>
      </c>
      <c r="Q633" s="785">
        <v>884</v>
      </c>
      <c r="R633" s="785"/>
      <c r="S633" s="786">
        <v>19564</v>
      </c>
      <c r="T633" s="788">
        <v>5648</v>
      </c>
      <c r="U633" s="788">
        <v>25212</v>
      </c>
    </row>
    <row r="634" spans="1:21" x14ac:dyDescent="0.25">
      <c r="A634" s="782">
        <v>97001</v>
      </c>
      <c r="B634" s="783" t="s">
        <v>3245</v>
      </c>
      <c r="C634" s="784">
        <v>1.3778E-3</v>
      </c>
      <c r="D634" s="784">
        <v>1.3641E-3</v>
      </c>
      <c r="E634" s="815">
        <v>710694</v>
      </c>
      <c r="F634" s="818">
        <v>2895077</v>
      </c>
      <c r="G634" s="785">
        <v>2104897</v>
      </c>
      <c r="H634" s="785"/>
      <c r="I634" s="786">
        <v>121262</v>
      </c>
      <c r="J634" s="787">
        <v>511071</v>
      </c>
      <c r="K634" s="786">
        <v>300608</v>
      </c>
      <c r="L634" s="785">
        <v>148744</v>
      </c>
      <c r="M634" s="785"/>
      <c r="N634" s="786">
        <v>59583</v>
      </c>
      <c r="O634" s="786">
        <v>0</v>
      </c>
      <c r="P634" s="786">
        <v>0</v>
      </c>
      <c r="Q634" s="785">
        <v>11523</v>
      </c>
      <c r="R634" s="785"/>
      <c r="S634" s="786">
        <v>709352</v>
      </c>
      <c r="T634" s="788">
        <v>36360</v>
      </c>
      <c r="U634" s="788">
        <v>745712</v>
      </c>
    </row>
    <row r="635" spans="1:21" x14ac:dyDescent="0.25">
      <c r="A635" s="782">
        <v>97002</v>
      </c>
      <c r="B635" s="783" t="s">
        <v>3246</v>
      </c>
      <c r="C635" s="784">
        <v>5.2610000000000005E-4</v>
      </c>
      <c r="D635" s="784">
        <v>4.6589999999999999E-4</v>
      </c>
      <c r="E635" s="815">
        <v>182319</v>
      </c>
      <c r="F635" s="818">
        <v>988796</v>
      </c>
      <c r="G635" s="785">
        <v>803735</v>
      </c>
      <c r="H635" s="785"/>
      <c r="I635" s="786">
        <v>46303</v>
      </c>
      <c r="J635" s="787">
        <v>195148</v>
      </c>
      <c r="K635" s="786">
        <v>114784</v>
      </c>
      <c r="L635" s="785">
        <v>16832</v>
      </c>
      <c r="M635" s="785"/>
      <c r="N635" s="786">
        <v>22751</v>
      </c>
      <c r="O635" s="786">
        <v>0</v>
      </c>
      <c r="P635" s="786">
        <v>0</v>
      </c>
      <c r="Q635" s="785">
        <v>7002</v>
      </c>
      <c r="R635" s="785"/>
      <c r="S635" s="786">
        <v>270859</v>
      </c>
      <c r="T635" s="788">
        <v>10025</v>
      </c>
      <c r="U635" s="788">
        <f>280885-1</f>
        <v>280884</v>
      </c>
    </row>
    <row r="636" spans="1:21" x14ac:dyDescent="0.25">
      <c r="A636" s="782">
        <v>97004</v>
      </c>
      <c r="B636" s="783" t="s">
        <v>3247</v>
      </c>
      <c r="C636" s="784">
        <v>9.7999999999999993E-6</v>
      </c>
      <c r="D636" s="784">
        <v>1.0900000000000001E-5</v>
      </c>
      <c r="E636" s="815">
        <v>8257</v>
      </c>
      <c r="F636" s="818">
        <v>23133</v>
      </c>
      <c r="G636" s="785">
        <v>14972</v>
      </c>
      <c r="H636" s="785"/>
      <c r="I636" s="786">
        <v>863</v>
      </c>
      <c r="J636" s="787">
        <v>3635</v>
      </c>
      <c r="K636" s="786">
        <v>2138</v>
      </c>
      <c r="L636" s="785">
        <v>4225</v>
      </c>
      <c r="M636" s="785"/>
      <c r="N636" s="786">
        <v>424</v>
      </c>
      <c r="O636" s="786">
        <v>0</v>
      </c>
      <c r="P636" s="786">
        <v>0</v>
      </c>
      <c r="Q636" s="785">
        <v>0</v>
      </c>
      <c r="R636" s="785"/>
      <c r="S636" s="786">
        <v>5045</v>
      </c>
      <c r="T636" s="788">
        <v>1862</v>
      </c>
      <c r="U636" s="788">
        <f>6908-1</f>
        <v>6907</v>
      </c>
    </row>
    <row r="637" spans="1:21" x14ac:dyDescent="0.25">
      <c r="A637" s="782">
        <v>97005</v>
      </c>
      <c r="B637" s="783" t="s">
        <v>3248</v>
      </c>
      <c r="C637" s="784">
        <v>2.83E-5</v>
      </c>
      <c r="D637" s="784">
        <v>1.42E-5</v>
      </c>
      <c r="E637" s="815">
        <v>15092</v>
      </c>
      <c r="F637" s="818">
        <v>30137</v>
      </c>
      <c r="G637" s="785">
        <v>43235</v>
      </c>
      <c r="H637" s="785"/>
      <c r="I637" s="786">
        <v>2491</v>
      </c>
      <c r="J637" s="787">
        <v>10498</v>
      </c>
      <c r="K637" s="786">
        <v>6174</v>
      </c>
      <c r="L637" s="785">
        <v>13129</v>
      </c>
      <c r="M637" s="785"/>
      <c r="N637" s="786">
        <v>1224</v>
      </c>
      <c r="O637" s="786">
        <v>0</v>
      </c>
      <c r="P637" s="786">
        <v>0</v>
      </c>
      <c r="Q637" s="785">
        <v>1368</v>
      </c>
      <c r="R637" s="785"/>
      <c r="S637" s="786">
        <v>14570</v>
      </c>
      <c r="T637" s="788">
        <v>3211</v>
      </c>
      <c r="U637" s="788">
        <v>17781</v>
      </c>
    </row>
    <row r="638" spans="1:21" x14ac:dyDescent="0.25">
      <c r="A638" s="782">
        <v>97008</v>
      </c>
      <c r="B638" s="783" t="s">
        <v>3249</v>
      </c>
      <c r="C638" s="784">
        <v>2.8659999999999997E-4</v>
      </c>
      <c r="D638" s="784">
        <v>2.7530000000000002E-4</v>
      </c>
      <c r="E638" s="815">
        <v>128453</v>
      </c>
      <c r="F638" s="818">
        <v>584279</v>
      </c>
      <c r="G638" s="785">
        <v>437845</v>
      </c>
      <c r="H638" s="785"/>
      <c r="I638" s="786">
        <v>25224</v>
      </c>
      <c r="J638" s="787">
        <v>106309</v>
      </c>
      <c r="K638" s="786">
        <v>62530</v>
      </c>
      <c r="L638" s="785">
        <v>12387</v>
      </c>
      <c r="M638" s="785"/>
      <c r="N638" s="786">
        <v>12394</v>
      </c>
      <c r="O638" s="786">
        <v>0</v>
      </c>
      <c r="P638" s="786">
        <v>0</v>
      </c>
      <c r="Q638" s="785">
        <v>3127</v>
      </c>
      <c r="R638" s="785"/>
      <c r="S638" s="786">
        <v>147554</v>
      </c>
      <c r="T638" s="788">
        <v>7175</v>
      </c>
      <c r="U638" s="788">
        <v>154729</v>
      </c>
    </row>
    <row r="639" spans="1:21" x14ac:dyDescent="0.25">
      <c r="A639" s="782">
        <v>97010</v>
      </c>
      <c r="B639" s="783" t="s">
        <v>3250</v>
      </c>
      <c r="C639" s="784">
        <v>0</v>
      </c>
      <c r="D639" s="784">
        <v>0</v>
      </c>
      <c r="E639" s="815">
        <v>0</v>
      </c>
      <c r="F639" s="818">
        <v>0</v>
      </c>
      <c r="G639" s="785">
        <v>0</v>
      </c>
      <c r="H639" s="785"/>
      <c r="I639" s="786">
        <v>0</v>
      </c>
      <c r="J639" s="787">
        <v>0</v>
      </c>
      <c r="K639" s="786">
        <v>0</v>
      </c>
      <c r="L639" s="785">
        <v>0</v>
      </c>
      <c r="M639" s="785"/>
      <c r="N639" s="786">
        <v>0</v>
      </c>
      <c r="O639" s="786">
        <v>0</v>
      </c>
      <c r="P639" s="786">
        <v>0</v>
      </c>
      <c r="Q639" s="785">
        <v>2056902</v>
      </c>
      <c r="R639" s="785"/>
      <c r="S639" s="786">
        <v>0</v>
      </c>
      <c r="T639" s="788">
        <v>-1282454</v>
      </c>
      <c r="U639" s="788">
        <v>-1282454</v>
      </c>
    </row>
    <row r="640" spans="1:21" x14ac:dyDescent="0.25">
      <c r="A640" s="782">
        <v>97011</v>
      </c>
      <c r="B640" s="783" t="s">
        <v>3251</v>
      </c>
      <c r="C640" s="784">
        <v>1.9166999999999999E-3</v>
      </c>
      <c r="D640" s="784">
        <v>1.9522999999999999E-3</v>
      </c>
      <c r="E640" s="815">
        <v>907458</v>
      </c>
      <c r="F640" s="818">
        <v>4143435</v>
      </c>
      <c r="G640" s="785">
        <v>2928187</v>
      </c>
      <c r="H640" s="785"/>
      <c r="I640" s="786">
        <v>168691</v>
      </c>
      <c r="J640" s="787">
        <v>710967</v>
      </c>
      <c r="K640" s="786">
        <v>418186</v>
      </c>
      <c r="L640" s="785">
        <v>0</v>
      </c>
      <c r="M640" s="785"/>
      <c r="N640" s="786">
        <v>82888</v>
      </c>
      <c r="O640" s="786">
        <v>0</v>
      </c>
      <c r="P640" s="786">
        <v>0</v>
      </c>
      <c r="Q640" s="785">
        <v>92552</v>
      </c>
      <c r="R640" s="785"/>
      <c r="S640" s="786">
        <v>986801</v>
      </c>
      <c r="T640" s="788">
        <v>-38711</v>
      </c>
      <c r="U640" s="788">
        <v>948090</v>
      </c>
    </row>
    <row r="641" spans="1:21" x14ac:dyDescent="0.25">
      <c r="A641" s="782">
        <v>97012</v>
      </c>
      <c r="B641" s="783" t="s">
        <v>3252</v>
      </c>
      <c r="C641" s="784">
        <v>2.9499999999999999E-5</v>
      </c>
      <c r="D641" s="784">
        <v>2.4499999999999999E-5</v>
      </c>
      <c r="E641" s="815">
        <v>12375</v>
      </c>
      <c r="F641" s="818">
        <v>51997</v>
      </c>
      <c r="G641" s="785">
        <v>45068</v>
      </c>
      <c r="H641" s="785"/>
      <c r="I641" s="786">
        <v>2596</v>
      </c>
      <c r="J641" s="787">
        <v>10942</v>
      </c>
      <c r="K641" s="786">
        <v>6436</v>
      </c>
      <c r="L641" s="785">
        <v>4949</v>
      </c>
      <c r="M641" s="785"/>
      <c r="N641" s="786">
        <v>1276</v>
      </c>
      <c r="O641" s="786">
        <v>0</v>
      </c>
      <c r="P641" s="786">
        <v>0</v>
      </c>
      <c r="Q641" s="785">
        <v>1149</v>
      </c>
      <c r="R641" s="785"/>
      <c r="S641" s="786">
        <v>15188</v>
      </c>
      <c r="T641" s="788">
        <v>752</v>
      </c>
      <c r="U641" s="788">
        <v>15940</v>
      </c>
    </row>
    <row r="642" spans="1:21" x14ac:dyDescent="0.25">
      <c r="A642" s="782">
        <v>97013</v>
      </c>
      <c r="B642" s="783" t="s">
        <v>3253</v>
      </c>
      <c r="C642" s="784">
        <v>1.8199999999999999E-5</v>
      </c>
      <c r="D642" s="784">
        <v>2.0699999999999998E-5</v>
      </c>
      <c r="E642" s="815">
        <v>11433</v>
      </c>
      <c r="F642" s="818">
        <v>43932</v>
      </c>
      <c r="G642" s="785">
        <v>27805</v>
      </c>
      <c r="H642" s="785"/>
      <c r="I642" s="786">
        <v>1602</v>
      </c>
      <c r="J642" s="787">
        <v>6751</v>
      </c>
      <c r="K642" s="786">
        <v>3971</v>
      </c>
      <c r="L642" s="785">
        <v>6233</v>
      </c>
      <c r="M642" s="785"/>
      <c r="N642" s="786">
        <v>787</v>
      </c>
      <c r="O642" s="786">
        <v>0</v>
      </c>
      <c r="P642" s="786">
        <v>0</v>
      </c>
      <c r="Q642" s="785">
        <v>431</v>
      </c>
      <c r="R642" s="785"/>
      <c r="S642" s="786">
        <v>9370</v>
      </c>
      <c r="T642" s="788">
        <v>2046</v>
      </c>
      <c r="U642" s="788">
        <v>11416</v>
      </c>
    </row>
    <row r="643" spans="1:21" x14ac:dyDescent="0.25">
      <c r="A643" s="782">
        <v>97015</v>
      </c>
      <c r="B643" s="783" t="s">
        <v>3254</v>
      </c>
      <c r="C643" s="784">
        <v>4.1499999999999999E-5</v>
      </c>
      <c r="D643" s="784">
        <v>5.3699999999999997E-5</v>
      </c>
      <c r="E643" s="815">
        <v>23036</v>
      </c>
      <c r="F643" s="818">
        <v>113969</v>
      </c>
      <c r="G643" s="785">
        <v>63401</v>
      </c>
      <c r="H643" s="785"/>
      <c r="I643" s="786">
        <v>3652</v>
      </c>
      <c r="J643" s="787">
        <v>15394</v>
      </c>
      <c r="K643" s="786">
        <v>9054</v>
      </c>
      <c r="L643" s="785">
        <v>4608</v>
      </c>
      <c r="M643" s="785"/>
      <c r="N643" s="786">
        <v>1795</v>
      </c>
      <c r="O643" s="786">
        <v>0</v>
      </c>
      <c r="P643" s="786">
        <v>0</v>
      </c>
      <c r="Q643" s="785">
        <v>5783</v>
      </c>
      <c r="R643" s="785"/>
      <c r="S643" s="786">
        <v>21366</v>
      </c>
      <c r="T643" s="788">
        <v>26</v>
      </c>
      <c r="U643" s="788">
        <v>21392</v>
      </c>
    </row>
    <row r="644" spans="1:21" x14ac:dyDescent="0.25">
      <c r="A644" s="782">
        <v>97018</v>
      </c>
      <c r="B644" s="783" t="s">
        <v>3255</v>
      </c>
      <c r="C644" s="784">
        <v>8.6000000000000007E-6</v>
      </c>
      <c r="D644" s="784">
        <v>9.3999999999999998E-6</v>
      </c>
      <c r="E644" s="815">
        <v>8135</v>
      </c>
      <c r="F644" s="818">
        <v>19950</v>
      </c>
      <c r="G644" s="785">
        <v>13138</v>
      </c>
      <c r="H644" s="785"/>
      <c r="I644" s="786">
        <v>757</v>
      </c>
      <c r="J644" s="787">
        <v>3190</v>
      </c>
      <c r="K644" s="786">
        <v>1876</v>
      </c>
      <c r="L644" s="785">
        <v>6833</v>
      </c>
      <c r="M644" s="785"/>
      <c r="N644" s="786">
        <v>372</v>
      </c>
      <c r="O644" s="786">
        <v>0</v>
      </c>
      <c r="P644" s="786">
        <v>0</v>
      </c>
      <c r="Q644" s="785">
        <v>0</v>
      </c>
      <c r="R644" s="785"/>
      <c r="S644" s="786">
        <v>4428</v>
      </c>
      <c r="T644" s="788">
        <v>2806</v>
      </c>
      <c r="U644" s="788">
        <v>7234</v>
      </c>
    </row>
    <row r="645" spans="1:21" x14ac:dyDescent="0.25">
      <c r="A645" s="782">
        <v>97101</v>
      </c>
      <c r="B645" s="783" t="s">
        <v>3256</v>
      </c>
      <c r="C645" s="784">
        <v>2.5790000000000001E-3</v>
      </c>
      <c r="D645" s="784">
        <v>2.6029E-3</v>
      </c>
      <c r="E645" s="815">
        <v>1208500</v>
      </c>
      <c r="F645" s="818">
        <v>5524226</v>
      </c>
      <c r="G645" s="785">
        <v>3939998</v>
      </c>
      <c r="H645" s="785"/>
      <c r="I645" s="786">
        <v>226980</v>
      </c>
      <c r="J645" s="787">
        <v>956636</v>
      </c>
      <c r="K645" s="786">
        <v>562686</v>
      </c>
      <c r="L645" s="785">
        <v>22549</v>
      </c>
      <c r="M645" s="785"/>
      <c r="N645" s="786">
        <v>111529</v>
      </c>
      <c r="O645" s="786">
        <v>0</v>
      </c>
      <c r="P645" s="786">
        <v>0</v>
      </c>
      <c r="Q645" s="785">
        <v>6937</v>
      </c>
      <c r="R645" s="785"/>
      <c r="S645" s="786">
        <v>1327783</v>
      </c>
      <c r="T645" s="788">
        <v>3541</v>
      </c>
      <c r="U645" s="788">
        <v>1331324</v>
      </c>
    </row>
    <row r="646" spans="1:21" x14ac:dyDescent="0.25">
      <c r="A646" s="782">
        <v>97104</v>
      </c>
      <c r="B646" s="783" t="s">
        <v>3257</v>
      </c>
      <c r="C646" s="784">
        <v>5.4299999999999998E-5</v>
      </c>
      <c r="D646" s="784">
        <v>5.6799999999999998E-5</v>
      </c>
      <c r="E646" s="815">
        <v>29147</v>
      </c>
      <c r="F646" s="818">
        <v>120549</v>
      </c>
      <c r="G646" s="785">
        <v>82955</v>
      </c>
      <c r="H646" s="785"/>
      <c r="I646" s="786">
        <v>4779</v>
      </c>
      <c r="J646" s="787">
        <v>20142</v>
      </c>
      <c r="K646" s="786">
        <v>11847</v>
      </c>
      <c r="L646" s="785">
        <v>11700</v>
      </c>
      <c r="M646" s="785"/>
      <c r="N646" s="786">
        <v>2348</v>
      </c>
      <c r="O646" s="786">
        <v>0</v>
      </c>
      <c r="P646" s="786">
        <v>0</v>
      </c>
      <c r="Q646" s="785">
        <v>0</v>
      </c>
      <c r="R646" s="785"/>
      <c r="S646" s="786">
        <v>27956</v>
      </c>
      <c r="T646" s="788">
        <v>6133</v>
      </c>
      <c r="U646" s="788">
        <v>34089</v>
      </c>
    </row>
    <row r="647" spans="1:21" x14ac:dyDescent="0.25">
      <c r="A647" s="782">
        <v>97111</v>
      </c>
      <c r="B647" s="783" t="s">
        <v>3258</v>
      </c>
      <c r="C647" s="784">
        <v>2.8200000000000002E-4</v>
      </c>
      <c r="D647" s="784">
        <v>2.7099999999999997E-4</v>
      </c>
      <c r="E647" s="815">
        <v>108871</v>
      </c>
      <c r="F647" s="818">
        <v>575153</v>
      </c>
      <c r="G647" s="785">
        <v>430818</v>
      </c>
      <c r="H647" s="785"/>
      <c r="I647" s="786">
        <v>24819</v>
      </c>
      <c r="J647" s="787">
        <v>104603</v>
      </c>
      <c r="K647" s="786">
        <v>61527</v>
      </c>
      <c r="L647" s="785">
        <v>7621</v>
      </c>
      <c r="M647" s="785"/>
      <c r="N647" s="786">
        <v>12195</v>
      </c>
      <c r="O647" s="786">
        <v>0</v>
      </c>
      <c r="P647" s="786">
        <v>0</v>
      </c>
      <c r="Q647" s="785">
        <v>20335</v>
      </c>
      <c r="R647" s="785"/>
      <c r="S647" s="786">
        <v>145186</v>
      </c>
      <c r="T647" s="788">
        <v>-1416</v>
      </c>
      <c r="U647" s="788">
        <v>143770</v>
      </c>
    </row>
    <row r="648" spans="1:21" x14ac:dyDescent="0.25">
      <c r="A648" s="782">
        <v>97121</v>
      </c>
      <c r="B648" s="783" t="s">
        <v>3259</v>
      </c>
      <c r="C648" s="784">
        <v>1.3640000000000001E-4</v>
      </c>
      <c r="D648" s="784">
        <v>1.2070000000000001E-4</v>
      </c>
      <c r="E648" s="815">
        <v>66522</v>
      </c>
      <c r="F648" s="818">
        <v>256166</v>
      </c>
      <c r="G648" s="785">
        <v>208381</v>
      </c>
      <c r="H648" s="785"/>
      <c r="I648" s="786">
        <v>12005</v>
      </c>
      <c r="J648" s="787">
        <v>50595</v>
      </c>
      <c r="K648" s="786">
        <v>29760</v>
      </c>
      <c r="L648" s="785">
        <v>13649</v>
      </c>
      <c r="M648" s="785"/>
      <c r="N648" s="786">
        <v>5899</v>
      </c>
      <c r="O648" s="786">
        <v>0</v>
      </c>
      <c r="P648" s="786">
        <v>0</v>
      </c>
      <c r="Q648" s="785">
        <v>10026</v>
      </c>
      <c r="R648" s="785"/>
      <c r="S648" s="786">
        <v>70225</v>
      </c>
      <c r="T648" s="788">
        <v>-1103</v>
      </c>
      <c r="U648" s="788">
        <v>69122</v>
      </c>
    </row>
    <row r="649" spans="1:21" x14ac:dyDescent="0.25">
      <c r="A649" s="782">
        <v>97131</v>
      </c>
      <c r="B649" s="783" t="s">
        <v>3260</v>
      </c>
      <c r="C649" s="784">
        <v>7.358E-4</v>
      </c>
      <c r="D649" s="784">
        <v>6.2969999999999996E-4</v>
      </c>
      <c r="E649" s="815">
        <v>280483</v>
      </c>
      <c r="F649" s="818">
        <v>1336434</v>
      </c>
      <c r="G649" s="785">
        <v>1124099</v>
      </c>
      <c r="H649" s="785"/>
      <c r="I649" s="786">
        <v>64758</v>
      </c>
      <c r="J649" s="787">
        <v>272933</v>
      </c>
      <c r="K649" s="786">
        <v>160537</v>
      </c>
      <c r="L649" s="785">
        <v>29703</v>
      </c>
      <c r="M649" s="785"/>
      <c r="N649" s="786">
        <v>31820</v>
      </c>
      <c r="O649" s="786">
        <v>0</v>
      </c>
      <c r="P649" s="786">
        <v>0</v>
      </c>
      <c r="Q649" s="785">
        <v>2383</v>
      </c>
      <c r="R649" s="785"/>
      <c r="S649" s="786">
        <v>378822</v>
      </c>
      <c r="T649" s="788">
        <v>7857</v>
      </c>
      <c r="U649" s="788">
        <v>386679</v>
      </c>
    </row>
    <row r="650" spans="1:21" x14ac:dyDescent="0.25">
      <c r="A650" s="782">
        <v>97201</v>
      </c>
      <c r="B650" s="783" t="s">
        <v>3261</v>
      </c>
      <c r="C650" s="784">
        <v>5.2689999999999996E-4</v>
      </c>
      <c r="D650" s="784">
        <v>4.9439999999999998E-4</v>
      </c>
      <c r="E650" s="815">
        <v>248232</v>
      </c>
      <c r="F650" s="818">
        <v>1049282</v>
      </c>
      <c r="G650" s="785">
        <v>804957</v>
      </c>
      <c r="H650" s="785"/>
      <c r="I650" s="786">
        <v>46373</v>
      </c>
      <c r="J650" s="787">
        <v>195445</v>
      </c>
      <c r="K650" s="786">
        <v>114959</v>
      </c>
      <c r="L650" s="785">
        <v>43529</v>
      </c>
      <c r="M650" s="785"/>
      <c r="N650" s="786">
        <v>22786</v>
      </c>
      <c r="O650" s="786">
        <v>0</v>
      </c>
      <c r="P650" s="786">
        <v>0</v>
      </c>
      <c r="Q650" s="785">
        <v>1877</v>
      </c>
      <c r="R650" s="785"/>
      <c r="S650" s="786">
        <v>271271</v>
      </c>
      <c r="T650" s="788">
        <v>10950</v>
      </c>
      <c r="U650" s="788">
        <f>282222-1</f>
        <v>282221</v>
      </c>
    </row>
    <row r="651" spans="1:21" x14ac:dyDescent="0.25">
      <c r="A651" s="782">
        <v>97211</v>
      </c>
      <c r="B651" s="783" t="s">
        <v>3262</v>
      </c>
      <c r="C651" s="784">
        <v>1.5980000000000001E-4</v>
      </c>
      <c r="D651" s="784">
        <v>1.4119999999999999E-4</v>
      </c>
      <c r="E651" s="815">
        <v>74902</v>
      </c>
      <c r="F651" s="818">
        <v>299674</v>
      </c>
      <c r="G651" s="785">
        <v>244130</v>
      </c>
      <c r="H651" s="785"/>
      <c r="I651" s="786">
        <v>14064</v>
      </c>
      <c r="J651" s="787">
        <v>59275</v>
      </c>
      <c r="K651" s="786">
        <v>34865</v>
      </c>
      <c r="L651" s="785">
        <v>16009</v>
      </c>
      <c r="M651" s="785"/>
      <c r="N651" s="786">
        <v>6911</v>
      </c>
      <c r="O651" s="786">
        <v>0</v>
      </c>
      <c r="P651" s="786">
        <v>0</v>
      </c>
      <c r="Q651" s="785">
        <v>12120</v>
      </c>
      <c r="R651" s="785"/>
      <c r="S651" s="786">
        <v>82272</v>
      </c>
      <c r="T651" s="788">
        <v>347</v>
      </c>
      <c r="U651" s="788">
        <v>82619</v>
      </c>
    </row>
    <row r="652" spans="1:21" x14ac:dyDescent="0.25">
      <c r="A652" s="782">
        <v>97213</v>
      </c>
      <c r="B652" s="783" t="s">
        <v>3263</v>
      </c>
      <c r="C652" s="784">
        <v>3.9100000000000002E-5</v>
      </c>
      <c r="D652" s="784">
        <v>3.8300000000000003E-5</v>
      </c>
      <c r="E652" s="815">
        <v>24680</v>
      </c>
      <c r="F652" s="818">
        <v>81285</v>
      </c>
      <c r="G652" s="785">
        <v>59734</v>
      </c>
      <c r="H652" s="785"/>
      <c r="I652" s="786">
        <v>3441</v>
      </c>
      <c r="J652" s="787">
        <v>14504</v>
      </c>
      <c r="K652" s="786">
        <v>8531</v>
      </c>
      <c r="L652" s="785">
        <v>6715</v>
      </c>
      <c r="M652" s="785"/>
      <c r="N652" s="786">
        <v>1691</v>
      </c>
      <c r="O652" s="786">
        <v>0</v>
      </c>
      <c r="P652" s="786">
        <v>0</v>
      </c>
      <c r="Q652" s="785">
        <v>495</v>
      </c>
      <c r="R652" s="785"/>
      <c r="S652" s="786">
        <v>20130</v>
      </c>
      <c r="T652" s="788">
        <v>2057</v>
      </c>
      <c r="U652" s="788">
        <v>22187</v>
      </c>
    </row>
    <row r="653" spans="1:21" x14ac:dyDescent="0.25">
      <c r="A653" s="782">
        <v>97217</v>
      </c>
      <c r="B653" s="783" t="s">
        <v>3264</v>
      </c>
      <c r="C653" s="784">
        <v>4.6E-6</v>
      </c>
      <c r="D653" s="784">
        <v>4.8999999999999997E-6</v>
      </c>
      <c r="E653" s="815">
        <v>6890</v>
      </c>
      <c r="F653" s="818">
        <v>10399</v>
      </c>
      <c r="G653" s="785">
        <v>7028</v>
      </c>
      <c r="H653" s="785"/>
      <c r="I653" s="786">
        <v>405</v>
      </c>
      <c r="J653" s="787">
        <v>1706</v>
      </c>
      <c r="K653" s="786">
        <v>1004</v>
      </c>
      <c r="L653" s="785">
        <v>8215</v>
      </c>
      <c r="M653" s="785"/>
      <c r="N653" s="786">
        <v>199</v>
      </c>
      <c r="O653" s="786">
        <v>0</v>
      </c>
      <c r="P653" s="786">
        <v>0</v>
      </c>
      <c r="Q653" s="785">
        <v>0</v>
      </c>
      <c r="R653" s="785"/>
      <c r="S653" s="786">
        <v>2368</v>
      </c>
      <c r="T653" s="788">
        <v>3286</v>
      </c>
      <c r="U653" s="788">
        <v>5654</v>
      </c>
    </row>
    <row r="654" spans="1:21" x14ac:dyDescent="0.25">
      <c r="A654" s="782">
        <v>97221</v>
      </c>
      <c r="B654" s="783" t="s">
        <v>3265</v>
      </c>
      <c r="C654" s="784">
        <v>7.1999999999999997E-6</v>
      </c>
      <c r="D654" s="784">
        <v>6.1999999999999999E-6</v>
      </c>
      <c r="E654" s="815">
        <v>7778</v>
      </c>
      <c r="F654" s="818">
        <v>13158</v>
      </c>
      <c r="G654" s="785">
        <v>11000</v>
      </c>
      <c r="H654" s="785"/>
      <c r="I654" s="786">
        <v>634</v>
      </c>
      <c r="J654" s="787">
        <v>2670</v>
      </c>
      <c r="K654" s="786">
        <v>1571</v>
      </c>
      <c r="L654" s="785">
        <v>8086</v>
      </c>
      <c r="M654" s="785"/>
      <c r="N654" s="786">
        <v>311</v>
      </c>
      <c r="O654" s="786">
        <v>0</v>
      </c>
      <c r="P654" s="786">
        <v>0</v>
      </c>
      <c r="Q654" s="785">
        <v>0</v>
      </c>
      <c r="R654" s="785"/>
      <c r="S654" s="786">
        <v>3707</v>
      </c>
      <c r="T654" s="788">
        <v>3119</v>
      </c>
      <c r="U654" s="788">
        <v>6826</v>
      </c>
    </row>
    <row r="655" spans="1:21" x14ac:dyDescent="0.25">
      <c r="A655" s="782">
        <v>97301</v>
      </c>
      <c r="B655" s="783" t="s">
        <v>3266</v>
      </c>
      <c r="C655" s="784">
        <v>2.5135999999999999E-3</v>
      </c>
      <c r="D655" s="784">
        <v>2.5742E-3</v>
      </c>
      <c r="E655" s="815">
        <v>1186932</v>
      </c>
      <c r="F655" s="818">
        <v>5463315</v>
      </c>
      <c r="G655" s="785">
        <v>3840085</v>
      </c>
      <c r="H655" s="785"/>
      <c r="I655" s="786">
        <v>221224</v>
      </c>
      <c r="J655" s="787">
        <v>932377</v>
      </c>
      <c r="K655" s="786">
        <v>548417</v>
      </c>
      <c r="L655" s="785">
        <v>23710</v>
      </c>
      <c r="M655" s="785"/>
      <c r="N655" s="786">
        <v>108701</v>
      </c>
      <c r="O655" s="786">
        <v>0</v>
      </c>
      <c r="P655" s="786">
        <v>0</v>
      </c>
      <c r="Q655" s="785">
        <v>56463</v>
      </c>
      <c r="R655" s="785"/>
      <c r="S655" s="786">
        <v>1294112</v>
      </c>
      <c r="T655" s="788">
        <v>-10667</v>
      </c>
      <c r="U655" s="788">
        <v>1283445</v>
      </c>
    </row>
    <row r="656" spans="1:21" x14ac:dyDescent="0.25">
      <c r="A656" s="782">
        <v>97304</v>
      </c>
      <c r="B656" s="783" t="s">
        <v>3267</v>
      </c>
      <c r="C656" s="784">
        <v>1.6799999999999998E-5</v>
      </c>
      <c r="D656" s="784">
        <v>1.7600000000000001E-5</v>
      </c>
      <c r="E656" s="815">
        <v>13382</v>
      </c>
      <c r="F656" s="818">
        <v>37353</v>
      </c>
      <c r="G656" s="785">
        <v>25666</v>
      </c>
      <c r="H656" s="785"/>
      <c r="I656" s="786">
        <v>1479</v>
      </c>
      <c r="J656" s="787">
        <v>6232</v>
      </c>
      <c r="K656" s="786">
        <v>3665</v>
      </c>
      <c r="L656" s="785">
        <v>8739</v>
      </c>
      <c r="M656" s="785"/>
      <c r="N656" s="786">
        <v>727</v>
      </c>
      <c r="O656" s="786">
        <v>0</v>
      </c>
      <c r="P656" s="786">
        <v>0</v>
      </c>
      <c r="Q656" s="785">
        <v>0</v>
      </c>
      <c r="R656" s="785"/>
      <c r="S656" s="786">
        <v>8649</v>
      </c>
      <c r="T656" s="788">
        <v>3503</v>
      </c>
      <c r="U656" s="788">
        <f>12153-1</f>
        <v>12152</v>
      </c>
    </row>
    <row r="657" spans="1:21" x14ac:dyDescent="0.25">
      <c r="A657" s="782">
        <v>97311</v>
      </c>
      <c r="B657" s="783" t="s">
        <v>3268</v>
      </c>
      <c r="C657" s="784">
        <v>9.1799999999999998E-4</v>
      </c>
      <c r="D657" s="784">
        <v>9.5E-4</v>
      </c>
      <c r="E657" s="815">
        <v>407124</v>
      </c>
      <c r="F657" s="818">
        <v>2016218</v>
      </c>
      <c r="G657" s="785">
        <v>1402450</v>
      </c>
      <c r="H657" s="785"/>
      <c r="I657" s="786">
        <v>80794</v>
      </c>
      <c r="J657" s="787">
        <v>340516</v>
      </c>
      <c r="K657" s="786">
        <v>200289</v>
      </c>
      <c r="L657" s="785">
        <v>0</v>
      </c>
      <c r="M657" s="785"/>
      <c r="N657" s="786">
        <v>39699</v>
      </c>
      <c r="O657" s="786">
        <v>0</v>
      </c>
      <c r="P657" s="786">
        <v>0</v>
      </c>
      <c r="Q657" s="785">
        <v>96844</v>
      </c>
      <c r="R657" s="785"/>
      <c r="S657" s="786">
        <v>472627</v>
      </c>
      <c r="T657" s="788">
        <v>-42048</v>
      </c>
      <c r="U657" s="788">
        <v>430579</v>
      </c>
    </row>
    <row r="658" spans="1:21" x14ac:dyDescent="0.25">
      <c r="A658" s="782">
        <v>97401</v>
      </c>
      <c r="B658" s="783" t="s">
        <v>3269</v>
      </c>
      <c r="C658" s="784">
        <v>7.1303E-3</v>
      </c>
      <c r="D658" s="784">
        <v>6.9633000000000004E-3</v>
      </c>
      <c r="E658" s="815">
        <v>3322669</v>
      </c>
      <c r="F658" s="818">
        <v>14778455</v>
      </c>
      <c r="G658" s="785">
        <v>10893123</v>
      </c>
      <c r="H658" s="785"/>
      <c r="I658" s="786">
        <v>627545</v>
      </c>
      <c r="J658" s="787">
        <v>2644864</v>
      </c>
      <c r="K658" s="786">
        <v>1555689</v>
      </c>
      <c r="L658" s="785">
        <v>151378</v>
      </c>
      <c r="M658" s="785"/>
      <c r="N658" s="786">
        <v>308350</v>
      </c>
      <c r="O658" s="786">
        <v>0</v>
      </c>
      <c r="P658" s="786">
        <v>0</v>
      </c>
      <c r="Q658" s="785">
        <v>83194</v>
      </c>
      <c r="R658" s="785"/>
      <c r="S658" s="786">
        <v>3670992</v>
      </c>
      <c r="T658" s="788">
        <v>-21617</v>
      </c>
      <c r="U658" s="788">
        <v>3649375</v>
      </c>
    </row>
    <row r="659" spans="1:21" x14ac:dyDescent="0.25">
      <c r="A659" s="782">
        <v>97402</v>
      </c>
      <c r="B659" s="783" t="s">
        <v>3270</v>
      </c>
      <c r="C659" s="784">
        <v>4.8000000000000001E-5</v>
      </c>
      <c r="D659" s="784">
        <v>4.4700000000000002E-5</v>
      </c>
      <c r="E659" s="815">
        <v>25207</v>
      </c>
      <c r="F659" s="818">
        <v>94868</v>
      </c>
      <c r="G659" s="785">
        <v>73331</v>
      </c>
      <c r="H659" s="785"/>
      <c r="I659" s="786">
        <v>4225</v>
      </c>
      <c r="J659" s="787">
        <v>17804</v>
      </c>
      <c r="K659" s="786">
        <v>10473</v>
      </c>
      <c r="L659" s="785">
        <v>15704</v>
      </c>
      <c r="M659" s="785"/>
      <c r="N659" s="786">
        <v>2076</v>
      </c>
      <c r="O659" s="786">
        <v>0</v>
      </c>
      <c r="P659" s="786">
        <v>0</v>
      </c>
      <c r="Q659" s="785">
        <v>0</v>
      </c>
      <c r="R659" s="785"/>
      <c r="S659" s="786">
        <v>24713</v>
      </c>
      <c r="T659" s="788">
        <v>5283</v>
      </c>
      <c r="U659" s="788">
        <f>29995+1</f>
        <v>29996</v>
      </c>
    </row>
    <row r="660" spans="1:21" x14ac:dyDescent="0.25">
      <c r="A660" s="782">
        <v>97404</v>
      </c>
      <c r="B660" s="783" t="s">
        <v>3271</v>
      </c>
      <c r="C660" s="784">
        <v>2.1010000000000001E-4</v>
      </c>
      <c r="D660" s="784">
        <v>2.1049999999999999E-4</v>
      </c>
      <c r="E660" s="815">
        <v>84649</v>
      </c>
      <c r="F660" s="818">
        <v>446752</v>
      </c>
      <c r="G660" s="785">
        <v>320975</v>
      </c>
      <c r="H660" s="785"/>
      <c r="I660" s="786">
        <v>18491</v>
      </c>
      <c r="J660" s="787">
        <v>77933</v>
      </c>
      <c r="K660" s="786">
        <v>45840</v>
      </c>
      <c r="L660" s="785">
        <v>983</v>
      </c>
      <c r="M660" s="785"/>
      <c r="N660" s="786">
        <v>9086</v>
      </c>
      <c r="O660" s="786">
        <v>0</v>
      </c>
      <c r="P660" s="786">
        <v>0</v>
      </c>
      <c r="Q660" s="785">
        <v>21173</v>
      </c>
      <c r="R660" s="785"/>
      <c r="S660" s="786">
        <v>108169</v>
      </c>
      <c r="T660" s="788">
        <v>-6084</v>
      </c>
      <c r="U660" s="788">
        <f>102084+1</f>
        <v>102085</v>
      </c>
    </row>
    <row r="661" spans="1:21" x14ac:dyDescent="0.25">
      <c r="A661" s="782">
        <v>97405</v>
      </c>
      <c r="B661" s="783" t="s">
        <v>3272</v>
      </c>
      <c r="C661" s="784">
        <v>1.091E-4</v>
      </c>
      <c r="D661" s="784">
        <v>1.087E-4</v>
      </c>
      <c r="E661" s="815">
        <v>65706</v>
      </c>
      <c r="F661" s="818">
        <v>230698</v>
      </c>
      <c r="G661" s="785">
        <v>166675</v>
      </c>
      <c r="H661" s="785"/>
      <c r="I661" s="786">
        <v>9602</v>
      </c>
      <c r="J661" s="787">
        <v>40468</v>
      </c>
      <c r="K661" s="786">
        <v>23803</v>
      </c>
      <c r="L661" s="785">
        <v>26973</v>
      </c>
      <c r="M661" s="785"/>
      <c r="N661" s="786">
        <v>4718</v>
      </c>
      <c r="O661" s="786">
        <v>0</v>
      </c>
      <c r="P661" s="786">
        <v>0</v>
      </c>
      <c r="Q661" s="785">
        <v>4890</v>
      </c>
      <c r="R661" s="785"/>
      <c r="S661" s="786">
        <v>56169</v>
      </c>
      <c r="T661" s="788">
        <v>4747</v>
      </c>
      <c r="U661" s="788">
        <v>60916</v>
      </c>
    </row>
    <row r="662" spans="1:21" x14ac:dyDescent="0.25">
      <c r="A662" s="782">
        <v>97408</v>
      </c>
      <c r="B662" s="783" t="s">
        <v>3273</v>
      </c>
      <c r="C662" s="784">
        <v>4.4499999999999997E-5</v>
      </c>
      <c r="D662" s="784">
        <v>4.9299999999999999E-5</v>
      </c>
      <c r="E662" s="815">
        <v>27499</v>
      </c>
      <c r="F662" s="818">
        <v>104631</v>
      </c>
      <c r="G662" s="785">
        <v>67984</v>
      </c>
      <c r="H662" s="785"/>
      <c r="I662" s="786">
        <v>3916</v>
      </c>
      <c r="J662" s="787">
        <v>16507</v>
      </c>
      <c r="K662" s="786">
        <v>9709</v>
      </c>
      <c r="L662" s="785">
        <v>7648</v>
      </c>
      <c r="M662" s="785"/>
      <c r="N662" s="786">
        <v>1924</v>
      </c>
      <c r="O662" s="786">
        <v>0</v>
      </c>
      <c r="P662" s="786">
        <v>0</v>
      </c>
      <c r="Q662" s="785">
        <v>0</v>
      </c>
      <c r="R662" s="785"/>
      <c r="S662" s="786">
        <v>22911</v>
      </c>
      <c r="T662" s="788">
        <v>2984</v>
      </c>
      <c r="U662" s="788">
        <v>25895</v>
      </c>
    </row>
    <row r="663" spans="1:21" x14ac:dyDescent="0.25">
      <c r="A663" s="782">
        <v>97411</v>
      </c>
      <c r="B663" s="783" t="s">
        <v>3274</v>
      </c>
      <c r="C663" s="784">
        <v>6.6379000000000004E-3</v>
      </c>
      <c r="D663" s="784">
        <v>6.7269000000000001E-3</v>
      </c>
      <c r="E663" s="815">
        <v>2979173</v>
      </c>
      <c r="F663" s="818">
        <v>14276735</v>
      </c>
      <c r="G663" s="785">
        <v>10140873</v>
      </c>
      <c r="H663" s="785"/>
      <c r="I663" s="786">
        <v>584208</v>
      </c>
      <c r="J663" s="787">
        <v>2462217</v>
      </c>
      <c r="K663" s="786">
        <v>1448257</v>
      </c>
      <c r="L663" s="785">
        <v>0</v>
      </c>
      <c r="M663" s="785"/>
      <c r="N663" s="786">
        <v>287056</v>
      </c>
      <c r="O663" s="786">
        <v>0</v>
      </c>
      <c r="P663" s="786">
        <v>0</v>
      </c>
      <c r="Q663" s="785">
        <v>679489</v>
      </c>
      <c r="R663" s="785"/>
      <c r="S663" s="786">
        <v>3417483</v>
      </c>
      <c r="T663" s="788">
        <v>-317873</v>
      </c>
      <c r="U663" s="788">
        <v>3099610</v>
      </c>
    </row>
    <row r="664" spans="1:21" x14ac:dyDescent="0.25">
      <c r="A664" s="782">
        <v>97412</v>
      </c>
      <c r="B664" s="783" t="s">
        <v>3275</v>
      </c>
      <c r="C664" s="784">
        <v>4.5082000000000004E-3</v>
      </c>
      <c r="D664" s="784">
        <v>4.424E-3</v>
      </c>
      <c r="E664" s="815">
        <v>2155644</v>
      </c>
      <c r="F664" s="818">
        <v>9389210</v>
      </c>
      <c r="G664" s="785">
        <v>6887281</v>
      </c>
      <c r="H664" s="785"/>
      <c r="I664" s="786">
        <v>396771</v>
      </c>
      <c r="J664" s="787">
        <v>1672240</v>
      </c>
      <c r="K664" s="786">
        <v>983599</v>
      </c>
      <c r="L664" s="785">
        <v>229685</v>
      </c>
      <c r="M664" s="785"/>
      <c r="N664" s="786">
        <v>194957</v>
      </c>
      <c r="O664" s="786">
        <v>0</v>
      </c>
      <c r="P664" s="786">
        <v>0</v>
      </c>
      <c r="Q664" s="785">
        <v>0</v>
      </c>
      <c r="R664" s="785"/>
      <c r="S664" s="786">
        <v>2321020</v>
      </c>
      <c r="T664" s="788">
        <v>85525</v>
      </c>
      <c r="U664" s="788">
        <v>2406545</v>
      </c>
    </row>
    <row r="665" spans="1:21" x14ac:dyDescent="0.25">
      <c r="A665" s="782">
        <v>97413</v>
      </c>
      <c r="B665" s="783" t="s">
        <v>3276</v>
      </c>
      <c r="C665" s="784">
        <v>2.6570000000000001E-4</v>
      </c>
      <c r="D665" s="784">
        <v>2.7910000000000001E-4</v>
      </c>
      <c r="E665" s="815">
        <v>140809</v>
      </c>
      <c r="F665" s="818">
        <v>592344</v>
      </c>
      <c r="G665" s="785">
        <v>405916</v>
      </c>
      <c r="H665" s="785"/>
      <c r="I665" s="786">
        <v>23385</v>
      </c>
      <c r="J665" s="787">
        <v>98557</v>
      </c>
      <c r="K665" s="786">
        <v>57970</v>
      </c>
      <c r="L665" s="785">
        <v>7437</v>
      </c>
      <c r="M665" s="785"/>
      <c r="N665" s="786">
        <v>11490</v>
      </c>
      <c r="O665" s="786">
        <v>0</v>
      </c>
      <c r="P665" s="786">
        <v>0</v>
      </c>
      <c r="Q665" s="785">
        <v>5304</v>
      </c>
      <c r="R665" s="785"/>
      <c r="S665" s="786">
        <v>136794</v>
      </c>
      <c r="T665" s="788">
        <v>-2913</v>
      </c>
      <c r="U665" s="788">
        <v>133881</v>
      </c>
    </row>
    <row r="666" spans="1:21" x14ac:dyDescent="0.25">
      <c r="A666" s="782">
        <v>97421</v>
      </c>
      <c r="B666" s="783" t="s">
        <v>3277</v>
      </c>
      <c r="C666" s="784">
        <v>4.2890000000000002E-4</v>
      </c>
      <c r="D666" s="784">
        <v>4.1120000000000002E-4</v>
      </c>
      <c r="E666" s="815">
        <v>192261</v>
      </c>
      <c r="F666" s="818">
        <v>872704</v>
      </c>
      <c r="G666" s="785">
        <v>655240</v>
      </c>
      <c r="H666" s="785"/>
      <c r="I666" s="786">
        <v>37748</v>
      </c>
      <c r="J666" s="787">
        <v>159093</v>
      </c>
      <c r="K666" s="786">
        <v>93577</v>
      </c>
      <c r="L666" s="785">
        <v>8155</v>
      </c>
      <c r="M666" s="785"/>
      <c r="N666" s="786">
        <v>18548</v>
      </c>
      <c r="O666" s="786">
        <v>0</v>
      </c>
      <c r="P666" s="786">
        <v>0</v>
      </c>
      <c r="Q666" s="785">
        <v>24127</v>
      </c>
      <c r="R666" s="785"/>
      <c r="S666" s="786">
        <v>220817</v>
      </c>
      <c r="T666" s="788">
        <v>-14066</v>
      </c>
      <c r="U666" s="788">
        <v>206751</v>
      </c>
    </row>
    <row r="667" spans="1:21" x14ac:dyDescent="0.25">
      <c r="A667" s="782">
        <v>97423</v>
      </c>
      <c r="B667" s="783" t="s">
        <v>3278</v>
      </c>
      <c r="C667" s="784">
        <v>4.3600000000000003E-5</v>
      </c>
      <c r="D667" s="784">
        <v>4.5800000000000002E-5</v>
      </c>
      <c r="E667" s="815">
        <v>42976</v>
      </c>
      <c r="F667" s="818">
        <v>97203</v>
      </c>
      <c r="G667" s="785">
        <v>66609</v>
      </c>
      <c r="H667" s="785"/>
      <c r="I667" s="786">
        <v>3837</v>
      </c>
      <c r="J667" s="787">
        <v>16173</v>
      </c>
      <c r="K667" s="786">
        <v>9513</v>
      </c>
      <c r="L667" s="785">
        <v>35421</v>
      </c>
      <c r="M667" s="785"/>
      <c r="N667" s="786">
        <v>1885</v>
      </c>
      <c r="O667" s="786">
        <v>0</v>
      </c>
      <c r="P667" s="786">
        <v>0</v>
      </c>
      <c r="Q667" s="785">
        <v>0</v>
      </c>
      <c r="R667" s="785"/>
      <c r="S667" s="786">
        <v>22447</v>
      </c>
      <c r="T667" s="788">
        <v>12225</v>
      </c>
      <c r="U667" s="788">
        <v>34672</v>
      </c>
    </row>
    <row r="668" spans="1:21" x14ac:dyDescent="0.25">
      <c r="A668" s="782">
        <v>97431</v>
      </c>
      <c r="B668" s="783" t="s">
        <v>3279</v>
      </c>
      <c r="C668" s="784">
        <v>8.5599999999999994E-5</v>
      </c>
      <c r="D668" s="784">
        <v>8.5199999999999997E-5</v>
      </c>
      <c r="E668" s="815">
        <v>44546</v>
      </c>
      <c r="F668" s="818">
        <v>180823</v>
      </c>
      <c r="G668" s="785">
        <v>130773</v>
      </c>
      <c r="H668" s="785"/>
      <c r="I668" s="786">
        <v>7534</v>
      </c>
      <c r="J668" s="787">
        <v>31751</v>
      </c>
      <c r="K668" s="786">
        <v>18676</v>
      </c>
      <c r="L668" s="785">
        <v>6440</v>
      </c>
      <c r="M668" s="785"/>
      <c r="N668" s="786">
        <v>3702</v>
      </c>
      <c r="O668" s="786">
        <v>0</v>
      </c>
      <c r="P668" s="786">
        <v>0</v>
      </c>
      <c r="Q668" s="785">
        <v>0</v>
      </c>
      <c r="R668" s="785"/>
      <c r="S668" s="786">
        <v>44071</v>
      </c>
      <c r="T668" s="788">
        <v>2026</v>
      </c>
      <c r="U668" s="788">
        <v>46097</v>
      </c>
    </row>
    <row r="669" spans="1:21" x14ac:dyDescent="0.25">
      <c r="A669" s="782">
        <v>97441</v>
      </c>
      <c r="B669" s="783" t="s">
        <v>3280</v>
      </c>
      <c r="C669" s="784">
        <v>7.5799999999999999E-5</v>
      </c>
      <c r="D669" s="784">
        <v>7.0500000000000006E-5</v>
      </c>
      <c r="E669" s="815">
        <v>25244</v>
      </c>
      <c r="F669" s="818">
        <v>149625</v>
      </c>
      <c r="G669" s="785">
        <v>115801</v>
      </c>
      <c r="H669" s="785"/>
      <c r="I669" s="786">
        <v>6671</v>
      </c>
      <c r="J669" s="787">
        <v>28117</v>
      </c>
      <c r="K669" s="786">
        <v>16538</v>
      </c>
      <c r="L669" s="785">
        <v>202</v>
      </c>
      <c r="M669" s="785"/>
      <c r="N669" s="786">
        <v>3278</v>
      </c>
      <c r="O669" s="786">
        <v>0</v>
      </c>
      <c r="P669" s="786">
        <v>0</v>
      </c>
      <c r="Q669" s="785">
        <v>7671</v>
      </c>
      <c r="R669" s="785"/>
      <c r="S669" s="786">
        <v>39025</v>
      </c>
      <c r="T669" s="788">
        <v>-2235</v>
      </c>
      <c r="U669" s="788">
        <v>36790</v>
      </c>
    </row>
    <row r="670" spans="1:21" x14ac:dyDescent="0.25">
      <c r="A670" s="782">
        <v>97451</v>
      </c>
      <c r="B670" s="783" t="s">
        <v>3281</v>
      </c>
      <c r="C670" s="784">
        <v>5.5820000000000002E-4</v>
      </c>
      <c r="D670" s="784">
        <v>6.1039999999999998E-4</v>
      </c>
      <c r="E670" s="815">
        <v>245214</v>
      </c>
      <c r="F670" s="818">
        <v>1295473</v>
      </c>
      <c r="G670" s="785">
        <v>852775</v>
      </c>
      <c r="H670" s="785"/>
      <c r="I670" s="786">
        <v>49128</v>
      </c>
      <c r="J670" s="787">
        <v>207055</v>
      </c>
      <c r="K670" s="786">
        <v>121788</v>
      </c>
      <c r="L670" s="785">
        <v>19770</v>
      </c>
      <c r="M670" s="785"/>
      <c r="N670" s="786">
        <v>24139</v>
      </c>
      <c r="O670" s="786">
        <v>0</v>
      </c>
      <c r="P670" s="786">
        <v>0</v>
      </c>
      <c r="Q670" s="785">
        <v>47630</v>
      </c>
      <c r="R670" s="785"/>
      <c r="S670" s="786">
        <v>287386</v>
      </c>
      <c r="T670" s="788">
        <v>-2772</v>
      </c>
      <c r="U670" s="788">
        <v>284614</v>
      </c>
    </row>
    <row r="671" spans="1:21" x14ac:dyDescent="0.25">
      <c r="A671" s="782">
        <v>97461</v>
      </c>
      <c r="B671" s="783" t="s">
        <v>3282</v>
      </c>
      <c r="C671" s="784">
        <v>5.5650000000000003E-4</v>
      </c>
      <c r="D671" s="784">
        <v>5.1869999999999998E-4</v>
      </c>
      <c r="E671" s="815">
        <v>228350</v>
      </c>
      <c r="F671" s="818">
        <v>1100855</v>
      </c>
      <c r="G671" s="785">
        <v>850178</v>
      </c>
      <c r="H671" s="785"/>
      <c r="I671" s="786">
        <v>48978</v>
      </c>
      <c r="J671" s="787">
        <v>206424</v>
      </c>
      <c r="K671" s="786">
        <v>121417</v>
      </c>
      <c r="L671" s="785">
        <v>5855</v>
      </c>
      <c r="M671" s="785"/>
      <c r="N671" s="786">
        <v>24066</v>
      </c>
      <c r="O671" s="786">
        <v>0</v>
      </c>
      <c r="P671" s="786">
        <v>0</v>
      </c>
      <c r="Q671" s="785">
        <v>31609</v>
      </c>
      <c r="R671" s="785"/>
      <c r="S671" s="786">
        <v>286511</v>
      </c>
      <c r="T671" s="788">
        <v>-11321</v>
      </c>
      <c r="U671" s="788">
        <v>275190</v>
      </c>
    </row>
    <row r="672" spans="1:21" x14ac:dyDescent="0.25">
      <c r="A672" s="782">
        <v>97463</v>
      </c>
      <c r="B672" s="783" t="s">
        <v>3283</v>
      </c>
      <c r="C672" s="784">
        <v>4.1100000000000003E-5</v>
      </c>
      <c r="D672" s="784">
        <v>5.0099999999999998E-5</v>
      </c>
      <c r="E672" s="815">
        <v>16312</v>
      </c>
      <c r="F672" s="818">
        <v>106329</v>
      </c>
      <c r="G672" s="785">
        <v>62789</v>
      </c>
      <c r="H672" s="785"/>
      <c r="I672" s="786">
        <v>3617</v>
      </c>
      <c r="J672" s="787">
        <v>15246</v>
      </c>
      <c r="K672" s="786">
        <v>8967</v>
      </c>
      <c r="L672" s="785">
        <v>1420</v>
      </c>
      <c r="M672" s="785"/>
      <c r="N672" s="786">
        <v>1777</v>
      </c>
      <c r="O672" s="786">
        <v>0</v>
      </c>
      <c r="P672" s="786">
        <v>0</v>
      </c>
      <c r="Q672" s="785">
        <v>12499</v>
      </c>
      <c r="R672" s="785"/>
      <c r="S672" s="786">
        <v>21160</v>
      </c>
      <c r="T672" s="788">
        <v>-2447</v>
      </c>
      <c r="U672" s="788">
        <v>18713</v>
      </c>
    </row>
    <row r="673" spans="1:21" x14ac:dyDescent="0.25">
      <c r="A673" s="782">
        <v>97471</v>
      </c>
      <c r="B673" s="783" t="s">
        <v>3284</v>
      </c>
      <c r="C673" s="784">
        <v>1.22E-5</v>
      </c>
      <c r="D673" s="784">
        <v>1.27E-5</v>
      </c>
      <c r="E673" s="815">
        <v>10247</v>
      </c>
      <c r="F673" s="818">
        <v>26954</v>
      </c>
      <c r="G673" s="785">
        <v>18638</v>
      </c>
      <c r="H673" s="785"/>
      <c r="I673" s="786">
        <v>1074</v>
      </c>
      <c r="J673" s="787">
        <v>4526</v>
      </c>
      <c r="K673" s="786">
        <v>2662</v>
      </c>
      <c r="L673" s="785">
        <v>6770</v>
      </c>
      <c r="M673" s="785"/>
      <c r="N673" s="786">
        <v>528</v>
      </c>
      <c r="O673" s="786">
        <v>0</v>
      </c>
      <c r="P673" s="786">
        <v>0</v>
      </c>
      <c r="Q673" s="785">
        <v>0</v>
      </c>
      <c r="R673" s="785"/>
      <c r="S673" s="786">
        <v>6281</v>
      </c>
      <c r="T673" s="788">
        <v>2621</v>
      </c>
      <c r="U673" s="788">
        <v>8902</v>
      </c>
    </row>
    <row r="674" spans="1:21" x14ac:dyDescent="0.25">
      <c r="A674" s="782">
        <v>97481</v>
      </c>
      <c r="B674" s="783" t="s">
        <v>3285</v>
      </c>
      <c r="C674" s="784">
        <v>9.9000000000000001E-6</v>
      </c>
      <c r="D674" s="784">
        <v>1.63E-5</v>
      </c>
      <c r="E674" s="815">
        <v>6015</v>
      </c>
      <c r="F674" s="818">
        <v>34594</v>
      </c>
      <c r="G674" s="785">
        <v>15124</v>
      </c>
      <c r="H674" s="785"/>
      <c r="I674" s="786">
        <v>871</v>
      </c>
      <c r="J674" s="787">
        <v>3672</v>
      </c>
      <c r="K674" s="786">
        <v>2160</v>
      </c>
      <c r="L674" s="785">
        <v>3592</v>
      </c>
      <c r="M674" s="785"/>
      <c r="N674" s="786">
        <v>428</v>
      </c>
      <c r="O674" s="786">
        <v>0</v>
      </c>
      <c r="P674" s="786">
        <v>0</v>
      </c>
      <c r="Q674" s="785">
        <v>3115</v>
      </c>
      <c r="R674" s="785"/>
      <c r="S674" s="786">
        <v>5097</v>
      </c>
      <c r="T674" s="788">
        <v>1594</v>
      </c>
      <c r="U674" s="788">
        <v>6691</v>
      </c>
    </row>
    <row r="675" spans="1:21" x14ac:dyDescent="0.25">
      <c r="A675" s="782">
        <v>97491</v>
      </c>
      <c r="B675" s="783" t="s">
        <v>3286</v>
      </c>
      <c r="C675" s="784">
        <v>0</v>
      </c>
      <c r="D675" s="784">
        <v>0</v>
      </c>
      <c r="E675" s="815">
        <v>0</v>
      </c>
      <c r="F675" s="818">
        <v>0</v>
      </c>
      <c r="G675" s="785">
        <v>0</v>
      </c>
      <c r="H675" s="785"/>
      <c r="I675" s="786">
        <v>0</v>
      </c>
      <c r="J675" s="787">
        <v>0</v>
      </c>
      <c r="K675" s="786">
        <v>0</v>
      </c>
      <c r="L675" s="785">
        <v>0</v>
      </c>
      <c r="M675" s="785"/>
      <c r="N675" s="786">
        <v>0</v>
      </c>
      <c r="O675" s="786">
        <v>0</v>
      </c>
      <c r="P675" s="786">
        <v>0</v>
      </c>
      <c r="Q675" s="785">
        <v>7849</v>
      </c>
      <c r="R675" s="785"/>
      <c r="S675" s="786">
        <v>0</v>
      </c>
      <c r="T675" s="788">
        <v>-4941</v>
      </c>
      <c r="U675" s="788">
        <v>-4941</v>
      </c>
    </row>
    <row r="676" spans="1:21" x14ac:dyDescent="0.25">
      <c r="A676" s="782">
        <v>97501</v>
      </c>
      <c r="B676" s="783" t="s">
        <v>3287</v>
      </c>
      <c r="C676" s="784">
        <v>1.1000999999999999E-3</v>
      </c>
      <c r="D676" s="784">
        <v>9.6730000000000004E-4</v>
      </c>
      <c r="E676" s="815">
        <v>517522</v>
      </c>
      <c r="F676" s="818">
        <v>2052935</v>
      </c>
      <c r="G676" s="785">
        <v>1680648</v>
      </c>
      <c r="H676" s="785"/>
      <c r="I676" s="786">
        <v>96821</v>
      </c>
      <c r="J676" s="787">
        <v>408064</v>
      </c>
      <c r="K676" s="786">
        <v>240020</v>
      </c>
      <c r="L676" s="785">
        <v>125050</v>
      </c>
      <c r="M676" s="785"/>
      <c r="N676" s="786">
        <v>47574</v>
      </c>
      <c r="O676" s="786">
        <v>0</v>
      </c>
      <c r="P676" s="786">
        <v>0</v>
      </c>
      <c r="Q676" s="785">
        <v>0</v>
      </c>
      <c r="R676" s="785"/>
      <c r="S676" s="786">
        <v>566380</v>
      </c>
      <c r="T676" s="788">
        <v>44629</v>
      </c>
      <c r="U676" s="788">
        <v>611009</v>
      </c>
    </row>
    <row r="677" spans="1:21" x14ac:dyDescent="0.25">
      <c r="A677" s="782">
        <v>97511</v>
      </c>
      <c r="B677" s="783" t="s">
        <v>3288</v>
      </c>
      <c r="C677" s="784">
        <v>2.3450000000000001E-4</v>
      </c>
      <c r="D677" s="784">
        <v>2.3220000000000001E-4</v>
      </c>
      <c r="E677" s="815">
        <v>112044</v>
      </c>
      <c r="F677" s="818">
        <v>492806</v>
      </c>
      <c r="G677" s="785">
        <v>358251</v>
      </c>
      <c r="H677" s="785"/>
      <c r="I677" s="786">
        <v>20639</v>
      </c>
      <c r="J677" s="787">
        <v>86984</v>
      </c>
      <c r="K677" s="786">
        <v>51163</v>
      </c>
      <c r="L677" s="785">
        <v>12835</v>
      </c>
      <c r="M677" s="785"/>
      <c r="N677" s="786">
        <v>10141</v>
      </c>
      <c r="O677" s="786">
        <v>0</v>
      </c>
      <c r="P677" s="786">
        <v>0</v>
      </c>
      <c r="Q677" s="785">
        <v>844</v>
      </c>
      <c r="R677" s="785"/>
      <c r="S677" s="786">
        <v>120731</v>
      </c>
      <c r="T677" s="788">
        <v>3795</v>
      </c>
      <c r="U677" s="788">
        <v>124526</v>
      </c>
    </row>
    <row r="678" spans="1:21" x14ac:dyDescent="0.25">
      <c r="A678" s="782">
        <v>97521</v>
      </c>
      <c r="B678" s="783" t="s">
        <v>3289</v>
      </c>
      <c r="C678" s="784">
        <v>1.2870000000000001E-4</v>
      </c>
      <c r="D678" s="784">
        <v>1.293E-4</v>
      </c>
      <c r="E678" s="815">
        <v>56688</v>
      </c>
      <c r="F678" s="818">
        <v>274418</v>
      </c>
      <c r="G678" s="785">
        <v>196618</v>
      </c>
      <c r="H678" s="785"/>
      <c r="I678" s="786">
        <v>11327</v>
      </c>
      <c r="J678" s="787">
        <v>47739</v>
      </c>
      <c r="K678" s="786">
        <v>28080</v>
      </c>
      <c r="L678" s="785">
        <v>2190</v>
      </c>
      <c r="M678" s="785"/>
      <c r="N678" s="786">
        <v>5566</v>
      </c>
      <c r="O678" s="786">
        <v>0</v>
      </c>
      <c r="P678" s="786">
        <v>0</v>
      </c>
      <c r="Q678" s="785">
        <v>14589</v>
      </c>
      <c r="R678" s="785"/>
      <c r="S678" s="786">
        <v>66260</v>
      </c>
      <c r="T678" s="788">
        <v>-3628</v>
      </c>
      <c r="U678" s="788">
        <v>62632</v>
      </c>
    </row>
    <row r="679" spans="1:21" x14ac:dyDescent="0.25">
      <c r="A679" s="782">
        <v>97531</v>
      </c>
      <c r="B679" s="783" t="s">
        <v>3290</v>
      </c>
      <c r="C679" s="784">
        <v>4.32E-5</v>
      </c>
      <c r="D679" s="784">
        <v>3.6300000000000001E-5</v>
      </c>
      <c r="E679" s="815">
        <v>25035</v>
      </c>
      <c r="F679" s="818">
        <v>77041</v>
      </c>
      <c r="G679" s="785">
        <v>65998</v>
      </c>
      <c r="H679" s="785"/>
      <c r="I679" s="786">
        <v>3802</v>
      </c>
      <c r="J679" s="787">
        <v>16025</v>
      </c>
      <c r="K679" s="786">
        <v>9425</v>
      </c>
      <c r="L679" s="785">
        <v>11185</v>
      </c>
      <c r="M679" s="785"/>
      <c r="N679" s="786">
        <v>1868</v>
      </c>
      <c r="O679" s="786">
        <v>0</v>
      </c>
      <c r="P679" s="786">
        <v>0</v>
      </c>
      <c r="Q679" s="785">
        <v>9052</v>
      </c>
      <c r="R679" s="785"/>
      <c r="S679" s="786">
        <v>22241</v>
      </c>
      <c r="T679" s="788">
        <v>-2508</v>
      </c>
      <c r="U679" s="788">
        <f>19734-1</f>
        <v>19733</v>
      </c>
    </row>
    <row r="680" spans="1:21" x14ac:dyDescent="0.25">
      <c r="A680" s="782">
        <v>97601</v>
      </c>
      <c r="B680" s="783" t="s">
        <v>3291</v>
      </c>
      <c r="C680" s="784">
        <v>5.1672000000000003E-3</v>
      </c>
      <c r="D680" s="784">
        <v>4.7808E-3</v>
      </c>
      <c r="E680" s="815">
        <v>2287000</v>
      </c>
      <c r="F680" s="818">
        <v>10146459</v>
      </c>
      <c r="G680" s="785">
        <v>7894050</v>
      </c>
      <c r="H680" s="785"/>
      <c r="I680" s="786">
        <v>454770</v>
      </c>
      <c r="J680" s="787">
        <v>1916685</v>
      </c>
      <c r="K680" s="786">
        <v>1127380</v>
      </c>
      <c r="L680" s="785">
        <v>190925</v>
      </c>
      <c r="M680" s="785"/>
      <c r="N680" s="786">
        <v>223456</v>
      </c>
      <c r="O680" s="786">
        <v>0</v>
      </c>
      <c r="P680" s="786">
        <v>0</v>
      </c>
      <c r="Q680" s="785">
        <v>91443</v>
      </c>
      <c r="R680" s="785"/>
      <c r="S680" s="786">
        <v>2660302</v>
      </c>
      <c r="T680" s="788">
        <v>1665</v>
      </c>
      <c r="U680" s="788">
        <v>2661967</v>
      </c>
    </row>
    <row r="681" spans="1:21" x14ac:dyDescent="0.25">
      <c r="A681" s="782">
        <v>97607</v>
      </c>
      <c r="B681" s="783" t="s">
        <v>3292</v>
      </c>
      <c r="C681" s="784">
        <v>2.3200000000000001E-5</v>
      </c>
      <c r="D681" s="784">
        <v>1.9199999999999999E-5</v>
      </c>
      <c r="E681" s="815">
        <v>17255</v>
      </c>
      <c r="F681" s="818">
        <v>40749</v>
      </c>
      <c r="G681" s="785">
        <v>35443</v>
      </c>
      <c r="H681" s="785"/>
      <c r="I681" s="786">
        <v>2042</v>
      </c>
      <c r="J681" s="787">
        <v>8605</v>
      </c>
      <c r="K681" s="786">
        <v>5062</v>
      </c>
      <c r="L681" s="785">
        <v>13349</v>
      </c>
      <c r="M681" s="785"/>
      <c r="N681" s="786">
        <v>1003</v>
      </c>
      <c r="O681" s="786">
        <v>0</v>
      </c>
      <c r="P681" s="786">
        <v>0</v>
      </c>
      <c r="Q681" s="785">
        <v>0</v>
      </c>
      <c r="R681" s="785"/>
      <c r="S681" s="786">
        <v>11944</v>
      </c>
      <c r="T681" s="788">
        <v>5427</v>
      </c>
      <c r="U681" s="788">
        <v>17371</v>
      </c>
    </row>
    <row r="682" spans="1:21" x14ac:dyDescent="0.25">
      <c r="A682" s="782">
        <v>97611</v>
      </c>
      <c r="B682" s="783" t="s">
        <v>3293</v>
      </c>
      <c r="C682" s="784">
        <v>2.4767999999999999E-3</v>
      </c>
      <c r="D682" s="784">
        <v>2.5750999999999999E-3</v>
      </c>
      <c r="E682" s="815">
        <v>1108488</v>
      </c>
      <c r="F682" s="818">
        <v>5465225</v>
      </c>
      <c r="G682" s="785">
        <v>3783864</v>
      </c>
      <c r="H682" s="785"/>
      <c r="I682" s="786">
        <v>217986</v>
      </c>
      <c r="J682" s="787">
        <v>918727</v>
      </c>
      <c r="K682" s="786">
        <v>540388</v>
      </c>
      <c r="L682" s="785">
        <v>0</v>
      </c>
      <c r="M682" s="785"/>
      <c r="N682" s="786">
        <v>107109</v>
      </c>
      <c r="O682" s="786">
        <v>0</v>
      </c>
      <c r="P682" s="786">
        <v>0</v>
      </c>
      <c r="Q682" s="785">
        <v>276084</v>
      </c>
      <c r="R682" s="785"/>
      <c r="S682" s="786">
        <v>1275166</v>
      </c>
      <c r="T682" s="788">
        <v>-116051</v>
      </c>
      <c r="U682" s="788">
        <v>1159115</v>
      </c>
    </row>
    <row r="683" spans="1:21" x14ac:dyDescent="0.25">
      <c r="A683" s="782">
        <v>97613</v>
      </c>
      <c r="B683" s="783" t="s">
        <v>3294</v>
      </c>
      <c r="C683" s="784">
        <v>1.1629999999999999E-4</v>
      </c>
      <c r="D683" s="784">
        <v>1.2459999999999999E-4</v>
      </c>
      <c r="E683" s="815">
        <v>60157</v>
      </c>
      <c r="F683" s="818">
        <v>264443</v>
      </c>
      <c r="G683" s="785">
        <v>177674</v>
      </c>
      <c r="H683" s="785"/>
      <c r="I683" s="786">
        <v>10236</v>
      </c>
      <c r="J683" s="787">
        <v>43140</v>
      </c>
      <c r="K683" s="786">
        <v>25374</v>
      </c>
      <c r="L683" s="785">
        <v>3969</v>
      </c>
      <c r="M683" s="785"/>
      <c r="N683" s="786">
        <v>5029</v>
      </c>
      <c r="O683" s="786">
        <v>0</v>
      </c>
      <c r="P683" s="786">
        <v>0</v>
      </c>
      <c r="Q683" s="785">
        <v>3579</v>
      </c>
      <c r="R683" s="785"/>
      <c r="S683" s="786">
        <v>59876</v>
      </c>
      <c r="T683" s="788">
        <v>-543</v>
      </c>
      <c r="U683" s="788">
        <f>59334-1</f>
        <v>59333</v>
      </c>
    </row>
    <row r="684" spans="1:21" x14ac:dyDescent="0.25">
      <c r="A684" s="782">
        <v>97621</v>
      </c>
      <c r="B684" s="783" t="s">
        <v>3295</v>
      </c>
      <c r="C684" s="784">
        <v>4.5179999999999998E-4</v>
      </c>
      <c r="D684" s="784">
        <v>4.7429999999999998E-4</v>
      </c>
      <c r="E684" s="815">
        <v>179047</v>
      </c>
      <c r="F684" s="818">
        <v>1006623</v>
      </c>
      <c r="G684" s="785">
        <v>690225</v>
      </c>
      <c r="H684" s="785"/>
      <c r="I684" s="786">
        <v>39763</v>
      </c>
      <c r="J684" s="787">
        <v>167588</v>
      </c>
      <c r="K684" s="786">
        <v>98574</v>
      </c>
      <c r="L684" s="785">
        <v>15836</v>
      </c>
      <c r="M684" s="785"/>
      <c r="N684" s="786">
        <v>19538</v>
      </c>
      <c r="O684" s="786">
        <v>0</v>
      </c>
      <c r="P684" s="786">
        <v>0</v>
      </c>
      <c r="Q684" s="785">
        <v>70017</v>
      </c>
      <c r="R684" s="785"/>
      <c r="S684" s="786">
        <v>232607</v>
      </c>
      <c r="T684" s="788">
        <v>-11992</v>
      </c>
      <c r="U684" s="788">
        <v>220615</v>
      </c>
    </row>
    <row r="685" spans="1:21" x14ac:dyDescent="0.25">
      <c r="A685" s="782">
        <v>97623</v>
      </c>
      <c r="B685" s="783" t="s">
        <v>3296</v>
      </c>
      <c r="C685" s="784">
        <v>2.9499999999999999E-5</v>
      </c>
      <c r="D685" s="784">
        <v>2.9200000000000002E-5</v>
      </c>
      <c r="E685" s="815">
        <v>11113</v>
      </c>
      <c r="F685" s="818">
        <v>61972</v>
      </c>
      <c r="G685" s="785">
        <v>45068</v>
      </c>
      <c r="H685" s="785"/>
      <c r="I685" s="786">
        <v>2596</v>
      </c>
      <c r="J685" s="787">
        <v>10942</v>
      </c>
      <c r="K685" s="786">
        <v>6436</v>
      </c>
      <c r="L685" s="785">
        <v>6505</v>
      </c>
      <c r="M685" s="785"/>
      <c r="N685" s="786">
        <v>1276</v>
      </c>
      <c r="O685" s="786">
        <v>0</v>
      </c>
      <c r="P685" s="786">
        <v>0</v>
      </c>
      <c r="Q685" s="785">
        <v>1742</v>
      </c>
      <c r="R685" s="785"/>
      <c r="S685" s="786">
        <v>15188</v>
      </c>
      <c r="T685" s="788">
        <v>3252</v>
      </c>
      <c r="U685" s="788">
        <v>18440</v>
      </c>
    </row>
    <row r="686" spans="1:21" x14ac:dyDescent="0.25">
      <c r="A686" s="782">
        <v>97627</v>
      </c>
      <c r="B686" s="783" t="s">
        <v>3297</v>
      </c>
      <c r="C686" s="784">
        <v>9.7000000000000003E-6</v>
      </c>
      <c r="D686" s="784">
        <v>1.0200000000000001E-5</v>
      </c>
      <c r="E686" s="815">
        <v>5008</v>
      </c>
      <c r="F686" s="818">
        <v>21648</v>
      </c>
      <c r="G686" s="785">
        <v>14819</v>
      </c>
      <c r="H686" s="785"/>
      <c r="I686" s="786">
        <v>854</v>
      </c>
      <c r="J686" s="787">
        <v>3599</v>
      </c>
      <c r="K686" s="786">
        <v>2116</v>
      </c>
      <c r="L686" s="785">
        <v>714</v>
      </c>
      <c r="M686" s="785"/>
      <c r="N686" s="786">
        <v>419</v>
      </c>
      <c r="O686" s="786">
        <v>0</v>
      </c>
      <c r="P686" s="786">
        <v>0</v>
      </c>
      <c r="Q686" s="785">
        <v>1008</v>
      </c>
      <c r="R686" s="785"/>
      <c r="S686" s="786">
        <v>4994</v>
      </c>
      <c r="T686" s="788">
        <v>-190</v>
      </c>
      <c r="U686" s="788">
        <v>4804</v>
      </c>
    </row>
    <row r="687" spans="1:21" x14ac:dyDescent="0.25">
      <c r="A687" s="782">
        <v>97631</v>
      </c>
      <c r="B687" s="783" t="s">
        <v>3298</v>
      </c>
      <c r="C687" s="784">
        <v>2.051E-4</v>
      </c>
      <c r="D687" s="784">
        <v>2.009E-4</v>
      </c>
      <c r="E687" s="815">
        <v>85999</v>
      </c>
      <c r="F687" s="818">
        <v>426377</v>
      </c>
      <c r="G687" s="785">
        <v>313336</v>
      </c>
      <c r="H687" s="785"/>
      <c r="I687" s="786">
        <v>18051</v>
      </c>
      <c r="J687" s="787">
        <v>76078</v>
      </c>
      <c r="K687" s="786">
        <v>44749</v>
      </c>
      <c r="L687" s="785">
        <v>9311</v>
      </c>
      <c r="M687" s="785"/>
      <c r="N687" s="786">
        <v>8870</v>
      </c>
      <c r="O687" s="786">
        <v>0</v>
      </c>
      <c r="P687" s="786">
        <v>0</v>
      </c>
      <c r="Q687" s="785">
        <v>3711</v>
      </c>
      <c r="R687" s="785"/>
      <c r="S687" s="786">
        <v>105595</v>
      </c>
      <c r="T687" s="788">
        <v>4564</v>
      </c>
      <c r="U687" s="788">
        <f>110158+1</f>
        <v>110159</v>
      </c>
    </row>
    <row r="688" spans="1:21" x14ac:dyDescent="0.25">
      <c r="A688" s="782">
        <v>97637</v>
      </c>
      <c r="B688" s="783" t="s">
        <v>3299</v>
      </c>
      <c r="C688" s="784">
        <v>4.3000000000000003E-6</v>
      </c>
      <c r="D688" s="784">
        <v>4.7999999999999998E-6</v>
      </c>
      <c r="E688" s="815">
        <v>3072</v>
      </c>
      <c r="F688" s="818">
        <v>10187</v>
      </c>
      <c r="G688" s="785">
        <v>6569</v>
      </c>
      <c r="H688" s="785"/>
      <c r="I688" s="786">
        <v>378</v>
      </c>
      <c r="J688" s="787">
        <v>1595</v>
      </c>
      <c r="K688" s="786">
        <v>938</v>
      </c>
      <c r="L688" s="785">
        <v>944</v>
      </c>
      <c r="M688" s="785"/>
      <c r="N688" s="786">
        <v>186</v>
      </c>
      <c r="O688" s="786">
        <v>0</v>
      </c>
      <c r="P688" s="786">
        <v>0</v>
      </c>
      <c r="Q688" s="785">
        <v>30</v>
      </c>
      <c r="R688" s="785"/>
      <c r="S688" s="786">
        <v>2214</v>
      </c>
      <c r="T688" s="788">
        <v>380</v>
      </c>
      <c r="U688" s="788">
        <v>2594</v>
      </c>
    </row>
    <row r="689" spans="1:21" x14ac:dyDescent="0.25">
      <c r="A689" s="782">
        <v>97641</v>
      </c>
      <c r="B689" s="783" t="s">
        <v>3300</v>
      </c>
      <c r="C689" s="784">
        <v>6.8899999999999994E-5</v>
      </c>
      <c r="D689" s="784">
        <v>6.9999999999999994E-5</v>
      </c>
      <c r="E689" s="815">
        <v>35027</v>
      </c>
      <c r="F689" s="818">
        <v>148563</v>
      </c>
      <c r="G689" s="785">
        <v>105260</v>
      </c>
      <c r="H689" s="785"/>
      <c r="I689" s="786">
        <v>6064</v>
      </c>
      <c r="J689" s="787">
        <v>25557</v>
      </c>
      <c r="K689" s="786">
        <v>15033</v>
      </c>
      <c r="L689" s="785">
        <v>13063</v>
      </c>
      <c r="M689" s="785"/>
      <c r="N689" s="786">
        <v>2980</v>
      </c>
      <c r="O689" s="786">
        <v>0</v>
      </c>
      <c r="P689" s="786">
        <v>0</v>
      </c>
      <c r="Q689" s="785">
        <v>2889</v>
      </c>
      <c r="R689" s="785"/>
      <c r="S689" s="786">
        <v>35473</v>
      </c>
      <c r="T689" s="788">
        <v>2041</v>
      </c>
      <c r="U689" s="788">
        <v>37514</v>
      </c>
    </row>
    <row r="690" spans="1:21" x14ac:dyDescent="0.25">
      <c r="A690" s="782">
        <v>97651</v>
      </c>
      <c r="B690" s="783" t="s">
        <v>3301</v>
      </c>
      <c r="C690" s="784">
        <v>5.1979999999999995E-4</v>
      </c>
      <c r="D690" s="784">
        <v>5.1579999999999996E-4</v>
      </c>
      <c r="E690" s="815">
        <v>222466</v>
      </c>
      <c r="F690" s="818">
        <v>1094700</v>
      </c>
      <c r="G690" s="785">
        <v>794110</v>
      </c>
      <c r="H690" s="785"/>
      <c r="I690" s="786">
        <v>45748</v>
      </c>
      <c r="J690" s="787">
        <v>192810</v>
      </c>
      <c r="K690" s="786">
        <v>113410</v>
      </c>
      <c r="L690" s="785">
        <v>2621</v>
      </c>
      <c r="M690" s="785"/>
      <c r="N690" s="786">
        <v>22479</v>
      </c>
      <c r="O690" s="786">
        <v>0</v>
      </c>
      <c r="P690" s="786">
        <v>0</v>
      </c>
      <c r="Q690" s="785">
        <v>43572</v>
      </c>
      <c r="R690" s="785"/>
      <c r="S690" s="786">
        <v>267616</v>
      </c>
      <c r="T690" s="788">
        <v>-19628</v>
      </c>
      <c r="U690" s="788">
        <v>247988</v>
      </c>
    </row>
    <row r="691" spans="1:21" x14ac:dyDescent="0.25">
      <c r="A691" s="782">
        <v>97661</v>
      </c>
      <c r="B691" s="783" t="s">
        <v>3302</v>
      </c>
      <c r="C691" s="784">
        <v>5.1600000000000001E-5</v>
      </c>
      <c r="D691" s="784">
        <v>4.3900000000000003E-5</v>
      </c>
      <c r="E691" s="815">
        <v>24366</v>
      </c>
      <c r="F691" s="818">
        <v>93171</v>
      </c>
      <c r="G691" s="785">
        <v>78831</v>
      </c>
      <c r="H691" s="785"/>
      <c r="I691" s="786">
        <v>4541</v>
      </c>
      <c r="J691" s="787">
        <v>19140</v>
      </c>
      <c r="K691" s="786">
        <v>11258</v>
      </c>
      <c r="L691" s="785">
        <v>13582</v>
      </c>
      <c r="M691" s="785"/>
      <c r="N691" s="786">
        <v>2231</v>
      </c>
      <c r="O691" s="786">
        <v>0</v>
      </c>
      <c r="P691" s="786">
        <v>0</v>
      </c>
      <c r="Q691" s="785">
        <v>1913</v>
      </c>
      <c r="R691" s="785"/>
      <c r="S691" s="786">
        <v>26566</v>
      </c>
      <c r="T691" s="788">
        <v>4861</v>
      </c>
      <c r="U691" s="788">
        <v>31427</v>
      </c>
    </row>
    <row r="692" spans="1:21" x14ac:dyDescent="0.25">
      <c r="A692" s="782">
        <v>97701</v>
      </c>
      <c r="B692" s="783" t="s">
        <v>3303</v>
      </c>
      <c r="C692" s="784">
        <v>2.4975000000000002E-3</v>
      </c>
      <c r="D692" s="784">
        <v>2.5081000000000001E-3</v>
      </c>
      <c r="E692" s="815">
        <v>1156152</v>
      </c>
      <c r="F692" s="818">
        <v>5323028</v>
      </c>
      <c r="G692" s="785">
        <v>3815488</v>
      </c>
      <c r="H692" s="785"/>
      <c r="I692" s="786">
        <v>219807</v>
      </c>
      <c r="J692" s="787">
        <v>926405</v>
      </c>
      <c r="K692" s="786">
        <v>544905</v>
      </c>
      <c r="L692" s="785">
        <v>22724</v>
      </c>
      <c r="M692" s="785"/>
      <c r="N692" s="786">
        <v>108004</v>
      </c>
      <c r="O692" s="786">
        <v>0</v>
      </c>
      <c r="P692" s="786">
        <v>0</v>
      </c>
      <c r="Q692" s="785">
        <v>8673</v>
      </c>
      <c r="R692" s="785"/>
      <c r="S692" s="786">
        <v>1285823</v>
      </c>
      <c r="T692" s="788">
        <v>670</v>
      </c>
      <c r="U692" s="788">
        <v>1286493</v>
      </c>
    </row>
    <row r="693" spans="1:21" x14ac:dyDescent="0.25">
      <c r="A693" s="782">
        <v>97705</v>
      </c>
      <c r="B693" s="783" t="s">
        <v>3304</v>
      </c>
      <c r="C693" s="784">
        <v>4.7700000000000001E-5</v>
      </c>
      <c r="D693" s="784">
        <v>6.41E-5</v>
      </c>
      <c r="E693" s="815">
        <v>22209</v>
      </c>
      <c r="F693" s="818">
        <v>136042</v>
      </c>
      <c r="G693" s="785">
        <v>72872</v>
      </c>
      <c r="H693" s="785"/>
      <c r="I693" s="786">
        <v>4198</v>
      </c>
      <c r="J693" s="787">
        <v>17694</v>
      </c>
      <c r="K693" s="786">
        <v>10407</v>
      </c>
      <c r="L693" s="785">
        <v>5558</v>
      </c>
      <c r="M693" s="785"/>
      <c r="N693" s="786">
        <v>2063</v>
      </c>
      <c r="O693" s="786">
        <v>0</v>
      </c>
      <c r="P693" s="786">
        <v>0</v>
      </c>
      <c r="Q693" s="785">
        <v>13023</v>
      </c>
      <c r="R693" s="785"/>
      <c r="S693" s="786">
        <v>24558</v>
      </c>
      <c r="T693" s="788">
        <v>105</v>
      </c>
      <c r="U693" s="788">
        <v>24663</v>
      </c>
    </row>
    <row r="694" spans="1:21" x14ac:dyDescent="0.25">
      <c r="A694" s="782">
        <v>97711</v>
      </c>
      <c r="B694" s="783" t="s">
        <v>3305</v>
      </c>
      <c r="C694" s="784">
        <v>9.0879999999999997E-4</v>
      </c>
      <c r="D694" s="784">
        <v>9.3789999999999998E-4</v>
      </c>
      <c r="E694" s="815">
        <v>424324</v>
      </c>
      <c r="F694" s="818">
        <v>1990538</v>
      </c>
      <c r="G694" s="785">
        <v>1388395</v>
      </c>
      <c r="H694" s="785"/>
      <c r="I694" s="786">
        <v>79984</v>
      </c>
      <c r="J694" s="787">
        <v>337104</v>
      </c>
      <c r="K694" s="786">
        <v>198282</v>
      </c>
      <c r="L694" s="785">
        <v>9966</v>
      </c>
      <c r="M694" s="785"/>
      <c r="N694" s="786">
        <v>39301</v>
      </c>
      <c r="O694" s="786">
        <v>0</v>
      </c>
      <c r="P694" s="786">
        <v>0</v>
      </c>
      <c r="Q694" s="785">
        <v>31902</v>
      </c>
      <c r="R694" s="785"/>
      <c r="S694" s="786">
        <v>467890</v>
      </c>
      <c r="T694" s="788">
        <v>-1258</v>
      </c>
      <c r="U694" s="788">
        <v>466632</v>
      </c>
    </row>
    <row r="695" spans="1:21" x14ac:dyDescent="0.25">
      <c r="A695" s="782">
        <v>97713</v>
      </c>
      <c r="B695" s="783" t="s">
        <v>3306</v>
      </c>
      <c r="C695" s="784">
        <v>4.1199999999999999E-5</v>
      </c>
      <c r="D695" s="784">
        <v>5.3699999999999997E-5</v>
      </c>
      <c r="E695" s="815">
        <v>17328</v>
      </c>
      <c r="F695" s="818">
        <v>113969</v>
      </c>
      <c r="G695" s="785">
        <v>62942</v>
      </c>
      <c r="H695" s="785"/>
      <c r="I695" s="786">
        <v>3626</v>
      </c>
      <c r="J695" s="787">
        <v>15283</v>
      </c>
      <c r="K695" s="786">
        <v>8989</v>
      </c>
      <c r="L695" s="785">
        <v>927</v>
      </c>
      <c r="M695" s="785"/>
      <c r="N695" s="786">
        <v>1782</v>
      </c>
      <c r="O695" s="786">
        <v>0</v>
      </c>
      <c r="P695" s="786">
        <v>0</v>
      </c>
      <c r="Q695" s="785">
        <v>16932</v>
      </c>
      <c r="R695" s="785"/>
      <c r="S695" s="786">
        <v>21212</v>
      </c>
      <c r="T695" s="788">
        <v>-4802</v>
      </c>
      <c r="U695" s="788">
        <v>16410</v>
      </c>
    </row>
    <row r="696" spans="1:21" x14ac:dyDescent="0.25">
      <c r="A696" s="782">
        <v>97717</v>
      </c>
      <c r="B696" s="783" t="s">
        <v>3307</v>
      </c>
      <c r="C696" s="784">
        <v>4.6999999999999999E-6</v>
      </c>
      <c r="D696" s="784">
        <v>7.5000000000000002E-6</v>
      </c>
      <c r="E696" s="815">
        <v>2478</v>
      </c>
      <c r="F696" s="818">
        <v>15918</v>
      </c>
      <c r="G696" s="785">
        <v>7180</v>
      </c>
      <c r="H696" s="785"/>
      <c r="I696" s="786">
        <v>414</v>
      </c>
      <c r="J696" s="787">
        <v>1743</v>
      </c>
      <c r="K696" s="786">
        <v>1025</v>
      </c>
      <c r="L696" s="785">
        <v>1078</v>
      </c>
      <c r="M696" s="785"/>
      <c r="N696" s="786">
        <v>203</v>
      </c>
      <c r="O696" s="786">
        <v>0</v>
      </c>
      <c r="P696" s="786">
        <v>0</v>
      </c>
      <c r="Q696" s="785">
        <v>3394</v>
      </c>
      <c r="R696" s="785"/>
      <c r="S696" s="786">
        <v>2420</v>
      </c>
      <c r="T696" s="788">
        <v>-1550</v>
      </c>
      <c r="U696" s="788">
        <f>869+1</f>
        <v>870</v>
      </c>
    </row>
    <row r="697" spans="1:21" x14ac:dyDescent="0.25">
      <c r="A697" s="782">
        <v>97721</v>
      </c>
      <c r="B697" s="783" t="s">
        <v>3308</v>
      </c>
      <c r="C697" s="784">
        <v>5.6599999999999999E-4</v>
      </c>
      <c r="D697" s="784">
        <v>5.7249999999999998E-4</v>
      </c>
      <c r="E697" s="815">
        <v>255785</v>
      </c>
      <c r="F697" s="818">
        <v>1215037</v>
      </c>
      <c r="G697" s="785">
        <v>864691</v>
      </c>
      <c r="H697" s="785"/>
      <c r="I697" s="786">
        <v>49814</v>
      </c>
      <c r="J697" s="787">
        <v>209948</v>
      </c>
      <c r="K697" s="786">
        <v>123490</v>
      </c>
      <c r="L697" s="785">
        <v>13608</v>
      </c>
      <c r="M697" s="785"/>
      <c r="N697" s="786">
        <v>24477</v>
      </c>
      <c r="O697" s="786">
        <v>0</v>
      </c>
      <c r="P697" s="786">
        <v>0</v>
      </c>
      <c r="Q697" s="785">
        <v>31303</v>
      </c>
      <c r="R697" s="785"/>
      <c r="S697" s="786">
        <v>291402</v>
      </c>
      <c r="T697" s="788">
        <v>-9026</v>
      </c>
      <c r="U697" s="788">
        <v>282376</v>
      </c>
    </row>
    <row r="698" spans="1:21" x14ac:dyDescent="0.25">
      <c r="A698" s="782">
        <v>97727</v>
      </c>
      <c r="B698" s="783" t="s">
        <v>3309</v>
      </c>
      <c r="C698" s="784">
        <v>2.27E-5</v>
      </c>
      <c r="D698" s="784">
        <v>2.37E-5</v>
      </c>
      <c r="E698" s="815">
        <v>10992</v>
      </c>
      <c r="F698" s="818">
        <v>50299</v>
      </c>
      <c r="G698" s="785">
        <v>34679</v>
      </c>
      <c r="H698" s="785"/>
      <c r="I698" s="786">
        <v>1998</v>
      </c>
      <c r="J698" s="787">
        <v>8420</v>
      </c>
      <c r="K698" s="786">
        <v>4953</v>
      </c>
      <c r="L698" s="785">
        <v>0</v>
      </c>
      <c r="M698" s="785"/>
      <c r="N698" s="786">
        <v>982</v>
      </c>
      <c r="O698" s="786">
        <v>0</v>
      </c>
      <c r="P698" s="786">
        <v>0</v>
      </c>
      <c r="Q698" s="785">
        <v>2260</v>
      </c>
      <c r="R698" s="785"/>
      <c r="S698" s="786">
        <v>11687</v>
      </c>
      <c r="T698" s="788">
        <v>-1260</v>
      </c>
      <c r="U698" s="788">
        <v>10427</v>
      </c>
    </row>
    <row r="699" spans="1:21" x14ac:dyDescent="0.25">
      <c r="A699" s="782">
        <v>97731</v>
      </c>
      <c r="B699" s="783" t="s">
        <v>3310</v>
      </c>
      <c r="C699" s="784">
        <v>3.5500000000000002E-5</v>
      </c>
      <c r="D699" s="784">
        <v>3.7100000000000001E-5</v>
      </c>
      <c r="E699" s="815">
        <v>18460</v>
      </c>
      <c r="F699" s="818">
        <v>78739</v>
      </c>
      <c r="G699" s="785">
        <v>54234</v>
      </c>
      <c r="H699" s="785"/>
      <c r="I699" s="786">
        <v>3124</v>
      </c>
      <c r="J699" s="787">
        <v>13168</v>
      </c>
      <c r="K699" s="786">
        <v>7745</v>
      </c>
      <c r="L699" s="785">
        <v>6361</v>
      </c>
      <c r="M699" s="785"/>
      <c r="N699" s="786">
        <v>1535</v>
      </c>
      <c r="O699" s="786">
        <v>0</v>
      </c>
      <c r="P699" s="786">
        <v>0</v>
      </c>
      <c r="Q699" s="785">
        <v>0</v>
      </c>
      <c r="R699" s="785"/>
      <c r="S699" s="786">
        <v>18277</v>
      </c>
      <c r="T699" s="788">
        <v>2961</v>
      </c>
      <c r="U699" s="788">
        <v>21238</v>
      </c>
    </row>
    <row r="700" spans="1:21" x14ac:dyDescent="0.25">
      <c r="A700" s="782">
        <v>97801</v>
      </c>
      <c r="B700" s="783" t="s">
        <v>3673</v>
      </c>
      <c r="C700" s="784">
        <v>6.9303000000000003E-3</v>
      </c>
      <c r="D700" s="784">
        <v>7.3343000000000002E-3</v>
      </c>
      <c r="E700" s="815">
        <v>3179609</v>
      </c>
      <c r="F700" s="818">
        <v>0</v>
      </c>
      <c r="G700" s="785">
        <v>10587579</v>
      </c>
      <c r="H700" s="785"/>
      <c r="I700" s="786">
        <v>609943</v>
      </c>
      <c r="J700" s="787">
        <v>2570677</v>
      </c>
      <c r="K700" s="786">
        <v>1512053</v>
      </c>
      <c r="L700" s="785">
        <v>27764</v>
      </c>
      <c r="M700" s="785"/>
      <c r="N700" s="786">
        <v>299701</v>
      </c>
      <c r="O700" s="786">
        <v>0</v>
      </c>
      <c r="P700" s="786">
        <v>0</v>
      </c>
      <c r="Q700" s="785">
        <v>406805</v>
      </c>
      <c r="R700" s="785"/>
      <c r="S700" s="786">
        <v>3568023</v>
      </c>
      <c r="T700" s="788">
        <v>-97576</v>
      </c>
      <c r="U700" s="788">
        <v>3470447</v>
      </c>
    </row>
    <row r="701" spans="1:21" x14ac:dyDescent="0.25">
      <c r="A701" s="782">
        <v>97802</v>
      </c>
      <c r="B701" s="783" t="s">
        <v>3312</v>
      </c>
      <c r="C701" s="784">
        <v>1.5300000000000001E-4</v>
      </c>
      <c r="D701" s="784">
        <v>1.8120000000000001E-4</v>
      </c>
      <c r="E701" s="815">
        <v>76715</v>
      </c>
      <c r="F701" s="818">
        <v>384567</v>
      </c>
      <c r="G701" s="785">
        <v>233742</v>
      </c>
      <c r="H701" s="785"/>
      <c r="I701" s="786">
        <v>13466</v>
      </c>
      <c r="J701" s="787">
        <v>56753</v>
      </c>
      <c r="K701" s="786">
        <v>33382</v>
      </c>
      <c r="L701" s="785">
        <v>9696</v>
      </c>
      <c r="M701" s="785"/>
      <c r="N701" s="786">
        <v>6616</v>
      </c>
      <c r="O701" s="786">
        <v>0</v>
      </c>
      <c r="P701" s="786">
        <v>0</v>
      </c>
      <c r="Q701" s="785">
        <v>28235</v>
      </c>
      <c r="R701" s="785"/>
      <c r="S701" s="786">
        <v>78771</v>
      </c>
      <c r="T701" s="788">
        <v>-1176</v>
      </c>
      <c r="U701" s="788">
        <v>77595</v>
      </c>
    </row>
    <row r="702" spans="1:21" x14ac:dyDescent="0.25">
      <c r="A702" s="782">
        <v>97803</v>
      </c>
      <c r="B702" s="783" t="s">
        <v>3313</v>
      </c>
      <c r="C702" s="784">
        <v>7.5300000000000001E-5</v>
      </c>
      <c r="D702" s="784">
        <v>7.9099999999999998E-5</v>
      </c>
      <c r="E702" s="815">
        <v>38231</v>
      </c>
      <c r="F702" s="818">
        <v>167877</v>
      </c>
      <c r="G702" s="785">
        <v>115038</v>
      </c>
      <c r="H702" s="785"/>
      <c r="I702" s="786">
        <v>6627</v>
      </c>
      <c r="J702" s="787">
        <v>27931</v>
      </c>
      <c r="K702" s="786">
        <v>16429</v>
      </c>
      <c r="L702" s="785">
        <v>5581</v>
      </c>
      <c r="M702" s="785"/>
      <c r="N702" s="786">
        <v>3256</v>
      </c>
      <c r="O702" s="786">
        <v>0</v>
      </c>
      <c r="P702" s="786">
        <v>0</v>
      </c>
      <c r="Q702" s="785">
        <v>1522</v>
      </c>
      <c r="R702" s="785"/>
      <c r="S702" s="786">
        <v>38768</v>
      </c>
      <c r="T702" s="788">
        <v>3424</v>
      </c>
      <c r="U702" s="788">
        <v>42192</v>
      </c>
    </row>
    <row r="703" spans="1:21" x14ac:dyDescent="0.25">
      <c r="A703" s="782">
        <v>97805</v>
      </c>
      <c r="B703" s="783" t="s">
        <v>3314</v>
      </c>
      <c r="C703" s="784">
        <v>7.9400000000000006E-5</v>
      </c>
      <c r="D703" s="784">
        <v>8.2600000000000002E-5</v>
      </c>
      <c r="E703" s="815">
        <v>39471</v>
      </c>
      <c r="F703" s="818">
        <v>175305</v>
      </c>
      <c r="G703" s="785">
        <v>121301</v>
      </c>
      <c r="H703" s="785"/>
      <c r="I703" s="786">
        <v>6988</v>
      </c>
      <c r="J703" s="787">
        <v>29452</v>
      </c>
      <c r="K703" s="786">
        <v>17323</v>
      </c>
      <c r="L703" s="785">
        <v>9711</v>
      </c>
      <c r="M703" s="785"/>
      <c r="N703" s="786">
        <v>3434</v>
      </c>
      <c r="O703" s="786">
        <v>0</v>
      </c>
      <c r="P703" s="786">
        <v>0</v>
      </c>
      <c r="Q703" s="785">
        <v>226</v>
      </c>
      <c r="R703" s="785"/>
      <c r="S703" s="786">
        <v>40879</v>
      </c>
      <c r="T703" s="788">
        <v>3824</v>
      </c>
      <c r="U703" s="788">
        <v>44703</v>
      </c>
    </row>
    <row r="704" spans="1:21" x14ac:dyDescent="0.25">
      <c r="A704" s="782">
        <v>97811</v>
      </c>
      <c r="B704" s="783" t="s">
        <v>3315</v>
      </c>
      <c r="C704" s="784">
        <v>2.4172E-3</v>
      </c>
      <c r="D704" s="784">
        <v>2.4088E-3</v>
      </c>
      <c r="E704" s="815">
        <v>1101270</v>
      </c>
      <c r="F704" s="818">
        <v>5112281</v>
      </c>
      <c r="G704" s="785">
        <v>3692812</v>
      </c>
      <c r="H704" s="785"/>
      <c r="I704" s="786">
        <v>212740</v>
      </c>
      <c r="J704" s="787">
        <v>896619</v>
      </c>
      <c r="K704" s="786">
        <v>527385</v>
      </c>
      <c r="L704" s="785">
        <v>0</v>
      </c>
      <c r="M704" s="785"/>
      <c r="N704" s="786">
        <v>104532</v>
      </c>
      <c r="O704" s="786">
        <v>0</v>
      </c>
      <c r="P704" s="786">
        <v>0</v>
      </c>
      <c r="Q704" s="785">
        <v>164062</v>
      </c>
      <c r="R704" s="785"/>
      <c r="S704" s="786">
        <v>1244481</v>
      </c>
      <c r="T704" s="788">
        <v>-73272</v>
      </c>
      <c r="U704" s="788">
        <v>1171209</v>
      </c>
    </row>
    <row r="705" spans="1:21" x14ac:dyDescent="0.25">
      <c r="A705" s="782">
        <v>97817</v>
      </c>
      <c r="B705" s="783" t="s">
        <v>3316</v>
      </c>
      <c r="C705" s="784">
        <v>2.2200000000000001E-5</v>
      </c>
      <c r="D705" s="784">
        <v>3.9999999999999998E-6</v>
      </c>
      <c r="E705" s="815">
        <v>14127</v>
      </c>
      <c r="F705" s="818">
        <v>8489</v>
      </c>
      <c r="G705" s="785">
        <v>33915</v>
      </c>
      <c r="H705" s="785"/>
      <c r="I705" s="786">
        <v>1954</v>
      </c>
      <c r="J705" s="787">
        <v>8235</v>
      </c>
      <c r="K705" s="786">
        <v>4844</v>
      </c>
      <c r="L705" s="785">
        <v>18101</v>
      </c>
      <c r="M705" s="785"/>
      <c r="N705" s="786">
        <v>960</v>
      </c>
      <c r="O705" s="786">
        <v>0</v>
      </c>
      <c r="P705" s="786">
        <v>0</v>
      </c>
      <c r="Q705" s="785">
        <v>2418</v>
      </c>
      <c r="R705" s="785"/>
      <c r="S705" s="786">
        <v>11430</v>
      </c>
      <c r="T705" s="788">
        <v>3916</v>
      </c>
      <c r="U705" s="788">
        <f>15345+1</f>
        <v>15346</v>
      </c>
    </row>
    <row r="706" spans="1:21" x14ac:dyDescent="0.25">
      <c r="A706" s="782">
        <v>97818</v>
      </c>
      <c r="B706" s="783" t="s">
        <v>3317</v>
      </c>
      <c r="C706" s="784">
        <v>2.1999999999999999E-5</v>
      </c>
      <c r="D706" s="784">
        <v>2.12E-5</v>
      </c>
      <c r="E706" s="815">
        <v>9809</v>
      </c>
      <c r="F706" s="818">
        <v>44994</v>
      </c>
      <c r="G706" s="785">
        <v>33610</v>
      </c>
      <c r="H706" s="785"/>
      <c r="I706" s="786">
        <v>1936</v>
      </c>
      <c r="J706" s="787">
        <v>8160</v>
      </c>
      <c r="K706" s="786">
        <v>4800</v>
      </c>
      <c r="L706" s="785">
        <v>6200</v>
      </c>
      <c r="M706" s="785"/>
      <c r="N706" s="786">
        <v>951</v>
      </c>
      <c r="O706" s="786">
        <v>0</v>
      </c>
      <c r="P706" s="786">
        <v>0</v>
      </c>
      <c r="Q706" s="785">
        <v>2136</v>
      </c>
      <c r="R706" s="785"/>
      <c r="S706" s="786">
        <v>11327</v>
      </c>
      <c r="T706" s="788">
        <v>134</v>
      </c>
      <c r="U706" s="788">
        <v>11461</v>
      </c>
    </row>
    <row r="707" spans="1:21" x14ac:dyDescent="0.25">
      <c r="A707" s="782">
        <v>97821</v>
      </c>
      <c r="B707" s="783" t="s">
        <v>3318</v>
      </c>
      <c r="C707" s="784">
        <v>1.126E-4</v>
      </c>
      <c r="D707" s="784">
        <v>1.1620000000000001E-4</v>
      </c>
      <c r="E707" s="815">
        <v>61404</v>
      </c>
      <c r="F707" s="818">
        <v>246615</v>
      </c>
      <c r="G707" s="785">
        <v>172022</v>
      </c>
      <c r="H707" s="785"/>
      <c r="I707" s="786">
        <v>9910</v>
      </c>
      <c r="J707" s="787">
        <v>41767</v>
      </c>
      <c r="K707" s="786">
        <v>24567</v>
      </c>
      <c r="L707" s="785">
        <v>5355</v>
      </c>
      <c r="M707" s="785"/>
      <c r="N707" s="786">
        <v>4869</v>
      </c>
      <c r="O707" s="786">
        <v>0</v>
      </c>
      <c r="P707" s="786">
        <v>0</v>
      </c>
      <c r="Q707" s="785">
        <v>16228</v>
      </c>
      <c r="R707" s="785"/>
      <c r="S707" s="786">
        <v>57971</v>
      </c>
      <c r="T707" s="788">
        <v>-9342</v>
      </c>
      <c r="U707" s="788">
        <f>48630-1</f>
        <v>48629</v>
      </c>
    </row>
    <row r="708" spans="1:21" x14ac:dyDescent="0.25">
      <c r="A708" s="782">
        <v>97823</v>
      </c>
      <c r="B708" s="783" t="s">
        <v>3319</v>
      </c>
      <c r="C708" s="784">
        <v>2.3300000000000001E-5</v>
      </c>
      <c r="D708" s="784">
        <v>2.4600000000000002E-5</v>
      </c>
      <c r="E708" s="815">
        <v>13092</v>
      </c>
      <c r="F708" s="818">
        <v>52209</v>
      </c>
      <c r="G708" s="785">
        <v>35596</v>
      </c>
      <c r="H708" s="785"/>
      <c r="I708" s="786">
        <v>2051</v>
      </c>
      <c r="J708" s="787">
        <v>8642</v>
      </c>
      <c r="K708" s="786">
        <v>5084</v>
      </c>
      <c r="L708" s="785">
        <v>1711</v>
      </c>
      <c r="M708" s="785"/>
      <c r="N708" s="786">
        <v>1008</v>
      </c>
      <c r="O708" s="786">
        <v>0</v>
      </c>
      <c r="P708" s="786">
        <v>0</v>
      </c>
      <c r="Q708" s="785">
        <v>591</v>
      </c>
      <c r="R708" s="785"/>
      <c r="S708" s="786">
        <v>11996</v>
      </c>
      <c r="T708" s="788">
        <v>-77</v>
      </c>
      <c r="U708" s="788">
        <v>11919</v>
      </c>
    </row>
    <row r="709" spans="1:21" x14ac:dyDescent="0.25">
      <c r="A709" s="782">
        <v>97831</v>
      </c>
      <c r="B709" s="783" t="s">
        <v>3320</v>
      </c>
      <c r="C709" s="784">
        <v>1.7009999999999999E-4</v>
      </c>
      <c r="D709" s="784">
        <v>1.482E-4</v>
      </c>
      <c r="E709" s="815">
        <v>78813</v>
      </c>
      <c r="F709" s="818">
        <v>314530</v>
      </c>
      <c r="G709" s="785">
        <v>259866</v>
      </c>
      <c r="H709" s="785"/>
      <c r="I709" s="786">
        <v>14971</v>
      </c>
      <c r="J709" s="787">
        <v>63096</v>
      </c>
      <c r="K709" s="786">
        <v>37112</v>
      </c>
      <c r="L709" s="785">
        <v>15261</v>
      </c>
      <c r="M709" s="785"/>
      <c r="N709" s="786">
        <v>7356</v>
      </c>
      <c r="O709" s="786">
        <v>0</v>
      </c>
      <c r="P709" s="786">
        <v>0</v>
      </c>
      <c r="Q709" s="785">
        <v>8418</v>
      </c>
      <c r="R709" s="785"/>
      <c r="S709" s="786">
        <v>87575</v>
      </c>
      <c r="T709" s="788">
        <v>-2075</v>
      </c>
      <c r="U709" s="788">
        <v>85500</v>
      </c>
    </row>
    <row r="710" spans="1:21" x14ac:dyDescent="0.25">
      <c r="A710" s="782">
        <v>97837</v>
      </c>
      <c r="B710" s="783" t="s">
        <v>3321</v>
      </c>
      <c r="C710" s="784">
        <v>1.0200000000000001E-5</v>
      </c>
      <c r="D710" s="784">
        <v>8.8000000000000004E-6</v>
      </c>
      <c r="E710" s="815">
        <v>6053</v>
      </c>
      <c r="F710" s="818">
        <v>18677</v>
      </c>
      <c r="G710" s="785">
        <v>15583</v>
      </c>
      <c r="H710" s="785"/>
      <c r="I710" s="786">
        <v>898</v>
      </c>
      <c r="J710" s="787">
        <v>3784</v>
      </c>
      <c r="K710" s="786">
        <v>2225</v>
      </c>
      <c r="L710" s="785">
        <v>3302</v>
      </c>
      <c r="M710" s="785"/>
      <c r="N710" s="786">
        <v>441</v>
      </c>
      <c r="O710" s="786">
        <v>0</v>
      </c>
      <c r="P710" s="786">
        <v>0</v>
      </c>
      <c r="Q710" s="785">
        <v>214</v>
      </c>
      <c r="R710" s="785"/>
      <c r="S710" s="786">
        <v>5251</v>
      </c>
      <c r="T710" s="788">
        <v>1260</v>
      </c>
      <c r="U710" s="788">
        <v>6511</v>
      </c>
    </row>
    <row r="711" spans="1:21" x14ac:dyDescent="0.25">
      <c r="A711" s="782">
        <v>97840</v>
      </c>
      <c r="B711" s="783" t="s">
        <v>3322</v>
      </c>
      <c r="C711" s="784">
        <v>1.3190000000000001E-4</v>
      </c>
      <c r="D711" s="784">
        <v>1.403E-4</v>
      </c>
      <c r="E711" s="815">
        <v>107784</v>
      </c>
      <c r="F711" s="818">
        <v>297764</v>
      </c>
      <c r="G711" s="785">
        <v>201507</v>
      </c>
      <c r="H711" s="785"/>
      <c r="I711" s="786">
        <v>11609</v>
      </c>
      <c r="J711" s="787">
        <v>48926</v>
      </c>
      <c r="K711" s="786">
        <v>28778</v>
      </c>
      <c r="L711" s="785">
        <v>76227</v>
      </c>
      <c r="M711" s="785"/>
      <c r="N711" s="786">
        <v>5704</v>
      </c>
      <c r="O711" s="786">
        <v>0</v>
      </c>
      <c r="P711" s="786">
        <v>0</v>
      </c>
      <c r="Q711" s="785">
        <v>964</v>
      </c>
      <c r="R711" s="785"/>
      <c r="S711" s="786">
        <v>67908</v>
      </c>
      <c r="T711" s="788">
        <v>27073</v>
      </c>
      <c r="U711" s="788">
        <v>94981</v>
      </c>
    </row>
    <row r="712" spans="1:21" x14ac:dyDescent="0.25">
      <c r="A712" s="782">
        <v>97841</v>
      </c>
      <c r="B712" s="783" t="s">
        <v>3323</v>
      </c>
      <c r="C712" s="784">
        <v>1.31E-5</v>
      </c>
      <c r="D712" s="784">
        <v>1.45E-5</v>
      </c>
      <c r="E712" s="815">
        <v>6425</v>
      </c>
      <c r="F712" s="818">
        <v>30774</v>
      </c>
      <c r="G712" s="785">
        <v>20013</v>
      </c>
      <c r="H712" s="785"/>
      <c r="I712" s="786">
        <v>1153</v>
      </c>
      <c r="J712" s="787">
        <v>4859</v>
      </c>
      <c r="K712" s="786">
        <v>2858</v>
      </c>
      <c r="L712" s="785">
        <v>410</v>
      </c>
      <c r="M712" s="785"/>
      <c r="N712" s="786">
        <v>567</v>
      </c>
      <c r="O712" s="786">
        <v>0</v>
      </c>
      <c r="P712" s="786">
        <v>0</v>
      </c>
      <c r="Q712" s="785">
        <v>4768</v>
      </c>
      <c r="R712" s="785"/>
      <c r="S712" s="786">
        <v>6744</v>
      </c>
      <c r="T712" s="788">
        <v>-3859</v>
      </c>
      <c r="U712" s="788">
        <v>2885</v>
      </c>
    </row>
    <row r="713" spans="1:21" x14ac:dyDescent="0.25">
      <c r="A713" s="782">
        <v>97847</v>
      </c>
      <c r="B713" s="783" t="s">
        <v>3324</v>
      </c>
      <c r="C713" s="784">
        <v>2.0999999999999998E-6</v>
      </c>
      <c r="D713" s="784">
        <v>2.2000000000000001E-6</v>
      </c>
      <c r="E713" s="815">
        <v>2259</v>
      </c>
      <c r="F713" s="818">
        <v>4669</v>
      </c>
      <c r="G713" s="785">
        <v>3208</v>
      </c>
      <c r="H713" s="785"/>
      <c r="I713" s="786">
        <v>185</v>
      </c>
      <c r="J713" s="787">
        <v>779</v>
      </c>
      <c r="K713" s="786">
        <v>458</v>
      </c>
      <c r="L713" s="785">
        <v>1433</v>
      </c>
      <c r="M713" s="785"/>
      <c r="N713" s="786">
        <v>91</v>
      </c>
      <c r="O713" s="786">
        <v>0</v>
      </c>
      <c r="P713" s="786">
        <v>0</v>
      </c>
      <c r="Q713" s="785">
        <v>72</v>
      </c>
      <c r="R713" s="785"/>
      <c r="S713" s="786">
        <v>1081</v>
      </c>
      <c r="T713" s="788">
        <v>355</v>
      </c>
      <c r="U713" s="788">
        <v>1436</v>
      </c>
    </row>
    <row r="714" spans="1:21" x14ac:dyDescent="0.25">
      <c r="A714" s="782">
        <v>97851</v>
      </c>
      <c r="B714" s="783" t="s">
        <v>3325</v>
      </c>
      <c r="C714" s="784">
        <v>2.7799999999999998E-4</v>
      </c>
      <c r="D714" s="784">
        <v>2.7460000000000001E-4</v>
      </c>
      <c r="E714" s="815">
        <v>116408</v>
      </c>
      <c r="F714" s="818">
        <v>582793</v>
      </c>
      <c r="G714" s="785">
        <v>424707</v>
      </c>
      <c r="H714" s="785"/>
      <c r="I714" s="786">
        <v>24467</v>
      </c>
      <c r="J714" s="787">
        <v>103120</v>
      </c>
      <c r="K714" s="786">
        <v>60654</v>
      </c>
      <c r="L714" s="785">
        <v>1448</v>
      </c>
      <c r="M714" s="785"/>
      <c r="N714" s="786">
        <v>12022</v>
      </c>
      <c r="O714" s="786">
        <v>0</v>
      </c>
      <c r="P714" s="786">
        <v>0</v>
      </c>
      <c r="Q714" s="785">
        <v>12710</v>
      </c>
      <c r="R714" s="785"/>
      <c r="S714" s="786">
        <v>143127</v>
      </c>
      <c r="T714" s="788">
        <v>-2512</v>
      </c>
      <c r="U714" s="788">
        <v>140615</v>
      </c>
    </row>
    <row r="715" spans="1:21" x14ac:dyDescent="0.25">
      <c r="A715" s="782">
        <v>97853</v>
      </c>
      <c r="B715" s="783" t="s">
        <v>3326</v>
      </c>
      <c r="C715" s="784">
        <v>1.0289999999999999E-4</v>
      </c>
      <c r="D715" s="784">
        <v>9.1600000000000004E-5</v>
      </c>
      <c r="E715" s="815">
        <v>44043</v>
      </c>
      <c r="F715" s="818">
        <v>194406</v>
      </c>
      <c r="G715" s="785">
        <v>157203</v>
      </c>
      <c r="H715" s="785"/>
      <c r="I715" s="786">
        <v>9056</v>
      </c>
      <c r="J715" s="787">
        <v>38169</v>
      </c>
      <c r="K715" s="786">
        <v>22451</v>
      </c>
      <c r="L715" s="785">
        <v>8759</v>
      </c>
      <c r="M715" s="785"/>
      <c r="N715" s="786">
        <v>4450</v>
      </c>
      <c r="O715" s="786">
        <v>0</v>
      </c>
      <c r="P715" s="786">
        <v>0</v>
      </c>
      <c r="Q715" s="785">
        <v>9750</v>
      </c>
      <c r="R715" s="785"/>
      <c r="S715" s="786">
        <v>52977</v>
      </c>
      <c r="T715" s="788">
        <v>429</v>
      </c>
      <c r="U715" s="788">
        <f>53407-1</f>
        <v>53406</v>
      </c>
    </row>
    <row r="716" spans="1:21" x14ac:dyDescent="0.25">
      <c r="A716" s="782">
        <v>97861</v>
      </c>
      <c r="B716" s="783" t="s">
        <v>3327</v>
      </c>
      <c r="C716" s="784">
        <v>6.7000000000000002E-5</v>
      </c>
      <c r="D716" s="784">
        <v>6.8499999999999998E-5</v>
      </c>
      <c r="E716" s="815">
        <v>27517</v>
      </c>
      <c r="F716" s="818">
        <v>145380</v>
      </c>
      <c r="G716" s="785">
        <v>102357</v>
      </c>
      <c r="H716" s="785"/>
      <c r="I716" s="786">
        <v>5897</v>
      </c>
      <c r="J716" s="787">
        <v>24852</v>
      </c>
      <c r="K716" s="786">
        <v>14618</v>
      </c>
      <c r="L716" s="785">
        <v>1771</v>
      </c>
      <c r="M716" s="785"/>
      <c r="N716" s="786">
        <v>2897</v>
      </c>
      <c r="O716" s="786">
        <v>0</v>
      </c>
      <c r="P716" s="786">
        <v>0</v>
      </c>
      <c r="Q716" s="785">
        <v>7954</v>
      </c>
      <c r="R716" s="785"/>
      <c r="S716" s="786">
        <v>34495</v>
      </c>
      <c r="T716" s="788">
        <v>-3725</v>
      </c>
      <c r="U716" s="788">
        <f>30769+1</f>
        <v>30770</v>
      </c>
    </row>
    <row r="717" spans="1:21" x14ac:dyDescent="0.25">
      <c r="A717" s="782">
        <v>97871</v>
      </c>
      <c r="B717" s="783" t="s">
        <v>3328</v>
      </c>
      <c r="C717" s="784">
        <v>2.9930000000000001E-4</v>
      </c>
      <c r="D717" s="784">
        <v>3.1500000000000001E-4</v>
      </c>
      <c r="E717" s="815">
        <v>273654</v>
      </c>
      <c r="F717" s="818">
        <v>668536</v>
      </c>
      <c r="G717" s="785">
        <v>457247</v>
      </c>
      <c r="H717" s="785"/>
      <c r="I717" s="786">
        <v>26342</v>
      </c>
      <c r="J717" s="787">
        <v>111020</v>
      </c>
      <c r="K717" s="786">
        <v>65301</v>
      </c>
      <c r="L717" s="785">
        <v>217143</v>
      </c>
      <c r="M717" s="785"/>
      <c r="N717" s="786">
        <v>12943</v>
      </c>
      <c r="O717" s="786">
        <v>0</v>
      </c>
      <c r="P717" s="786">
        <v>0</v>
      </c>
      <c r="Q717" s="785">
        <v>0</v>
      </c>
      <c r="R717" s="785"/>
      <c r="S717" s="786">
        <v>154093</v>
      </c>
      <c r="T717" s="788">
        <v>79417</v>
      </c>
      <c r="U717" s="788">
        <f>233509+1</f>
        <v>233510</v>
      </c>
    </row>
    <row r="718" spans="1:21" x14ac:dyDescent="0.25">
      <c r="A718" s="782">
        <v>97877</v>
      </c>
      <c r="B718" s="783" t="s">
        <v>3329</v>
      </c>
      <c r="C718" s="784">
        <v>1.9E-6</v>
      </c>
      <c r="D718" s="784">
        <v>2.2000000000000001E-6</v>
      </c>
      <c r="E718" s="815">
        <v>2104</v>
      </c>
      <c r="F718" s="818">
        <v>4669</v>
      </c>
      <c r="G718" s="785">
        <v>2903</v>
      </c>
      <c r="H718" s="785"/>
      <c r="I718" s="786">
        <v>167</v>
      </c>
      <c r="J718" s="787">
        <v>705</v>
      </c>
      <c r="K718" s="786">
        <v>415</v>
      </c>
      <c r="L718" s="785">
        <v>1638</v>
      </c>
      <c r="M718" s="785"/>
      <c r="N718" s="786">
        <v>82</v>
      </c>
      <c r="O718" s="786">
        <v>0</v>
      </c>
      <c r="P718" s="786">
        <v>0</v>
      </c>
      <c r="Q718" s="785">
        <v>0</v>
      </c>
      <c r="R718" s="785"/>
      <c r="S718" s="786">
        <v>978</v>
      </c>
      <c r="T718" s="788">
        <v>648</v>
      </c>
      <c r="U718" s="788">
        <f>1627-1</f>
        <v>1626</v>
      </c>
    </row>
    <row r="719" spans="1:21" x14ac:dyDescent="0.25">
      <c r="A719" s="782">
        <v>97901</v>
      </c>
      <c r="B719" s="783" t="s">
        <v>3330</v>
      </c>
      <c r="C719" s="784">
        <v>4.2658000000000001E-3</v>
      </c>
      <c r="D719" s="784">
        <v>4.3616999999999996E-3</v>
      </c>
      <c r="E719" s="815">
        <v>2091024</v>
      </c>
      <c r="F719" s="818">
        <v>9256989</v>
      </c>
      <c r="G719" s="785">
        <v>6516961</v>
      </c>
      <c r="H719" s="785"/>
      <c r="I719" s="786">
        <v>375437</v>
      </c>
      <c r="J719" s="787">
        <v>1582326</v>
      </c>
      <c r="K719" s="786">
        <v>930712</v>
      </c>
      <c r="L719" s="785">
        <v>88360</v>
      </c>
      <c r="M719" s="785"/>
      <c r="N719" s="786">
        <v>184475</v>
      </c>
      <c r="O719" s="786">
        <v>0</v>
      </c>
      <c r="P719" s="786">
        <v>0</v>
      </c>
      <c r="Q719" s="785">
        <v>14865</v>
      </c>
      <c r="R719" s="785"/>
      <c r="S719" s="786">
        <v>2196222</v>
      </c>
      <c r="T719" s="788">
        <v>35112</v>
      </c>
      <c r="U719" s="788">
        <v>2231334</v>
      </c>
    </row>
    <row r="720" spans="1:21" x14ac:dyDescent="0.25">
      <c r="A720" s="782">
        <v>97911</v>
      </c>
      <c r="B720" s="783" t="s">
        <v>3331</v>
      </c>
      <c r="C720" s="784">
        <v>1.3005E-3</v>
      </c>
      <c r="D720" s="784">
        <v>1.3190000000000001E-3</v>
      </c>
      <c r="E720" s="815">
        <v>613265</v>
      </c>
      <c r="F720" s="818">
        <v>2799360</v>
      </c>
      <c r="G720" s="785">
        <v>1986804</v>
      </c>
      <c r="H720" s="785"/>
      <c r="I720" s="786">
        <v>114458</v>
      </c>
      <c r="J720" s="787">
        <v>482398</v>
      </c>
      <c r="K720" s="786">
        <v>283743</v>
      </c>
      <c r="L720" s="785">
        <v>31167</v>
      </c>
      <c r="M720" s="785"/>
      <c r="N720" s="786">
        <v>56240</v>
      </c>
      <c r="O720" s="786">
        <v>0</v>
      </c>
      <c r="P720" s="786">
        <v>0</v>
      </c>
      <c r="Q720" s="785">
        <v>28435</v>
      </c>
      <c r="R720" s="785"/>
      <c r="S720" s="786">
        <v>669555</v>
      </c>
      <c r="T720" s="788">
        <v>10548</v>
      </c>
      <c r="U720" s="788">
        <v>680103</v>
      </c>
    </row>
    <row r="721" spans="1:21" x14ac:dyDescent="0.25">
      <c r="A721" s="782">
        <v>97913</v>
      </c>
      <c r="B721" s="783" t="s">
        <v>3332</v>
      </c>
      <c r="C721" s="784">
        <v>3.5899999999999998E-5</v>
      </c>
      <c r="D721" s="784">
        <v>3.7400000000000001E-5</v>
      </c>
      <c r="E721" s="815">
        <v>27559</v>
      </c>
      <c r="F721" s="818">
        <v>79375</v>
      </c>
      <c r="G721" s="785">
        <v>54845</v>
      </c>
      <c r="H721" s="785"/>
      <c r="I721" s="786">
        <v>3160</v>
      </c>
      <c r="J721" s="787">
        <v>13317</v>
      </c>
      <c r="K721" s="786">
        <v>7833</v>
      </c>
      <c r="L721" s="785">
        <v>15616</v>
      </c>
      <c r="M721" s="785"/>
      <c r="N721" s="786">
        <v>1552</v>
      </c>
      <c r="O721" s="786">
        <v>0</v>
      </c>
      <c r="P721" s="786">
        <v>0</v>
      </c>
      <c r="Q721" s="785">
        <v>0</v>
      </c>
      <c r="R721" s="785"/>
      <c r="S721" s="786">
        <v>18483</v>
      </c>
      <c r="T721" s="788">
        <v>5369</v>
      </c>
      <c r="U721" s="788">
        <f>23851+1</f>
        <v>23852</v>
      </c>
    </row>
    <row r="722" spans="1:21" x14ac:dyDescent="0.25">
      <c r="A722" s="782">
        <v>97917</v>
      </c>
      <c r="B722" s="783" t="s">
        <v>3333</v>
      </c>
      <c r="C722" s="784">
        <v>2.0999999999999999E-5</v>
      </c>
      <c r="D722" s="784">
        <v>1.98E-5</v>
      </c>
      <c r="E722" s="815">
        <v>13419</v>
      </c>
      <c r="F722" s="818">
        <v>42022</v>
      </c>
      <c r="G722" s="785">
        <v>32082</v>
      </c>
      <c r="H722" s="785"/>
      <c r="I722" s="786">
        <v>1848</v>
      </c>
      <c r="J722" s="787">
        <v>7790</v>
      </c>
      <c r="K722" s="786">
        <v>4582</v>
      </c>
      <c r="L722" s="785">
        <v>7811</v>
      </c>
      <c r="M722" s="785"/>
      <c r="N722" s="786">
        <v>908</v>
      </c>
      <c r="O722" s="786">
        <v>0</v>
      </c>
      <c r="P722" s="786">
        <v>0</v>
      </c>
      <c r="Q722" s="785">
        <v>0</v>
      </c>
      <c r="R722" s="785"/>
      <c r="S722" s="786">
        <v>10812</v>
      </c>
      <c r="T722" s="788">
        <v>3168</v>
      </c>
      <c r="U722" s="788">
        <f>13979+1</f>
        <v>13980</v>
      </c>
    </row>
    <row r="723" spans="1:21" x14ac:dyDescent="0.25">
      <c r="A723" s="782">
        <v>97921</v>
      </c>
      <c r="B723" s="783" t="s">
        <v>3334</v>
      </c>
      <c r="C723" s="784">
        <v>2.1699999999999999E-4</v>
      </c>
      <c r="D723" s="784">
        <v>2.2169999999999999E-4</v>
      </c>
      <c r="E723" s="815">
        <v>103163</v>
      </c>
      <c r="F723" s="818">
        <v>470522</v>
      </c>
      <c r="G723" s="785">
        <v>331516</v>
      </c>
      <c r="H723" s="785"/>
      <c r="I723" s="786">
        <v>19098</v>
      </c>
      <c r="J723" s="787">
        <v>80493</v>
      </c>
      <c r="K723" s="786">
        <v>47345</v>
      </c>
      <c r="L723" s="785">
        <v>11562</v>
      </c>
      <c r="M723" s="785"/>
      <c r="N723" s="786">
        <v>9384</v>
      </c>
      <c r="O723" s="786">
        <v>0</v>
      </c>
      <c r="P723" s="786">
        <v>0</v>
      </c>
      <c r="Q723" s="785">
        <v>5992</v>
      </c>
      <c r="R723" s="785"/>
      <c r="S723" s="786">
        <v>111721</v>
      </c>
      <c r="T723" s="788">
        <v>3241</v>
      </c>
      <c r="U723" s="788">
        <v>114962</v>
      </c>
    </row>
    <row r="724" spans="1:21" x14ac:dyDescent="0.25">
      <c r="A724" s="782">
        <v>97931</v>
      </c>
      <c r="B724" s="783" t="s">
        <v>3335</v>
      </c>
      <c r="C724" s="784">
        <v>7.0199999999999999E-5</v>
      </c>
      <c r="D724" s="784">
        <v>6.1600000000000007E-5</v>
      </c>
      <c r="E724" s="815">
        <v>31939</v>
      </c>
      <c r="F724" s="818">
        <v>130736</v>
      </c>
      <c r="G724" s="785">
        <v>107246</v>
      </c>
      <c r="H724" s="785"/>
      <c r="I724" s="786">
        <v>6178</v>
      </c>
      <c r="J724" s="787">
        <v>26039</v>
      </c>
      <c r="K724" s="786">
        <v>15316</v>
      </c>
      <c r="L724" s="785">
        <v>18162</v>
      </c>
      <c r="M724" s="785"/>
      <c r="N724" s="786">
        <v>3036</v>
      </c>
      <c r="O724" s="786">
        <v>0</v>
      </c>
      <c r="P724" s="786">
        <v>0</v>
      </c>
      <c r="Q724" s="785">
        <v>7492</v>
      </c>
      <c r="R724" s="785"/>
      <c r="S724" s="786">
        <v>36142</v>
      </c>
      <c r="T724" s="788">
        <v>2117</v>
      </c>
      <c r="U724" s="788">
        <v>38259</v>
      </c>
    </row>
    <row r="725" spans="1:21" x14ac:dyDescent="0.25">
      <c r="A725" s="782">
        <v>97941</v>
      </c>
      <c r="B725" s="783" t="s">
        <v>3336</v>
      </c>
      <c r="C725" s="784">
        <v>2.0479999999999999E-4</v>
      </c>
      <c r="D725" s="784">
        <v>2.3330000000000001E-4</v>
      </c>
      <c r="E725" s="815">
        <v>106970</v>
      </c>
      <c r="F725" s="818">
        <v>495141</v>
      </c>
      <c r="G725" s="785">
        <v>312878</v>
      </c>
      <c r="H725" s="785"/>
      <c r="I725" s="786">
        <v>18025</v>
      </c>
      <c r="J725" s="787">
        <v>75967</v>
      </c>
      <c r="K725" s="786">
        <v>44683</v>
      </c>
      <c r="L725" s="785">
        <v>17999</v>
      </c>
      <c r="M725" s="785"/>
      <c r="N725" s="786">
        <v>8857</v>
      </c>
      <c r="O725" s="786">
        <v>0</v>
      </c>
      <c r="P725" s="786">
        <v>0</v>
      </c>
      <c r="Q725" s="785">
        <v>8897</v>
      </c>
      <c r="R725" s="785"/>
      <c r="S725" s="786">
        <v>105440</v>
      </c>
      <c r="T725" s="788">
        <v>7001</v>
      </c>
      <c r="U725" s="788">
        <v>112441</v>
      </c>
    </row>
    <row r="726" spans="1:21" x14ac:dyDescent="0.25">
      <c r="A726" s="782">
        <v>97947</v>
      </c>
      <c r="B726" s="783" t="s">
        <v>3337</v>
      </c>
      <c r="C726" s="784">
        <v>1.3900000000000001E-5</v>
      </c>
      <c r="D726" s="784">
        <v>1.5500000000000001E-5</v>
      </c>
      <c r="E726" s="815">
        <v>11471</v>
      </c>
      <c r="F726" s="818">
        <v>32896</v>
      </c>
      <c r="G726" s="785">
        <v>21235</v>
      </c>
      <c r="H726" s="785"/>
      <c r="I726" s="786">
        <v>1223</v>
      </c>
      <c r="J726" s="787">
        <v>5156</v>
      </c>
      <c r="K726" s="786">
        <v>3033</v>
      </c>
      <c r="L726" s="785">
        <v>9518</v>
      </c>
      <c r="M726" s="785"/>
      <c r="N726" s="786">
        <v>601</v>
      </c>
      <c r="O726" s="786">
        <v>0</v>
      </c>
      <c r="P726" s="786">
        <v>0</v>
      </c>
      <c r="Q726" s="785">
        <v>306</v>
      </c>
      <c r="R726" s="785"/>
      <c r="S726" s="786">
        <v>7156</v>
      </c>
      <c r="T726" s="788">
        <v>3116</v>
      </c>
      <c r="U726" s="788">
        <v>10272</v>
      </c>
    </row>
    <row r="727" spans="1:21" x14ac:dyDescent="0.25">
      <c r="A727" s="782">
        <v>97948</v>
      </c>
      <c r="B727" s="783" t="s">
        <v>3338</v>
      </c>
      <c r="C727" s="784">
        <v>2.2099999999999998E-5</v>
      </c>
      <c r="D727" s="784">
        <v>3.5200000000000002E-5</v>
      </c>
      <c r="E727" s="815">
        <v>10840</v>
      </c>
      <c r="F727" s="818">
        <v>74706</v>
      </c>
      <c r="G727" s="785">
        <v>33763</v>
      </c>
      <c r="H727" s="785"/>
      <c r="I727" s="786">
        <v>1945</v>
      </c>
      <c r="J727" s="787">
        <v>8198</v>
      </c>
      <c r="K727" s="786">
        <v>4822</v>
      </c>
      <c r="L727" s="785">
        <v>1909</v>
      </c>
      <c r="M727" s="785"/>
      <c r="N727" s="786">
        <v>956</v>
      </c>
      <c r="O727" s="786">
        <v>0</v>
      </c>
      <c r="P727" s="786">
        <v>0</v>
      </c>
      <c r="Q727" s="785">
        <v>8330</v>
      </c>
      <c r="R727" s="785"/>
      <c r="S727" s="786">
        <v>11378</v>
      </c>
      <c r="T727" s="788">
        <v>-972</v>
      </c>
      <c r="U727" s="788">
        <v>10406</v>
      </c>
    </row>
    <row r="728" spans="1:21" x14ac:dyDescent="0.25">
      <c r="A728" s="782">
        <v>97951</v>
      </c>
      <c r="B728" s="783" t="s">
        <v>3339</v>
      </c>
      <c r="C728" s="784">
        <v>1.2440999999999999E-3</v>
      </c>
      <c r="D728" s="784">
        <v>1.2497000000000001E-3</v>
      </c>
      <c r="E728" s="815">
        <v>597832</v>
      </c>
      <c r="F728" s="818">
        <v>2652282</v>
      </c>
      <c r="G728" s="785">
        <v>1900640</v>
      </c>
      <c r="H728" s="785"/>
      <c r="I728" s="786">
        <v>109494</v>
      </c>
      <c r="J728" s="787">
        <v>461477</v>
      </c>
      <c r="K728" s="786">
        <v>271438</v>
      </c>
      <c r="L728" s="785">
        <v>31864</v>
      </c>
      <c r="M728" s="785"/>
      <c r="N728" s="786">
        <v>53801</v>
      </c>
      <c r="O728" s="786">
        <v>0</v>
      </c>
      <c r="P728" s="786">
        <v>0</v>
      </c>
      <c r="Q728" s="785">
        <v>7067</v>
      </c>
      <c r="R728" s="785"/>
      <c r="S728" s="786">
        <v>640517</v>
      </c>
      <c r="T728" s="788">
        <v>4295</v>
      </c>
      <c r="U728" s="788">
        <f>644813-1</f>
        <v>644812</v>
      </c>
    </row>
    <row r="729" spans="1:21" x14ac:dyDescent="0.25">
      <c r="A729" s="782">
        <v>97957</v>
      </c>
      <c r="B729" s="783" t="s">
        <v>3340</v>
      </c>
      <c r="C729" s="784">
        <v>1.8700000000000001E-5</v>
      </c>
      <c r="D729" s="784">
        <v>1.9599999999999999E-5</v>
      </c>
      <c r="E729" s="815">
        <v>12857</v>
      </c>
      <c r="F729" s="818">
        <v>41598</v>
      </c>
      <c r="G729" s="785">
        <v>28568</v>
      </c>
      <c r="H729" s="785"/>
      <c r="I729" s="786">
        <v>1646</v>
      </c>
      <c r="J729" s="787">
        <v>6936</v>
      </c>
      <c r="K729" s="786">
        <v>4080</v>
      </c>
      <c r="L729" s="785">
        <v>4456</v>
      </c>
      <c r="M729" s="785"/>
      <c r="N729" s="786">
        <v>809</v>
      </c>
      <c r="O729" s="786">
        <v>0</v>
      </c>
      <c r="P729" s="786">
        <v>0</v>
      </c>
      <c r="Q729" s="785">
        <v>1123</v>
      </c>
      <c r="R729" s="785"/>
      <c r="S729" s="786">
        <v>9628</v>
      </c>
      <c r="T729" s="788">
        <v>620</v>
      </c>
      <c r="U729" s="788">
        <f>10247+1</f>
        <v>10248</v>
      </c>
    </row>
    <row r="730" spans="1:21" x14ac:dyDescent="0.25">
      <c r="A730" s="782">
        <v>98001</v>
      </c>
      <c r="B730" s="783" t="s">
        <v>3341</v>
      </c>
      <c r="C730" s="784">
        <v>5.1148000000000001E-3</v>
      </c>
      <c r="D730" s="784">
        <v>4.9659999999999999E-3</v>
      </c>
      <c r="E730" s="815">
        <v>2367016</v>
      </c>
      <c r="F730" s="818">
        <v>10539516</v>
      </c>
      <c r="G730" s="785">
        <v>7813998</v>
      </c>
      <c r="H730" s="785"/>
      <c r="I730" s="786">
        <v>450159</v>
      </c>
      <c r="J730" s="787">
        <v>1897248</v>
      </c>
      <c r="K730" s="786">
        <v>1115947</v>
      </c>
      <c r="L730" s="785">
        <v>181889</v>
      </c>
      <c r="M730" s="785"/>
      <c r="N730" s="786">
        <v>221190</v>
      </c>
      <c r="O730" s="786">
        <v>0</v>
      </c>
      <c r="P730" s="786">
        <v>0</v>
      </c>
      <c r="Q730" s="785">
        <v>0</v>
      </c>
      <c r="R730" s="785"/>
      <c r="S730" s="786">
        <v>2633324</v>
      </c>
      <c r="T730" s="788">
        <v>81305</v>
      </c>
      <c r="U730" s="788">
        <v>2714629</v>
      </c>
    </row>
    <row r="731" spans="1:21" x14ac:dyDescent="0.25">
      <c r="A731" s="782">
        <v>98002</v>
      </c>
      <c r="B731" s="783" t="s">
        <v>3342</v>
      </c>
      <c r="C731" s="784">
        <v>6.7000000000000002E-6</v>
      </c>
      <c r="D731" s="784">
        <v>7.3000000000000004E-6</v>
      </c>
      <c r="E731" s="815">
        <v>4126</v>
      </c>
      <c r="F731" s="818">
        <v>15493</v>
      </c>
      <c r="G731" s="785">
        <v>10236</v>
      </c>
      <c r="H731" s="785"/>
      <c r="I731" s="786">
        <v>590</v>
      </c>
      <c r="J731" s="787">
        <v>2485</v>
      </c>
      <c r="K731" s="786">
        <v>1462</v>
      </c>
      <c r="L731" s="785">
        <v>1007</v>
      </c>
      <c r="M731" s="785"/>
      <c r="N731" s="786">
        <v>290</v>
      </c>
      <c r="O731" s="786">
        <v>0</v>
      </c>
      <c r="P731" s="786">
        <v>0</v>
      </c>
      <c r="Q731" s="785">
        <v>6492</v>
      </c>
      <c r="R731" s="785"/>
      <c r="S731" s="786">
        <v>3449</v>
      </c>
      <c r="T731" s="788">
        <v>-6219</v>
      </c>
      <c r="U731" s="788">
        <v>-2770</v>
      </c>
    </row>
    <row r="732" spans="1:21" x14ac:dyDescent="0.25">
      <c r="A732" s="782">
        <v>98003</v>
      </c>
      <c r="B732" s="783" t="s">
        <v>3343</v>
      </c>
      <c r="C732" s="784">
        <v>7.9599999999999997E-5</v>
      </c>
      <c r="D732" s="784">
        <v>8.1600000000000005E-5</v>
      </c>
      <c r="E732" s="815">
        <v>70274</v>
      </c>
      <c r="F732" s="818">
        <v>173183</v>
      </c>
      <c r="G732" s="785">
        <v>121607</v>
      </c>
      <c r="H732" s="785"/>
      <c r="I732" s="786">
        <v>7006</v>
      </c>
      <c r="J732" s="787">
        <v>29526</v>
      </c>
      <c r="K732" s="786">
        <v>17367</v>
      </c>
      <c r="L732" s="785">
        <v>54986</v>
      </c>
      <c r="M732" s="785"/>
      <c r="N732" s="786">
        <v>3442</v>
      </c>
      <c r="O732" s="786">
        <v>0</v>
      </c>
      <c r="P732" s="786">
        <v>0</v>
      </c>
      <c r="Q732" s="785">
        <v>0</v>
      </c>
      <c r="R732" s="785"/>
      <c r="S732" s="786">
        <v>40982</v>
      </c>
      <c r="T732" s="788">
        <v>18634</v>
      </c>
      <c r="U732" s="788">
        <v>59616</v>
      </c>
    </row>
    <row r="733" spans="1:21" x14ac:dyDescent="0.25">
      <c r="A733" s="782">
        <v>98004</v>
      </c>
      <c r="B733" s="783" t="s">
        <v>3344</v>
      </c>
      <c r="C733" s="784">
        <v>1.182E-4</v>
      </c>
      <c r="D733" s="784">
        <v>1.209E-4</v>
      </c>
      <c r="E733" s="815">
        <v>78050</v>
      </c>
      <c r="F733" s="818">
        <v>256590</v>
      </c>
      <c r="G733" s="785">
        <v>180577</v>
      </c>
      <c r="H733" s="785"/>
      <c r="I733" s="786">
        <v>10403</v>
      </c>
      <c r="J733" s="787">
        <v>43844</v>
      </c>
      <c r="K733" s="786">
        <v>25789</v>
      </c>
      <c r="L733" s="785">
        <v>36575</v>
      </c>
      <c r="M733" s="785"/>
      <c r="N733" s="786">
        <v>5112</v>
      </c>
      <c r="O733" s="786">
        <v>0</v>
      </c>
      <c r="P733" s="786">
        <v>0</v>
      </c>
      <c r="Q733" s="785">
        <v>0</v>
      </c>
      <c r="R733" s="785"/>
      <c r="S733" s="786">
        <v>60855</v>
      </c>
      <c r="T733" s="788">
        <v>14190</v>
      </c>
      <c r="U733" s="788">
        <f>75044+1</f>
        <v>75045</v>
      </c>
    </row>
    <row r="734" spans="1:21" x14ac:dyDescent="0.25">
      <c r="A734" s="782">
        <v>98008</v>
      </c>
      <c r="B734" s="783" t="s">
        <v>3345</v>
      </c>
      <c r="C734" s="784">
        <v>7.9999999999999996E-6</v>
      </c>
      <c r="D734" s="784">
        <v>7.7999999999999999E-6</v>
      </c>
      <c r="E734" s="815">
        <v>3537</v>
      </c>
      <c r="F734" s="818">
        <v>16554</v>
      </c>
      <c r="G734" s="785">
        <v>12222</v>
      </c>
      <c r="H734" s="785"/>
      <c r="I734" s="786">
        <v>704</v>
      </c>
      <c r="J734" s="787">
        <v>2967</v>
      </c>
      <c r="K734" s="786">
        <v>1745</v>
      </c>
      <c r="L734" s="785">
        <v>25</v>
      </c>
      <c r="M734" s="785"/>
      <c r="N734" s="786">
        <v>346</v>
      </c>
      <c r="O734" s="786">
        <v>0</v>
      </c>
      <c r="P734" s="786">
        <v>0</v>
      </c>
      <c r="Q734" s="785">
        <v>804</v>
      </c>
      <c r="R734" s="785"/>
      <c r="S734" s="786">
        <v>4119</v>
      </c>
      <c r="T734" s="788">
        <v>-490</v>
      </c>
      <c r="U734" s="788">
        <v>3629</v>
      </c>
    </row>
    <row r="735" spans="1:21" x14ac:dyDescent="0.25">
      <c r="A735" s="782">
        <v>98011</v>
      </c>
      <c r="B735" s="783" t="s">
        <v>3346</v>
      </c>
      <c r="C735" s="784">
        <v>3.1578999999999999E-3</v>
      </c>
      <c r="D735" s="784">
        <v>3.1795E-3</v>
      </c>
      <c r="E735" s="815">
        <v>1430082</v>
      </c>
      <c r="F735" s="818">
        <v>6747964</v>
      </c>
      <c r="G735" s="785">
        <v>4824396</v>
      </c>
      <c r="H735" s="785"/>
      <c r="I735" s="786">
        <v>277930</v>
      </c>
      <c r="J735" s="787">
        <v>1171370</v>
      </c>
      <c r="K735" s="786">
        <v>688991</v>
      </c>
      <c r="L735" s="785">
        <v>0</v>
      </c>
      <c r="M735" s="785"/>
      <c r="N735" s="786">
        <v>136563</v>
      </c>
      <c r="O735" s="786">
        <v>0</v>
      </c>
      <c r="P735" s="786">
        <v>0</v>
      </c>
      <c r="Q735" s="785">
        <v>315025</v>
      </c>
      <c r="R735" s="785"/>
      <c r="S735" s="786">
        <v>1625826</v>
      </c>
      <c r="T735" s="788">
        <v>-146862</v>
      </c>
      <c r="U735" s="788">
        <v>1478964</v>
      </c>
    </row>
    <row r="736" spans="1:21" x14ac:dyDescent="0.25">
      <c r="A736" s="782">
        <v>98013</v>
      </c>
      <c r="B736" s="783" t="s">
        <v>3347</v>
      </c>
      <c r="C736" s="784">
        <v>1.415E-4</v>
      </c>
      <c r="D736" s="784">
        <v>1.426E-4</v>
      </c>
      <c r="E736" s="815">
        <v>138521</v>
      </c>
      <c r="F736" s="818">
        <v>302645</v>
      </c>
      <c r="G736" s="785">
        <v>216173</v>
      </c>
      <c r="H736" s="785"/>
      <c r="I736" s="786">
        <v>12454</v>
      </c>
      <c r="J736" s="787">
        <v>52487</v>
      </c>
      <c r="K736" s="786">
        <v>30872</v>
      </c>
      <c r="L736" s="785">
        <v>126104</v>
      </c>
      <c r="M736" s="785"/>
      <c r="N736" s="786">
        <v>6119</v>
      </c>
      <c r="O736" s="786">
        <v>0</v>
      </c>
      <c r="P736" s="786">
        <v>0</v>
      </c>
      <c r="Q736" s="785">
        <v>2073</v>
      </c>
      <c r="R736" s="785"/>
      <c r="S736" s="786">
        <v>72850</v>
      </c>
      <c r="T736" s="788">
        <v>41784</v>
      </c>
      <c r="U736" s="788">
        <f>114635-1</f>
        <v>114634</v>
      </c>
    </row>
    <row r="737" spans="1:21" x14ac:dyDescent="0.25">
      <c r="A737" s="782">
        <v>98021</v>
      </c>
      <c r="B737" s="783" t="s">
        <v>3348</v>
      </c>
      <c r="C737" s="784">
        <v>8.6199999999999995E-5</v>
      </c>
      <c r="D737" s="784">
        <v>7.5099999999999996E-5</v>
      </c>
      <c r="E737" s="815">
        <v>28536</v>
      </c>
      <c r="F737" s="818">
        <v>159387</v>
      </c>
      <c r="G737" s="785">
        <v>131690</v>
      </c>
      <c r="H737" s="785"/>
      <c r="I737" s="786">
        <v>7587</v>
      </c>
      <c r="J737" s="787">
        <v>31975</v>
      </c>
      <c r="K737" s="786">
        <v>18807</v>
      </c>
      <c r="L737" s="785">
        <v>13468</v>
      </c>
      <c r="M737" s="785"/>
      <c r="N737" s="786">
        <v>3728</v>
      </c>
      <c r="O737" s="786">
        <v>0</v>
      </c>
      <c r="P737" s="786">
        <v>0</v>
      </c>
      <c r="Q737" s="785">
        <v>2708</v>
      </c>
      <c r="R737" s="785"/>
      <c r="S737" s="786">
        <v>44380</v>
      </c>
      <c r="T737" s="788">
        <v>6479</v>
      </c>
      <c r="U737" s="788">
        <v>50859</v>
      </c>
    </row>
    <row r="738" spans="1:21" x14ac:dyDescent="0.25">
      <c r="A738" s="782">
        <v>98023</v>
      </c>
      <c r="B738" s="783" t="s">
        <v>3349</v>
      </c>
      <c r="C738" s="784">
        <v>1.43E-5</v>
      </c>
      <c r="D738" s="784">
        <v>1.45E-5</v>
      </c>
      <c r="E738" s="815">
        <v>6869</v>
      </c>
      <c r="F738" s="818">
        <v>30774</v>
      </c>
      <c r="G738" s="785">
        <v>21846</v>
      </c>
      <c r="H738" s="785"/>
      <c r="I738" s="786">
        <v>1259</v>
      </c>
      <c r="J738" s="787">
        <v>5305</v>
      </c>
      <c r="K738" s="786">
        <v>3120</v>
      </c>
      <c r="L738" s="785">
        <v>109</v>
      </c>
      <c r="M738" s="785"/>
      <c r="N738" s="786">
        <v>618</v>
      </c>
      <c r="O738" s="786">
        <v>0</v>
      </c>
      <c r="P738" s="786">
        <v>0</v>
      </c>
      <c r="Q738" s="785">
        <v>5220</v>
      </c>
      <c r="R738" s="785"/>
      <c r="S738" s="786">
        <v>7362</v>
      </c>
      <c r="T738" s="788">
        <v>-2611</v>
      </c>
      <c r="U738" s="788">
        <v>4751</v>
      </c>
    </row>
    <row r="739" spans="1:21" x14ac:dyDescent="0.25">
      <c r="A739" s="782">
        <v>98031</v>
      </c>
      <c r="B739" s="783" t="s">
        <v>3350</v>
      </c>
      <c r="C739" s="784">
        <v>1.537E-4</v>
      </c>
      <c r="D739" s="784">
        <v>1.5530000000000001E-4</v>
      </c>
      <c r="E739" s="815">
        <v>67740</v>
      </c>
      <c r="F739" s="818">
        <v>329599</v>
      </c>
      <c r="G739" s="785">
        <v>234811</v>
      </c>
      <c r="H739" s="785"/>
      <c r="I739" s="786">
        <v>13527</v>
      </c>
      <c r="J739" s="787">
        <v>57012</v>
      </c>
      <c r="K739" s="786">
        <v>33534</v>
      </c>
      <c r="L739" s="785">
        <v>4651</v>
      </c>
      <c r="M739" s="785"/>
      <c r="N739" s="786">
        <v>6647</v>
      </c>
      <c r="O739" s="786">
        <v>0</v>
      </c>
      <c r="P739" s="786">
        <v>0</v>
      </c>
      <c r="Q739" s="785">
        <v>9184</v>
      </c>
      <c r="R739" s="785"/>
      <c r="S739" s="786">
        <v>79132</v>
      </c>
      <c r="T739" s="788">
        <v>-1401</v>
      </c>
      <c r="U739" s="788">
        <f>77730+1</f>
        <v>77731</v>
      </c>
    </row>
    <row r="740" spans="1:21" x14ac:dyDescent="0.25">
      <c r="A740" s="782">
        <v>98041</v>
      </c>
      <c r="B740" s="783" t="s">
        <v>3351</v>
      </c>
      <c r="C740" s="784">
        <v>1.9230000000000001E-4</v>
      </c>
      <c r="D740" s="784">
        <v>1.6559999999999999E-4</v>
      </c>
      <c r="E740" s="815">
        <v>80474</v>
      </c>
      <c r="F740" s="818">
        <v>351459</v>
      </c>
      <c r="G740" s="785">
        <v>293781</v>
      </c>
      <c r="H740" s="785"/>
      <c r="I740" s="786">
        <v>16925</v>
      </c>
      <c r="J740" s="787">
        <v>71330</v>
      </c>
      <c r="K740" s="786">
        <v>41956</v>
      </c>
      <c r="L740" s="785">
        <v>17154</v>
      </c>
      <c r="M740" s="785"/>
      <c r="N740" s="786">
        <v>8316</v>
      </c>
      <c r="O740" s="786">
        <v>0</v>
      </c>
      <c r="P740" s="786">
        <v>0</v>
      </c>
      <c r="Q740" s="785">
        <v>5779</v>
      </c>
      <c r="R740" s="785"/>
      <c r="S740" s="786">
        <v>99005</v>
      </c>
      <c r="T740" s="788">
        <v>943</v>
      </c>
      <c r="U740" s="788">
        <v>99948</v>
      </c>
    </row>
    <row r="741" spans="1:21" x14ac:dyDescent="0.25">
      <c r="A741" s="782">
        <v>98051</v>
      </c>
      <c r="B741" s="783" t="s">
        <v>3352</v>
      </c>
      <c r="C741" s="784">
        <v>2.8019999999999998E-4</v>
      </c>
      <c r="D741" s="784">
        <v>3.0019999999999998E-4</v>
      </c>
      <c r="E741" s="815">
        <v>136145</v>
      </c>
      <c r="F741" s="818">
        <v>637125</v>
      </c>
      <c r="G741" s="785">
        <v>428068</v>
      </c>
      <c r="H741" s="785"/>
      <c r="I741" s="786">
        <v>24661</v>
      </c>
      <c r="J741" s="787">
        <v>103936</v>
      </c>
      <c r="K741" s="786">
        <v>61134</v>
      </c>
      <c r="L741" s="785">
        <v>21691</v>
      </c>
      <c r="M741" s="785"/>
      <c r="N741" s="786">
        <v>12117</v>
      </c>
      <c r="O741" s="786">
        <v>0</v>
      </c>
      <c r="P741" s="786">
        <v>0</v>
      </c>
      <c r="Q741" s="785">
        <v>7516</v>
      </c>
      <c r="R741" s="785"/>
      <c r="S741" s="786">
        <v>144259</v>
      </c>
      <c r="T741" s="788">
        <v>7566</v>
      </c>
      <c r="U741" s="788">
        <v>151825</v>
      </c>
    </row>
    <row r="742" spans="1:21" x14ac:dyDescent="0.25">
      <c r="A742" s="782">
        <v>98061</v>
      </c>
      <c r="B742" s="783" t="s">
        <v>3353</v>
      </c>
      <c r="C742" s="784">
        <v>1.0670000000000001E-4</v>
      </c>
      <c r="D742" s="784">
        <v>9.9099999999999996E-5</v>
      </c>
      <c r="E742" s="815">
        <v>47390</v>
      </c>
      <c r="F742" s="818">
        <v>210323</v>
      </c>
      <c r="G742" s="785">
        <v>163008</v>
      </c>
      <c r="H742" s="785"/>
      <c r="I742" s="786">
        <v>9391</v>
      </c>
      <c r="J742" s="787">
        <v>39579</v>
      </c>
      <c r="K742" s="786">
        <v>23280</v>
      </c>
      <c r="L742" s="785">
        <v>3820</v>
      </c>
      <c r="M742" s="785"/>
      <c r="N742" s="786">
        <v>4614</v>
      </c>
      <c r="O742" s="786">
        <v>0</v>
      </c>
      <c r="P742" s="786">
        <v>0</v>
      </c>
      <c r="Q742" s="785">
        <v>17433</v>
      </c>
      <c r="R742" s="785"/>
      <c r="S742" s="786">
        <v>54934</v>
      </c>
      <c r="T742" s="788">
        <v>-6260</v>
      </c>
      <c r="U742" s="788">
        <v>48674</v>
      </c>
    </row>
    <row r="743" spans="1:21" x14ac:dyDescent="0.25">
      <c r="A743" s="782">
        <v>98071</v>
      </c>
      <c r="B743" s="783" t="s">
        <v>3354</v>
      </c>
      <c r="C743" s="784">
        <v>4.0099999999999999E-5</v>
      </c>
      <c r="D743" s="784">
        <v>3.4400000000000003E-5</v>
      </c>
      <c r="E743" s="815">
        <v>28233</v>
      </c>
      <c r="F743" s="818">
        <v>73008</v>
      </c>
      <c r="G743" s="785">
        <v>61262</v>
      </c>
      <c r="H743" s="785"/>
      <c r="I743" s="786">
        <v>3529</v>
      </c>
      <c r="J743" s="787">
        <v>14874</v>
      </c>
      <c r="K743" s="786">
        <v>8749</v>
      </c>
      <c r="L743" s="785">
        <v>18505</v>
      </c>
      <c r="M743" s="785"/>
      <c r="N743" s="786">
        <v>1734</v>
      </c>
      <c r="O743" s="786">
        <v>0</v>
      </c>
      <c r="P743" s="786">
        <v>0</v>
      </c>
      <c r="Q743" s="785">
        <v>1200</v>
      </c>
      <c r="R743" s="785"/>
      <c r="S743" s="786">
        <v>20645</v>
      </c>
      <c r="T743" s="788">
        <v>4654</v>
      </c>
      <c r="U743" s="788">
        <v>25299</v>
      </c>
    </row>
    <row r="744" spans="1:21" x14ac:dyDescent="0.25">
      <c r="A744" s="782">
        <v>98081</v>
      </c>
      <c r="B744" s="783" t="s">
        <v>3355</v>
      </c>
      <c r="C744" s="784">
        <v>1.8300000000000001E-5</v>
      </c>
      <c r="D744" s="784">
        <v>1.9400000000000001E-5</v>
      </c>
      <c r="E744" s="815">
        <v>7556</v>
      </c>
      <c r="F744" s="818">
        <v>41173</v>
      </c>
      <c r="G744" s="785">
        <v>27957</v>
      </c>
      <c r="H744" s="785"/>
      <c r="I744" s="786">
        <v>1611</v>
      </c>
      <c r="J744" s="787">
        <v>6788</v>
      </c>
      <c r="K744" s="786">
        <v>3993</v>
      </c>
      <c r="L744" s="785">
        <v>0</v>
      </c>
      <c r="M744" s="785"/>
      <c r="N744" s="786">
        <v>791</v>
      </c>
      <c r="O744" s="786">
        <v>0</v>
      </c>
      <c r="P744" s="786">
        <v>0</v>
      </c>
      <c r="Q744" s="785">
        <v>4207</v>
      </c>
      <c r="R744" s="785"/>
      <c r="S744" s="786">
        <v>9422</v>
      </c>
      <c r="T744" s="788">
        <v>-1896</v>
      </c>
      <c r="U744" s="788">
        <v>7526</v>
      </c>
    </row>
    <row r="745" spans="1:21" x14ac:dyDescent="0.25">
      <c r="A745" s="782">
        <v>98091</v>
      </c>
      <c r="B745" s="783" t="s">
        <v>3356</v>
      </c>
      <c r="C745" s="784">
        <v>4.7500000000000003E-5</v>
      </c>
      <c r="D745" s="784">
        <v>5.0899999999999997E-5</v>
      </c>
      <c r="E745" s="815">
        <v>25241</v>
      </c>
      <c r="F745" s="818">
        <v>108027</v>
      </c>
      <c r="G745" s="785">
        <v>72567</v>
      </c>
      <c r="H745" s="785"/>
      <c r="I745" s="786">
        <v>4181</v>
      </c>
      <c r="J745" s="787">
        <v>17619</v>
      </c>
      <c r="K745" s="786">
        <v>10364</v>
      </c>
      <c r="L745" s="785">
        <v>1261</v>
      </c>
      <c r="M745" s="785"/>
      <c r="N745" s="786">
        <v>2054</v>
      </c>
      <c r="O745" s="786">
        <v>0</v>
      </c>
      <c r="P745" s="786">
        <v>0</v>
      </c>
      <c r="Q745" s="785">
        <v>807</v>
      </c>
      <c r="R745" s="785"/>
      <c r="S745" s="786">
        <v>24455</v>
      </c>
      <c r="T745" s="788">
        <v>-295</v>
      </c>
      <c r="U745" s="788">
        <v>24160</v>
      </c>
    </row>
    <row r="746" spans="1:21" x14ac:dyDescent="0.25">
      <c r="A746" s="782">
        <v>98101</v>
      </c>
      <c r="B746" s="783" t="s">
        <v>3357</v>
      </c>
      <c r="C746" s="784">
        <v>2.8706999999999999E-3</v>
      </c>
      <c r="D746" s="784">
        <v>2.7642999999999999E-3</v>
      </c>
      <c r="E746" s="815">
        <v>1210234</v>
      </c>
      <c r="F746" s="818">
        <v>5866771</v>
      </c>
      <c r="G746" s="785">
        <v>4385634</v>
      </c>
      <c r="H746" s="785"/>
      <c r="I746" s="786">
        <v>252653</v>
      </c>
      <c r="J746" s="787">
        <v>1064838</v>
      </c>
      <c r="K746" s="786">
        <v>626329</v>
      </c>
      <c r="L746" s="785">
        <v>37308</v>
      </c>
      <c r="M746" s="785"/>
      <c r="N746" s="786">
        <v>124143</v>
      </c>
      <c r="O746" s="786">
        <v>0</v>
      </c>
      <c r="P746" s="786">
        <v>0</v>
      </c>
      <c r="Q746" s="785">
        <v>32438</v>
      </c>
      <c r="R746" s="785"/>
      <c r="S746" s="786">
        <v>1477963</v>
      </c>
      <c r="T746" s="788">
        <v>14286</v>
      </c>
      <c r="U746" s="788">
        <f>1492248+1</f>
        <v>1492249</v>
      </c>
    </row>
    <row r="747" spans="1:21" x14ac:dyDescent="0.25">
      <c r="A747" s="782">
        <v>98102</v>
      </c>
      <c r="B747" s="783" t="s">
        <v>3358</v>
      </c>
      <c r="C747" s="784">
        <v>1.5809999999999999E-4</v>
      </c>
      <c r="D747" s="784">
        <v>1.683E-4</v>
      </c>
      <c r="E747" s="815">
        <v>71621</v>
      </c>
      <c r="F747" s="818">
        <v>357189</v>
      </c>
      <c r="G747" s="785">
        <v>241533</v>
      </c>
      <c r="H747" s="785"/>
      <c r="I747" s="786">
        <v>13915</v>
      </c>
      <c r="J747" s="787">
        <v>58644</v>
      </c>
      <c r="K747" s="786">
        <v>34494</v>
      </c>
      <c r="L747" s="785">
        <v>0</v>
      </c>
      <c r="M747" s="785"/>
      <c r="N747" s="786">
        <v>6837</v>
      </c>
      <c r="O747" s="786">
        <v>0</v>
      </c>
      <c r="P747" s="786">
        <v>0</v>
      </c>
      <c r="Q747" s="785">
        <v>14329</v>
      </c>
      <c r="R747" s="785"/>
      <c r="S747" s="786">
        <v>81397</v>
      </c>
      <c r="T747" s="788">
        <v>-5584</v>
      </c>
      <c r="U747" s="788">
        <v>75813</v>
      </c>
    </row>
    <row r="748" spans="1:21" x14ac:dyDescent="0.25">
      <c r="A748" s="782">
        <v>98103</v>
      </c>
      <c r="B748" s="783" t="s">
        <v>3359</v>
      </c>
      <c r="C748" s="784">
        <v>5.4410000000000005E-4</v>
      </c>
      <c r="D748" s="784">
        <v>5.3600000000000002E-4</v>
      </c>
      <c r="E748" s="815">
        <v>255161</v>
      </c>
      <c r="F748" s="818">
        <v>1137572</v>
      </c>
      <c r="G748" s="785">
        <v>831234</v>
      </c>
      <c r="H748" s="785"/>
      <c r="I748" s="786">
        <v>47887</v>
      </c>
      <c r="J748" s="787">
        <v>201824</v>
      </c>
      <c r="K748" s="786">
        <v>118712</v>
      </c>
      <c r="L748" s="785">
        <v>9730</v>
      </c>
      <c r="M748" s="785"/>
      <c r="N748" s="786">
        <v>23530</v>
      </c>
      <c r="O748" s="786">
        <v>0</v>
      </c>
      <c r="P748" s="786">
        <v>0</v>
      </c>
      <c r="Q748" s="785">
        <v>27055</v>
      </c>
      <c r="R748" s="785"/>
      <c r="S748" s="786">
        <v>280127</v>
      </c>
      <c r="T748" s="788">
        <v>-17051</v>
      </c>
      <c r="U748" s="788">
        <v>263076</v>
      </c>
    </row>
    <row r="749" spans="1:21" x14ac:dyDescent="0.25">
      <c r="A749" s="782">
        <v>98107</v>
      </c>
      <c r="B749" s="783" t="s">
        <v>3360</v>
      </c>
      <c r="C749" s="784">
        <v>1.08E-5</v>
      </c>
      <c r="D749" s="784">
        <v>1.08E-5</v>
      </c>
      <c r="E749" s="815">
        <v>9242</v>
      </c>
      <c r="F749" s="818">
        <v>22921</v>
      </c>
      <c r="G749" s="785">
        <v>16499</v>
      </c>
      <c r="H749" s="785"/>
      <c r="I749" s="786">
        <v>951</v>
      </c>
      <c r="J749" s="787">
        <v>4006</v>
      </c>
      <c r="K749" s="786">
        <v>2356</v>
      </c>
      <c r="L749" s="785">
        <v>8237</v>
      </c>
      <c r="M749" s="785"/>
      <c r="N749" s="786">
        <v>467</v>
      </c>
      <c r="O749" s="786">
        <v>0</v>
      </c>
      <c r="P749" s="786">
        <v>0</v>
      </c>
      <c r="Q749" s="785">
        <v>0</v>
      </c>
      <c r="R749" s="785"/>
      <c r="S749" s="786">
        <v>5560</v>
      </c>
      <c r="T749" s="788">
        <v>3467</v>
      </c>
      <c r="U749" s="788">
        <v>9027</v>
      </c>
    </row>
    <row r="750" spans="1:21" x14ac:dyDescent="0.25">
      <c r="A750" s="782">
        <v>98109</v>
      </c>
      <c r="B750" s="783" t="s">
        <v>3361</v>
      </c>
      <c r="C750" s="784">
        <v>1.573E-4</v>
      </c>
      <c r="D750" s="784">
        <v>1.4660000000000001E-4</v>
      </c>
      <c r="E750" s="815">
        <v>76016</v>
      </c>
      <c r="F750" s="818">
        <v>311134</v>
      </c>
      <c r="G750" s="785">
        <v>240311</v>
      </c>
      <c r="H750" s="785"/>
      <c r="I750" s="786">
        <v>13844</v>
      </c>
      <c r="J750" s="787">
        <v>58348</v>
      </c>
      <c r="K750" s="786">
        <v>34320</v>
      </c>
      <c r="L750" s="785">
        <v>12163</v>
      </c>
      <c r="M750" s="785"/>
      <c r="N750" s="786">
        <v>6802</v>
      </c>
      <c r="O750" s="786">
        <v>0</v>
      </c>
      <c r="P750" s="786">
        <v>0</v>
      </c>
      <c r="Q750" s="785">
        <v>24551</v>
      </c>
      <c r="R750" s="785"/>
      <c r="S750" s="786">
        <v>80985</v>
      </c>
      <c r="T750" s="788">
        <v>-7590</v>
      </c>
      <c r="U750" s="788">
        <v>73395</v>
      </c>
    </row>
    <row r="751" spans="1:21" x14ac:dyDescent="0.25">
      <c r="A751" s="782">
        <v>98111</v>
      </c>
      <c r="B751" s="783" t="s">
        <v>3362</v>
      </c>
      <c r="C751" s="784">
        <v>1.0143000000000001E-3</v>
      </c>
      <c r="D751" s="784">
        <v>1.0191E-3</v>
      </c>
      <c r="E751" s="815">
        <v>432530</v>
      </c>
      <c r="F751" s="818">
        <v>2162872</v>
      </c>
      <c r="G751" s="785">
        <v>1549569</v>
      </c>
      <c r="H751" s="785"/>
      <c r="I751" s="786">
        <v>89270</v>
      </c>
      <c r="J751" s="787">
        <v>376238</v>
      </c>
      <c r="K751" s="786">
        <v>221300</v>
      </c>
      <c r="L751" s="785">
        <v>0</v>
      </c>
      <c r="M751" s="785"/>
      <c r="N751" s="786">
        <v>43863</v>
      </c>
      <c r="O751" s="786">
        <v>0</v>
      </c>
      <c r="P751" s="786">
        <v>0</v>
      </c>
      <c r="Q751" s="785">
        <v>66610</v>
      </c>
      <c r="R751" s="785"/>
      <c r="S751" s="786">
        <v>522206</v>
      </c>
      <c r="T751" s="788">
        <v>-21506</v>
      </c>
      <c r="U751" s="788">
        <v>500700</v>
      </c>
    </row>
    <row r="752" spans="1:21" x14ac:dyDescent="0.25">
      <c r="A752" s="782">
        <v>98113</v>
      </c>
      <c r="B752" s="783" t="s">
        <v>3363</v>
      </c>
      <c r="C752" s="784">
        <v>4.6199999999999998E-5</v>
      </c>
      <c r="D752" s="784">
        <v>3.8999999999999999E-5</v>
      </c>
      <c r="E752" s="815">
        <v>23492</v>
      </c>
      <c r="F752" s="818">
        <v>82771</v>
      </c>
      <c r="G752" s="785">
        <v>70581</v>
      </c>
      <c r="H752" s="785"/>
      <c r="I752" s="786">
        <v>4066</v>
      </c>
      <c r="J752" s="787">
        <v>17137</v>
      </c>
      <c r="K752" s="786">
        <v>10080</v>
      </c>
      <c r="L752" s="785">
        <v>11739</v>
      </c>
      <c r="M752" s="785"/>
      <c r="N752" s="786">
        <v>1998</v>
      </c>
      <c r="O752" s="786">
        <v>0</v>
      </c>
      <c r="P752" s="786">
        <v>0</v>
      </c>
      <c r="Q752" s="785">
        <v>0</v>
      </c>
      <c r="R752" s="785"/>
      <c r="S752" s="786">
        <v>23786</v>
      </c>
      <c r="T752" s="788">
        <v>4647</v>
      </c>
      <c r="U752" s="788">
        <f>28432+1</f>
        <v>28433</v>
      </c>
    </row>
    <row r="753" spans="1:21" x14ac:dyDescent="0.25">
      <c r="A753" s="782">
        <v>98121</v>
      </c>
      <c r="B753" s="783" t="s">
        <v>3364</v>
      </c>
      <c r="C753" s="784">
        <v>2.0100000000000001E-4</v>
      </c>
      <c r="D753" s="784">
        <v>2.2910000000000001E-4</v>
      </c>
      <c r="E753" s="815">
        <v>89370</v>
      </c>
      <c r="F753" s="818">
        <v>486227</v>
      </c>
      <c r="G753" s="785">
        <v>307072</v>
      </c>
      <c r="H753" s="785"/>
      <c r="I753" s="786">
        <v>17690</v>
      </c>
      <c r="J753" s="787">
        <v>74558</v>
      </c>
      <c r="K753" s="786">
        <v>43854</v>
      </c>
      <c r="L753" s="785">
        <v>2134</v>
      </c>
      <c r="M753" s="785"/>
      <c r="N753" s="786">
        <v>8692</v>
      </c>
      <c r="O753" s="786">
        <v>0</v>
      </c>
      <c r="P753" s="786">
        <v>0</v>
      </c>
      <c r="Q753" s="785">
        <v>25239</v>
      </c>
      <c r="R753" s="785"/>
      <c r="S753" s="786">
        <v>103484</v>
      </c>
      <c r="T753" s="788">
        <v>-5712</v>
      </c>
      <c r="U753" s="788">
        <f>97771+1</f>
        <v>97772</v>
      </c>
    </row>
    <row r="754" spans="1:21" x14ac:dyDescent="0.25">
      <c r="A754" s="782">
        <v>98131</v>
      </c>
      <c r="B754" s="783" t="s">
        <v>3365</v>
      </c>
      <c r="C754" s="784">
        <v>2.5230000000000001E-4</v>
      </c>
      <c r="D754" s="784">
        <v>2.9569999999999998E-4</v>
      </c>
      <c r="E754" s="815">
        <v>119697</v>
      </c>
      <c r="F754" s="818">
        <v>627574</v>
      </c>
      <c r="G754" s="785">
        <v>385445</v>
      </c>
      <c r="H754" s="785"/>
      <c r="I754" s="786">
        <v>22205</v>
      </c>
      <c r="J754" s="787">
        <v>93586</v>
      </c>
      <c r="K754" s="786">
        <v>55047</v>
      </c>
      <c r="L754" s="785">
        <v>0</v>
      </c>
      <c r="M754" s="785"/>
      <c r="N754" s="786">
        <v>10911</v>
      </c>
      <c r="O754" s="786">
        <v>0</v>
      </c>
      <c r="P754" s="786">
        <v>0</v>
      </c>
      <c r="Q754" s="785">
        <v>53749</v>
      </c>
      <c r="R754" s="785"/>
      <c r="S754" s="786">
        <v>129895</v>
      </c>
      <c r="T754" s="788">
        <v>-23653</v>
      </c>
      <c r="U754" s="788">
        <v>106242</v>
      </c>
    </row>
    <row r="755" spans="1:21" x14ac:dyDescent="0.25">
      <c r="A755" s="782">
        <v>98141</v>
      </c>
      <c r="B755" s="783" t="s">
        <v>3366</v>
      </c>
      <c r="C755" s="784">
        <v>3.0360000000000001E-4</v>
      </c>
      <c r="D755" s="784">
        <v>2.9030000000000001E-4</v>
      </c>
      <c r="E755" s="815">
        <v>133558</v>
      </c>
      <c r="F755" s="818">
        <v>616114</v>
      </c>
      <c r="G755" s="785">
        <v>463817</v>
      </c>
      <c r="H755" s="785"/>
      <c r="I755" s="786">
        <v>26720</v>
      </c>
      <c r="J755" s="787">
        <v>112616</v>
      </c>
      <c r="K755" s="786">
        <v>66239</v>
      </c>
      <c r="L755" s="785">
        <v>5226</v>
      </c>
      <c r="M755" s="785"/>
      <c r="N755" s="786">
        <v>13129</v>
      </c>
      <c r="O755" s="786">
        <v>0</v>
      </c>
      <c r="P755" s="786">
        <v>0</v>
      </c>
      <c r="Q755" s="785">
        <v>22375</v>
      </c>
      <c r="R755" s="785"/>
      <c r="S755" s="786">
        <v>156307</v>
      </c>
      <c r="T755" s="788">
        <v>-11630</v>
      </c>
      <c r="U755" s="788">
        <v>144677</v>
      </c>
    </row>
    <row r="756" spans="1:21" x14ac:dyDescent="0.25">
      <c r="A756" s="782">
        <v>98147</v>
      </c>
      <c r="B756" s="783" t="s">
        <v>3367</v>
      </c>
      <c r="C756" s="784">
        <v>1.29E-5</v>
      </c>
      <c r="D756" s="784">
        <v>1.29E-5</v>
      </c>
      <c r="E756" s="815">
        <v>9893</v>
      </c>
      <c r="F756" s="818">
        <v>27378</v>
      </c>
      <c r="G756" s="785">
        <v>19708</v>
      </c>
      <c r="H756" s="785"/>
      <c r="I756" s="786">
        <v>1135</v>
      </c>
      <c r="J756" s="787">
        <v>4785</v>
      </c>
      <c r="K756" s="786">
        <v>2815</v>
      </c>
      <c r="L756" s="785">
        <v>8231</v>
      </c>
      <c r="M756" s="785"/>
      <c r="N756" s="786">
        <v>558</v>
      </c>
      <c r="O756" s="786">
        <v>0</v>
      </c>
      <c r="P756" s="786">
        <v>0</v>
      </c>
      <c r="Q756" s="785">
        <v>0</v>
      </c>
      <c r="R756" s="785"/>
      <c r="S756" s="786">
        <v>6641</v>
      </c>
      <c r="T756" s="788">
        <v>3295</v>
      </c>
      <c r="U756" s="788">
        <f>9937-1</f>
        <v>9936</v>
      </c>
    </row>
    <row r="757" spans="1:21" x14ac:dyDescent="0.25">
      <c r="A757" s="782">
        <v>98161</v>
      </c>
      <c r="B757" s="783" t="s">
        <v>3368</v>
      </c>
      <c r="C757" s="784">
        <v>7.3000000000000004E-6</v>
      </c>
      <c r="D757" s="784">
        <v>7.4000000000000003E-6</v>
      </c>
      <c r="E757" s="815">
        <v>5046</v>
      </c>
      <c r="F757" s="818">
        <v>15705</v>
      </c>
      <c r="G757" s="785">
        <v>11152</v>
      </c>
      <c r="H757" s="785"/>
      <c r="I757" s="786">
        <v>642</v>
      </c>
      <c r="J757" s="787">
        <v>2708</v>
      </c>
      <c r="K757" s="786">
        <v>1593</v>
      </c>
      <c r="L757" s="785">
        <v>2689</v>
      </c>
      <c r="M757" s="785"/>
      <c r="N757" s="786">
        <v>316</v>
      </c>
      <c r="O757" s="786">
        <v>0</v>
      </c>
      <c r="P757" s="786">
        <v>0</v>
      </c>
      <c r="Q757" s="785">
        <v>0</v>
      </c>
      <c r="R757" s="785"/>
      <c r="S757" s="786">
        <v>3758</v>
      </c>
      <c r="T757" s="788">
        <v>1075</v>
      </c>
      <c r="U757" s="788">
        <v>4833</v>
      </c>
    </row>
    <row r="758" spans="1:21" x14ac:dyDescent="0.25">
      <c r="A758" s="782">
        <v>98201</v>
      </c>
      <c r="B758" s="783" t="s">
        <v>3369</v>
      </c>
      <c r="C758" s="784">
        <v>3.1664000000000002E-3</v>
      </c>
      <c r="D758" s="784">
        <v>3.0368999999999999E-3</v>
      </c>
      <c r="E758" s="815">
        <v>1424604</v>
      </c>
      <c r="F758" s="818">
        <v>6445319</v>
      </c>
      <c r="G758" s="785">
        <v>4837382</v>
      </c>
      <c r="H758" s="785"/>
      <c r="I758" s="786">
        <v>278678</v>
      </c>
      <c r="J758" s="787">
        <v>1174522</v>
      </c>
      <c r="K758" s="786">
        <v>690845</v>
      </c>
      <c r="L758" s="785">
        <v>63594</v>
      </c>
      <c r="M758" s="785"/>
      <c r="N758" s="786">
        <v>136931</v>
      </c>
      <c r="O758" s="786">
        <v>0</v>
      </c>
      <c r="P758" s="786">
        <v>0</v>
      </c>
      <c r="Q758" s="785">
        <v>39608</v>
      </c>
      <c r="R758" s="785"/>
      <c r="S758" s="786">
        <v>1630202</v>
      </c>
      <c r="T758" s="788">
        <v>-5370</v>
      </c>
      <c r="U758" s="788">
        <v>1624832</v>
      </c>
    </row>
    <row r="759" spans="1:21" x14ac:dyDescent="0.25">
      <c r="A759" s="782">
        <v>98205</v>
      </c>
      <c r="B759" s="783" t="s">
        <v>3370</v>
      </c>
      <c r="C759" s="784">
        <v>4.6799999999999999E-5</v>
      </c>
      <c r="D759" s="784">
        <v>5.13E-5</v>
      </c>
      <c r="E759" s="815">
        <v>23505</v>
      </c>
      <c r="F759" s="818">
        <v>108876</v>
      </c>
      <c r="G759" s="785">
        <v>71497</v>
      </c>
      <c r="H759" s="785"/>
      <c r="I759" s="786">
        <v>4119</v>
      </c>
      <c r="J759" s="787">
        <v>17359</v>
      </c>
      <c r="K759" s="786">
        <v>10211</v>
      </c>
      <c r="L759" s="785">
        <v>1985</v>
      </c>
      <c r="M759" s="785"/>
      <c r="N759" s="786">
        <v>2024</v>
      </c>
      <c r="O759" s="786">
        <v>0</v>
      </c>
      <c r="P759" s="786">
        <v>0</v>
      </c>
      <c r="Q759" s="785">
        <v>2510</v>
      </c>
      <c r="R759" s="785"/>
      <c r="S759" s="786">
        <v>24095</v>
      </c>
      <c r="T759" s="788">
        <v>-141</v>
      </c>
      <c r="U759" s="788">
        <f>23953+1</f>
        <v>23954</v>
      </c>
    </row>
    <row r="760" spans="1:21" x14ac:dyDescent="0.25">
      <c r="A760" s="782">
        <v>98211</v>
      </c>
      <c r="B760" s="783" t="s">
        <v>3371</v>
      </c>
      <c r="C760" s="784">
        <v>8.6689999999999998E-4</v>
      </c>
      <c r="D760" s="784">
        <v>9.1609999999999999E-4</v>
      </c>
      <c r="E760" s="815">
        <v>365218</v>
      </c>
      <c r="F760" s="818">
        <v>1944271</v>
      </c>
      <c r="G760" s="785">
        <v>1324383</v>
      </c>
      <c r="H760" s="785"/>
      <c r="I760" s="786">
        <v>76297</v>
      </c>
      <c r="J760" s="787">
        <v>321561</v>
      </c>
      <c r="K760" s="786">
        <v>189140</v>
      </c>
      <c r="L760" s="785">
        <v>0</v>
      </c>
      <c r="M760" s="785"/>
      <c r="N760" s="786">
        <v>37489</v>
      </c>
      <c r="O760" s="786">
        <v>0</v>
      </c>
      <c r="P760" s="786">
        <v>0</v>
      </c>
      <c r="Q760" s="785">
        <v>136830</v>
      </c>
      <c r="R760" s="785"/>
      <c r="S760" s="786">
        <v>446318</v>
      </c>
      <c r="T760" s="788">
        <v>-50136</v>
      </c>
      <c r="U760" s="788">
        <v>396182</v>
      </c>
    </row>
    <row r="761" spans="1:21" x14ac:dyDescent="0.25">
      <c r="A761" s="782">
        <v>98218</v>
      </c>
      <c r="B761" s="783" t="s">
        <v>3372</v>
      </c>
      <c r="C761" s="784">
        <v>1.3200000000000001E-5</v>
      </c>
      <c r="D761" s="784">
        <v>1.0200000000000001E-5</v>
      </c>
      <c r="E761" s="815">
        <v>5829</v>
      </c>
      <c r="F761" s="818">
        <v>21648</v>
      </c>
      <c r="G761" s="785">
        <v>20166</v>
      </c>
      <c r="H761" s="785"/>
      <c r="I761" s="786">
        <v>1162</v>
      </c>
      <c r="J761" s="787">
        <v>4896</v>
      </c>
      <c r="K761" s="786">
        <v>2880</v>
      </c>
      <c r="L761" s="785">
        <v>1827</v>
      </c>
      <c r="M761" s="785"/>
      <c r="N761" s="786">
        <v>571</v>
      </c>
      <c r="O761" s="786">
        <v>0</v>
      </c>
      <c r="P761" s="786">
        <v>0</v>
      </c>
      <c r="Q761" s="785">
        <v>1072</v>
      </c>
      <c r="R761" s="785"/>
      <c r="S761" s="786">
        <v>6796</v>
      </c>
      <c r="T761" s="788">
        <v>-336</v>
      </c>
      <c r="U761" s="788">
        <v>6460</v>
      </c>
    </row>
    <row r="762" spans="1:21" x14ac:dyDescent="0.25">
      <c r="A762" s="782">
        <v>98221</v>
      </c>
      <c r="B762" s="783" t="s">
        <v>3373</v>
      </c>
      <c r="C762" s="784">
        <v>1.8899999999999999E-5</v>
      </c>
      <c r="D762" s="784">
        <v>1.6799999999999998E-5</v>
      </c>
      <c r="E762" s="815">
        <v>9739</v>
      </c>
      <c r="F762" s="818">
        <v>35655</v>
      </c>
      <c r="G762" s="785">
        <v>28874</v>
      </c>
      <c r="H762" s="785"/>
      <c r="I762" s="786">
        <v>1663</v>
      </c>
      <c r="J762" s="787">
        <v>7011</v>
      </c>
      <c r="K762" s="786">
        <v>4124</v>
      </c>
      <c r="L762" s="785">
        <v>4593</v>
      </c>
      <c r="M762" s="785"/>
      <c r="N762" s="786">
        <v>817</v>
      </c>
      <c r="O762" s="786">
        <v>0</v>
      </c>
      <c r="P762" s="786">
        <v>0</v>
      </c>
      <c r="Q762" s="785">
        <v>0</v>
      </c>
      <c r="R762" s="785"/>
      <c r="S762" s="786">
        <v>9731</v>
      </c>
      <c r="T762" s="788">
        <v>1469</v>
      </c>
      <c r="U762" s="788">
        <v>11200</v>
      </c>
    </row>
    <row r="763" spans="1:21" x14ac:dyDescent="0.25">
      <c r="A763" s="782">
        <v>98231</v>
      </c>
      <c r="B763" s="783" t="s">
        <v>3374</v>
      </c>
      <c r="C763" s="784">
        <v>2.2799999999999999E-5</v>
      </c>
      <c r="D763" s="784">
        <v>3.1999999999999999E-5</v>
      </c>
      <c r="E763" s="815">
        <v>11487</v>
      </c>
      <c r="F763" s="818">
        <v>67915</v>
      </c>
      <c r="G763" s="785">
        <v>34832</v>
      </c>
      <c r="H763" s="785"/>
      <c r="I763" s="786">
        <v>2007</v>
      </c>
      <c r="J763" s="787">
        <v>8457</v>
      </c>
      <c r="K763" s="786">
        <v>4975</v>
      </c>
      <c r="L763" s="785">
        <v>1705</v>
      </c>
      <c r="M763" s="785"/>
      <c r="N763" s="786">
        <v>986</v>
      </c>
      <c r="O763" s="786">
        <v>0</v>
      </c>
      <c r="P763" s="786">
        <v>0</v>
      </c>
      <c r="Q763" s="785">
        <v>9632</v>
      </c>
      <c r="R763" s="785"/>
      <c r="S763" s="786">
        <v>11738</v>
      </c>
      <c r="T763" s="788">
        <v>-3592</v>
      </c>
      <c r="U763" s="788">
        <v>8146</v>
      </c>
    </row>
    <row r="764" spans="1:21" x14ac:dyDescent="0.25">
      <c r="A764" s="782">
        <v>98237</v>
      </c>
      <c r="B764" s="783" t="s">
        <v>3375</v>
      </c>
      <c r="C764" s="784">
        <v>5.9000000000000003E-6</v>
      </c>
      <c r="D764" s="784">
        <v>2.7E-6</v>
      </c>
      <c r="E764" s="815">
        <v>4385</v>
      </c>
      <c r="F764" s="818">
        <v>5730</v>
      </c>
      <c r="G764" s="785">
        <v>9014</v>
      </c>
      <c r="H764" s="785"/>
      <c r="I764" s="786">
        <v>519</v>
      </c>
      <c r="J764" s="787">
        <v>2188</v>
      </c>
      <c r="K764" s="786">
        <v>1287</v>
      </c>
      <c r="L764" s="785">
        <v>5034</v>
      </c>
      <c r="M764" s="785"/>
      <c r="N764" s="786">
        <v>255</v>
      </c>
      <c r="O764" s="786">
        <v>0</v>
      </c>
      <c r="P764" s="786">
        <v>0</v>
      </c>
      <c r="Q764" s="785">
        <v>0</v>
      </c>
      <c r="R764" s="785"/>
      <c r="S764" s="786">
        <v>3038</v>
      </c>
      <c r="T764" s="788">
        <v>1666</v>
      </c>
      <c r="U764" s="788">
        <v>4704</v>
      </c>
    </row>
    <row r="765" spans="1:21" x14ac:dyDescent="0.25">
      <c r="A765" s="782">
        <v>98241</v>
      </c>
      <c r="B765" s="783" t="s">
        <v>3376</v>
      </c>
      <c r="C765" s="784">
        <v>1.5099999999999999E-5</v>
      </c>
      <c r="D765" s="784">
        <v>1.98E-5</v>
      </c>
      <c r="E765" s="815">
        <v>8388</v>
      </c>
      <c r="F765" s="818">
        <v>42022</v>
      </c>
      <c r="G765" s="785">
        <v>23069</v>
      </c>
      <c r="H765" s="785"/>
      <c r="I765" s="786">
        <v>1329</v>
      </c>
      <c r="J765" s="787">
        <v>5602</v>
      </c>
      <c r="K765" s="786">
        <v>3295</v>
      </c>
      <c r="L765" s="785">
        <v>5512</v>
      </c>
      <c r="M765" s="785"/>
      <c r="N765" s="786">
        <v>653</v>
      </c>
      <c r="O765" s="786">
        <v>0</v>
      </c>
      <c r="P765" s="786">
        <v>0</v>
      </c>
      <c r="Q765" s="785">
        <v>2200</v>
      </c>
      <c r="R765" s="785"/>
      <c r="S765" s="786">
        <v>7774</v>
      </c>
      <c r="T765" s="788">
        <v>2564</v>
      </c>
      <c r="U765" s="788">
        <f>10339-1</f>
        <v>10338</v>
      </c>
    </row>
    <row r="766" spans="1:21" x14ac:dyDescent="0.25">
      <c r="A766" s="782">
        <v>98251</v>
      </c>
      <c r="B766" s="783" t="s">
        <v>3377</v>
      </c>
      <c r="C766" s="784">
        <v>3.0000000000000001E-6</v>
      </c>
      <c r="D766" s="784">
        <v>3.1E-6</v>
      </c>
      <c r="E766" s="815">
        <v>2206</v>
      </c>
      <c r="F766" s="818">
        <v>6579</v>
      </c>
      <c r="G766" s="785">
        <v>4583</v>
      </c>
      <c r="H766" s="785"/>
      <c r="I766" s="786">
        <v>264</v>
      </c>
      <c r="J766" s="787">
        <v>1113</v>
      </c>
      <c r="K766" s="786">
        <v>655</v>
      </c>
      <c r="L766" s="785">
        <v>1375</v>
      </c>
      <c r="M766" s="785"/>
      <c r="N766" s="786">
        <v>130</v>
      </c>
      <c r="O766" s="786">
        <v>0</v>
      </c>
      <c r="P766" s="786">
        <v>0</v>
      </c>
      <c r="Q766" s="785">
        <v>0</v>
      </c>
      <c r="R766" s="785"/>
      <c r="S766" s="786">
        <v>1545</v>
      </c>
      <c r="T766" s="788">
        <v>561</v>
      </c>
      <c r="U766" s="788">
        <v>2106</v>
      </c>
    </row>
    <row r="767" spans="1:21" x14ac:dyDescent="0.25">
      <c r="A767" s="782">
        <v>98261</v>
      </c>
      <c r="B767" s="783" t="s">
        <v>3378</v>
      </c>
      <c r="C767" s="784">
        <v>3.3200000000000001E-5</v>
      </c>
      <c r="D767" s="784">
        <v>2.97E-5</v>
      </c>
      <c r="E767" s="815">
        <v>16865</v>
      </c>
      <c r="F767" s="818">
        <v>63033</v>
      </c>
      <c r="G767" s="785">
        <v>50720</v>
      </c>
      <c r="H767" s="785"/>
      <c r="I767" s="786">
        <v>2922</v>
      </c>
      <c r="J767" s="787">
        <v>12315</v>
      </c>
      <c r="K767" s="786">
        <v>7244</v>
      </c>
      <c r="L767" s="785">
        <v>6546</v>
      </c>
      <c r="M767" s="785"/>
      <c r="N767" s="786">
        <v>1436</v>
      </c>
      <c r="O767" s="786">
        <v>0</v>
      </c>
      <c r="P767" s="786">
        <v>0</v>
      </c>
      <c r="Q767" s="785">
        <v>4922</v>
      </c>
      <c r="R767" s="785"/>
      <c r="S767" s="786">
        <v>17093</v>
      </c>
      <c r="T767" s="788">
        <v>793</v>
      </c>
      <c r="U767" s="788">
        <v>17886</v>
      </c>
    </row>
    <row r="768" spans="1:21" x14ac:dyDescent="0.25">
      <c r="A768" s="782">
        <v>98271</v>
      </c>
      <c r="B768" s="783" t="s">
        <v>3379</v>
      </c>
      <c r="C768" s="784">
        <v>5.1000000000000003E-6</v>
      </c>
      <c r="D768" s="784">
        <v>4.5000000000000001E-6</v>
      </c>
      <c r="E768" s="815">
        <v>2676</v>
      </c>
      <c r="F768" s="818">
        <v>9551</v>
      </c>
      <c r="G768" s="785">
        <v>7791</v>
      </c>
      <c r="H768" s="785"/>
      <c r="I768" s="786">
        <v>449</v>
      </c>
      <c r="J768" s="787">
        <v>1891</v>
      </c>
      <c r="K768" s="786">
        <v>1113</v>
      </c>
      <c r="L768" s="785">
        <v>3229</v>
      </c>
      <c r="M768" s="785"/>
      <c r="N768" s="786">
        <v>221</v>
      </c>
      <c r="O768" s="786">
        <v>0</v>
      </c>
      <c r="P768" s="786">
        <v>0</v>
      </c>
      <c r="Q768" s="785">
        <v>0</v>
      </c>
      <c r="R768" s="785"/>
      <c r="S768" s="786">
        <v>2626</v>
      </c>
      <c r="T768" s="788">
        <v>1560</v>
      </c>
      <c r="U768" s="788">
        <f>4185+1</f>
        <v>4186</v>
      </c>
    </row>
    <row r="769" spans="1:21" x14ac:dyDescent="0.25">
      <c r="A769" s="782">
        <v>98301</v>
      </c>
      <c r="B769" s="783" t="s">
        <v>3380</v>
      </c>
      <c r="C769" s="784">
        <v>1.7542E-3</v>
      </c>
      <c r="D769" s="784">
        <v>1.7776999999999999E-3</v>
      </c>
      <c r="E769" s="815">
        <v>825878</v>
      </c>
      <c r="F769" s="818">
        <v>3772875</v>
      </c>
      <c r="G769" s="785">
        <v>2679932</v>
      </c>
      <c r="H769" s="785"/>
      <c r="I769" s="786">
        <v>154389</v>
      </c>
      <c r="J769" s="787">
        <v>650690</v>
      </c>
      <c r="K769" s="786">
        <v>382731</v>
      </c>
      <c r="L769" s="785">
        <v>51704</v>
      </c>
      <c r="M769" s="785"/>
      <c r="N769" s="786">
        <v>75860</v>
      </c>
      <c r="O769" s="786">
        <v>0</v>
      </c>
      <c r="P769" s="786">
        <v>0</v>
      </c>
      <c r="Q769" s="785">
        <v>7816</v>
      </c>
      <c r="R769" s="785"/>
      <c r="S769" s="786">
        <v>903139</v>
      </c>
      <c r="T769" s="788">
        <v>17344</v>
      </c>
      <c r="U769" s="788">
        <v>920483</v>
      </c>
    </row>
    <row r="770" spans="1:21" x14ac:dyDescent="0.25">
      <c r="A770" s="782">
        <v>98304</v>
      </c>
      <c r="B770" s="783" t="s">
        <v>3381</v>
      </c>
      <c r="C770" s="784">
        <v>2.0999999999999999E-5</v>
      </c>
      <c r="D770" s="784">
        <v>2.2900000000000001E-5</v>
      </c>
      <c r="E770" s="815">
        <v>12751</v>
      </c>
      <c r="F770" s="818">
        <v>48601</v>
      </c>
      <c r="G770" s="785">
        <v>32082</v>
      </c>
      <c r="H770" s="785"/>
      <c r="I770" s="786">
        <v>1848</v>
      </c>
      <c r="J770" s="787">
        <v>7790</v>
      </c>
      <c r="K770" s="786">
        <v>4582</v>
      </c>
      <c r="L770" s="785">
        <v>2290</v>
      </c>
      <c r="M770" s="785"/>
      <c r="N770" s="786">
        <v>908</v>
      </c>
      <c r="O770" s="786">
        <v>0</v>
      </c>
      <c r="P770" s="786">
        <v>0</v>
      </c>
      <c r="Q770" s="785">
        <v>0</v>
      </c>
      <c r="R770" s="785"/>
      <c r="S770" s="786">
        <v>10812</v>
      </c>
      <c r="T770" s="788">
        <v>818</v>
      </c>
      <c r="U770" s="788">
        <f>11629+1</f>
        <v>11630</v>
      </c>
    </row>
    <row r="771" spans="1:21" x14ac:dyDescent="0.25">
      <c r="A771" s="782">
        <v>98308</v>
      </c>
      <c r="B771" s="783" t="s">
        <v>3382</v>
      </c>
      <c r="C771" s="784">
        <v>2.37E-5</v>
      </c>
      <c r="D771" s="784">
        <v>2.55E-5</v>
      </c>
      <c r="E771" s="815">
        <v>15363</v>
      </c>
      <c r="F771" s="818">
        <v>54120</v>
      </c>
      <c r="G771" s="785">
        <v>36207</v>
      </c>
      <c r="H771" s="785"/>
      <c r="I771" s="786">
        <v>2086</v>
      </c>
      <c r="J771" s="787">
        <v>8791</v>
      </c>
      <c r="K771" s="786">
        <v>5171</v>
      </c>
      <c r="L771" s="785">
        <v>7272</v>
      </c>
      <c r="M771" s="785"/>
      <c r="N771" s="786">
        <v>1025</v>
      </c>
      <c r="O771" s="786">
        <v>0</v>
      </c>
      <c r="P771" s="786">
        <v>0</v>
      </c>
      <c r="Q771" s="785">
        <v>0</v>
      </c>
      <c r="R771" s="785"/>
      <c r="S771" s="786">
        <v>12202</v>
      </c>
      <c r="T771" s="788">
        <v>3390</v>
      </c>
      <c r="U771" s="788">
        <v>15592</v>
      </c>
    </row>
    <row r="772" spans="1:21" x14ac:dyDescent="0.25">
      <c r="A772" s="782">
        <v>98311</v>
      </c>
      <c r="B772" s="783" t="s">
        <v>3383</v>
      </c>
      <c r="C772" s="784">
        <v>1.1536000000000001E-3</v>
      </c>
      <c r="D772" s="784">
        <v>1.1441999999999999E-3</v>
      </c>
      <c r="E772" s="815">
        <v>462217</v>
      </c>
      <c r="F772" s="818">
        <v>2428376</v>
      </c>
      <c r="G772" s="785">
        <v>1762381</v>
      </c>
      <c r="H772" s="785"/>
      <c r="I772" s="786">
        <v>101529</v>
      </c>
      <c r="J772" s="787">
        <v>427908</v>
      </c>
      <c r="K772" s="786">
        <v>251692</v>
      </c>
      <c r="L772" s="785">
        <v>12653</v>
      </c>
      <c r="M772" s="785"/>
      <c r="N772" s="786">
        <v>49887</v>
      </c>
      <c r="O772" s="786">
        <v>0</v>
      </c>
      <c r="P772" s="786">
        <v>0</v>
      </c>
      <c r="Q772" s="785">
        <v>98661</v>
      </c>
      <c r="R772" s="785"/>
      <c r="S772" s="786">
        <v>593924</v>
      </c>
      <c r="T772" s="788">
        <v>-18424</v>
      </c>
      <c r="U772" s="788">
        <f>575501-1</f>
        <v>575500</v>
      </c>
    </row>
    <row r="773" spans="1:21" x14ac:dyDescent="0.25">
      <c r="A773" s="782">
        <v>98313</v>
      </c>
      <c r="B773" s="783" t="s">
        <v>3384</v>
      </c>
      <c r="C773" s="784">
        <v>2.3560000000000001E-4</v>
      </c>
      <c r="D773" s="784">
        <v>2.4240000000000001E-4</v>
      </c>
      <c r="E773" s="815">
        <v>259158</v>
      </c>
      <c r="F773" s="818">
        <v>514454</v>
      </c>
      <c r="G773" s="785">
        <v>359932</v>
      </c>
      <c r="H773" s="785"/>
      <c r="I773" s="786">
        <v>20735</v>
      </c>
      <c r="J773" s="787">
        <v>87392</v>
      </c>
      <c r="K773" s="786">
        <v>51403</v>
      </c>
      <c r="L773" s="785">
        <v>233571</v>
      </c>
      <c r="M773" s="785"/>
      <c r="N773" s="786">
        <v>10189</v>
      </c>
      <c r="O773" s="786">
        <v>0</v>
      </c>
      <c r="P773" s="786">
        <v>0</v>
      </c>
      <c r="Q773" s="785">
        <v>59</v>
      </c>
      <c r="R773" s="785"/>
      <c r="S773" s="786">
        <v>121297</v>
      </c>
      <c r="T773" s="788">
        <v>77966</v>
      </c>
      <c r="U773" s="788">
        <v>199263</v>
      </c>
    </row>
    <row r="774" spans="1:21" x14ac:dyDescent="0.25">
      <c r="A774" s="782">
        <v>98321</v>
      </c>
      <c r="B774" s="783" t="s">
        <v>3385</v>
      </c>
      <c r="C774" s="784">
        <v>2.05E-5</v>
      </c>
      <c r="D774" s="784">
        <v>2.1399999999999998E-5</v>
      </c>
      <c r="E774" s="815">
        <v>10270</v>
      </c>
      <c r="F774" s="818">
        <v>45418</v>
      </c>
      <c r="G774" s="785">
        <v>31318</v>
      </c>
      <c r="H774" s="785"/>
      <c r="I774" s="786">
        <v>1804</v>
      </c>
      <c r="J774" s="787">
        <v>7604</v>
      </c>
      <c r="K774" s="786">
        <v>4473</v>
      </c>
      <c r="L774" s="785">
        <v>1639</v>
      </c>
      <c r="M774" s="785"/>
      <c r="N774" s="786">
        <v>887</v>
      </c>
      <c r="O774" s="786">
        <v>0</v>
      </c>
      <c r="P774" s="786">
        <v>0</v>
      </c>
      <c r="Q774" s="785">
        <v>3066</v>
      </c>
      <c r="R774" s="785"/>
      <c r="S774" s="786">
        <v>10554</v>
      </c>
      <c r="T774" s="788">
        <v>472</v>
      </c>
      <c r="U774" s="788">
        <v>11026</v>
      </c>
    </row>
    <row r="775" spans="1:21" x14ac:dyDescent="0.25">
      <c r="A775" s="782">
        <v>98331</v>
      </c>
      <c r="B775" s="783" t="s">
        <v>3386</v>
      </c>
      <c r="C775" s="784">
        <v>9.7999999999999993E-6</v>
      </c>
      <c r="D775" s="784">
        <v>1.03E-5</v>
      </c>
      <c r="E775" s="815">
        <v>6281</v>
      </c>
      <c r="F775" s="818">
        <v>21860</v>
      </c>
      <c r="G775" s="785">
        <v>14972</v>
      </c>
      <c r="H775" s="785"/>
      <c r="I775" s="786">
        <v>863</v>
      </c>
      <c r="J775" s="787">
        <v>3635</v>
      </c>
      <c r="K775" s="786">
        <v>2138</v>
      </c>
      <c r="L775" s="785">
        <v>3035</v>
      </c>
      <c r="M775" s="785"/>
      <c r="N775" s="786">
        <v>424</v>
      </c>
      <c r="O775" s="786">
        <v>0</v>
      </c>
      <c r="P775" s="786">
        <v>0</v>
      </c>
      <c r="Q775" s="785">
        <v>132</v>
      </c>
      <c r="R775" s="785"/>
      <c r="S775" s="786">
        <v>5045</v>
      </c>
      <c r="T775" s="788">
        <v>972</v>
      </c>
      <c r="U775" s="788">
        <f>6018-1</f>
        <v>6017</v>
      </c>
    </row>
    <row r="776" spans="1:21" x14ac:dyDescent="0.25">
      <c r="A776" s="782">
        <v>98401</v>
      </c>
      <c r="B776" s="783" t="s">
        <v>3387</v>
      </c>
      <c r="C776" s="784">
        <v>2.7655000000000002E-3</v>
      </c>
      <c r="D776" s="784">
        <v>2.7567999999999998E-3</v>
      </c>
      <c r="E776" s="815">
        <v>1399311</v>
      </c>
      <c r="F776" s="818">
        <v>5850853</v>
      </c>
      <c r="G776" s="785">
        <v>4224918</v>
      </c>
      <c r="H776" s="785"/>
      <c r="I776" s="786">
        <v>243394</v>
      </c>
      <c r="J776" s="787">
        <v>1025815</v>
      </c>
      <c r="K776" s="786">
        <v>603377</v>
      </c>
      <c r="L776" s="785">
        <v>168129</v>
      </c>
      <c r="M776" s="785"/>
      <c r="N776" s="786">
        <v>119594</v>
      </c>
      <c r="O776" s="786">
        <v>0</v>
      </c>
      <c r="P776" s="786">
        <v>0</v>
      </c>
      <c r="Q776" s="785">
        <v>6292</v>
      </c>
      <c r="R776" s="785"/>
      <c r="S776" s="786">
        <v>1423801</v>
      </c>
      <c r="T776" s="788">
        <v>58759</v>
      </c>
      <c r="U776" s="788">
        <v>1482560</v>
      </c>
    </row>
    <row r="777" spans="1:21" x14ac:dyDescent="0.25">
      <c r="A777" s="782">
        <v>98404</v>
      </c>
      <c r="B777" s="783" t="s">
        <v>3674</v>
      </c>
      <c r="C777" s="784">
        <v>1.52E-5</v>
      </c>
      <c r="D777" s="784">
        <v>0</v>
      </c>
      <c r="E777" s="815">
        <v>5852</v>
      </c>
      <c r="F777" s="818">
        <v>0</v>
      </c>
      <c r="G777" s="785">
        <v>23221</v>
      </c>
      <c r="H777" s="785"/>
      <c r="I777" s="786">
        <v>1338</v>
      </c>
      <c r="J777" s="787">
        <v>5638</v>
      </c>
      <c r="K777" s="786">
        <v>3316</v>
      </c>
      <c r="L777" s="785">
        <v>9290</v>
      </c>
      <c r="M777" s="785"/>
      <c r="N777" s="786">
        <v>657</v>
      </c>
      <c r="O777" s="786">
        <v>0</v>
      </c>
      <c r="P777" s="786">
        <v>0</v>
      </c>
      <c r="Q777" s="785">
        <v>0</v>
      </c>
      <c r="R777" s="785"/>
      <c r="S777" s="786">
        <v>7826</v>
      </c>
      <c r="T777" s="788">
        <v>2323</v>
      </c>
      <c r="U777" s="788">
        <f>10148+1</f>
        <v>10149</v>
      </c>
    </row>
    <row r="778" spans="1:21" x14ac:dyDescent="0.25">
      <c r="A778" s="782">
        <v>98411</v>
      </c>
      <c r="B778" s="783" t="s">
        <v>3388</v>
      </c>
      <c r="C778" s="784">
        <v>1.9816E-3</v>
      </c>
      <c r="D778" s="784">
        <v>2.0076999999999998E-3</v>
      </c>
      <c r="E778" s="815">
        <v>869964</v>
      </c>
      <c r="F778" s="818">
        <v>4261012</v>
      </c>
      <c r="G778" s="785">
        <v>3027336</v>
      </c>
      <c r="H778" s="785"/>
      <c r="I778" s="786">
        <v>174403</v>
      </c>
      <c r="J778" s="787">
        <v>735040</v>
      </c>
      <c r="K778" s="786">
        <v>432345</v>
      </c>
      <c r="L778" s="785">
        <v>3986</v>
      </c>
      <c r="M778" s="785"/>
      <c r="N778" s="786">
        <v>85694</v>
      </c>
      <c r="O778" s="786">
        <v>0</v>
      </c>
      <c r="P778" s="786">
        <v>0</v>
      </c>
      <c r="Q778" s="785">
        <v>73699</v>
      </c>
      <c r="R778" s="785"/>
      <c r="S778" s="786">
        <v>1020215</v>
      </c>
      <c r="T778" s="788">
        <v>-19116</v>
      </c>
      <c r="U778" s="788">
        <v>1001099</v>
      </c>
    </row>
    <row r="779" spans="1:21" x14ac:dyDescent="0.25">
      <c r="A779" s="782">
        <v>98414</v>
      </c>
      <c r="B779" s="783" t="s">
        <v>2628</v>
      </c>
      <c r="C779" s="789">
        <f>0.00283%+0.00102%</f>
        <v>3.8500000000000001E-5</v>
      </c>
      <c r="D779" s="784">
        <v>4.3600000000000003E-5</v>
      </c>
      <c r="E779" s="815">
        <v>7367</v>
      </c>
      <c r="F779" s="818">
        <v>0</v>
      </c>
      <c r="G779" s="785">
        <f>43235+15583</f>
        <v>58818</v>
      </c>
      <c r="H779" s="785"/>
      <c r="I779" s="786">
        <f>2491+898</f>
        <v>3389</v>
      </c>
      <c r="J779" s="787">
        <v>14282</v>
      </c>
      <c r="K779" s="786">
        <f>6174+2225</f>
        <v>8399</v>
      </c>
      <c r="L779" s="785">
        <v>14474</v>
      </c>
      <c r="M779" s="785"/>
      <c r="N779" s="786">
        <f>1224+441</f>
        <v>1665</v>
      </c>
      <c r="O779" s="786">
        <v>0</v>
      </c>
      <c r="P779" s="786">
        <v>0</v>
      </c>
      <c r="Q779" s="785">
        <f>0+24505</f>
        <v>24505</v>
      </c>
      <c r="R779" s="785"/>
      <c r="S779" s="786">
        <f>14570+5251</f>
        <v>19821</v>
      </c>
      <c r="T779" s="788">
        <f>3619-7460</f>
        <v>-3841</v>
      </c>
      <c r="U779" s="788">
        <f>18189-2209</f>
        <v>15980</v>
      </c>
    </row>
    <row r="780" spans="1:21" x14ac:dyDescent="0.25">
      <c r="A780" s="782">
        <v>98417</v>
      </c>
      <c r="B780" s="783" t="s">
        <v>3389</v>
      </c>
      <c r="C780" s="784">
        <v>2.2900000000000001E-5</v>
      </c>
      <c r="D780" s="784">
        <v>2.4899999999999999E-5</v>
      </c>
      <c r="E780" s="815">
        <v>14126</v>
      </c>
      <c r="F780" s="818">
        <v>0</v>
      </c>
      <c r="G780" s="785">
        <v>34985</v>
      </c>
      <c r="H780" s="785"/>
      <c r="I780" s="786">
        <v>2015</v>
      </c>
      <c r="J780" s="787">
        <v>8494</v>
      </c>
      <c r="K780" s="786">
        <v>4996</v>
      </c>
      <c r="L780" s="785">
        <v>2511</v>
      </c>
      <c r="M780" s="785"/>
      <c r="N780" s="786">
        <v>990</v>
      </c>
      <c r="O780" s="786">
        <v>0</v>
      </c>
      <c r="P780" s="786">
        <v>0</v>
      </c>
      <c r="Q780" s="785">
        <v>424</v>
      </c>
      <c r="R780" s="785"/>
      <c r="S780" s="786">
        <v>11790</v>
      </c>
      <c r="T780" s="788">
        <v>315</v>
      </c>
      <c r="U780" s="788">
        <v>12105</v>
      </c>
    </row>
    <row r="781" spans="1:21" x14ac:dyDescent="0.25">
      <c r="A781" s="782">
        <v>98421</v>
      </c>
      <c r="B781" s="783" t="s">
        <v>3390</v>
      </c>
      <c r="C781" s="784">
        <v>8.2700000000000004E-5</v>
      </c>
      <c r="D781" s="784">
        <v>1.0840000000000001E-4</v>
      </c>
      <c r="E781" s="815">
        <v>44396</v>
      </c>
      <c r="F781" s="818">
        <v>0</v>
      </c>
      <c r="G781" s="785">
        <v>126343</v>
      </c>
      <c r="H781" s="785"/>
      <c r="I781" s="786">
        <v>7279</v>
      </c>
      <c r="J781" s="787">
        <v>30676</v>
      </c>
      <c r="K781" s="786">
        <v>18043</v>
      </c>
      <c r="L781" s="785">
        <v>5132</v>
      </c>
      <c r="M781" s="785"/>
      <c r="N781" s="786">
        <v>3576</v>
      </c>
      <c r="O781" s="786">
        <v>0</v>
      </c>
      <c r="P781" s="786">
        <v>0</v>
      </c>
      <c r="Q781" s="785">
        <v>12725</v>
      </c>
      <c r="R781" s="785"/>
      <c r="S781" s="786">
        <v>42578</v>
      </c>
      <c r="T781" s="788">
        <v>-911</v>
      </c>
      <c r="U781" s="788">
        <v>41667</v>
      </c>
    </row>
    <row r="782" spans="1:21" x14ac:dyDescent="0.25">
      <c r="A782" s="782">
        <v>98427</v>
      </c>
      <c r="B782" s="783" t="s">
        <v>3391</v>
      </c>
      <c r="C782" s="784">
        <v>3.9999999999999998E-6</v>
      </c>
      <c r="D782" s="784">
        <v>4.6E-6</v>
      </c>
      <c r="E782" s="815">
        <v>3231</v>
      </c>
      <c r="F782" s="818">
        <v>0</v>
      </c>
      <c r="G782" s="785">
        <v>6111</v>
      </c>
      <c r="H782" s="785"/>
      <c r="I782" s="786">
        <v>352</v>
      </c>
      <c r="J782" s="787">
        <v>1484</v>
      </c>
      <c r="K782" s="786">
        <v>873</v>
      </c>
      <c r="L782" s="785">
        <v>1351</v>
      </c>
      <c r="M782" s="785"/>
      <c r="N782" s="786">
        <v>173</v>
      </c>
      <c r="O782" s="786">
        <v>0</v>
      </c>
      <c r="P782" s="786">
        <v>0</v>
      </c>
      <c r="Q782" s="785">
        <v>0</v>
      </c>
      <c r="R782" s="785"/>
      <c r="S782" s="786">
        <v>2059</v>
      </c>
      <c r="T782" s="788">
        <v>487</v>
      </c>
      <c r="U782" s="788">
        <f>2547-1</f>
        <v>2546</v>
      </c>
    </row>
    <row r="783" spans="1:21" x14ac:dyDescent="0.25">
      <c r="A783" s="782">
        <v>98431</v>
      </c>
      <c r="B783" s="783" t="s">
        <v>3392</v>
      </c>
      <c r="C783" s="784">
        <v>2.0589999999999999E-4</v>
      </c>
      <c r="D783" s="784">
        <v>2.0010000000000001E-4</v>
      </c>
      <c r="E783" s="815">
        <v>78482</v>
      </c>
      <c r="F783" s="818">
        <v>0</v>
      </c>
      <c r="G783" s="785">
        <v>314558</v>
      </c>
      <c r="H783" s="785"/>
      <c r="I783" s="786">
        <v>18121</v>
      </c>
      <c r="J783" s="787">
        <v>76375</v>
      </c>
      <c r="K783" s="786">
        <v>44923</v>
      </c>
      <c r="L783" s="785">
        <v>1246</v>
      </c>
      <c r="M783" s="785"/>
      <c r="N783" s="786">
        <v>8904</v>
      </c>
      <c r="O783" s="786">
        <v>0</v>
      </c>
      <c r="P783" s="786">
        <v>0</v>
      </c>
      <c r="Q783" s="785">
        <v>24844</v>
      </c>
      <c r="R783" s="785"/>
      <c r="S783" s="786">
        <v>106006</v>
      </c>
      <c r="T783" s="788">
        <v>-7635</v>
      </c>
      <c r="U783" s="788">
        <f>98372-1</f>
        <v>98371</v>
      </c>
    </row>
    <row r="784" spans="1:21" x14ac:dyDescent="0.25">
      <c r="A784" s="782">
        <v>98441</v>
      </c>
      <c r="B784" s="783" t="s">
        <v>3393</v>
      </c>
      <c r="C784" s="784">
        <v>8.2700000000000004E-5</v>
      </c>
      <c r="D784" s="784">
        <v>9.1000000000000003E-5</v>
      </c>
      <c r="E784" s="815">
        <v>35572</v>
      </c>
      <c r="F784" s="818">
        <v>0</v>
      </c>
      <c r="G784" s="785">
        <v>126343</v>
      </c>
      <c r="H784" s="785"/>
      <c r="I784" s="786">
        <v>7279</v>
      </c>
      <c r="J784" s="787">
        <v>30676</v>
      </c>
      <c r="K784" s="786">
        <v>18043</v>
      </c>
      <c r="L784" s="785">
        <v>570</v>
      </c>
      <c r="M784" s="785"/>
      <c r="N784" s="786">
        <v>3576</v>
      </c>
      <c r="O784" s="786">
        <v>0</v>
      </c>
      <c r="P784" s="786">
        <v>0</v>
      </c>
      <c r="Q784" s="785">
        <v>22406</v>
      </c>
      <c r="R784" s="785"/>
      <c r="S784" s="786">
        <v>42578</v>
      </c>
      <c r="T784" s="788">
        <v>-8026</v>
      </c>
      <c r="U784" s="788">
        <v>34552</v>
      </c>
    </row>
    <row r="785" spans="1:21" x14ac:dyDescent="0.25">
      <c r="A785" s="782">
        <v>98451</v>
      </c>
      <c r="B785" s="783" t="s">
        <v>3394</v>
      </c>
      <c r="C785" s="784">
        <v>5.7000000000000003E-5</v>
      </c>
      <c r="D785" s="784">
        <v>5.6199999999999997E-5</v>
      </c>
      <c r="E785" s="815">
        <v>26132</v>
      </c>
      <c r="F785" s="818">
        <v>0</v>
      </c>
      <c r="G785" s="785">
        <v>87080</v>
      </c>
      <c r="H785" s="785"/>
      <c r="I785" s="786">
        <v>5017</v>
      </c>
      <c r="J785" s="787">
        <v>21143</v>
      </c>
      <c r="K785" s="786">
        <v>12436</v>
      </c>
      <c r="L785" s="785">
        <v>508</v>
      </c>
      <c r="M785" s="785"/>
      <c r="N785" s="786">
        <v>2465</v>
      </c>
      <c r="O785" s="786">
        <v>0</v>
      </c>
      <c r="P785" s="786">
        <v>0</v>
      </c>
      <c r="Q785" s="785">
        <v>1478</v>
      </c>
      <c r="R785" s="785"/>
      <c r="S785" s="786">
        <v>29346</v>
      </c>
      <c r="T785" s="788">
        <v>-530</v>
      </c>
      <c r="U785" s="788">
        <v>28816</v>
      </c>
    </row>
    <row r="786" spans="1:21" x14ac:dyDescent="0.25">
      <c r="A786" s="782">
        <v>98481</v>
      </c>
      <c r="B786" s="783" t="s">
        <v>3395</v>
      </c>
      <c r="C786" s="784">
        <v>6.3899999999999995E-5</v>
      </c>
      <c r="D786" s="784">
        <v>6.7700000000000006E-5</v>
      </c>
      <c r="E786" s="815">
        <v>27198</v>
      </c>
      <c r="F786" s="818">
        <v>0</v>
      </c>
      <c r="G786" s="785">
        <v>97621</v>
      </c>
      <c r="H786" s="785"/>
      <c r="I786" s="786">
        <v>5624</v>
      </c>
      <c r="J786" s="787">
        <v>23703</v>
      </c>
      <c r="K786" s="786">
        <v>13942</v>
      </c>
      <c r="L786" s="785">
        <v>1545</v>
      </c>
      <c r="M786" s="785"/>
      <c r="N786" s="786">
        <v>2763</v>
      </c>
      <c r="O786" s="786">
        <v>0</v>
      </c>
      <c r="P786" s="786">
        <v>0</v>
      </c>
      <c r="Q786" s="785">
        <v>5772</v>
      </c>
      <c r="R786" s="785"/>
      <c r="S786" s="786">
        <v>32899</v>
      </c>
      <c r="T786" s="788">
        <v>-35</v>
      </c>
      <c r="U786" s="788">
        <f>32863+1</f>
        <v>32864</v>
      </c>
    </row>
    <row r="787" spans="1:21" x14ac:dyDescent="0.25">
      <c r="A787" s="782">
        <v>98501</v>
      </c>
      <c r="B787" s="783" t="s">
        <v>3396</v>
      </c>
      <c r="C787" s="784">
        <v>1.6022E-3</v>
      </c>
      <c r="D787" s="784">
        <v>1.5690999999999999E-3</v>
      </c>
      <c r="E787" s="815">
        <v>760833</v>
      </c>
      <c r="F787" s="818">
        <v>0</v>
      </c>
      <c r="G787" s="785">
        <v>2447718</v>
      </c>
      <c r="H787" s="785"/>
      <c r="I787" s="786">
        <v>141011</v>
      </c>
      <c r="J787" s="787">
        <v>594309</v>
      </c>
      <c r="K787" s="786">
        <v>349568</v>
      </c>
      <c r="L787" s="785">
        <v>75098</v>
      </c>
      <c r="M787" s="785"/>
      <c r="N787" s="786">
        <v>69287</v>
      </c>
      <c r="O787" s="786">
        <v>0</v>
      </c>
      <c r="P787" s="786">
        <v>0</v>
      </c>
      <c r="Q787" s="785">
        <v>2932</v>
      </c>
      <c r="R787" s="785"/>
      <c r="S787" s="786">
        <v>824883</v>
      </c>
      <c r="T787" s="788">
        <v>19182</v>
      </c>
      <c r="U787" s="788">
        <v>844065</v>
      </c>
    </row>
    <row r="788" spans="1:21" x14ac:dyDescent="0.25">
      <c r="A788" s="782">
        <v>98511</v>
      </c>
      <c r="B788" s="783" t="s">
        <v>3397</v>
      </c>
      <c r="C788" s="784">
        <v>4.8000000000000001E-5</v>
      </c>
      <c r="D788" s="784">
        <v>4.5800000000000002E-5</v>
      </c>
      <c r="E788" s="815">
        <v>23435</v>
      </c>
      <c r="F788" s="818">
        <v>0</v>
      </c>
      <c r="G788" s="785">
        <v>73331</v>
      </c>
      <c r="H788" s="785"/>
      <c r="I788" s="786">
        <v>4225</v>
      </c>
      <c r="J788" s="787">
        <v>17804</v>
      </c>
      <c r="K788" s="786">
        <v>10473</v>
      </c>
      <c r="L788" s="785">
        <v>5918</v>
      </c>
      <c r="M788" s="785"/>
      <c r="N788" s="786">
        <v>2076</v>
      </c>
      <c r="O788" s="786">
        <v>0</v>
      </c>
      <c r="P788" s="786">
        <v>0</v>
      </c>
      <c r="Q788" s="785">
        <v>11919</v>
      </c>
      <c r="R788" s="785"/>
      <c r="S788" s="786">
        <v>24713</v>
      </c>
      <c r="T788" s="788">
        <v>-9378</v>
      </c>
      <c r="U788" s="788">
        <f>15334+1</f>
        <v>15335</v>
      </c>
    </row>
    <row r="789" spans="1:21" x14ac:dyDescent="0.25">
      <c r="A789" s="782">
        <v>98517</v>
      </c>
      <c r="B789" s="783" t="s">
        <v>3398</v>
      </c>
      <c r="C789" s="784">
        <v>2.3E-6</v>
      </c>
      <c r="D789" s="784">
        <v>2.6000000000000001E-6</v>
      </c>
      <c r="E789" s="815">
        <v>2484</v>
      </c>
      <c r="F789" s="818">
        <v>0</v>
      </c>
      <c r="G789" s="785">
        <v>3514</v>
      </c>
      <c r="H789" s="785"/>
      <c r="I789" s="786">
        <v>202</v>
      </c>
      <c r="J789" s="787">
        <v>854</v>
      </c>
      <c r="K789" s="786">
        <v>502</v>
      </c>
      <c r="L789" s="785">
        <v>1623</v>
      </c>
      <c r="M789" s="785"/>
      <c r="N789" s="786">
        <v>99</v>
      </c>
      <c r="O789" s="786">
        <v>0</v>
      </c>
      <c r="P789" s="786">
        <v>0</v>
      </c>
      <c r="Q789" s="785">
        <v>0</v>
      </c>
      <c r="R789" s="785"/>
      <c r="S789" s="786">
        <v>1184</v>
      </c>
      <c r="T789" s="788">
        <v>589</v>
      </c>
      <c r="U789" s="788">
        <v>1773</v>
      </c>
    </row>
    <row r="790" spans="1:21" x14ac:dyDescent="0.25">
      <c r="A790" s="782">
        <v>98521</v>
      </c>
      <c r="B790" s="783" t="s">
        <v>3399</v>
      </c>
      <c r="C790" s="784">
        <v>6.6180000000000004E-4</v>
      </c>
      <c r="D790" s="784">
        <v>5.7059999999999999E-4</v>
      </c>
      <c r="E790" s="815">
        <v>270882</v>
      </c>
      <c r="F790" s="818">
        <v>0</v>
      </c>
      <c r="G790" s="785">
        <v>1011047</v>
      </c>
      <c r="H790" s="785"/>
      <c r="I790" s="786">
        <v>58246</v>
      </c>
      <c r="J790" s="787">
        <v>245484</v>
      </c>
      <c r="K790" s="786">
        <v>144392</v>
      </c>
      <c r="L790" s="785">
        <v>34795</v>
      </c>
      <c r="M790" s="785"/>
      <c r="N790" s="786">
        <v>28620</v>
      </c>
      <c r="O790" s="786">
        <v>0</v>
      </c>
      <c r="P790" s="786">
        <v>0</v>
      </c>
      <c r="Q790" s="785">
        <v>43967</v>
      </c>
      <c r="R790" s="785"/>
      <c r="S790" s="786">
        <v>340724</v>
      </c>
      <c r="T790" s="788">
        <v>-10201</v>
      </c>
      <c r="U790" s="788">
        <v>330523</v>
      </c>
    </row>
    <row r="791" spans="1:21" x14ac:dyDescent="0.25">
      <c r="A791" s="782">
        <v>98601</v>
      </c>
      <c r="B791" s="783" t="s">
        <v>3400</v>
      </c>
      <c r="C791" s="784">
        <v>3.4148E-3</v>
      </c>
      <c r="D791" s="784">
        <v>3.5065999999999999E-3</v>
      </c>
      <c r="E791" s="815">
        <v>1494584</v>
      </c>
      <c r="F791" s="818">
        <v>0</v>
      </c>
      <c r="G791" s="785">
        <v>5216869</v>
      </c>
      <c r="H791" s="785"/>
      <c r="I791" s="786">
        <v>300540</v>
      </c>
      <c r="J791" s="787">
        <v>1266662</v>
      </c>
      <c r="K791" s="786">
        <v>745041</v>
      </c>
      <c r="L791" s="785">
        <v>0</v>
      </c>
      <c r="M791" s="785"/>
      <c r="N791" s="786">
        <v>147673</v>
      </c>
      <c r="O791" s="786">
        <v>0</v>
      </c>
      <c r="P791" s="786">
        <v>0</v>
      </c>
      <c r="Q791" s="785">
        <v>216693</v>
      </c>
      <c r="R791" s="785"/>
      <c r="S791" s="786">
        <v>1758089</v>
      </c>
      <c r="T791" s="788">
        <v>-93549</v>
      </c>
      <c r="U791" s="788">
        <v>1664540</v>
      </c>
    </row>
    <row r="792" spans="1:21" x14ac:dyDescent="0.25">
      <c r="A792" s="782">
        <v>98604</v>
      </c>
      <c r="B792" s="783" t="s">
        <v>3401</v>
      </c>
      <c r="C792" s="784">
        <v>1.34E-5</v>
      </c>
      <c r="D792" s="784">
        <v>1.59E-5</v>
      </c>
      <c r="E792" s="815">
        <v>7588</v>
      </c>
      <c r="F792" s="818">
        <v>0</v>
      </c>
      <c r="G792" s="785">
        <v>20471</v>
      </c>
      <c r="H792" s="785"/>
      <c r="I792" s="786">
        <v>1179</v>
      </c>
      <c r="J792" s="787">
        <v>4970</v>
      </c>
      <c r="K792" s="786">
        <v>2924</v>
      </c>
      <c r="L792" s="785">
        <f>5979+2967</f>
        <v>8946</v>
      </c>
      <c r="M792" s="785"/>
      <c r="N792" s="786">
        <v>579</v>
      </c>
      <c r="O792" s="786">
        <v>0</v>
      </c>
      <c r="P792" s="786">
        <v>0</v>
      </c>
      <c r="Q792" s="785">
        <f>527+4977</f>
        <v>5504</v>
      </c>
      <c r="R792" s="785"/>
      <c r="S792" s="786">
        <v>6899</v>
      </c>
      <c r="T792" s="788">
        <f>1959+178</f>
        <v>2137</v>
      </c>
      <c r="U792" s="788">
        <f>8857+1+178</f>
        <v>9036</v>
      </c>
    </row>
    <row r="793" spans="1:21" x14ac:dyDescent="0.25">
      <c r="A793" s="782">
        <v>98607</v>
      </c>
      <c r="B793" s="783" t="s">
        <v>3402</v>
      </c>
      <c r="C793" s="784">
        <v>5.9000000000000003E-6</v>
      </c>
      <c r="D793" s="784">
        <v>5.9000000000000003E-6</v>
      </c>
      <c r="E793" s="815">
        <v>2774</v>
      </c>
      <c r="F793" s="818">
        <v>0</v>
      </c>
      <c r="G793" s="785">
        <v>9014</v>
      </c>
      <c r="H793" s="785"/>
      <c r="I793" s="786">
        <v>519</v>
      </c>
      <c r="J793" s="787">
        <v>2188</v>
      </c>
      <c r="K793" s="786">
        <v>1287</v>
      </c>
      <c r="L793" s="785">
        <v>52</v>
      </c>
      <c r="M793" s="785"/>
      <c r="N793" s="786">
        <v>255</v>
      </c>
      <c r="O793" s="786">
        <v>0</v>
      </c>
      <c r="P793" s="786">
        <v>0</v>
      </c>
      <c r="Q793" s="785">
        <v>1474</v>
      </c>
      <c r="R793" s="785"/>
      <c r="S793" s="786">
        <v>3038</v>
      </c>
      <c r="T793" s="788">
        <v>-861</v>
      </c>
      <c r="U793" s="788">
        <v>2177</v>
      </c>
    </row>
    <row r="794" spans="1:21" x14ac:dyDescent="0.25">
      <c r="A794" s="782">
        <v>98608</v>
      </c>
      <c r="B794" s="783" t="s">
        <v>3403</v>
      </c>
      <c r="C794" s="784">
        <v>4.9200000000000003E-5</v>
      </c>
      <c r="D794" s="784">
        <v>4.2299999999999998E-5</v>
      </c>
      <c r="E794" s="815">
        <v>20059</v>
      </c>
      <c r="F794" s="818">
        <v>0</v>
      </c>
      <c r="G794" s="785">
        <v>75164</v>
      </c>
      <c r="H794" s="785"/>
      <c r="I794" s="786">
        <v>4330</v>
      </c>
      <c r="J794" s="787">
        <v>18250</v>
      </c>
      <c r="K794" s="786">
        <v>10734</v>
      </c>
      <c r="L794" s="785">
        <v>6529</v>
      </c>
      <c r="M794" s="785"/>
      <c r="N794" s="786">
        <v>2128</v>
      </c>
      <c r="O794" s="786">
        <v>0</v>
      </c>
      <c r="P794" s="786">
        <v>0</v>
      </c>
      <c r="Q794" s="785">
        <v>5369</v>
      </c>
      <c r="R794" s="785"/>
      <c r="S794" s="786">
        <v>25330</v>
      </c>
      <c r="T794" s="788">
        <v>1217</v>
      </c>
      <c r="U794" s="788">
        <v>26547</v>
      </c>
    </row>
    <row r="795" spans="1:21" x14ac:dyDescent="0.25">
      <c r="A795" s="782">
        <v>98611</v>
      </c>
      <c r="B795" s="783" t="s">
        <v>3404</v>
      </c>
      <c r="C795" s="784">
        <v>8.6899999999999998E-5</v>
      </c>
      <c r="D795" s="784">
        <v>8.6700000000000007E-5</v>
      </c>
      <c r="E795" s="815">
        <v>49931</v>
      </c>
      <c r="F795" s="818">
        <v>0</v>
      </c>
      <c r="G795" s="785">
        <v>132759</v>
      </c>
      <c r="H795" s="785"/>
      <c r="I795" s="786">
        <v>7648</v>
      </c>
      <c r="J795" s="787">
        <v>32235</v>
      </c>
      <c r="K795" s="786">
        <v>18960</v>
      </c>
      <c r="L795" s="785">
        <v>10690</v>
      </c>
      <c r="M795" s="785"/>
      <c r="N795" s="786">
        <v>3758</v>
      </c>
      <c r="O795" s="786">
        <v>0</v>
      </c>
      <c r="P795" s="786">
        <v>0</v>
      </c>
      <c r="Q795" s="785">
        <v>9519</v>
      </c>
      <c r="R795" s="785"/>
      <c r="S795" s="786">
        <v>44740</v>
      </c>
      <c r="T795" s="788">
        <v>910</v>
      </c>
      <c r="U795" s="788">
        <f>45649+1</f>
        <v>45650</v>
      </c>
    </row>
    <row r="796" spans="1:21" x14ac:dyDescent="0.25">
      <c r="A796" s="782">
        <v>98621</v>
      </c>
      <c r="B796" s="783" t="s">
        <v>3405</v>
      </c>
      <c r="C796" s="784">
        <v>1.314E-4</v>
      </c>
      <c r="D796" s="784">
        <v>1.3239999999999999E-4</v>
      </c>
      <c r="E796" s="815">
        <v>55891</v>
      </c>
      <c r="F796" s="818">
        <v>0</v>
      </c>
      <c r="G796" s="785">
        <v>200743</v>
      </c>
      <c r="H796" s="785"/>
      <c r="I796" s="786">
        <v>11565</v>
      </c>
      <c r="J796" s="787">
        <v>48740</v>
      </c>
      <c r="K796" s="786">
        <v>28669</v>
      </c>
      <c r="L796" s="785">
        <v>473</v>
      </c>
      <c r="M796" s="785"/>
      <c r="N796" s="786">
        <v>5682</v>
      </c>
      <c r="O796" s="786">
        <v>0</v>
      </c>
      <c r="P796" s="786">
        <v>0</v>
      </c>
      <c r="Q796" s="785">
        <v>10727</v>
      </c>
      <c r="R796" s="785"/>
      <c r="S796" s="786">
        <v>67651</v>
      </c>
      <c r="T796" s="788">
        <v>-3535</v>
      </c>
      <c r="U796" s="788">
        <f>64115+1</f>
        <v>64116</v>
      </c>
    </row>
    <row r="797" spans="1:21" x14ac:dyDescent="0.25">
      <c r="A797" s="782">
        <v>98627</v>
      </c>
      <c r="B797" s="783" t="s">
        <v>3406</v>
      </c>
      <c r="C797" s="784">
        <v>8.6999999999999997E-6</v>
      </c>
      <c r="D797" s="784">
        <v>9.3999999999999998E-6</v>
      </c>
      <c r="E797" s="815">
        <v>3354</v>
      </c>
      <c r="F797" s="818">
        <v>0</v>
      </c>
      <c r="G797" s="785">
        <v>13291</v>
      </c>
      <c r="H797" s="785"/>
      <c r="I797" s="786">
        <v>766</v>
      </c>
      <c r="J797" s="787">
        <v>3227</v>
      </c>
      <c r="K797" s="786">
        <v>1898</v>
      </c>
      <c r="L797" s="785">
        <v>316</v>
      </c>
      <c r="M797" s="785"/>
      <c r="N797" s="786">
        <v>376</v>
      </c>
      <c r="O797" s="786">
        <v>0</v>
      </c>
      <c r="P797" s="786">
        <v>0</v>
      </c>
      <c r="Q797" s="785">
        <v>1098</v>
      </c>
      <c r="R797" s="785"/>
      <c r="S797" s="786">
        <v>4479</v>
      </c>
      <c r="T797" s="788">
        <v>-220</v>
      </c>
      <c r="U797" s="788">
        <v>4259</v>
      </c>
    </row>
    <row r="798" spans="1:21" x14ac:dyDescent="0.25">
      <c r="A798" s="782">
        <v>98631</v>
      </c>
      <c r="B798" s="783" t="s">
        <v>3407</v>
      </c>
      <c r="C798" s="784">
        <v>1.0051999999999999E-3</v>
      </c>
      <c r="D798" s="784">
        <v>1.0415000000000001E-3</v>
      </c>
      <c r="E798" s="815">
        <v>466623</v>
      </c>
      <c r="F798" s="818">
        <v>0</v>
      </c>
      <c r="G798" s="785">
        <v>1535667</v>
      </c>
      <c r="H798" s="785"/>
      <c r="I798" s="786">
        <v>88469</v>
      </c>
      <c r="J798" s="787">
        <v>372862</v>
      </c>
      <c r="K798" s="786">
        <v>219315</v>
      </c>
      <c r="L798" s="785">
        <v>0</v>
      </c>
      <c r="M798" s="785"/>
      <c r="N798" s="786">
        <v>43470</v>
      </c>
      <c r="O798" s="786">
        <v>0</v>
      </c>
      <c r="P798" s="786">
        <v>0</v>
      </c>
      <c r="Q798" s="785">
        <v>102113</v>
      </c>
      <c r="R798" s="785"/>
      <c r="S798" s="786">
        <v>517521</v>
      </c>
      <c r="T798" s="788">
        <v>-41744</v>
      </c>
      <c r="U798" s="788">
        <v>475777</v>
      </c>
    </row>
    <row r="799" spans="1:21" x14ac:dyDescent="0.25">
      <c r="A799" s="782">
        <v>98637</v>
      </c>
      <c r="B799" s="783" t="s">
        <v>3408</v>
      </c>
      <c r="C799" s="784">
        <v>2.0800000000000001E-5</v>
      </c>
      <c r="D799" s="784">
        <v>2.2200000000000001E-5</v>
      </c>
      <c r="E799" s="815">
        <v>15729</v>
      </c>
      <c r="F799" s="818">
        <v>0</v>
      </c>
      <c r="G799" s="785">
        <v>31777</v>
      </c>
      <c r="H799" s="785"/>
      <c r="I799" s="786">
        <v>1831</v>
      </c>
      <c r="J799" s="787">
        <v>7715</v>
      </c>
      <c r="K799" s="786">
        <v>4538</v>
      </c>
      <c r="L799" s="785">
        <v>8386</v>
      </c>
      <c r="M799" s="785"/>
      <c r="N799" s="786">
        <v>899</v>
      </c>
      <c r="O799" s="786">
        <v>0</v>
      </c>
      <c r="P799" s="786">
        <v>0</v>
      </c>
      <c r="Q799" s="785">
        <v>0</v>
      </c>
      <c r="R799" s="785"/>
      <c r="S799" s="786">
        <v>10709</v>
      </c>
      <c r="T799" s="788">
        <v>3206</v>
      </c>
      <c r="U799" s="788">
        <f>13914+1</f>
        <v>13915</v>
      </c>
    </row>
    <row r="800" spans="1:21" x14ac:dyDescent="0.25">
      <c r="A800" s="782">
        <v>98641</v>
      </c>
      <c r="B800" s="783" t="s">
        <v>3409</v>
      </c>
      <c r="C800" s="784">
        <v>2.965E-4</v>
      </c>
      <c r="D800" s="784">
        <v>3.0019999999999998E-4</v>
      </c>
      <c r="E800" s="815">
        <v>140670</v>
      </c>
      <c r="F800" s="818">
        <v>0</v>
      </c>
      <c r="G800" s="785">
        <v>452970</v>
      </c>
      <c r="H800" s="785"/>
      <c r="I800" s="786">
        <v>26095</v>
      </c>
      <c r="J800" s="787">
        <v>109981</v>
      </c>
      <c r="K800" s="786">
        <v>64690</v>
      </c>
      <c r="L800" s="785">
        <v>3407</v>
      </c>
      <c r="M800" s="785"/>
      <c r="N800" s="786">
        <v>12822</v>
      </c>
      <c r="O800" s="786">
        <v>0</v>
      </c>
      <c r="P800" s="786">
        <v>0</v>
      </c>
      <c r="Q800" s="785">
        <v>7840</v>
      </c>
      <c r="R800" s="785"/>
      <c r="S800" s="786">
        <v>152651</v>
      </c>
      <c r="T800" s="788">
        <v>-183</v>
      </c>
      <c r="U800" s="788">
        <v>152468</v>
      </c>
    </row>
    <row r="801" spans="1:21" x14ac:dyDescent="0.25">
      <c r="A801" s="782">
        <v>98701</v>
      </c>
      <c r="B801" s="783" t="s">
        <v>3411</v>
      </c>
      <c r="C801" s="784">
        <v>1.1333999999999999E-3</v>
      </c>
      <c r="D801" s="784">
        <v>1.1793000000000001E-3</v>
      </c>
      <c r="E801" s="815">
        <v>514113</v>
      </c>
      <c r="F801" s="818">
        <v>2502870</v>
      </c>
      <c r="G801" s="785">
        <v>1731521</v>
      </c>
      <c r="H801" s="785"/>
      <c r="I801" s="786">
        <v>99752</v>
      </c>
      <c r="J801" s="787">
        <v>420415</v>
      </c>
      <c r="K801" s="786">
        <v>247285</v>
      </c>
      <c r="L801" s="785">
        <v>3431</v>
      </c>
      <c r="M801" s="785"/>
      <c r="N801" s="786">
        <v>49014</v>
      </c>
      <c r="O801" s="786">
        <v>0</v>
      </c>
      <c r="P801" s="786">
        <v>0</v>
      </c>
      <c r="Q801" s="785">
        <v>66380</v>
      </c>
      <c r="R801" s="785"/>
      <c r="S801" s="786">
        <v>583524</v>
      </c>
      <c r="T801" s="788">
        <v>-25976</v>
      </c>
      <c r="U801" s="788">
        <v>557548</v>
      </c>
    </row>
    <row r="802" spans="1:21" x14ac:dyDescent="0.25">
      <c r="A802" s="782">
        <v>98711</v>
      </c>
      <c r="B802" s="783" t="s">
        <v>3412</v>
      </c>
      <c r="C802" s="784">
        <v>1.8369999999999999E-4</v>
      </c>
      <c r="D802" s="784">
        <v>1.8039999999999999E-4</v>
      </c>
      <c r="E802" s="815">
        <v>70342</v>
      </c>
      <c r="F802" s="818">
        <v>382869</v>
      </c>
      <c r="G802" s="785">
        <v>280643</v>
      </c>
      <c r="H802" s="785"/>
      <c r="I802" s="786">
        <v>16168</v>
      </c>
      <c r="J802" s="787">
        <v>68140</v>
      </c>
      <c r="K802" s="786">
        <v>40080</v>
      </c>
      <c r="L802" s="785">
        <v>1238</v>
      </c>
      <c r="M802" s="785"/>
      <c r="N802" s="786">
        <v>7944</v>
      </c>
      <c r="O802" s="786">
        <v>0</v>
      </c>
      <c r="P802" s="786">
        <v>0</v>
      </c>
      <c r="Q802" s="785">
        <v>16374</v>
      </c>
      <c r="R802" s="785"/>
      <c r="S802" s="786">
        <v>94577</v>
      </c>
      <c r="T802" s="788">
        <v>-4053</v>
      </c>
      <c r="U802" s="788">
        <v>90524</v>
      </c>
    </row>
    <row r="803" spans="1:21" x14ac:dyDescent="0.25">
      <c r="A803" s="782">
        <v>98717</v>
      </c>
      <c r="B803" s="783" t="s">
        <v>3413</v>
      </c>
      <c r="C803" s="784">
        <v>2.1100000000000001E-5</v>
      </c>
      <c r="D803" s="784">
        <v>1.8600000000000001E-5</v>
      </c>
      <c r="E803" s="815">
        <v>8759</v>
      </c>
      <c r="F803" s="818">
        <v>39475</v>
      </c>
      <c r="G803" s="785">
        <v>32235</v>
      </c>
      <c r="H803" s="785"/>
      <c r="I803" s="786">
        <v>1857</v>
      </c>
      <c r="J803" s="787">
        <v>7827</v>
      </c>
      <c r="K803" s="786">
        <v>4604</v>
      </c>
      <c r="L803" s="785">
        <v>1439</v>
      </c>
      <c r="M803" s="785"/>
      <c r="N803" s="786">
        <v>912</v>
      </c>
      <c r="O803" s="786">
        <v>0</v>
      </c>
      <c r="P803" s="786">
        <v>0</v>
      </c>
      <c r="Q803" s="785">
        <v>534</v>
      </c>
      <c r="R803" s="785"/>
      <c r="S803" s="786">
        <v>10863</v>
      </c>
      <c r="T803" s="788">
        <v>247</v>
      </c>
      <c r="U803" s="788">
        <v>11110</v>
      </c>
    </row>
    <row r="804" spans="1:21" x14ac:dyDescent="0.25">
      <c r="A804" s="782">
        <v>98801</v>
      </c>
      <c r="B804" s="783" t="s">
        <v>3414</v>
      </c>
      <c r="C804" s="784">
        <v>2.2859E-3</v>
      </c>
      <c r="D804" s="784">
        <v>2.1771999999999998E-3</v>
      </c>
      <c r="E804" s="815">
        <v>1067051</v>
      </c>
      <c r="F804" s="818">
        <v>4620748</v>
      </c>
      <c r="G804" s="785">
        <v>3492222</v>
      </c>
      <c r="H804" s="785"/>
      <c r="I804" s="786">
        <v>201184</v>
      </c>
      <c r="J804" s="787">
        <v>847916</v>
      </c>
      <c r="K804" s="786">
        <v>498738</v>
      </c>
      <c r="L804" s="785">
        <v>146068</v>
      </c>
      <c r="M804" s="785"/>
      <c r="N804" s="786">
        <v>98854</v>
      </c>
      <c r="O804" s="786">
        <v>0</v>
      </c>
      <c r="P804" s="786">
        <v>0</v>
      </c>
      <c r="Q804" s="785">
        <v>0</v>
      </c>
      <c r="R804" s="785"/>
      <c r="S804" s="786">
        <v>1176882</v>
      </c>
      <c r="T804" s="788">
        <v>55567</v>
      </c>
      <c r="U804" s="788">
        <v>1232449</v>
      </c>
    </row>
    <row r="805" spans="1:21" x14ac:dyDescent="0.25">
      <c r="A805" s="782">
        <v>98811</v>
      </c>
      <c r="B805" s="783" t="s">
        <v>3415</v>
      </c>
      <c r="C805" s="784">
        <v>6.5160000000000001E-4</v>
      </c>
      <c r="D805" s="784">
        <v>7.1120000000000005E-4</v>
      </c>
      <c r="E805" s="815">
        <v>323262</v>
      </c>
      <c r="F805" s="818">
        <v>1509405</v>
      </c>
      <c r="G805" s="785">
        <v>995464</v>
      </c>
      <c r="H805" s="785"/>
      <c r="I805" s="786">
        <v>57348</v>
      </c>
      <c r="J805" s="787">
        <v>241700</v>
      </c>
      <c r="K805" s="786">
        <v>142166</v>
      </c>
      <c r="L805" s="785">
        <v>16975</v>
      </c>
      <c r="M805" s="785"/>
      <c r="N805" s="786">
        <v>28178</v>
      </c>
      <c r="O805" s="786">
        <v>0</v>
      </c>
      <c r="P805" s="786">
        <v>0</v>
      </c>
      <c r="Q805" s="785">
        <v>46894</v>
      </c>
      <c r="R805" s="785"/>
      <c r="S805" s="786">
        <v>335472</v>
      </c>
      <c r="T805" s="788">
        <v>-312</v>
      </c>
      <c r="U805" s="788">
        <f>335161-1</f>
        <v>335160</v>
      </c>
    </row>
    <row r="806" spans="1:21" x14ac:dyDescent="0.25">
      <c r="A806" s="782">
        <v>98817</v>
      </c>
      <c r="B806" s="783" t="s">
        <v>3416</v>
      </c>
      <c r="C806" s="784">
        <v>2.5199999999999999E-5</v>
      </c>
      <c r="D806" s="784">
        <v>2.34E-5</v>
      </c>
      <c r="E806" s="815">
        <v>14663</v>
      </c>
      <c r="F806" s="818">
        <v>49663</v>
      </c>
      <c r="G806" s="785">
        <v>38499</v>
      </c>
      <c r="H806" s="785"/>
      <c r="I806" s="786">
        <v>2218</v>
      </c>
      <c r="J806" s="787">
        <v>9347</v>
      </c>
      <c r="K806" s="786">
        <v>5498</v>
      </c>
      <c r="L806" s="785">
        <v>3862</v>
      </c>
      <c r="M806" s="785"/>
      <c r="N806" s="786">
        <v>1090</v>
      </c>
      <c r="O806" s="786">
        <v>0</v>
      </c>
      <c r="P806" s="786">
        <v>0</v>
      </c>
      <c r="Q806" s="785">
        <v>2179</v>
      </c>
      <c r="R806" s="785"/>
      <c r="S806" s="786">
        <v>12974</v>
      </c>
      <c r="T806" s="788">
        <v>-1216</v>
      </c>
      <c r="U806" s="788">
        <v>11758</v>
      </c>
    </row>
    <row r="807" spans="1:21" x14ac:dyDescent="0.25">
      <c r="A807" s="782">
        <v>98901</v>
      </c>
      <c r="B807" s="783" t="s">
        <v>3417</v>
      </c>
      <c r="C807" s="784">
        <v>3.5050000000000001E-4</v>
      </c>
      <c r="D807" s="784">
        <v>3.392E-4</v>
      </c>
      <c r="E807" s="815">
        <v>159126</v>
      </c>
      <c r="F807" s="818">
        <v>719896</v>
      </c>
      <c r="G807" s="785">
        <v>535467</v>
      </c>
      <c r="H807" s="785"/>
      <c r="I807" s="786">
        <v>30848</v>
      </c>
      <c r="J807" s="787">
        <v>130012</v>
      </c>
      <c r="K807" s="786">
        <v>76472</v>
      </c>
      <c r="L807" s="785">
        <v>7505</v>
      </c>
      <c r="M807" s="785"/>
      <c r="N807" s="786">
        <v>15157</v>
      </c>
      <c r="O807" s="786">
        <v>0</v>
      </c>
      <c r="P807" s="786">
        <v>0</v>
      </c>
      <c r="Q807" s="785">
        <v>2530</v>
      </c>
      <c r="R807" s="785"/>
      <c r="S807" s="786">
        <v>180453</v>
      </c>
      <c r="T807" s="788">
        <v>975</v>
      </c>
      <c r="U807" s="788">
        <v>181428</v>
      </c>
    </row>
    <row r="808" spans="1:21" x14ac:dyDescent="0.25">
      <c r="A808" s="782">
        <v>98904</v>
      </c>
      <c r="B808" s="783" t="s">
        <v>3418</v>
      </c>
      <c r="C808" s="784">
        <v>2.7999999999999999E-6</v>
      </c>
      <c r="D808" s="784">
        <v>5.2000000000000002E-6</v>
      </c>
      <c r="E808" s="815">
        <v>1608</v>
      </c>
      <c r="F808" s="818">
        <v>11036</v>
      </c>
      <c r="G808" s="785">
        <v>4278</v>
      </c>
      <c r="H808" s="785"/>
      <c r="I808" s="786">
        <v>246</v>
      </c>
      <c r="J808" s="787">
        <v>1039</v>
      </c>
      <c r="K808" s="786">
        <v>611</v>
      </c>
      <c r="L808" s="785">
        <v>365</v>
      </c>
      <c r="M808" s="785"/>
      <c r="N808" s="786">
        <v>121</v>
      </c>
      <c r="O808" s="786">
        <v>0</v>
      </c>
      <c r="P808" s="786">
        <v>0</v>
      </c>
      <c r="Q808" s="785">
        <v>1887</v>
      </c>
      <c r="R808" s="785"/>
      <c r="S808" s="786">
        <v>1442</v>
      </c>
      <c r="T808" s="788">
        <v>-315</v>
      </c>
      <c r="U808" s="788">
        <f>1126+1</f>
        <v>1127</v>
      </c>
    </row>
    <row r="809" spans="1:21" x14ac:dyDescent="0.25">
      <c r="A809" s="782">
        <v>98911</v>
      </c>
      <c r="B809" s="783" t="s">
        <v>3419</v>
      </c>
      <c r="C809" s="784">
        <v>2.7900000000000001E-5</v>
      </c>
      <c r="D809" s="784">
        <v>2.8600000000000001E-5</v>
      </c>
      <c r="E809" s="815">
        <v>17945</v>
      </c>
      <c r="F809" s="818">
        <v>60699</v>
      </c>
      <c r="G809" s="785">
        <v>42623</v>
      </c>
      <c r="H809" s="785"/>
      <c r="I809" s="786">
        <v>2456</v>
      </c>
      <c r="J809" s="787">
        <v>10349</v>
      </c>
      <c r="K809" s="786">
        <v>6087</v>
      </c>
      <c r="L809" s="785">
        <v>12780</v>
      </c>
      <c r="M809" s="785"/>
      <c r="N809" s="786">
        <v>1207</v>
      </c>
      <c r="O809" s="786">
        <v>0</v>
      </c>
      <c r="P809" s="786">
        <v>0</v>
      </c>
      <c r="Q809" s="785">
        <v>0</v>
      </c>
      <c r="R809" s="785"/>
      <c r="S809" s="786">
        <v>14364</v>
      </c>
      <c r="T809" s="788">
        <v>5565</v>
      </c>
      <c r="U809" s="788">
        <v>19929</v>
      </c>
    </row>
    <row r="810" spans="1:21" x14ac:dyDescent="0.25">
      <c r="A810" s="782">
        <v>99001</v>
      </c>
      <c r="B810" s="783" t="s">
        <v>3420</v>
      </c>
      <c r="C810" s="784">
        <v>8.0949000000000004E-3</v>
      </c>
      <c r="D810" s="784">
        <v>7.8098999999999998E-3</v>
      </c>
      <c r="E810" s="815">
        <v>3574723</v>
      </c>
      <c r="F810" s="818">
        <v>16575224</v>
      </c>
      <c r="G810" s="785">
        <v>12366765</v>
      </c>
      <c r="H810" s="785"/>
      <c r="I810" s="786">
        <v>712440</v>
      </c>
      <c r="J810" s="787">
        <v>3002666</v>
      </c>
      <c r="K810" s="786">
        <v>1766145</v>
      </c>
      <c r="L810" s="785">
        <v>355732</v>
      </c>
      <c r="M810" s="785"/>
      <c r="N810" s="786">
        <v>350064</v>
      </c>
      <c r="O810" s="786">
        <v>0</v>
      </c>
      <c r="P810" s="786">
        <v>0</v>
      </c>
      <c r="Q810" s="785">
        <v>0</v>
      </c>
      <c r="R810" s="785"/>
      <c r="S810" s="786">
        <v>4167611</v>
      </c>
      <c r="T810" s="788">
        <v>186049</v>
      </c>
      <c r="U810" s="788">
        <v>4353660</v>
      </c>
    </row>
    <row r="811" spans="1:21" x14ac:dyDescent="0.25">
      <c r="A811" s="782">
        <v>99011</v>
      </c>
      <c r="B811" s="783" t="s">
        <v>3421</v>
      </c>
      <c r="C811" s="784">
        <v>3.8736999999999999E-3</v>
      </c>
      <c r="D811" s="784">
        <v>3.9039000000000001E-3</v>
      </c>
      <c r="E811" s="815">
        <v>1767797</v>
      </c>
      <c r="F811" s="818">
        <v>8285384</v>
      </c>
      <c r="G811" s="785">
        <v>5917941</v>
      </c>
      <c r="H811" s="785"/>
      <c r="I811" s="786">
        <v>340928</v>
      </c>
      <c r="J811" s="787">
        <v>1436883</v>
      </c>
      <c r="K811" s="786">
        <v>845164</v>
      </c>
      <c r="L811" s="785">
        <v>0</v>
      </c>
      <c r="M811" s="785"/>
      <c r="N811" s="786">
        <v>167518</v>
      </c>
      <c r="O811" s="786">
        <v>0</v>
      </c>
      <c r="P811" s="786">
        <v>0</v>
      </c>
      <c r="Q811" s="785">
        <v>396289</v>
      </c>
      <c r="R811" s="785"/>
      <c r="S811" s="786">
        <v>1994351</v>
      </c>
      <c r="T811" s="788">
        <v>-212974</v>
      </c>
      <c r="U811" s="788">
        <v>1781377</v>
      </c>
    </row>
    <row r="812" spans="1:21" x14ac:dyDescent="0.25">
      <c r="A812" s="782">
        <v>99013</v>
      </c>
      <c r="B812" s="783" t="s">
        <v>3422</v>
      </c>
      <c r="C812" s="784">
        <v>5.5999999999999999E-5</v>
      </c>
      <c r="D812" s="784">
        <v>6.02E-5</v>
      </c>
      <c r="E812" s="815">
        <v>27133</v>
      </c>
      <c r="F812" s="818">
        <v>127765</v>
      </c>
      <c r="G812" s="785">
        <v>85552</v>
      </c>
      <c r="H812" s="785"/>
      <c r="I812" s="786">
        <v>4929</v>
      </c>
      <c r="J812" s="787">
        <v>20773</v>
      </c>
      <c r="K812" s="786">
        <v>12218</v>
      </c>
      <c r="L812" s="785">
        <v>10</v>
      </c>
      <c r="M812" s="785"/>
      <c r="N812" s="786">
        <v>2422</v>
      </c>
      <c r="O812" s="786">
        <v>0</v>
      </c>
      <c r="P812" s="786">
        <v>0</v>
      </c>
      <c r="Q812" s="785">
        <v>8046</v>
      </c>
      <c r="R812" s="785"/>
      <c r="S812" s="786">
        <v>28831</v>
      </c>
      <c r="T812" s="788">
        <v>-2790</v>
      </c>
      <c r="U812" s="788">
        <f>26042-1</f>
        <v>26041</v>
      </c>
    </row>
    <row r="813" spans="1:21" x14ac:dyDescent="0.25">
      <c r="A813" s="782">
        <v>99014</v>
      </c>
      <c r="B813" s="783" t="s">
        <v>3423</v>
      </c>
      <c r="C813" s="784">
        <v>2.0100000000000001E-5</v>
      </c>
      <c r="D813" s="784">
        <v>2.4199999999999999E-5</v>
      </c>
      <c r="E813" s="815">
        <v>13999</v>
      </c>
      <c r="F813" s="818">
        <v>51361</v>
      </c>
      <c r="G813" s="785">
        <v>30707</v>
      </c>
      <c r="H813" s="785"/>
      <c r="I813" s="786">
        <v>1769</v>
      </c>
      <c r="J813" s="787">
        <v>7456</v>
      </c>
      <c r="K813" s="786">
        <v>4385</v>
      </c>
      <c r="L813" s="785">
        <v>12703</v>
      </c>
      <c r="M813" s="785"/>
      <c r="N813" s="786">
        <v>869</v>
      </c>
      <c r="O813" s="786">
        <v>0</v>
      </c>
      <c r="P813" s="786">
        <v>0</v>
      </c>
      <c r="Q813" s="785">
        <v>0</v>
      </c>
      <c r="R813" s="785"/>
      <c r="S813" s="786">
        <v>10348</v>
      </c>
      <c r="T813" s="788">
        <v>4335</v>
      </c>
      <c r="U813" s="788">
        <v>14683</v>
      </c>
    </row>
    <row r="814" spans="1:21" x14ac:dyDescent="0.25">
      <c r="A814" s="782">
        <v>99017</v>
      </c>
      <c r="B814" s="783" t="s">
        <v>3424</v>
      </c>
      <c r="C814" s="784">
        <v>5.13E-5</v>
      </c>
      <c r="D814" s="784">
        <v>4.6999999999999997E-5</v>
      </c>
      <c r="E814" s="815">
        <v>25055</v>
      </c>
      <c r="F814" s="818">
        <v>99750</v>
      </c>
      <c r="G814" s="785">
        <v>78372</v>
      </c>
      <c r="H814" s="785"/>
      <c r="I814" s="786">
        <v>4515</v>
      </c>
      <c r="J814" s="787">
        <v>19029</v>
      </c>
      <c r="K814" s="786">
        <v>11193</v>
      </c>
      <c r="L814" s="785">
        <v>8072</v>
      </c>
      <c r="M814" s="785"/>
      <c r="N814" s="786">
        <v>2218</v>
      </c>
      <c r="O814" s="786">
        <v>0</v>
      </c>
      <c r="P814" s="786">
        <v>0</v>
      </c>
      <c r="Q814" s="785">
        <v>3306</v>
      </c>
      <c r="R814" s="785"/>
      <c r="S814" s="786">
        <v>26411</v>
      </c>
      <c r="T814" s="788">
        <v>-629</v>
      </c>
      <c r="U814" s="788">
        <v>25782</v>
      </c>
    </row>
    <row r="815" spans="1:21" x14ac:dyDescent="0.25">
      <c r="A815" s="782">
        <v>99021</v>
      </c>
      <c r="B815" s="783" t="s">
        <v>3425</v>
      </c>
      <c r="C815" s="784">
        <v>1.5249999999999999E-4</v>
      </c>
      <c r="D815" s="784">
        <v>1.3420000000000001E-4</v>
      </c>
      <c r="E815" s="815">
        <v>64601</v>
      </c>
      <c r="F815" s="818">
        <v>284817</v>
      </c>
      <c r="G815" s="785">
        <v>232978</v>
      </c>
      <c r="H815" s="785"/>
      <c r="I815" s="786">
        <v>13422</v>
      </c>
      <c r="J815" s="787">
        <v>56568</v>
      </c>
      <c r="K815" s="786">
        <v>33272</v>
      </c>
      <c r="L815" s="785">
        <v>11565</v>
      </c>
      <c r="M815" s="785"/>
      <c r="N815" s="786">
        <v>6595</v>
      </c>
      <c r="O815" s="786">
        <v>0</v>
      </c>
      <c r="P815" s="786">
        <v>0</v>
      </c>
      <c r="Q815" s="785">
        <v>728</v>
      </c>
      <c r="R815" s="785"/>
      <c r="S815" s="786">
        <v>78514</v>
      </c>
      <c r="T815" s="788">
        <v>3978</v>
      </c>
      <c r="U815" s="788">
        <f>82491+1</f>
        <v>82492</v>
      </c>
    </row>
    <row r="816" spans="1:21" x14ac:dyDescent="0.25">
      <c r="A816" s="782">
        <v>99022</v>
      </c>
      <c r="B816" s="783" t="s">
        <v>1935</v>
      </c>
      <c r="C816" s="784">
        <v>1.08E-5</v>
      </c>
      <c r="D816" s="784">
        <v>1.1800000000000001E-5</v>
      </c>
      <c r="E816" s="815">
        <v>11386</v>
      </c>
      <c r="F816" s="818">
        <v>25044</v>
      </c>
      <c r="G816" s="785">
        <v>16499</v>
      </c>
      <c r="H816" s="785"/>
      <c r="I816" s="786">
        <v>951</v>
      </c>
      <c r="J816" s="787">
        <v>4006</v>
      </c>
      <c r="K816" s="786">
        <v>2356</v>
      </c>
      <c r="L816" s="785">
        <v>8944</v>
      </c>
      <c r="M816" s="785"/>
      <c r="N816" s="786">
        <v>467</v>
      </c>
      <c r="O816" s="786">
        <v>0</v>
      </c>
      <c r="P816" s="786">
        <v>0</v>
      </c>
      <c r="Q816" s="785">
        <v>132</v>
      </c>
      <c r="R816" s="785"/>
      <c r="S816" s="786">
        <v>5560</v>
      </c>
      <c r="T816" s="788">
        <v>2896</v>
      </c>
      <c r="U816" s="788">
        <v>8456</v>
      </c>
    </row>
    <row r="817" spans="1:21" x14ac:dyDescent="0.25">
      <c r="A817" s="782">
        <v>99031</v>
      </c>
      <c r="B817" s="783" t="s">
        <v>3426</v>
      </c>
      <c r="C817" s="784">
        <v>1.518E-4</v>
      </c>
      <c r="D817" s="784">
        <v>1.5970000000000001E-4</v>
      </c>
      <c r="E817" s="815">
        <v>59833</v>
      </c>
      <c r="F817" s="818">
        <v>338937</v>
      </c>
      <c r="G817" s="785">
        <v>231908</v>
      </c>
      <c r="H817" s="785"/>
      <c r="I817" s="786">
        <v>13360</v>
      </c>
      <c r="J817" s="787">
        <v>56308</v>
      </c>
      <c r="K817" s="786">
        <v>33120</v>
      </c>
      <c r="L817" s="785">
        <v>2845</v>
      </c>
      <c r="M817" s="785"/>
      <c r="N817" s="786">
        <v>6565</v>
      </c>
      <c r="O817" s="786">
        <v>0</v>
      </c>
      <c r="P817" s="786">
        <v>0</v>
      </c>
      <c r="Q817" s="785">
        <v>23907</v>
      </c>
      <c r="R817" s="785"/>
      <c r="S817" s="786">
        <v>78153</v>
      </c>
      <c r="T817" s="788">
        <v>-11727</v>
      </c>
      <c r="U817" s="788">
        <v>66426</v>
      </c>
    </row>
    <row r="818" spans="1:21" x14ac:dyDescent="0.25">
      <c r="A818" s="782">
        <v>99041</v>
      </c>
      <c r="B818" s="783" t="s">
        <v>3427</v>
      </c>
      <c r="C818" s="784">
        <v>6.3500000000000004E-4</v>
      </c>
      <c r="D818" s="784">
        <v>5.6289999999999997E-4</v>
      </c>
      <c r="E818" s="815">
        <v>254000</v>
      </c>
      <c r="F818" s="818">
        <v>1194662</v>
      </c>
      <c r="G818" s="785">
        <v>970104</v>
      </c>
      <c r="H818" s="785"/>
      <c r="I818" s="786">
        <v>55887</v>
      </c>
      <c r="J818" s="787">
        <v>235543</v>
      </c>
      <c r="K818" s="786">
        <v>138544</v>
      </c>
      <c r="L818" s="785">
        <v>52920</v>
      </c>
      <c r="M818" s="785"/>
      <c r="N818" s="786">
        <v>27461</v>
      </c>
      <c r="O818" s="786">
        <v>0</v>
      </c>
      <c r="P818" s="786">
        <v>0</v>
      </c>
      <c r="Q818" s="785">
        <v>0</v>
      </c>
      <c r="R818" s="785"/>
      <c r="S818" s="786">
        <v>326926</v>
      </c>
      <c r="T818" s="788">
        <v>28997</v>
      </c>
      <c r="U818" s="788">
        <v>355923</v>
      </c>
    </row>
    <row r="819" spans="1:21" x14ac:dyDescent="0.25">
      <c r="A819" s="782">
        <v>99047</v>
      </c>
      <c r="B819" s="783" t="s">
        <v>3428</v>
      </c>
      <c r="C819" s="784">
        <v>1.42E-5</v>
      </c>
      <c r="D819" s="784">
        <v>9.2E-6</v>
      </c>
      <c r="E819" s="815">
        <v>7761</v>
      </c>
      <c r="F819" s="818">
        <v>19525</v>
      </c>
      <c r="G819" s="785">
        <v>21694</v>
      </c>
      <c r="H819" s="785"/>
      <c r="I819" s="786">
        <v>1250</v>
      </c>
      <c r="J819" s="787">
        <v>5267</v>
      </c>
      <c r="K819" s="786">
        <v>3098</v>
      </c>
      <c r="L819" s="785">
        <v>6410</v>
      </c>
      <c r="M819" s="785"/>
      <c r="N819" s="786">
        <v>614</v>
      </c>
      <c r="O819" s="786">
        <v>0</v>
      </c>
      <c r="P819" s="786">
        <v>0</v>
      </c>
      <c r="Q819" s="785">
        <v>0</v>
      </c>
      <c r="R819" s="785"/>
      <c r="S819" s="786">
        <v>7311</v>
      </c>
      <c r="T819" s="788">
        <v>2345</v>
      </c>
      <c r="U819" s="788">
        <f>9655+1</f>
        <v>9656</v>
      </c>
    </row>
    <row r="820" spans="1:21" x14ac:dyDescent="0.25">
      <c r="A820" s="782">
        <v>99051</v>
      </c>
      <c r="B820" s="783" t="s">
        <v>3429</v>
      </c>
      <c r="C820" s="784">
        <v>3.5359999999999998E-4</v>
      </c>
      <c r="D820" s="784">
        <v>3.3349999999999997E-4</v>
      </c>
      <c r="E820" s="815">
        <v>142317</v>
      </c>
      <c r="F820" s="818">
        <v>707799</v>
      </c>
      <c r="G820" s="785">
        <v>540203</v>
      </c>
      <c r="H820" s="785"/>
      <c r="I820" s="786">
        <v>31121</v>
      </c>
      <c r="J820" s="787">
        <v>131162</v>
      </c>
      <c r="K820" s="786">
        <v>77148</v>
      </c>
      <c r="L820" s="785">
        <v>11433</v>
      </c>
      <c r="M820" s="785"/>
      <c r="N820" s="786">
        <v>15291</v>
      </c>
      <c r="O820" s="786">
        <v>0</v>
      </c>
      <c r="P820" s="786">
        <v>0</v>
      </c>
      <c r="Q820" s="785">
        <v>2536</v>
      </c>
      <c r="R820" s="785"/>
      <c r="S820" s="786">
        <v>182049</v>
      </c>
      <c r="T820" s="788">
        <v>4776</v>
      </c>
      <c r="U820" s="788">
        <f>186824+1</f>
        <v>186825</v>
      </c>
    </row>
    <row r="821" spans="1:21" x14ac:dyDescent="0.25">
      <c r="A821" s="782">
        <v>99061</v>
      </c>
      <c r="B821" s="783" t="s">
        <v>3430</v>
      </c>
      <c r="C821" s="784">
        <v>8.1000000000000004E-6</v>
      </c>
      <c r="D821" s="784">
        <v>8.3999999999999992E-6</v>
      </c>
      <c r="E821" s="815">
        <v>7897</v>
      </c>
      <c r="F821" s="818">
        <v>17828</v>
      </c>
      <c r="G821" s="785">
        <v>12375</v>
      </c>
      <c r="H821" s="785"/>
      <c r="I821" s="786">
        <v>713</v>
      </c>
      <c r="J821" s="787">
        <v>3005</v>
      </c>
      <c r="K821" s="786">
        <v>1767</v>
      </c>
      <c r="L821" s="785">
        <v>7276</v>
      </c>
      <c r="M821" s="785"/>
      <c r="N821" s="786">
        <v>350</v>
      </c>
      <c r="O821" s="786">
        <v>0</v>
      </c>
      <c r="P821" s="786">
        <v>0</v>
      </c>
      <c r="Q821" s="785">
        <v>0</v>
      </c>
      <c r="R821" s="785"/>
      <c r="S821" s="786">
        <v>4170</v>
      </c>
      <c r="T821" s="788">
        <v>2674</v>
      </c>
      <c r="U821" s="788">
        <v>6844</v>
      </c>
    </row>
    <row r="822" spans="1:21" x14ac:dyDescent="0.25">
      <c r="A822" s="782">
        <v>99071</v>
      </c>
      <c r="B822" s="783" t="s">
        <v>3431</v>
      </c>
      <c r="C822" s="784">
        <v>3.04E-5</v>
      </c>
      <c r="D822" s="784">
        <v>3.0499999999999999E-5</v>
      </c>
      <c r="E822" s="815">
        <v>15062</v>
      </c>
      <c r="F822" s="818">
        <v>64731</v>
      </c>
      <c r="G822" s="785">
        <v>46443</v>
      </c>
      <c r="H822" s="785"/>
      <c r="I822" s="786">
        <v>2676</v>
      </c>
      <c r="J822" s="787">
        <v>11277</v>
      </c>
      <c r="K822" s="786">
        <v>6633</v>
      </c>
      <c r="L822" s="785">
        <v>818</v>
      </c>
      <c r="M822" s="785"/>
      <c r="N822" s="786">
        <v>1315</v>
      </c>
      <c r="O822" s="786">
        <v>0</v>
      </c>
      <c r="P822" s="786">
        <v>0</v>
      </c>
      <c r="Q822" s="785">
        <v>2093</v>
      </c>
      <c r="R822" s="785"/>
      <c r="S822" s="786">
        <v>15651</v>
      </c>
      <c r="T822" s="788">
        <v>-1107</v>
      </c>
      <c r="U822" s="788">
        <v>14544</v>
      </c>
    </row>
    <row r="823" spans="1:21" x14ac:dyDescent="0.25">
      <c r="A823" s="782">
        <v>99081</v>
      </c>
      <c r="B823" s="783" t="s">
        <v>3432</v>
      </c>
      <c r="C823" s="784">
        <v>1.1E-5</v>
      </c>
      <c r="D823" s="784">
        <v>2.9600000000000001E-5</v>
      </c>
      <c r="E823" s="815">
        <v>10195</v>
      </c>
      <c r="F823" s="818">
        <v>62821</v>
      </c>
      <c r="G823" s="785">
        <v>16805</v>
      </c>
      <c r="H823" s="785"/>
      <c r="I823" s="786">
        <v>968</v>
      </c>
      <c r="J823" s="787">
        <v>4081</v>
      </c>
      <c r="K823" s="786">
        <v>2400</v>
      </c>
      <c r="L823" s="785">
        <v>3587</v>
      </c>
      <c r="M823" s="785"/>
      <c r="N823" s="786">
        <v>476</v>
      </c>
      <c r="O823" s="786">
        <v>0</v>
      </c>
      <c r="P823" s="786">
        <v>0</v>
      </c>
      <c r="Q823" s="785">
        <v>13215</v>
      </c>
      <c r="R823" s="785"/>
      <c r="S823" s="786">
        <v>5663</v>
      </c>
      <c r="T823" s="788">
        <v>-2898</v>
      </c>
      <c r="U823" s="788">
        <f>2766-1</f>
        <v>2765</v>
      </c>
    </row>
    <row r="824" spans="1:21" x14ac:dyDescent="0.25">
      <c r="A824" s="782">
        <v>99091</v>
      </c>
      <c r="B824" s="783" t="s">
        <v>3433</v>
      </c>
      <c r="C824" s="784">
        <v>3.9999999999999998E-6</v>
      </c>
      <c r="D824" s="784">
        <v>4.1999999999999996E-6</v>
      </c>
      <c r="E824" s="815">
        <v>4831</v>
      </c>
      <c r="F824" s="818">
        <v>8914</v>
      </c>
      <c r="G824" s="785">
        <v>6111</v>
      </c>
      <c r="H824" s="785"/>
      <c r="I824" s="786">
        <v>352</v>
      </c>
      <c r="J824" s="787">
        <v>1484</v>
      </c>
      <c r="K824" s="786">
        <v>873</v>
      </c>
      <c r="L824" s="785">
        <v>4105</v>
      </c>
      <c r="M824" s="785"/>
      <c r="N824" s="786">
        <v>173</v>
      </c>
      <c r="O824" s="786">
        <v>0</v>
      </c>
      <c r="P824" s="786">
        <v>0</v>
      </c>
      <c r="Q824" s="785">
        <v>3232</v>
      </c>
      <c r="R824" s="785"/>
      <c r="S824" s="786">
        <v>2059</v>
      </c>
      <c r="T824" s="788">
        <v>-1926</v>
      </c>
      <c r="U824" s="788">
        <f>134-1</f>
        <v>133</v>
      </c>
    </row>
    <row r="825" spans="1:21" x14ac:dyDescent="0.25">
      <c r="A825" s="782">
        <v>99101</v>
      </c>
      <c r="B825" s="783" t="s">
        <v>3434</v>
      </c>
      <c r="C825" s="784">
        <v>2.1724000000000001E-3</v>
      </c>
      <c r="D825" s="784">
        <v>2.0087999999999998E-3</v>
      </c>
      <c r="E825" s="815">
        <v>914274</v>
      </c>
      <c r="F825" s="818">
        <v>4263347</v>
      </c>
      <c r="G825" s="785">
        <v>3318825</v>
      </c>
      <c r="H825" s="785"/>
      <c r="I825" s="786">
        <v>191195</v>
      </c>
      <c r="J825" s="787">
        <v>805815</v>
      </c>
      <c r="K825" s="786">
        <v>473974</v>
      </c>
      <c r="L825" s="785">
        <v>48335</v>
      </c>
      <c r="M825" s="785"/>
      <c r="N825" s="786">
        <v>93945</v>
      </c>
      <c r="O825" s="786">
        <v>0</v>
      </c>
      <c r="P825" s="786">
        <v>0</v>
      </c>
      <c r="Q825" s="785">
        <v>44900</v>
      </c>
      <c r="R825" s="785"/>
      <c r="S825" s="786">
        <v>1118447</v>
      </c>
      <c r="T825" s="788">
        <v>-14151</v>
      </c>
      <c r="U825" s="788">
        <v>1104296</v>
      </c>
    </row>
    <row r="826" spans="1:21" x14ac:dyDescent="0.25">
      <c r="A826" s="782">
        <v>99104</v>
      </c>
      <c r="B826" s="783" t="s">
        <v>3435</v>
      </c>
      <c r="C826" s="784">
        <v>3.3500000000000001E-5</v>
      </c>
      <c r="D826" s="784">
        <v>3.4799999999999999E-5</v>
      </c>
      <c r="E826" s="815">
        <v>22874</v>
      </c>
      <c r="F826" s="818">
        <v>73857</v>
      </c>
      <c r="G826" s="785">
        <v>51179</v>
      </c>
      <c r="H826" s="785"/>
      <c r="I826" s="786">
        <v>2948</v>
      </c>
      <c r="J826" s="787">
        <v>12426</v>
      </c>
      <c r="K826" s="786">
        <v>7309</v>
      </c>
      <c r="L826" s="785">
        <v>15217</v>
      </c>
      <c r="M826" s="785"/>
      <c r="N826" s="786">
        <v>1449</v>
      </c>
      <c r="O826" s="786">
        <v>0</v>
      </c>
      <c r="P826" s="786">
        <v>0</v>
      </c>
      <c r="Q826" s="785">
        <v>0</v>
      </c>
      <c r="R826" s="785"/>
      <c r="S826" s="786">
        <v>17247</v>
      </c>
      <c r="T826" s="788">
        <v>6167</v>
      </c>
      <c r="U826" s="788">
        <f>23415-1</f>
        <v>23414</v>
      </c>
    </row>
    <row r="827" spans="1:21" x14ac:dyDescent="0.25">
      <c r="A827" s="782">
        <v>99109</v>
      </c>
      <c r="B827" s="783" t="s">
        <v>3436</v>
      </c>
      <c r="C827" s="784">
        <v>1.2339999999999999E-4</v>
      </c>
      <c r="D827" s="784">
        <v>1.1849999999999999E-4</v>
      </c>
      <c r="E827" s="815">
        <v>56338</v>
      </c>
      <c r="F827" s="818">
        <v>251497</v>
      </c>
      <c r="G827" s="785">
        <v>188521</v>
      </c>
      <c r="H827" s="785"/>
      <c r="I827" s="786">
        <v>10861</v>
      </c>
      <c r="J827" s="787">
        <v>45773</v>
      </c>
      <c r="K827" s="786">
        <v>26923</v>
      </c>
      <c r="L827" s="785">
        <v>6454</v>
      </c>
      <c r="M827" s="785"/>
      <c r="N827" s="786">
        <v>5336</v>
      </c>
      <c r="O827" s="786">
        <v>0</v>
      </c>
      <c r="P827" s="786">
        <v>0</v>
      </c>
      <c r="Q827" s="785">
        <v>14208</v>
      </c>
      <c r="R827" s="785"/>
      <c r="S827" s="786">
        <v>63532</v>
      </c>
      <c r="T827" s="788">
        <v>-5391</v>
      </c>
      <c r="U827" s="788">
        <f>58140+1</f>
        <v>58141</v>
      </c>
    </row>
    <row r="828" spans="1:21" x14ac:dyDescent="0.25">
      <c r="A828" s="782">
        <v>99110</v>
      </c>
      <c r="B828" s="783" t="s">
        <v>3437</v>
      </c>
      <c r="C828" s="784">
        <v>1.7670000000000001E-4</v>
      </c>
      <c r="D828" s="784">
        <v>1.8369999999999999E-4</v>
      </c>
      <c r="E828" s="815">
        <v>119963</v>
      </c>
      <c r="F828" s="818">
        <v>389873</v>
      </c>
      <c r="G828" s="785">
        <v>269949</v>
      </c>
      <c r="H828" s="785"/>
      <c r="I828" s="786">
        <v>15552</v>
      </c>
      <c r="J828" s="787">
        <v>65544</v>
      </c>
      <c r="K828" s="786">
        <v>38552</v>
      </c>
      <c r="L828" s="785">
        <v>69046</v>
      </c>
      <c r="M828" s="785"/>
      <c r="N828" s="786">
        <v>7641</v>
      </c>
      <c r="O828" s="786">
        <v>0</v>
      </c>
      <c r="P828" s="786">
        <v>0</v>
      </c>
      <c r="Q828" s="785">
        <v>0</v>
      </c>
      <c r="R828" s="785"/>
      <c r="S828" s="786">
        <v>90973</v>
      </c>
      <c r="T828" s="788">
        <v>27602</v>
      </c>
      <c r="U828" s="788">
        <v>118575</v>
      </c>
    </row>
    <row r="829" spans="1:21" x14ac:dyDescent="0.25">
      <c r="A829" s="782">
        <v>99111</v>
      </c>
      <c r="B829" s="783" t="s">
        <v>3438</v>
      </c>
      <c r="C829" s="784">
        <v>1.2618E-3</v>
      </c>
      <c r="D829" s="784">
        <v>1.2757000000000001E-3</v>
      </c>
      <c r="E829" s="815">
        <v>543583</v>
      </c>
      <c r="F829" s="818">
        <v>2707463</v>
      </c>
      <c r="G829" s="785">
        <v>1927681</v>
      </c>
      <c r="H829" s="785"/>
      <c r="I829" s="786">
        <v>111052</v>
      </c>
      <c r="J829" s="787">
        <v>468043</v>
      </c>
      <c r="K829" s="786">
        <v>275300</v>
      </c>
      <c r="L829" s="785">
        <v>0</v>
      </c>
      <c r="M829" s="785"/>
      <c r="N829" s="786">
        <v>54567</v>
      </c>
      <c r="O829" s="786">
        <v>0</v>
      </c>
      <c r="P829" s="786">
        <v>0</v>
      </c>
      <c r="Q829" s="785">
        <v>143900</v>
      </c>
      <c r="R829" s="785"/>
      <c r="S829" s="786">
        <v>649630</v>
      </c>
      <c r="T829" s="788">
        <v>-68554</v>
      </c>
      <c r="U829" s="788">
        <v>581076</v>
      </c>
    </row>
    <row r="830" spans="1:21" x14ac:dyDescent="0.25">
      <c r="A830" s="782">
        <v>99201</v>
      </c>
      <c r="B830" s="783" t="s">
        <v>3439</v>
      </c>
      <c r="C830" s="784">
        <v>3.3297199999999999E-2</v>
      </c>
      <c r="D830" s="784">
        <v>3.22145E-2</v>
      </c>
      <c r="E830" s="815">
        <v>15084487</v>
      </c>
      <c r="F830" s="818">
        <v>68369961</v>
      </c>
      <c r="G830" s="785">
        <v>50868898</v>
      </c>
      <c r="H830" s="785"/>
      <c r="I830" s="786">
        <v>2930520</v>
      </c>
      <c r="J830" s="787">
        <v>12351030</v>
      </c>
      <c r="K830" s="786">
        <v>7264783</v>
      </c>
      <c r="L830" s="785">
        <v>1320745</v>
      </c>
      <c r="M830" s="785"/>
      <c r="N830" s="786">
        <v>1439937</v>
      </c>
      <c r="O830" s="786">
        <v>0</v>
      </c>
      <c r="P830" s="786">
        <v>0</v>
      </c>
      <c r="Q830" s="785">
        <v>241517</v>
      </c>
      <c r="R830" s="785"/>
      <c r="S830" s="786">
        <v>17142864</v>
      </c>
      <c r="T830" s="788">
        <v>242815</v>
      </c>
      <c r="U830" s="788">
        <v>17385679</v>
      </c>
    </row>
    <row r="831" spans="1:21" x14ac:dyDescent="0.25">
      <c r="A831" s="782">
        <v>99202</v>
      </c>
      <c r="B831" s="783" t="s">
        <v>3440</v>
      </c>
      <c r="C831" s="784">
        <v>2.5855000000000001E-3</v>
      </c>
      <c r="D831" s="784">
        <v>2.5138000000000001E-3</v>
      </c>
      <c r="E831" s="815">
        <v>1072068</v>
      </c>
      <c r="F831" s="818">
        <v>5335126</v>
      </c>
      <c r="G831" s="785">
        <v>3949928</v>
      </c>
      <c r="H831" s="785"/>
      <c r="I831" s="786">
        <v>227552</v>
      </c>
      <c r="J831" s="787">
        <v>959048</v>
      </c>
      <c r="K831" s="786">
        <v>564104</v>
      </c>
      <c r="L831" s="785">
        <v>0</v>
      </c>
      <c r="M831" s="785"/>
      <c r="N831" s="786">
        <v>111810</v>
      </c>
      <c r="O831" s="786">
        <v>0</v>
      </c>
      <c r="P831" s="786">
        <v>0</v>
      </c>
      <c r="Q831" s="785">
        <v>184130</v>
      </c>
      <c r="R831" s="785"/>
      <c r="S831" s="786">
        <v>1331129</v>
      </c>
      <c r="T831" s="788">
        <v>-73084</v>
      </c>
      <c r="U831" s="788">
        <v>1258045</v>
      </c>
    </row>
    <row r="832" spans="1:21" x14ac:dyDescent="0.25">
      <c r="A832" s="782">
        <v>99203</v>
      </c>
      <c r="B832" s="783" t="s">
        <v>3441</v>
      </c>
      <c r="C832" s="784">
        <v>3.0410000000000002E-4</v>
      </c>
      <c r="D832" s="784">
        <v>3.1990000000000002E-4</v>
      </c>
      <c r="E832" s="815">
        <v>126936</v>
      </c>
      <c r="F832" s="818">
        <v>678935</v>
      </c>
      <c r="G832" s="785">
        <v>464581</v>
      </c>
      <c r="H832" s="785"/>
      <c r="I832" s="786">
        <v>26764</v>
      </c>
      <c r="J832" s="787">
        <v>112801</v>
      </c>
      <c r="K832" s="786">
        <v>66349</v>
      </c>
      <c r="L832" s="785">
        <v>24433</v>
      </c>
      <c r="M832" s="785"/>
      <c r="N832" s="786">
        <v>13151</v>
      </c>
      <c r="O832" s="786">
        <v>0</v>
      </c>
      <c r="P832" s="786">
        <v>0</v>
      </c>
      <c r="Q832" s="785">
        <v>20730</v>
      </c>
      <c r="R832" s="785"/>
      <c r="S832" s="786">
        <v>156564</v>
      </c>
      <c r="T832" s="788">
        <v>11213</v>
      </c>
      <c r="U832" s="788">
        <v>167777</v>
      </c>
    </row>
    <row r="833" spans="1:21" x14ac:dyDescent="0.25">
      <c r="A833" s="782">
        <v>99204</v>
      </c>
      <c r="B833" s="783" t="s">
        <v>3442</v>
      </c>
      <c r="C833" s="784">
        <v>8.3549999999999998E-4</v>
      </c>
      <c r="D833" s="784">
        <v>7.4910000000000005E-4</v>
      </c>
      <c r="E833" s="815">
        <v>375261</v>
      </c>
      <c r="F833" s="818">
        <v>1589841</v>
      </c>
      <c r="G833" s="785">
        <v>1276413</v>
      </c>
      <c r="H833" s="785"/>
      <c r="I833" s="786">
        <v>73533</v>
      </c>
      <c r="J833" s="787">
        <v>309914</v>
      </c>
      <c r="K833" s="786">
        <v>182289</v>
      </c>
      <c r="L833" s="785">
        <v>108607</v>
      </c>
      <c r="M833" s="785"/>
      <c r="N833" s="786">
        <v>36131</v>
      </c>
      <c r="O833" s="786">
        <v>0</v>
      </c>
      <c r="P833" s="786">
        <v>0</v>
      </c>
      <c r="Q833" s="785">
        <v>0</v>
      </c>
      <c r="R833" s="785"/>
      <c r="S833" s="786">
        <v>430152</v>
      </c>
      <c r="T833" s="788">
        <v>37657</v>
      </c>
      <c r="U833" s="788">
        <v>467809</v>
      </c>
    </row>
    <row r="834" spans="1:21" x14ac:dyDescent="0.25">
      <c r="A834" s="782">
        <v>99206</v>
      </c>
      <c r="B834" s="783" t="s">
        <v>3443</v>
      </c>
      <c r="C834" s="784">
        <v>1.6957999999999999E-3</v>
      </c>
      <c r="D834" s="784">
        <v>1.6665E-3</v>
      </c>
      <c r="E834" s="815">
        <v>1210225</v>
      </c>
      <c r="F834" s="818">
        <v>3536871</v>
      </c>
      <c r="G834" s="785">
        <v>2590713</v>
      </c>
      <c r="H834" s="785"/>
      <c r="I834" s="786">
        <v>149249</v>
      </c>
      <c r="J834" s="787">
        <v>629028</v>
      </c>
      <c r="K834" s="786">
        <v>369990</v>
      </c>
      <c r="L834" s="785">
        <v>641271</v>
      </c>
      <c r="M834" s="785"/>
      <c r="N834" s="786">
        <v>73335</v>
      </c>
      <c r="O834" s="786">
        <v>0</v>
      </c>
      <c r="P834" s="786">
        <v>0</v>
      </c>
      <c r="Q834" s="785">
        <v>6741</v>
      </c>
      <c r="R834" s="785"/>
      <c r="S834" s="786">
        <v>873072</v>
      </c>
      <c r="T834" s="788">
        <v>209066</v>
      </c>
      <c r="U834" s="788">
        <f>1082139-1</f>
        <v>1082138</v>
      </c>
    </row>
    <row r="835" spans="1:21" x14ac:dyDescent="0.25">
      <c r="A835" s="782">
        <v>99207</v>
      </c>
      <c r="B835" s="783" t="s">
        <v>3675</v>
      </c>
      <c r="C835" s="784">
        <v>1.3329999999999999E-4</v>
      </c>
      <c r="D835" s="784">
        <v>1.3430000000000001E-4</v>
      </c>
      <c r="E835" s="815">
        <v>175075</v>
      </c>
      <c r="F835" s="818">
        <v>0</v>
      </c>
      <c r="G835" s="785">
        <v>203645</v>
      </c>
      <c r="H835" s="785"/>
      <c r="I835" s="786">
        <v>11732</v>
      </c>
      <c r="J835" s="787">
        <v>49445</v>
      </c>
      <c r="K835" s="786">
        <v>29083</v>
      </c>
      <c r="L835" s="785">
        <v>145724</v>
      </c>
      <c r="M835" s="785"/>
      <c r="N835" s="786">
        <v>5765</v>
      </c>
      <c r="O835" s="786">
        <v>0</v>
      </c>
      <c r="P835" s="786">
        <v>0</v>
      </c>
      <c r="Q835" s="785">
        <v>0</v>
      </c>
      <c r="R835" s="785"/>
      <c r="S835" s="786">
        <v>68629</v>
      </c>
      <c r="T835" s="788">
        <v>46901</v>
      </c>
      <c r="U835" s="788">
        <v>115530</v>
      </c>
    </row>
    <row r="836" spans="1:21" x14ac:dyDescent="0.25">
      <c r="A836" s="782">
        <v>99208</v>
      </c>
      <c r="B836" s="783" t="s">
        <v>3445</v>
      </c>
      <c r="C836" s="784">
        <v>1.4569999999999999E-4</v>
      </c>
      <c r="D836" s="784">
        <v>1.3669999999999999E-4</v>
      </c>
      <c r="E836" s="815">
        <v>57804</v>
      </c>
      <c r="F836" s="818">
        <v>290123</v>
      </c>
      <c r="G836" s="785">
        <v>222589</v>
      </c>
      <c r="H836" s="785"/>
      <c r="I836" s="786">
        <v>12823</v>
      </c>
      <c r="J836" s="787">
        <v>54045</v>
      </c>
      <c r="K836" s="786">
        <v>31789</v>
      </c>
      <c r="L836" s="785">
        <v>0</v>
      </c>
      <c r="M836" s="785"/>
      <c r="N836" s="786">
        <v>6301</v>
      </c>
      <c r="O836" s="786">
        <v>0</v>
      </c>
      <c r="P836" s="786">
        <v>0</v>
      </c>
      <c r="Q836" s="785">
        <v>38521</v>
      </c>
      <c r="R836" s="785"/>
      <c r="S836" s="786">
        <v>75013</v>
      </c>
      <c r="T836" s="788">
        <v>-20543</v>
      </c>
      <c r="U836" s="788">
        <v>54470</v>
      </c>
    </row>
    <row r="837" spans="1:21" x14ac:dyDescent="0.25">
      <c r="A837" s="782">
        <v>99210</v>
      </c>
      <c r="B837" s="783" t="s">
        <v>3446</v>
      </c>
      <c r="C837" s="784">
        <v>1.5943999999999999E-3</v>
      </c>
      <c r="D837" s="784">
        <v>1.5945E-3</v>
      </c>
      <c r="E837" s="815">
        <v>789521</v>
      </c>
      <c r="F837" s="818">
        <v>3384063</v>
      </c>
      <c r="G837" s="785">
        <v>2435802</v>
      </c>
      <c r="H837" s="785"/>
      <c r="I837" s="786">
        <v>140325</v>
      </c>
      <c r="J837" s="787">
        <v>591415</v>
      </c>
      <c r="K837" s="786">
        <v>347866</v>
      </c>
      <c r="L837" s="785">
        <v>99237</v>
      </c>
      <c r="M837" s="785"/>
      <c r="N837" s="786">
        <v>68950</v>
      </c>
      <c r="O837" s="786">
        <v>0</v>
      </c>
      <c r="P837" s="786">
        <v>0</v>
      </c>
      <c r="Q837" s="785">
        <v>0</v>
      </c>
      <c r="R837" s="785"/>
      <c r="S837" s="786">
        <v>820867</v>
      </c>
      <c r="T837" s="788">
        <v>39106</v>
      </c>
      <c r="U837" s="788">
        <f>859974-1</f>
        <v>859973</v>
      </c>
    </row>
    <row r="838" spans="1:21" x14ac:dyDescent="0.25">
      <c r="A838" s="782">
        <v>99211</v>
      </c>
      <c r="B838" s="783" t="s">
        <v>3447</v>
      </c>
      <c r="C838" s="784">
        <v>3.7100599999999997E-2</v>
      </c>
      <c r="D838" s="784">
        <v>3.8233999999999997E-2</v>
      </c>
      <c r="E838" s="815">
        <v>16957539</v>
      </c>
      <c r="F838" s="818">
        <v>81145356</v>
      </c>
      <c r="G838" s="785">
        <v>56679440</v>
      </c>
      <c r="H838" s="785"/>
      <c r="I838" s="786">
        <v>3265261</v>
      </c>
      <c r="J838" s="787">
        <v>13761837</v>
      </c>
      <c r="K838" s="786">
        <v>8094609</v>
      </c>
      <c r="L838" s="785">
        <v>0</v>
      </c>
      <c r="M838" s="785"/>
      <c r="N838" s="786">
        <v>1604415</v>
      </c>
      <c r="O838" s="786">
        <v>0</v>
      </c>
      <c r="P838" s="786">
        <v>0</v>
      </c>
      <c r="Q838" s="785">
        <v>1838947</v>
      </c>
      <c r="R838" s="785"/>
      <c r="S838" s="786">
        <v>19101021</v>
      </c>
      <c r="T838" s="788">
        <v>-724653</v>
      </c>
      <c r="U838" s="788">
        <f>18376369-1</f>
        <v>18376368</v>
      </c>
    </row>
    <row r="839" spans="1:21" x14ac:dyDescent="0.25">
      <c r="A839" s="782">
        <v>99212</v>
      </c>
      <c r="B839" s="783" t="s">
        <v>3448</v>
      </c>
      <c r="C839" s="784">
        <v>8.14E-5</v>
      </c>
      <c r="D839" s="784">
        <v>7.4400000000000006E-5</v>
      </c>
      <c r="E839" s="815">
        <v>31805</v>
      </c>
      <c r="F839" s="818">
        <v>157902</v>
      </c>
      <c r="G839" s="785">
        <v>124357</v>
      </c>
      <c r="H839" s="785"/>
      <c r="I839" s="786">
        <v>7164</v>
      </c>
      <c r="J839" s="787">
        <v>30194</v>
      </c>
      <c r="K839" s="786">
        <v>17760</v>
      </c>
      <c r="L839" s="785">
        <v>242</v>
      </c>
      <c r="M839" s="785"/>
      <c r="N839" s="786">
        <v>3520</v>
      </c>
      <c r="O839" s="786">
        <v>0</v>
      </c>
      <c r="P839" s="786">
        <v>0</v>
      </c>
      <c r="Q839" s="785">
        <v>34044</v>
      </c>
      <c r="R839" s="785"/>
      <c r="S839" s="786">
        <v>41908</v>
      </c>
      <c r="T839" s="788">
        <v>-15261</v>
      </c>
      <c r="U839" s="788">
        <v>26647</v>
      </c>
    </row>
    <row r="840" spans="1:21" x14ac:dyDescent="0.25">
      <c r="A840" s="782">
        <v>99213</v>
      </c>
      <c r="B840" s="783" t="s">
        <v>3449</v>
      </c>
      <c r="C840" s="784">
        <v>7.5159999999999995E-4</v>
      </c>
      <c r="D840" s="784">
        <v>8.0730000000000005E-4</v>
      </c>
      <c r="E840" s="815">
        <v>353817</v>
      </c>
      <c r="F840" s="818">
        <v>1713361</v>
      </c>
      <c r="G840" s="785">
        <v>1148237</v>
      </c>
      <c r="H840" s="785"/>
      <c r="I840" s="786">
        <v>66149</v>
      </c>
      <c r="J840" s="787">
        <v>278793</v>
      </c>
      <c r="K840" s="786">
        <v>163984</v>
      </c>
      <c r="L840" s="785">
        <v>6057</v>
      </c>
      <c r="M840" s="785"/>
      <c r="N840" s="786">
        <v>32503</v>
      </c>
      <c r="O840" s="786">
        <v>0</v>
      </c>
      <c r="P840" s="786">
        <v>0</v>
      </c>
      <c r="Q840" s="785">
        <v>45468</v>
      </c>
      <c r="R840" s="785"/>
      <c r="S840" s="786">
        <v>386957</v>
      </c>
      <c r="T840" s="788">
        <v>-10310</v>
      </c>
      <c r="U840" s="788">
        <f>376646+1</f>
        <v>376647</v>
      </c>
    </row>
    <row r="841" spans="1:21" x14ac:dyDescent="0.25">
      <c r="A841" s="782">
        <v>99218</v>
      </c>
      <c r="B841" s="783" t="s">
        <v>3450</v>
      </c>
      <c r="C841" s="784">
        <v>3.1162E-3</v>
      </c>
      <c r="D841" s="784">
        <v>3.1227999999999998E-3</v>
      </c>
      <c r="E841" s="815">
        <v>1493014</v>
      </c>
      <c r="F841" s="818">
        <v>6627628</v>
      </c>
      <c r="G841" s="785">
        <v>4760690</v>
      </c>
      <c r="H841" s="785"/>
      <c r="I841" s="786">
        <v>274260</v>
      </c>
      <c r="J841" s="787">
        <v>1155902</v>
      </c>
      <c r="K841" s="786">
        <v>679893</v>
      </c>
      <c r="L841" s="785">
        <v>179789</v>
      </c>
      <c r="M841" s="785"/>
      <c r="N841" s="786">
        <v>134760</v>
      </c>
      <c r="O841" s="786">
        <v>0</v>
      </c>
      <c r="P841" s="786">
        <v>0</v>
      </c>
      <c r="Q841" s="785">
        <v>0</v>
      </c>
      <c r="R841" s="785"/>
      <c r="S841" s="786">
        <v>1604357</v>
      </c>
      <c r="T841" s="788">
        <v>66860</v>
      </c>
      <c r="U841" s="788">
        <v>1671217</v>
      </c>
    </row>
    <row r="842" spans="1:21" x14ac:dyDescent="0.25">
      <c r="A842" s="782">
        <v>99221</v>
      </c>
      <c r="B842" s="783" t="s">
        <v>3451</v>
      </c>
      <c r="C842" s="784">
        <v>1.27709E-2</v>
      </c>
      <c r="D842" s="784">
        <v>1.3092700000000001E-2</v>
      </c>
      <c r="E842" s="815">
        <v>5876509</v>
      </c>
      <c r="F842" s="818">
        <v>27787095</v>
      </c>
      <c r="G842" s="785">
        <v>19510398</v>
      </c>
      <c r="H842" s="785"/>
      <c r="I842" s="786">
        <v>1123980</v>
      </c>
      <c r="J842" s="787">
        <v>4737148</v>
      </c>
      <c r="K842" s="786">
        <v>2786355</v>
      </c>
      <c r="L842" s="785">
        <v>0</v>
      </c>
      <c r="M842" s="785"/>
      <c r="N842" s="786">
        <v>552278</v>
      </c>
      <c r="O842" s="786">
        <v>0</v>
      </c>
      <c r="P842" s="786">
        <v>0</v>
      </c>
      <c r="Q842" s="785">
        <v>687802</v>
      </c>
      <c r="R842" s="785"/>
      <c r="S842" s="786">
        <v>6575021</v>
      </c>
      <c r="T842" s="788">
        <v>-271922</v>
      </c>
      <c r="U842" s="788">
        <v>6303099</v>
      </c>
    </row>
    <row r="843" spans="1:21" x14ac:dyDescent="0.25">
      <c r="A843" s="782">
        <v>99222</v>
      </c>
      <c r="B843" s="783" t="s">
        <v>3452</v>
      </c>
      <c r="C843" s="784">
        <v>3.9100000000000002E-5</v>
      </c>
      <c r="D843" s="784">
        <v>4.0099999999999999E-5</v>
      </c>
      <c r="E843" s="815">
        <v>15446</v>
      </c>
      <c r="F843" s="818">
        <v>85106</v>
      </c>
      <c r="G843" s="785">
        <v>59734</v>
      </c>
      <c r="H843" s="785"/>
      <c r="I843" s="786">
        <v>3441</v>
      </c>
      <c r="J843" s="787">
        <v>14504</v>
      </c>
      <c r="K843" s="786">
        <v>8531</v>
      </c>
      <c r="L843" s="785">
        <v>2307</v>
      </c>
      <c r="M843" s="785"/>
      <c r="N843" s="786">
        <v>1691</v>
      </c>
      <c r="O843" s="786">
        <v>0</v>
      </c>
      <c r="P843" s="786">
        <v>0</v>
      </c>
      <c r="Q843" s="785">
        <v>3585</v>
      </c>
      <c r="R843" s="785"/>
      <c r="S843" s="786">
        <v>20130</v>
      </c>
      <c r="T843" s="788">
        <v>281</v>
      </c>
      <c r="U843" s="788">
        <v>20411</v>
      </c>
    </row>
    <row r="844" spans="1:21" x14ac:dyDescent="0.25">
      <c r="A844" s="782">
        <v>99231</v>
      </c>
      <c r="B844" s="783" t="s">
        <v>3453</v>
      </c>
      <c r="C844" s="784">
        <v>3.7179999999999998E-4</v>
      </c>
      <c r="D844" s="784">
        <v>3.7869999999999999E-4</v>
      </c>
      <c r="E844" s="815">
        <v>156904</v>
      </c>
      <c r="F844" s="818">
        <v>803728</v>
      </c>
      <c r="G844" s="785">
        <v>568007</v>
      </c>
      <c r="H844" s="785"/>
      <c r="I844" s="786">
        <v>32722</v>
      </c>
      <c r="J844" s="787">
        <v>137913</v>
      </c>
      <c r="K844" s="786">
        <v>81119</v>
      </c>
      <c r="L844" s="785">
        <v>0</v>
      </c>
      <c r="M844" s="785"/>
      <c r="N844" s="786">
        <v>16078</v>
      </c>
      <c r="O844" s="786">
        <v>0</v>
      </c>
      <c r="P844" s="786">
        <v>0</v>
      </c>
      <c r="Q844" s="785">
        <v>31773</v>
      </c>
      <c r="R844" s="785"/>
      <c r="S844" s="786">
        <v>191419</v>
      </c>
      <c r="T844" s="788">
        <v>-14995</v>
      </c>
      <c r="U844" s="788">
        <v>176424</v>
      </c>
    </row>
    <row r="845" spans="1:21" x14ac:dyDescent="0.25">
      <c r="A845" s="782">
        <v>99241</v>
      </c>
      <c r="B845" s="783" t="s">
        <v>3454</v>
      </c>
      <c r="C845" s="784">
        <v>5.5329999999999995E-4</v>
      </c>
      <c r="D845" s="784">
        <v>5.6039999999999996E-4</v>
      </c>
      <c r="E845" s="815">
        <v>226042</v>
      </c>
      <c r="F845" s="818">
        <v>1189357</v>
      </c>
      <c r="G845" s="785">
        <v>845289</v>
      </c>
      <c r="H845" s="785"/>
      <c r="I845" s="786">
        <v>48696</v>
      </c>
      <c r="J845" s="787">
        <v>205238</v>
      </c>
      <c r="K845" s="786">
        <v>120719</v>
      </c>
      <c r="L845" s="785">
        <v>0</v>
      </c>
      <c r="M845" s="785"/>
      <c r="N845" s="786">
        <v>23927</v>
      </c>
      <c r="O845" s="786">
        <v>0</v>
      </c>
      <c r="P845" s="786">
        <v>0</v>
      </c>
      <c r="Q845" s="785">
        <v>103885</v>
      </c>
      <c r="R845" s="785"/>
      <c r="S845" s="786">
        <v>284863</v>
      </c>
      <c r="T845" s="788">
        <v>-52289</v>
      </c>
      <c r="U845" s="788">
        <f>232575-1</f>
        <v>232574</v>
      </c>
    </row>
    <row r="846" spans="1:21" x14ac:dyDescent="0.25">
      <c r="A846" s="782">
        <v>99251</v>
      </c>
      <c r="B846" s="783" t="s">
        <v>3455</v>
      </c>
      <c r="C846" s="784">
        <v>1.6069000000000001E-3</v>
      </c>
      <c r="D846" s="784">
        <v>1.6521000000000001E-3</v>
      </c>
      <c r="E846" s="815">
        <v>745408</v>
      </c>
      <c r="F846" s="818">
        <v>3506310</v>
      </c>
      <c r="G846" s="785">
        <v>2454898</v>
      </c>
      <c r="H846" s="785"/>
      <c r="I846" s="786">
        <v>141425</v>
      </c>
      <c r="J846" s="787">
        <v>596053</v>
      </c>
      <c r="K846" s="786">
        <v>350593</v>
      </c>
      <c r="L846" s="785">
        <v>2758</v>
      </c>
      <c r="M846" s="785"/>
      <c r="N846" s="786">
        <v>69490</v>
      </c>
      <c r="O846" s="786">
        <v>0</v>
      </c>
      <c r="P846" s="786">
        <v>0</v>
      </c>
      <c r="Q846" s="785">
        <v>31200</v>
      </c>
      <c r="R846" s="785"/>
      <c r="S846" s="786">
        <v>827303</v>
      </c>
      <c r="T846" s="788">
        <v>-11932</v>
      </c>
      <c r="U846" s="788">
        <v>815371</v>
      </c>
    </row>
    <row r="847" spans="1:21" x14ac:dyDescent="0.25">
      <c r="A847" s="782">
        <v>99252</v>
      </c>
      <c r="B847" s="783" t="s">
        <v>3456</v>
      </c>
      <c r="C847" s="784">
        <v>6.1269999999999999E-4</v>
      </c>
      <c r="D847" s="784">
        <v>5.8279999999999996E-4</v>
      </c>
      <c r="E847" s="815">
        <v>212386</v>
      </c>
      <c r="F847" s="818">
        <v>1236897</v>
      </c>
      <c r="G847" s="785">
        <v>936036</v>
      </c>
      <c r="H847" s="785"/>
      <c r="I847" s="786">
        <v>53924</v>
      </c>
      <c r="J847" s="787">
        <v>227271</v>
      </c>
      <c r="K847" s="786">
        <v>133679</v>
      </c>
      <c r="L847" s="785">
        <v>0</v>
      </c>
      <c r="M847" s="785"/>
      <c r="N847" s="786">
        <v>26496</v>
      </c>
      <c r="O847" s="786">
        <v>0</v>
      </c>
      <c r="P847" s="786">
        <v>0</v>
      </c>
      <c r="Q847" s="785">
        <v>202059</v>
      </c>
      <c r="R847" s="785"/>
      <c r="S847" s="786">
        <v>315445</v>
      </c>
      <c r="T847" s="788">
        <v>-85968</v>
      </c>
      <c r="U847" s="788">
        <v>229477</v>
      </c>
    </row>
    <row r="848" spans="1:21" x14ac:dyDescent="0.25">
      <c r="A848" s="782">
        <v>99261</v>
      </c>
      <c r="B848" s="783" t="s">
        <v>3457</v>
      </c>
      <c r="C848" s="784">
        <v>1.9938E-3</v>
      </c>
      <c r="D848" s="784">
        <v>1.9145E-3</v>
      </c>
      <c r="E848" s="815">
        <v>808835</v>
      </c>
      <c r="F848" s="818">
        <v>4063210</v>
      </c>
      <c r="G848" s="785">
        <v>3045974</v>
      </c>
      <c r="H848" s="785"/>
      <c r="I848" s="786">
        <v>175476</v>
      </c>
      <c r="J848" s="787">
        <v>739566</v>
      </c>
      <c r="K848" s="786">
        <v>435007</v>
      </c>
      <c r="L848" s="785">
        <v>0</v>
      </c>
      <c r="M848" s="785"/>
      <c r="N848" s="786">
        <v>86222</v>
      </c>
      <c r="O848" s="786">
        <v>0</v>
      </c>
      <c r="P848" s="786">
        <v>0</v>
      </c>
      <c r="Q848" s="785">
        <v>148472</v>
      </c>
      <c r="R848" s="785"/>
      <c r="S848" s="786">
        <v>1026496</v>
      </c>
      <c r="T848" s="788">
        <v>-69364</v>
      </c>
      <c r="U848" s="788">
        <v>957132</v>
      </c>
    </row>
    <row r="849" spans="1:21" x14ac:dyDescent="0.25">
      <c r="A849" s="782">
        <v>99271</v>
      </c>
      <c r="B849" s="783" t="s">
        <v>3458</v>
      </c>
      <c r="C849" s="784">
        <v>4.0137000000000003E-3</v>
      </c>
      <c r="D849" s="784">
        <v>3.9248E-3</v>
      </c>
      <c r="E849" s="815">
        <v>1751675</v>
      </c>
      <c r="F849" s="818">
        <v>8329740</v>
      </c>
      <c r="G849" s="785">
        <v>6131822</v>
      </c>
      <c r="H849" s="785"/>
      <c r="I849" s="786">
        <v>353250</v>
      </c>
      <c r="J849" s="787">
        <v>1488814</v>
      </c>
      <c r="K849" s="786">
        <v>875709</v>
      </c>
      <c r="L849" s="785">
        <v>0</v>
      </c>
      <c r="M849" s="785"/>
      <c r="N849" s="786">
        <v>173572</v>
      </c>
      <c r="O849" s="786">
        <v>0</v>
      </c>
      <c r="P849" s="786">
        <v>0</v>
      </c>
      <c r="Q849" s="785">
        <v>122792</v>
      </c>
      <c r="R849" s="785"/>
      <c r="S849" s="786">
        <v>2066429</v>
      </c>
      <c r="T849" s="788">
        <v>-45302</v>
      </c>
      <c r="U849" s="788">
        <v>2021127</v>
      </c>
    </row>
    <row r="850" spans="1:21" x14ac:dyDescent="0.25">
      <c r="A850" s="782">
        <v>99281</v>
      </c>
      <c r="B850" s="783" t="s">
        <v>3459</v>
      </c>
      <c r="C850" s="784">
        <v>2.2918999999999999E-3</v>
      </c>
      <c r="D850" s="784">
        <v>2.2824E-3</v>
      </c>
      <c r="E850" s="815">
        <v>984780</v>
      </c>
      <c r="F850" s="818">
        <v>4844017</v>
      </c>
      <c r="G850" s="785">
        <v>3501388</v>
      </c>
      <c r="H850" s="785"/>
      <c r="I850" s="786">
        <v>201712</v>
      </c>
      <c r="J850" s="787">
        <v>850141</v>
      </c>
      <c r="K850" s="786">
        <v>500047</v>
      </c>
      <c r="L850" s="785">
        <v>6743</v>
      </c>
      <c r="M850" s="785"/>
      <c r="N850" s="786">
        <v>99113</v>
      </c>
      <c r="O850" s="786">
        <v>0</v>
      </c>
      <c r="P850" s="786">
        <v>0</v>
      </c>
      <c r="Q850" s="785">
        <v>128585</v>
      </c>
      <c r="R850" s="785"/>
      <c r="S850" s="786">
        <v>1179971</v>
      </c>
      <c r="T850" s="788">
        <v>-37280</v>
      </c>
      <c r="U850" s="788">
        <v>1142691</v>
      </c>
    </row>
    <row r="851" spans="1:21" x14ac:dyDescent="0.25">
      <c r="A851" s="782">
        <v>99291</v>
      </c>
      <c r="B851" s="783" t="s">
        <v>3460</v>
      </c>
      <c r="C851" s="784">
        <v>7.3499999999999998E-4</v>
      </c>
      <c r="D851" s="784">
        <v>7.7260000000000002E-4</v>
      </c>
      <c r="E851" s="815">
        <v>299576</v>
      </c>
      <c r="F851" s="818">
        <v>1639716</v>
      </c>
      <c r="G851" s="785">
        <v>1122876</v>
      </c>
      <c r="H851" s="785"/>
      <c r="I851" s="786">
        <v>64688</v>
      </c>
      <c r="J851" s="787">
        <v>272636</v>
      </c>
      <c r="K851" s="786">
        <v>160362</v>
      </c>
      <c r="L851" s="785">
        <v>0</v>
      </c>
      <c r="M851" s="785"/>
      <c r="N851" s="786">
        <v>31785</v>
      </c>
      <c r="O851" s="786">
        <v>0</v>
      </c>
      <c r="P851" s="786">
        <v>0</v>
      </c>
      <c r="Q851" s="785">
        <v>137813</v>
      </c>
      <c r="R851" s="785"/>
      <c r="S851" s="786">
        <v>378410</v>
      </c>
      <c r="T851" s="788">
        <v>-55575</v>
      </c>
      <c r="U851" s="788">
        <v>322835</v>
      </c>
    </row>
    <row r="852" spans="1:21" x14ac:dyDescent="0.25">
      <c r="A852" s="782">
        <v>99301</v>
      </c>
      <c r="B852" s="783" t="s">
        <v>3461</v>
      </c>
      <c r="C852" s="784">
        <v>1.7879E-3</v>
      </c>
      <c r="D852" s="784">
        <v>1.8458000000000001E-3</v>
      </c>
      <c r="E852" s="815">
        <v>788880</v>
      </c>
      <c r="F852" s="818">
        <v>3917406</v>
      </c>
      <c r="G852" s="785">
        <v>2731416</v>
      </c>
      <c r="H852" s="785"/>
      <c r="I852" s="786">
        <v>157355</v>
      </c>
      <c r="J852" s="787">
        <v>663191</v>
      </c>
      <c r="K852" s="786">
        <v>390084</v>
      </c>
      <c r="L852" s="785">
        <v>67408</v>
      </c>
      <c r="M852" s="785"/>
      <c r="N852" s="786">
        <v>77318</v>
      </c>
      <c r="O852" s="786">
        <v>0</v>
      </c>
      <c r="P852" s="786">
        <v>0</v>
      </c>
      <c r="Q852" s="785">
        <v>65062</v>
      </c>
      <c r="R852" s="785"/>
      <c r="S852" s="786">
        <v>920490</v>
      </c>
      <c r="T852" s="788">
        <v>38686</v>
      </c>
      <c r="U852" s="788">
        <f>959175+1</f>
        <v>959176</v>
      </c>
    </row>
    <row r="853" spans="1:21" x14ac:dyDescent="0.25">
      <c r="A853" s="782">
        <v>99304</v>
      </c>
      <c r="B853" s="783" t="s">
        <v>3462</v>
      </c>
      <c r="C853" s="784">
        <v>9.2E-6</v>
      </c>
      <c r="D853" s="784">
        <v>9.9000000000000001E-6</v>
      </c>
      <c r="E853" s="815">
        <v>7554</v>
      </c>
      <c r="F853" s="818">
        <v>21011</v>
      </c>
      <c r="G853" s="785">
        <v>14055</v>
      </c>
      <c r="H853" s="785"/>
      <c r="I853" s="786">
        <v>810</v>
      </c>
      <c r="J853" s="787">
        <v>3412</v>
      </c>
      <c r="K853" s="786">
        <v>2007</v>
      </c>
      <c r="L853" s="785">
        <v>4659</v>
      </c>
      <c r="M853" s="785"/>
      <c r="N853" s="786">
        <v>398</v>
      </c>
      <c r="O853" s="786">
        <v>0</v>
      </c>
      <c r="P853" s="786">
        <v>0</v>
      </c>
      <c r="Q853" s="785">
        <v>248</v>
      </c>
      <c r="R853" s="785"/>
      <c r="S853" s="786">
        <v>4737</v>
      </c>
      <c r="T853" s="788">
        <v>1371</v>
      </c>
      <c r="U853" s="788">
        <f>6107+1</f>
        <v>6108</v>
      </c>
    </row>
    <row r="854" spans="1:21" x14ac:dyDescent="0.25">
      <c r="A854" s="782">
        <v>99311</v>
      </c>
      <c r="B854" s="783" t="s">
        <v>3463</v>
      </c>
      <c r="C854" s="784">
        <v>5.4299999999999998E-5</v>
      </c>
      <c r="D854" s="784">
        <v>5.7599999999999997E-5</v>
      </c>
      <c r="E854" s="815">
        <v>25361</v>
      </c>
      <c r="F854" s="818">
        <v>122246</v>
      </c>
      <c r="G854" s="785">
        <v>82955</v>
      </c>
      <c r="H854" s="785"/>
      <c r="I854" s="786">
        <v>4779</v>
      </c>
      <c r="J854" s="787">
        <v>20142</v>
      </c>
      <c r="K854" s="786">
        <v>11847</v>
      </c>
      <c r="L854" s="785">
        <v>0</v>
      </c>
      <c r="M854" s="785"/>
      <c r="N854" s="786">
        <v>2348</v>
      </c>
      <c r="O854" s="786">
        <v>0</v>
      </c>
      <c r="P854" s="786">
        <v>0</v>
      </c>
      <c r="Q854" s="785">
        <v>6758</v>
      </c>
      <c r="R854" s="785"/>
      <c r="S854" s="786">
        <v>27956</v>
      </c>
      <c r="T854" s="788">
        <v>-3216</v>
      </c>
      <c r="U854" s="788">
        <v>24740</v>
      </c>
    </row>
    <row r="855" spans="1:21" x14ac:dyDescent="0.25">
      <c r="A855" s="782">
        <v>99321</v>
      </c>
      <c r="B855" s="783" t="s">
        <v>3464</v>
      </c>
      <c r="C855" s="784">
        <v>1.1E-4</v>
      </c>
      <c r="D855" s="784">
        <v>1.1909999999999999E-4</v>
      </c>
      <c r="E855" s="815">
        <v>98498</v>
      </c>
      <c r="F855" s="818">
        <v>252770</v>
      </c>
      <c r="G855" s="785">
        <v>168050</v>
      </c>
      <c r="H855" s="785"/>
      <c r="I855" s="786">
        <v>9681</v>
      </c>
      <c r="J855" s="787">
        <v>40803</v>
      </c>
      <c r="K855" s="786">
        <v>24000</v>
      </c>
      <c r="L855" s="785">
        <v>96146</v>
      </c>
      <c r="M855" s="785"/>
      <c r="N855" s="786">
        <v>4757</v>
      </c>
      <c r="O855" s="786">
        <v>0</v>
      </c>
      <c r="P855" s="786">
        <v>0</v>
      </c>
      <c r="Q855" s="785">
        <v>0</v>
      </c>
      <c r="R855" s="785"/>
      <c r="S855" s="786">
        <v>56633</v>
      </c>
      <c r="T855" s="788">
        <v>41980</v>
      </c>
      <c r="U855" s="788">
        <v>98613</v>
      </c>
    </row>
    <row r="856" spans="1:21" x14ac:dyDescent="0.25">
      <c r="A856" s="782">
        <v>99401</v>
      </c>
      <c r="B856" s="783" t="s">
        <v>3465</v>
      </c>
      <c r="C856" s="784">
        <v>9.2389999999999996E-4</v>
      </c>
      <c r="D856" s="784">
        <v>9.3869999999999999E-4</v>
      </c>
      <c r="E856" s="815">
        <v>414565</v>
      </c>
      <c r="F856" s="818">
        <v>1992236</v>
      </c>
      <c r="G856" s="785">
        <v>1411463</v>
      </c>
      <c r="H856" s="785"/>
      <c r="I856" s="786">
        <v>81313</v>
      </c>
      <c r="J856" s="787">
        <v>342705</v>
      </c>
      <c r="K856" s="786">
        <v>201577</v>
      </c>
      <c r="L856" s="785">
        <v>34240</v>
      </c>
      <c r="M856" s="785"/>
      <c r="N856" s="786">
        <v>39954</v>
      </c>
      <c r="O856" s="786">
        <v>0</v>
      </c>
      <c r="P856" s="786">
        <v>0</v>
      </c>
      <c r="Q856" s="785">
        <v>17589</v>
      </c>
      <c r="R856" s="785"/>
      <c r="S856" s="786">
        <v>475664</v>
      </c>
      <c r="T856" s="788">
        <v>22297</v>
      </c>
      <c r="U856" s="788">
        <v>497961</v>
      </c>
    </row>
    <row r="857" spans="1:21" x14ac:dyDescent="0.25">
      <c r="A857" s="782">
        <v>99404</v>
      </c>
      <c r="B857" s="783" t="s">
        <v>3466</v>
      </c>
      <c r="C857" s="784">
        <v>9.3999999999999998E-6</v>
      </c>
      <c r="D857" s="784">
        <v>9.5999999999999996E-6</v>
      </c>
      <c r="E857" s="815">
        <v>5393</v>
      </c>
      <c r="F857" s="818">
        <v>20374</v>
      </c>
      <c r="G857" s="785">
        <v>14361</v>
      </c>
      <c r="H857" s="785"/>
      <c r="I857" s="786">
        <v>827</v>
      </c>
      <c r="J857" s="787">
        <v>3487</v>
      </c>
      <c r="K857" s="786">
        <v>2051</v>
      </c>
      <c r="L857" s="785">
        <v>1334</v>
      </c>
      <c r="M857" s="785"/>
      <c r="N857" s="786">
        <v>407</v>
      </c>
      <c r="O857" s="786">
        <v>0</v>
      </c>
      <c r="P857" s="786">
        <v>0</v>
      </c>
      <c r="Q857" s="785">
        <v>0</v>
      </c>
      <c r="R857" s="785"/>
      <c r="S857" s="786">
        <v>4840</v>
      </c>
      <c r="T857" s="788">
        <v>466</v>
      </c>
      <c r="U857" s="788">
        <v>5306</v>
      </c>
    </row>
    <row r="858" spans="1:21" x14ac:dyDescent="0.25">
      <c r="A858" s="782">
        <v>99405</v>
      </c>
      <c r="B858" s="783" t="s">
        <v>3467</v>
      </c>
      <c r="C858" s="784">
        <v>6.2700000000000006E-5</v>
      </c>
      <c r="D858" s="784">
        <v>5.8100000000000003E-5</v>
      </c>
      <c r="E858" s="815">
        <v>37798</v>
      </c>
      <c r="F858" s="818">
        <v>123308</v>
      </c>
      <c r="G858" s="785">
        <v>95788</v>
      </c>
      <c r="H858" s="785"/>
      <c r="I858" s="786">
        <v>5518</v>
      </c>
      <c r="J858" s="787">
        <v>23258</v>
      </c>
      <c r="K858" s="786">
        <v>13680</v>
      </c>
      <c r="L858" s="785">
        <v>18380</v>
      </c>
      <c r="M858" s="785"/>
      <c r="N858" s="786">
        <v>2711</v>
      </c>
      <c r="O858" s="786">
        <v>0</v>
      </c>
      <c r="P858" s="786">
        <v>0</v>
      </c>
      <c r="Q858" s="785">
        <v>336</v>
      </c>
      <c r="R858" s="785"/>
      <c r="S858" s="786">
        <v>32281</v>
      </c>
      <c r="T858" s="788">
        <v>6084</v>
      </c>
      <c r="U858" s="788">
        <f>38364+1</f>
        <v>38365</v>
      </c>
    </row>
    <row r="859" spans="1:21" x14ac:dyDescent="0.25">
      <c r="A859" s="782">
        <v>99411</v>
      </c>
      <c r="B859" s="783" t="s">
        <v>3468</v>
      </c>
      <c r="C859" s="784">
        <v>1.583E-4</v>
      </c>
      <c r="D859" s="784">
        <v>1.2510000000000001E-4</v>
      </c>
      <c r="E859" s="815">
        <v>75833</v>
      </c>
      <c r="F859" s="818">
        <v>265504</v>
      </c>
      <c r="G859" s="785">
        <v>241839</v>
      </c>
      <c r="H859" s="785"/>
      <c r="I859" s="786">
        <v>13932</v>
      </c>
      <c r="J859" s="787">
        <v>58719</v>
      </c>
      <c r="K859" s="786">
        <v>34538</v>
      </c>
      <c r="L859" s="785">
        <v>41924</v>
      </c>
      <c r="M859" s="785"/>
      <c r="N859" s="786">
        <v>6846</v>
      </c>
      <c r="O859" s="786">
        <v>0</v>
      </c>
      <c r="P859" s="786">
        <v>0</v>
      </c>
      <c r="Q859" s="785">
        <v>4400</v>
      </c>
      <c r="R859" s="785"/>
      <c r="S859" s="786">
        <v>81500</v>
      </c>
      <c r="T859" s="788">
        <v>8626</v>
      </c>
      <c r="U859" s="788">
        <v>90126</v>
      </c>
    </row>
    <row r="860" spans="1:21" x14ac:dyDescent="0.25">
      <c r="A860" s="782">
        <v>99413</v>
      </c>
      <c r="B860" s="783" t="s">
        <v>3469</v>
      </c>
      <c r="C860" s="784">
        <v>3.1099999999999997E-5</v>
      </c>
      <c r="D860" s="784">
        <v>2.76E-5</v>
      </c>
      <c r="E860" s="815">
        <v>18530</v>
      </c>
      <c r="F860" s="818">
        <v>58576</v>
      </c>
      <c r="G860" s="785">
        <v>47512</v>
      </c>
      <c r="H860" s="785"/>
      <c r="I860" s="786">
        <v>2737</v>
      </c>
      <c r="J860" s="787">
        <v>11536</v>
      </c>
      <c r="K860" s="786">
        <v>6785</v>
      </c>
      <c r="L860" s="785">
        <v>5754</v>
      </c>
      <c r="M860" s="785"/>
      <c r="N860" s="786">
        <v>1345</v>
      </c>
      <c r="O860" s="786">
        <v>0</v>
      </c>
      <c r="P860" s="786">
        <v>0</v>
      </c>
      <c r="Q860" s="785">
        <v>3024</v>
      </c>
      <c r="R860" s="785"/>
      <c r="S860" s="786">
        <v>16012</v>
      </c>
      <c r="T860" s="788">
        <v>202</v>
      </c>
      <c r="U860" s="788">
        <v>16214</v>
      </c>
    </row>
    <row r="861" spans="1:21" x14ac:dyDescent="0.25">
      <c r="A861" s="782">
        <v>99421</v>
      </c>
      <c r="B861" s="783" t="s">
        <v>3470</v>
      </c>
      <c r="C861" s="784">
        <v>1.04E-5</v>
      </c>
      <c r="D861" s="784">
        <v>1.5E-5</v>
      </c>
      <c r="E861" s="815">
        <v>6211</v>
      </c>
      <c r="F861" s="818">
        <v>31835</v>
      </c>
      <c r="G861" s="785">
        <v>15888</v>
      </c>
      <c r="H861" s="785"/>
      <c r="I861" s="786">
        <v>915</v>
      </c>
      <c r="J861" s="787">
        <v>3858</v>
      </c>
      <c r="K861" s="786">
        <v>2269</v>
      </c>
      <c r="L861" s="785">
        <v>764</v>
      </c>
      <c r="M861" s="785"/>
      <c r="N861" s="786">
        <v>450</v>
      </c>
      <c r="O861" s="786">
        <v>0</v>
      </c>
      <c r="P861" s="786">
        <v>0</v>
      </c>
      <c r="Q861" s="785">
        <v>5440</v>
      </c>
      <c r="R861" s="785"/>
      <c r="S861" s="786">
        <v>5354</v>
      </c>
      <c r="T861" s="788">
        <v>-1116</v>
      </c>
      <c r="U861" s="788">
        <v>4238</v>
      </c>
    </row>
    <row r="862" spans="1:21" x14ac:dyDescent="0.25">
      <c r="A862" s="782">
        <v>99431</v>
      </c>
      <c r="B862" s="783" t="s">
        <v>3471</v>
      </c>
      <c r="C862" s="784">
        <v>2.2200000000000001E-5</v>
      </c>
      <c r="D862" s="784">
        <v>2.16E-5</v>
      </c>
      <c r="E862" s="815">
        <v>7581</v>
      </c>
      <c r="F862" s="818">
        <v>45842</v>
      </c>
      <c r="G862" s="785">
        <v>33915</v>
      </c>
      <c r="H862" s="785"/>
      <c r="I862" s="786">
        <v>1954</v>
      </c>
      <c r="J862" s="787">
        <v>8235</v>
      </c>
      <c r="K862" s="786">
        <v>4844</v>
      </c>
      <c r="L862" s="785">
        <v>1071</v>
      </c>
      <c r="M862" s="785"/>
      <c r="N862" s="786">
        <v>960</v>
      </c>
      <c r="O862" s="786">
        <v>0</v>
      </c>
      <c r="P862" s="786">
        <v>0</v>
      </c>
      <c r="Q862" s="785">
        <v>3001</v>
      </c>
      <c r="R862" s="785"/>
      <c r="S862" s="786">
        <v>11430</v>
      </c>
      <c r="T862" s="788">
        <v>119</v>
      </c>
      <c r="U862" s="788">
        <v>11549</v>
      </c>
    </row>
    <row r="863" spans="1:21" x14ac:dyDescent="0.25">
      <c r="A863" s="782">
        <v>99501</v>
      </c>
      <c r="B863" s="783" t="s">
        <v>3472</v>
      </c>
      <c r="C863" s="784">
        <v>1.6785000000000001E-3</v>
      </c>
      <c r="D863" s="784">
        <v>1.7390000000000001E-3</v>
      </c>
      <c r="E863" s="815">
        <v>794395</v>
      </c>
      <c r="F863" s="818">
        <v>3690741</v>
      </c>
      <c r="G863" s="785">
        <v>2564283</v>
      </c>
      <c r="H863" s="785"/>
      <c r="I863" s="786">
        <v>147726</v>
      </c>
      <c r="J863" s="787">
        <v>622611</v>
      </c>
      <c r="K863" s="786">
        <v>366215</v>
      </c>
      <c r="L863" s="785">
        <v>3764</v>
      </c>
      <c r="M863" s="785"/>
      <c r="N863" s="786">
        <v>72587</v>
      </c>
      <c r="O863" s="786">
        <v>0</v>
      </c>
      <c r="P863" s="786">
        <v>0</v>
      </c>
      <c r="Q863" s="785">
        <v>21505</v>
      </c>
      <c r="R863" s="785"/>
      <c r="S863" s="786">
        <v>864166</v>
      </c>
      <c r="T863" s="788">
        <v>-3415</v>
      </c>
      <c r="U863" s="788">
        <f>860750+1</f>
        <v>860751</v>
      </c>
    </row>
    <row r="864" spans="1:21" x14ac:dyDescent="0.25">
      <c r="A864" s="782">
        <v>99502</v>
      </c>
      <c r="B864" s="783" t="s">
        <v>3473</v>
      </c>
      <c r="C864" s="784">
        <v>1.373E-4</v>
      </c>
      <c r="D864" s="784">
        <v>1.3779999999999999E-4</v>
      </c>
      <c r="E864" s="815">
        <v>65831</v>
      </c>
      <c r="F864" s="818">
        <v>292458</v>
      </c>
      <c r="G864" s="785">
        <v>209756</v>
      </c>
      <c r="H864" s="785"/>
      <c r="I864" s="786">
        <v>12084</v>
      </c>
      <c r="J864" s="787">
        <v>50929</v>
      </c>
      <c r="K864" s="786">
        <v>29956</v>
      </c>
      <c r="L864" s="785">
        <v>21393</v>
      </c>
      <c r="M864" s="785"/>
      <c r="N864" s="786">
        <v>5938</v>
      </c>
      <c r="O864" s="786">
        <v>0</v>
      </c>
      <c r="P864" s="786">
        <v>0</v>
      </c>
      <c r="Q864" s="785">
        <v>71</v>
      </c>
      <c r="R864" s="785"/>
      <c r="S864" s="786">
        <v>70688</v>
      </c>
      <c r="T864" s="788">
        <v>9456</v>
      </c>
      <c r="U864" s="788">
        <v>80144</v>
      </c>
    </row>
    <row r="865" spans="1:21" x14ac:dyDescent="0.25">
      <c r="A865" s="782">
        <v>99508</v>
      </c>
      <c r="B865" s="783" t="s">
        <v>3474</v>
      </c>
      <c r="C865" s="784">
        <v>2.2099999999999998E-5</v>
      </c>
      <c r="D865" s="784">
        <v>2.1699999999999999E-5</v>
      </c>
      <c r="E865" s="815">
        <v>9857</v>
      </c>
      <c r="F865" s="818">
        <v>46055</v>
      </c>
      <c r="G865" s="785">
        <v>33763</v>
      </c>
      <c r="H865" s="785"/>
      <c r="I865" s="786">
        <v>1945</v>
      </c>
      <c r="J865" s="787">
        <v>8198</v>
      </c>
      <c r="K865" s="786">
        <v>4822</v>
      </c>
      <c r="L865" s="785">
        <v>37</v>
      </c>
      <c r="M865" s="785"/>
      <c r="N865" s="786">
        <v>956</v>
      </c>
      <c r="O865" s="786">
        <v>0</v>
      </c>
      <c r="P865" s="786">
        <v>0</v>
      </c>
      <c r="Q865" s="785">
        <v>1571</v>
      </c>
      <c r="R865" s="785"/>
      <c r="S865" s="786">
        <v>11378</v>
      </c>
      <c r="T865" s="788">
        <v>-984</v>
      </c>
      <c r="U865" s="788">
        <v>10394</v>
      </c>
    </row>
    <row r="866" spans="1:21" x14ac:dyDescent="0.25">
      <c r="A866" s="782">
        <v>99509</v>
      </c>
      <c r="B866" s="783" t="s">
        <v>3475</v>
      </c>
      <c r="C866" s="784">
        <v>2.76E-5</v>
      </c>
      <c r="D866" s="784">
        <v>2.8900000000000001E-5</v>
      </c>
      <c r="E866" s="815">
        <v>11410</v>
      </c>
      <c r="F866" s="818">
        <v>61335</v>
      </c>
      <c r="G866" s="785">
        <v>42165</v>
      </c>
      <c r="H866" s="785"/>
      <c r="I866" s="786">
        <v>2429</v>
      </c>
      <c r="J866" s="787">
        <v>10238</v>
      </c>
      <c r="K866" s="786">
        <v>6022</v>
      </c>
      <c r="L866" s="785">
        <v>0</v>
      </c>
      <c r="M866" s="785"/>
      <c r="N866" s="786">
        <v>1194</v>
      </c>
      <c r="O866" s="786">
        <v>0</v>
      </c>
      <c r="P866" s="786">
        <v>0</v>
      </c>
      <c r="Q866" s="785">
        <v>6512</v>
      </c>
      <c r="R866" s="785"/>
      <c r="S866" s="786">
        <v>14210</v>
      </c>
      <c r="T866" s="788">
        <v>-4301</v>
      </c>
      <c r="U866" s="788">
        <v>9909</v>
      </c>
    </row>
    <row r="867" spans="1:21" x14ac:dyDescent="0.25">
      <c r="A867" s="782">
        <v>99511</v>
      </c>
      <c r="B867" s="783" t="s">
        <v>3476</v>
      </c>
      <c r="C867" s="784">
        <v>1.4048999999999999E-3</v>
      </c>
      <c r="D867" s="784">
        <v>1.3638000000000001E-3</v>
      </c>
      <c r="E867" s="815">
        <v>579707</v>
      </c>
      <c r="F867" s="818">
        <v>2894440</v>
      </c>
      <c r="G867" s="785">
        <v>2146298</v>
      </c>
      <c r="H867" s="785"/>
      <c r="I867" s="786">
        <v>123647</v>
      </c>
      <c r="J867" s="787">
        <v>521124</v>
      </c>
      <c r="K867" s="786">
        <v>306521</v>
      </c>
      <c r="L867" s="785">
        <v>4500</v>
      </c>
      <c r="M867" s="785"/>
      <c r="N867" s="786">
        <v>60755</v>
      </c>
      <c r="O867" s="786">
        <v>0</v>
      </c>
      <c r="P867" s="786">
        <v>0</v>
      </c>
      <c r="Q867" s="785">
        <v>85381</v>
      </c>
      <c r="R867" s="785"/>
      <c r="S867" s="786">
        <v>723304</v>
      </c>
      <c r="T867" s="788">
        <v>-30654</v>
      </c>
      <c r="U867" s="788">
        <v>692650</v>
      </c>
    </row>
    <row r="868" spans="1:21" x14ac:dyDescent="0.25">
      <c r="A868" s="782">
        <v>99521</v>
      </c>
      <c r="B868" s="783" t="s">
        <v>3477</v>
      </c>
      <c r="C868" s="784">
        <v>4.2700000000000002E-4</v>
      </c>
      <c r="D868" s="784">
        <v>4.0180000000000001E-4</v>
      </c>
      <c r="E868" s="815">
        <v>176536</v>
      </c>
      <c r="F868" s="818">
        <v>852754</v>
      </c>
      <c r="G868" s="785">
        <v>652338</v>
      </c>
      <c r="H868" s="785"/>
      <c r="I868" s="786">
        <v>37581</v>
      </c>
      <c r="J868" s="787">
        <v>158389</v>
      </c>
      <c r="K868" s="786">
        <v>93163</v>
      </c>
      <c r="L868" s="785">
        <v>2015</v>
      </c>
      <c r="M868" s="785"/>
      <c r="N868" s="786">
        <v>18466</v>
      </c>
      <c r="O868" s="786">
        <v>0</v>
      </c>
      <c r="P868" s="786">
        <v>0</v>
      </c>
      <c r="Q868" s="785">
        <v>15563</v>
      </c>
      <c r="R868" s="785"/>
      <c r="S868" s="786">
        <v>219838</v>
      </c>
      <c r="T868" s="788">
        <v>-5081</v>
      </c>
      <c r="U868" s="788">
        <v>214757</v>
      </c>
    </row>
    <row r="869" spans="1:21" x14ac:dyDescent="0.25">
      <c r="A869" s="782">
        <v>99527</v>
      </c>
      <c r="B869" s="783" t="s">
        <v>3478</v>
      </c>
      <c r="C869" s="784">
        <v>1.19E-5</v>
      </c>
      <c r="D869" s="784">
        <v>1.2099999999999999E-5</v>
      </c>
      <c r="E869" s="815">
        <v>5941</v>
      </c>
      <c r="F869" s="818">
        <v>25680</v>
      </c>
      <c r="G869" s="785">
        <v>18180</v>
      </c>
      <c r="H869" s="785"/>
      <c r="I869" s="786">
        <v>1047</v>
      </c>
      <c r="J869" s="787">
        <v>4414</v>
      </c>
      <c r="K869" s="786">
        <v>2596</v>
      </c>
      <c r="L869" s="785">
        <v>1124</v>
      </c>
      <c r="M869" s="785"/>
      <c r="N869" s="786">
        <v>515</v>
      </c>
      <c r="O869" s="786">
        <v>0</v>
      </c>
      <c r="P869" s="786">
        <v>0</v>
      </c>
      <c r="Q869" s="785">
        <v>0</v>
      </c>
      <c r="R869" s="785"/>
      <c r="S869" s="786">
        <v>6127</v>
      </c>
      <c r="T869" s="788">
        <v>591</v>
      </c>
      <c r="U869" s="788">
        <v>6718</v>
      </c>
    </row>
    <row r="870" spans="1:21" x14ac:dyDescent="0.25">
      <c r="A870" s="782">
        <v>99531</v>
      </c>
      <c r="B870" s="783" t="s">
        <v>3479</v>
      </c>
      <c r="C870" s="784">
        <v>9.3499999999999996E-5</v>
      </c>
      <c r="D870" s="784">
        <v>8.7600000000000002E-5</v>
      </c>
      <c r="E870" s="815">
        <v>72390</v>
      </c>
      <c r="F870" s="818">
        <v>185917</v>
      </c>
      <c r="G870" s="785">
        <v>142842</v>
      </c>
      <c r="H870" s="785"/>
      <c r="I870" s="786">
        <v>8229</v>
      </c>
      <c r="J870" s="787">
        <v>34683</v>
      </c>
      <c r="K870" s="786">
        <v>20400</v>
      </c>
      <c r="L870" s="785">
        <v>55453</v>
      </c>
      <c r="M870" s="785"/>
      <c r="N870" s="786">
        <v>4043</v>
      </c>
      <c r="O870" s="786">
        <v>0</v>
      </c>
      <c r="P870" s="786">
        <v>0</v>
      </c>
      <c r="Q870" s="785">
        <v>0</v>
      </c>
      <c r="R870" s="785"/>
      <c r="S870" s="786">
        <v>48138</v>
      </c>
      <c r="T870" s="788">
        <v>18721</v>
      </c>
      <c r="U870" s="788">
        <v>66859</v>
      </c>
    </row>
    <row r="871" spans="1:21" x14ac:dyDescent="0.25">
      <c r="A871" s="782">
        <v>99601</v>
      </c>
      <c r="B871" s="783" t="s">
        <v>3480</v>
      </c>
      <c r="C871" s="784">
        <v>5.7812000000000002E-3</v>
      </c>
      <c r="D871" s="784">
        <v>5.2824999999999999E-3</v>
      </c>
      <c r="E871" s="815">
        <v>2548954</v>
      </c>
      <c r="F871" s="818">
        <v>11211235</v>
      </c>
      <c r="G871" s="785">
        <v>8832072</v>
      </c>
      <c r="H871" s="785"/>
      <c r="I871" s="786">
        <v>508809</v>
      </c>
      <c r="J871" s="787">
        <v>2144438</v>
      </c>
      <c r="K871" s="786">
        <v>1261342</v>
      </c>
      <c r="L871" s="785">
        <v>289372</v>
      </c>
      <c r="M871" s="785"/>
      <c r="N871" s="786">
        <v>250008</v>
      </c>
      <c r="O871" s="786">
        <v>0</v>
      </c>
      <c r="P871" s="786">
        <v>0</v>
      </c>
      <c r="Q871" s="785">
        <v>73071</v>
      </c>
      <c r="R871" s="785"/>
      <c r="S871" s="786">
        <v>2976416</v>
      </c>
      <c r="T871" s="788">
        <v>55175</v>
      </c>
      <c r="U871" s="788">
        <f>3031592-1</f>
        <v>3031591</v>
      </c>
    </row>
    <row r="872" spans="1:21" x14ac:dyDescent="0.25">
      <c r="A872" s="782">
        <v>99602</v>
      </c>
      <c r="B872" s="783" t="s">
        <v>3481</v>
      </c>
      <c r="C872" s="784">
        <v>6.19E-5</v>
      </c>
      <c r="D872" s="784">
        <v>5.1700000000000003E-5</v>
      </c>
      <c r="E872" s="815">
        <v>28151</v>
      </c>
      <c r="F872" s="818">
        <v>109725</v>
      </c>
      <c r="G872" s="785">
        <v>94566</v>
      </c>
      <c r="H872" s="785"/>
      <c r="I872" s="786">
        <v>5448</v>
      </c>
      <c r="J872" s="787">
        <v>22961</v>
      </c>
      <c r="K872" s="786">
        <v>13505</v>
      </c>
      <c r="L872" s="785">
        <v>10306</v>
      </c>
      <c r="M872" s="785"/>
      <c r="N872" s="786">
        <v>2677</v>
      </c>
      <c r="O872" s="786">
        <v>0</v>
      </c>
      <c r="P872" s="786">
        <v>0</v>
      </c>
      <c r="Q872" s="785">
        <v>2067</v>
      </c>
      <c r="R872" s="785"/>
      <c r="S872" s="786">
        <v>31869</v>
      </c>
      <c r="T872" s="788">
        <v>1298</v>
      </c>
      <c r="U872" s="788">
        <v>33167</v>
      </c>
    </row>
    <row r="873" spans="1:21" x14ac:dyDescent="0.25">
      <c r="A873" s="782">
        <v>99603</v>
      </c>
      <c r="B873" s="783" t="s">
        <v>3482</v>
      </c>
      <c r="C873" s="784">
        <v>1.615E-4</v>
      </c>
      <c r="D873" s="784">
        <v>1.4219999999999999E-4</v>
      </c>
      <c r="E873" s="815">
        <v>87237</v>
      </c>
      <c r="F873" s="818">
        <v>301796</v>
      </c>
      <c r="G873" s="785">
        <v>246727</v>
      </c>
      <c r="H873" s="785"/>
      <c r="I873" s="786">
        <v>14214</v>
      </c>
      <c r="J873" s="787">
        <v>59905</v>
      </c>
      <c r="K873" s="786">
        <v>35236</v>
      </c>
      <c r="L873" s="785">
        <v>95435</v>
      </c>
      <c r="M873" s="785"/>
      <c r="N873" s="786">
        <v>6984</v>
      </c>
      <c r="O873" s="786">
        <v>0</v>
      </c>
      <c r="P873" s="786">
        <v>0</v>
      </c>
      <c r="Q873" s="785">
        <v>0</v>
      </c>
      <c r="R873" s="785"/>
      <c r="S873" s="786">
        <v>83147</v>
      </c>
      <c r="T873" s="788">
        <v>37380</v>
      </c>
      <c r="U873" s="788">
        <v>120527</v>
      </c>
    </row>
    <row r="874" spans="1:21" x14ac:dyDescent="0.25">
      <c r="A874" s="782">
        <v>99604</v>
      </c>
      <c r="B874" s="783" t="s">
        <v>3483</v>
      </c>
      <c r="C874" s="784">
        <v>1.009E-4</v>
      </c>
      <c r="D874" s="784">
        <v>9.6899999999999997E-5</v>
      </c>
      <c r="E874" s="815">
        <v>52378</v>
      </c>
      <c r="F874" s="818">
        <v>205654</v>
      </c>
      <c r="G874" s="785">
        <v>154147</v>
      </c>
      <c r="H874" s="785"/>
      <c r="I874" s="786">
        <v>8880</v>
      </c>
      <c r="J874" s="787">
        <v>37427</v>
      </c>
      <c r="K874" s="786">
        <v>22014</v>
      </c>
      <c r="L874" s="785">
        <v>20530</v>
      </c>
      <c r="M874" s="785"/>
      <c r="N874" s="786">
        <v>4363</v>
      </c>
      <c r="O874" s="786">
        <v>0</v>
      </c>
      <c r="P874" s="786">
        <v>0</v>
      </c>
      <c r="Q874" s="785">
        <v>0</v>
      </c>
      <c r="R874" s="785"/>
      <c r="S874" s="786">
        <v>51948</v>
      </c>
      <c r="T874" s="788">
        <v>9479</v>
      </c>
      <c r="U874" s="788">
        <v>61427</v>
      </c>
    </row>
    <row r="875" spans="1:21" x14ac:dyDescent="0.25">
      <c r="A875" s="782">
        <v>99609</v>
      </c>
      <c r="B875" s="783" t="s">
        <v>3484</v>
      </c>
      <c r="C875" s="784">
        <v>1.52E-5</v>
      </c>
      <c r="D875" s="784">
        <v>2.0999999999999999E-5</v>
      </c>
      <c r="E875" s="815">
        <v>9935</v>
      </c>
      <c r="F875" s="818">
        <v>44569</v>
      </c>
      <c r="G875" s="785">
        <v>23221</v>
      </c>
      <c r="H875" s="785"/>
      <c r="I875" s="786">
        <v>1338</v>
      </c>
      <c r="J875" s="787">
        <v>5638</v>
      </c>
      <c r="K875" s="786">
        <v>3316</v>
      </c>
      <c r="L875" s="785">
        <v>3555</v>
      </c>
      <c r="M875" s="785"/>
      <c r="N875" s="786">
        <v>657</v>
      </c>
      <c r="O875" s="786">
        <v>0</v>
      </c>
      <c r="P875" s="786">
        <v>0</v>
      </c>
      <c r="Q875" s="785">
        <v>1523</v>
      </c>
      <c r="R875" s="785"/>
      <c r="S875" s="786">
        <v>7826</v>
      </c>
      <c r="T875" s="788">
        <v>1693</v>
      </c>
      <c r="U875" s="788">
        <v>9519</v>
      </c>
    </row>
    <row r="876" spans="1:21" x14ac:dyDescent="0.25">
      <c r="A876" s="782">
        <v>99610</v>
      </c>
      <c r="B876" s="783" t="s">
        <v>3485</v>
      </c>
      <c r="C876" s="784">
        <v>1.9440000000000001E-4</v>
      </c>
      <c r="D876" s="784">
        <v>1.9440000000000001E-4</v>
      </c>
      <c r="E876" s="815">
        <v>85100</v>
      </c>
      <c r="F876" s="818">
        <v>412582</v>
      </c>
      <c r="G876" s="785">
        <v>296989</v>
      </c>
      <c r="H876" s="785"/>
      <c r="I876" s="786">
        <v>17109</v>
      </c>
      <c r="J876" s="787">
        <v>72109</v>
      </c>
      <c r="K876" s="786">
        <v>42414</v>
      </c>
      <c r="L876" s="785">
        <v>2712</v>
      </c>
      <c r="M876" s="785"/>
      <c r="N876" s="786">
        <v>8407</v>
      </c>
      <c r="O876" s="786">
        <v>0</v>
      </c>
      <c r="P876" s="786">
        <v>0</v>
      </c>
      <c r="Q876" s="785">
        <v>4164</v>
      </c>
      <c r="R876" s="785"/>
      <c r="S876" s="786">
        <v>100086</v>
      </c>
      <c r="T876" s="788">
        <v>576</v>
      </c>
      <c r="U876" s="788">
        <v>100662</v>
      </c>
    </row>
    <row r="877" spans="1:21" x14ac:dyDescent="0.25">
      <c r="A877" s="782">
        <v>99611</v>
      </c>
      <c r="B877" s="783" t="s">
        <v>3486</v>
      </c>
      <c r="C877" s="784">
        <v>3.1959000000000002E-3</v>
      </c>
      <c r="D877" s="784">
        <v>3.1495999999999998E-3</v>
      </c>
      <c r="E877" s="815">
        <v>1474037</v>
      </c>
      <c r="F877" s="818">
        <v>6684506</v>
      </c>
      <c r="G877" s="785">
        <v>4882450</v>
      </c>
      <c r="H877" s="785"/>
      <c r="I877" s="786">
        <v>281274</v>
      </c>
      <c r="J877" s="787">
        <v>1185465</v>
      </c>
      <c r="K877" s="786">
        <v>697281</v>
      </c>
      <c r="L877" s="785">
        <v>36523</v>
      </c>
      <c r="M877" s="785"/>
      <c r="N877" s="786">
        <v>138207</v>
      </c>
      <c r="O877" s="786">
        <v>0</v>
      </c>
      <c r="P877" s="786">
        <v>0</v>
      </c>
      <c r="Q877" s="785">
        <v>197702</v>
      </c>
      <c r="R877" s="785"/>
      <c r="S877" s="786">
        <v>1645390</v>
      </c>
      <c r="T877" s="788">
        <v>-88518</v>
      </c>
      <c r="U877" s="788">
        <v>1556872</v>
      </c>
    </row>
    <row r="878" spans="1:21" x14ac:dyDescent="0.25">
      <c r="A878" s="782">
        <v>99613</v>
      </c>
      <c r="B878" s="783" t="s">
        <v>3487</v>
      </c>
      <c r="C878" s="784">
        <v>3.2909999999999998E-4</v>
      </c>
      <c r="D878" s="784">
        <v>3.369E-4</v>
      </c>
      <c r="E878" s="815">
        <v>310915</v>
      </c>
      <c r="F878" s="818">
        <v>715015</v>
      </c>
      <c r="G878" s="785">
        <v>502774</v>
      </c>
      <c r="H878" s="785"/>
      <c r="I878" s="786">
        <v>28964</v>
      </c>
      <c r="J878" s="787">
        <v>122074</v>
      </c>
      <c r="K878" s="786">
        <v>71803</v>
      </c>
      <c r="L878" s="785">
        <v>283917</v>
      </c>
      <c r="M878" s="785"/>
      <c r="N878" s="786">
        <v>14232</v>
      </c>
      <c r="O878" s="786">
        <v>0</v>
      </c>
      <c r="P878" s="786">
        <v>0</v>
      </c>
      <c r="Q878" s="785">
        <v>0</v>
      </c>
      <c r="R878" s="785"/>
      <c r="S878" s="786">
        <v>169435</v>
      </c>
      <c r="T878" s="788">
        <v>96572</v>
      </c>
      <c r="U878" s="788">
        <v>266007</v>
      </c>
    </row>
    <row r="879" spans="1:21" x14ac:dyDescent="0.25">
      <c r="A879" s="782">
        <v>99621</v>
      </c>
      <c r="B879" s="783" t="s">
        <v>3488</v>
      </c>
      <c r="C879" s="784">
        <v>3.7060000000000001E-4</v>
      </c>
      <c r="D879" s="784">
        <v>3.2850000000000002E-4</v>
      </c>
      <c r="E879" s="815">
        <v>166448</v>
      </c>
      <c r="F879" s="818">
        <v>697187</v>
      </c>
      <c r="G879" s="785">
        <v>566174</v>
      </c>
      <c r="H879" s="785"/>
      <c r="I879" s="786">
        <v>32617</v>
      </c>
      <c r="J879" s="787">
        <v>137468</v>
      </c>
      <c r="K879" s="786">
        <v>80858</v>
      </c>
      <c r="L879" s="785">
        <v>42182</v>
      </c>
      <c r="M879" s="785"/>
      <c r="N879" s="786">
        <v>16027</v>
      </c>
      <c r="O879" s="786">
        <v>0</v>
      </c>
      <c r="P879" s="786">
        <v>0</v>
      </c>
      <c r="Q879" s="785">
        <v>4670</v>
      </c>
      <c r="R879" s="785"/>
      <c r="S879" s="786">
        <v>190801</v>
      </c>
      <c r="T879" s="788">
        <v>12829</v>
      </c>
      <c r="U879" s="788">
        <v>203630</v>
      </c>
    </row>
    <row r="880" spans="1:21" x14ac:dyDescent="0.25">
      <c r="A880" s="782">
        <v>99623</v>
      </c>
      <c r="B880" s="783" t="s">
        <v>3489</v>
      </c>
      <c r="C880" s="784">
        <v>2.6400000000000001E-5</v>
      </c>
      <c r="D880" s="784">
        <v>2.9200000000000002E-5</v>
      </c>
      <c r="E880" s="815">
        <v>11103</v>
      </c>
      <c r="F880" s="818">
        <v>61972</v>
      </c>
      <c r="G880" s="785">
        <v>40332</v>
      </c>
      <c r="H880" s="785"/>
      <c r="I880" s="786">
        <v>2323</v>
      </c>
      <c r="J880" s="787">
        <v>9793</v>
      </c>
      <c r="K880" s="786">
        <v>5760</v>
      </c>
      <c r="L880" s="785">
        <v>2450</v>
      </c>
      <c r="M880" s="785"/>
      <c r="N880" s="786">
        <v>1142</v>
      </c>
      <c r="O880" s="786">
        <v>0</v>
      </c>
      <c r="P880" s="786">
        <v>0</v>
      </c>
      <c r="Q880" s="785">
        <v>2848</v>
      </c>
      <c r="R880" s="785"/>
      <c r="S880" s="786">
        <v>13592</v>
      </c>
      <c r="T880" s="788">
        <v>317</v>
      </c>
      <c r="U880" s="788">
        <f>13908+1</f>
        <v>13909</v>
      </c>
    </row>
    <row r="881" spans="1:21" x14ac:dyDescent="0.25">
      <c r="A881" s="782">
        <v>99631</v>
      </c>
      <c r="B881" s="783" t="s">
        <v>3490</v>
      </c>
      <c r="C881" s="784">
        <v>1.102E-4</v>
      </c>
      <c r="D881" s="784">
        <v>1.0340000000000001E-4</v>
      </c>
      <c r="E881" s="815">
        <v>46231</v>
      </c>
      <c r="F881" s="818">
        <v>219449</v>
      </c>
      <c r="G881" s="785">
        <v>168355</v>
      </c>
      <c r="H881" s="785"/>
      <c r="I881" s="786">
        <v>9699</v>
      </c>
      <c r="J881" s="787">
        <v>40877</v>
      </c>
      <c r="K881" s="786">
        <v>24043</v>
      </c>
      <c r="L881" s="785">
        <v>1071</v>
      </c>
      <c r="M881" s="785"/>
      <c r="N881" s="786">
        <v>4766</v>
      </c>
      <c r="O881" s="786">
        <v>0</v>
      </c>
      <c r="P881" s="786">
        <v>0</v>
      </c>
      <c r="Q881" s="785">
        <v>5159</v>
      </c>
      <c r="R881" s="785"/>
      <c r="S881" s="786">
        <v>56736</v>
      </c>
      <c r="T881" s="788">
        <v>-3954</v>
      </c>
      <c r="U881" s="788">
        <f>52781+1</f>
        <v>52782</v>
      </c>
    </row>
    <row r="882" spans="1:21" x14ac:dyDescent="0.25">
      <c r="A882" s="782">
        <v>99651</v>
      </c>
      <c r="B882" s="783" t="s">
        <v>3491</v>
      </c>
      <c r="C882" s="784">
        <v>6.7199999999999994E-5</v>
      </c>
      <c r="D882" s="784">
        <v>6.7100000000000005E-5</v>
      </c>
      <c r="E882" s="815">
        <v>30231</v>
      </c>
      <c r="F882" s="818">
        <v>142409</v>
      </c>
      <c r="G882" s="785">
        <v>102663</v>
      </c>
      <c r="H882" s="785"/>
      <c r="I882" s="786">
        <v>5914</v>
      </c>
      <c r="J882" s="787">
        <v>24927</v>
      </c>
      <c r="K882" s="786">
        <v>14662</v>
      </c>
      <c r="L882" s="785">
        <v>5944</v>
      </c>
      <c r="M882" s="785"/>
      <c r="N882" s="786">
        <v>2906</v>
      </c>
      <c r="O882" s="786">
        <v>0</v>
      </c>
      <c r="P882" s="786">
        <v>0</v>
      </c>
      <c r="Q882" s="785">
        <v>1841</v>
      </c>
      <c r="R882" s="785"/>
      <c r="S882" s="786">
        <v>34598</v>
      </c>
      <c r="T882" s="788">
        <v>1312</v>
      </c>
      <c r="U882" s="788">
        <v>35910</v>
      </c>
    </row>
    <row r="883" spans="1:21" x14ac:dyDescent="0.25">
      <c r="A883" s="782">
        <v>99661</v>
      </c>
      <c r="B883" s="783" t="s">
        <v>3492</v>
      </c>
      <c r="C883" s="784">
        <v>3.26E-5</v>
      </c>
      <c r="D883" s="784">
        <v>3.5500000000000002E-5</v>
      </c>
      <c r="E883" s="815">
        <v>34513</v>
      </c>
      <c r="F883" s="818">
        <v>75343</v>
      </c>
      <c r="G883" s="785">
        <v>49804</v>
      </c>
      <c r="H883" s="785"/>
      <c r="I883" s="786">
        <v>2869</v>
      </c>
      <c r="J883" s="787">
        <v>12092</v>
      </c>
      <c r="K883" s="786">
        <v>7113</v>
      </c>
      <c r="L883" s="785">
        <v>34726</v>
      </c>
      <c r="M883" s="785"/>
      <c r="N883" s="786">
        <v>1410</v>
      </c>
      <c r="O883" s="786">
        <v>0</v>
      </c>
      <c r="P883" s="786">
        <v>0</v>
      </c>
      <c r="Q883" s="785">
        <v>0</v>
      </c>
      <c r="R883" s="785"/>
      <c r="S883" s="786">
        <v>16784</v>
      </c>
      <c r="T883" s="788">
        <v>12838</v>
      </c>
      <c r="U883" s="788">
        <v>29622</v>
      </c>
    </row>
    <row r="884" spans="1:21" x14ac:dyDescent="0.25">
      <c r="A884" s="782">
        <v>99701</v>
      </c>
      <c r="B884" s="783" t="s">
        <v>3493</v>
      </c>
      <c r="C884" s="784">
        <v>2.9190000000000002E-3</v>
      </c>
      <c r="D884" s="784">
        <v>2.8774E-3</v>
      </c>
      <c r="E884" s="815">
        <v>1295371</v>
      </c>
      <c r="F884" s="818">
        <v>6106807</v>
      </c>
      <c r="G884" s="785">
        <v>4459423</v>
      </c>
      <c r="H884" s="785"/>
      <c r="I884" s="786">
        <v>256904</v>
      </c>
      <c r="J884" s="787">
        <v>1082754</v>
      </c>
      <c r="K884" s="786">
        <v>636867</v>
      </c>
      <c r="L884" s="785">
        <v>21162</v>
      </c>
      <c r="M884" s="785"/>
      <c r="N884" s="786">
        <v>126232</v>
      </c>
      <c r="O884" s="786">
        <v>0</v>
      </c>
      <c r="P884" s="786">
        <v>0</v>
      </c>
      <c r="Q884" s="785">
        <v>17651</v>
      </c>
      <c r="R884" s="785"/>
      <c r="S884" s="786">
        <v>1502830</v>
      </c>
      <c r="T884" s="788">
        <v>-1976</v>
      </c>
      <c r="U884" s="788">
        <f>1500853+1</f>
        <v>1500854</v>
      </c>
    </row>
    <row r="885" spans="1:21" x14ac:dyDescent="0.25">
      <c r="A885" s="782">
        <v>99705</v>
      </c>
      <c r="B885" s="783" t="s">
        <v>3494</v>
      </c>
      <c r="C885" s="784">
        <v>1.7229999999999999E-4</v>
      </c>
      <c r="D885" s="784">
        <v>1.7259999999999999E-4</v>
      </c>
      <c r="E885" s="815">
        <v>85451</v>
      </c>
      <c r="F885" s="818">
        <v>366315</v>
      </c>
      <c r="G885" s="785">
        <v>263227</v>
      </c>
      <c r="H885" s="785"/>
      <c r="I885" s="786">
        <v>15164</v>
      </c>
      <c r="J885" s="787">
        <v>63911</v>
      </c>
      <c r="K885" s="786">
        <v>37592</v>
      </c>
      <c r="L885" s="785">
        <v>10978</v>
      </c>
      <c r="M885" s="785"/>
      <c r="N885" s="786">
        <v>7451</v>
      </c>
      <c r="O885" s="786">
        <v>0</v>
      </c>
      <c r="P885" s="786">
        <v>0</v>
      </c>
      <c r="Q885" s="785">
        <v>544</v>
      </c>
      <c r="R885" s="785"/>
      <c r="S885" s="786">
        <v>88708</v>
      </c>
      <c r="T885" s="788">
        <v>5913</v>
      </c>
      <c r="U885" s="788">
        <v>94621</v>
      </c>
    </row>
    <row r="886" spans="1:21" x14ac:dyDescent="0.25">
      <c r="A886" s="782">
        <v>99711</v>
      </c>
      <c r="B886" s="783" t="s">
        <v>3495</v>
      </c>
      <c r="C886" s="784">
        <v>4.5459999999999999E-4</v>
      </c>
      <c r="D886" s="784">
        <v>4.3540000000000001E-4</v>
      </c>
      <c r="E886" s="815">
        <v>209494</v>
      </c>
      <c r="F886" s="818">
        <v>924065</v>
      </c>
      <c r="G886" s="785">
        <v>694503</v>
      </c>
      <c r="H886" s="785"/>
      <c r="I886" s="786">
        <v>40010</v>
      </c>
      <c r="J886" s="787">
        <v>168626</v>
      </c>
      <c r="K886" s="786">
        <v>99185</v>
      </c>
      <c r="L886" s="785">
        <v>14449</v>
      </c>
      <c r="M886" s="785"/>
      <c r="N886" s="786">
        <v>19659</v>
      </c>
      <c r="O886" s="786">
        <v>0</v>
      </c>
      <c r="P886" s="786">
        <v>0</v>
      </c>
      <c r="Q886" s="785">
        <v>10625</v>
      </c>
      <c r="R886" s="785"/>
      <c r="S886" s="786">
        <v>234048</v>
      </c>
      <c r="T886" s="788">
        <v>-1042</v>
      </c>
      <c r="U886" s="788">
        <v>233006</v>
      </c>
    </row>
    <row r="887" spans="1:21" x14ac:dyDescent="0.25">
      <c r="A887" s="782">
        <v>99717</v>
      </c>
      <c r="B887" s="783" t="s">
        <v>3496</v>
      </c>
      <c r="C887" s="784">
        <v>2.19E-5</v>
      </c>
      <c r="D887" s="784">
        <v>2.3200000000000001E-5</v>
      </c>
      <c r="E887" s="815">
        <v>8060</v>
      </c>
      <c r="F887" s="818">
        <v>49238</v>
      </c>
      <c r="G887" s="785">
        <v>33457</v>
      </c>
      <c r="H887" s="785"/>
      <c r="I887" s="786">
        <v>1927</v>
      </c>
      <c r="J887" s="787">
        <v>8123</v>
      </c>
      <c r="K887" s="786">
        <v>4778</v>
      </c>
      <c r="L887" s="785">
        <v>0</v>
      </c>
      <c r="M887" s="785"/>
      <c r="N887" s="786">
        <v>947</v>
      </c>
      <c r="O887" s="786">
        <v>0</v>
      </c>
      <c r="P887" s="786">
        <v>0</v>
      </c>
      <c r="Q887" s="785">
        <v>3936</v>
      </c>
      <c r="R887" s="785"/>
      <c r="S887" s="786">
        <v>11275</v>
      </c>
      <c r="T887" s="788">
        <v>-1270</v>
      </c>
      <c r="U887" s="788">
        <v>10005</v>
      </c>
    </row>
    <row r="888" spans="1:21" x14ac:dyDescent="0.25">
      <c r="A888" s="782">
        <v>99721</v>
      </c>
      <c r="B888" s="783" t="s">
        <v>3497</v>
      </c>
      <c r="C888" s="784">
        <v>5.7779999999999995E-4</v>
      </c>
      <c r="D888" s="784">
        <v>6.2449999999999995E-4</v>
      </c>
      <c r="E888" s="815">
        <v>252725</v>
      </c>
      <c r="F888" s="818">
        <v>1325398</v>
      </c>
      <c r="G888" s="785">
        <v>882718</v>
      </c>
      <c r="H888" s="785"/>
      <c r="I888" s="786">
        <v>50853</v>
      </c>
      <c r="J888" s="787">
        <v>214325</v>
      </c>
      <c r="K888" s="786">
        <v>126064</v>
      </c>
      <c r="L888" s="785">
        <v>0</v>
      </c>
      <c r="M888" s="785"/>
      <c r="N888" s="786">
        <v>24987</v>
      </c>
      <c r="O888" s="786">
        <v>0</v>
      </c>
      <c r="P888" s="786">
        <v>0</v>
      </c>
      <c r="Q888" s="785">
        <v>48789</v>
      </c>
      <c r="R888" s="785"/>
      <c r="S888" s="786">
        <v>297477</v>
      </c>
      <c r="T888" s="788">
        <v>-14223</v>
      </c>
      <c r="U888" s="788">
        <v>283254</v>
      </c>
    </row>
    <row r="889" spans="1:21" x14ac:dyDescent="0.25">
      <c r="A889" s="782">
        <v>99727</v>
      </c>
      <c r="B889" s="783" t="s">
        <v>3498</v>
      </c>
      <c r="C889" s="784">
        <v>2.3900000000000002E-5</v>
      </c>
      <c r="D889" s="784">
        <v>2.5299999999999998E-5</v>
      </c>
      <c r="E889" s="815">
        <v>46315</v>
      </c>
      <c r="F889" s="818">
        <v>53695</v>
      </c>
      <c r="G889" s="785">
        <v>36513</v>
      </c>
      <c r="H889" s="785"/>
      <c r="I889" s="786">
        <v>2103</v>
      </c>
      <c r="J889" s="787">
        <v>8865</v>
      </c>
      <c r="K889" s="786">
        <v>5215</v>
      </c>
      <c r="L889" s="785">
        <v>59484</v>
      </c>
      <c r="M889" s="785"/>
      <c r="N889" s="786">
        <v>1034</v>
      </c>
      <c r="O889" s="786">
        <v>0</v>
      </c>
      <c r="P889" s="786">
        <v>0</v>
      </c>
      <c r="Q889" s="785">
        <v>0</v>
      </c>
      <c r="R889" s="785"/>
      <c r="S889" s="786">
        <v>12305</v>
      </c>
      <c r="T889" s="788">
        <v>20983</v>
      </c>
      <c r="U889" s="788">
        <v>33288</v>
      </c>
    </row>
    <row r="890" spans="1:21" x14ac:dyDescent="0.25">
      <c r="A890" s="782">
        <v>99801</v>
      </c>
      <c r="B890" s="783" t="s">
        <v>3499</v>
      </c>
      <c r="C890" s="784">
        <v>5.1866000000000004E-3</v>
      </c>
      <c r="D890" s="784">
        <v>5.1954999999999996E-3</v>
      </c>
      <c r="E890" s="815">
        <v>2259452</v>
      </c>
      <c r="F890" s="818">
        <v>11026591</v>
      </c>
      <c r="G890" s="785">
        <v>7923688</v>
      </c>
      <c r="H890" s="785"/>
      <c r="I890" s="786">
        <v>456478</v>
      </c>
      <c r="J890" s="787">
        <v>1923881</v>
      </c>
      <c r="K890" s="786">
        <v>1131612</v>
      </c>
      <c r="L890" s="785">
        <v>17042</v>
      </c>
      <c r="M890" s="785"/>
      <c r="N890" s="786">
        <v>224295</v>
      </c>
      <c r="O890" s="786">
        <v>0</v>
      </c>
      <c r="P890" s="786">
        <v>0</v>
      </c>
      <c r="Q890" s="785">
        <v>150042</v>
      </c>
      <c r="R890" s="785"/>
      <c r="S890" s="786">
        <v>2670290</v>
      </c>
      <c r="T890" s="788">
        <v>-29556</v>
      </c>
      <c r="U890" s="788">
        <f>2640733+1</f>
        <v>2640734</v>
      </c>
    </row>
    <row r="891" spans="1:21" x14ac:dyDescent="0.25">
      <c r="A891" s="782">
        <v>99802</v>
      </c>
      <c r="B891" s="783" t="s">
        <v>3500</v>
      </c>
      <c r="C891" s="784">
        <v>6.0000000000000002E-6</v>
      </c>
      <c r="D891" s="784">
        <v>6.4999999999999996E-6</v>
      </c>
      <c r="E891" s="815">
        <v>4581</v>
      </c>
      <c r="F891" s="818">
        <v>13795</v>
      </c>
      <c r="G891" s="785">
        <v>9166</v>
      </c>
      <c r="H891" s="785"/>
      <c r="I891" s="786">
        <v>528</v>
      </c>
      <c r="J891" s="787">
        <v>2226</v>
      </c>
      <c r="K891" s="786">
        <v>1309</v>
      </c>
      <c r="L891" s="785">
        <v>1378</v>
      </c>
      <c r="M891" s="785"/>
      <c r="N891" s="786">
        <v>259</v>
      </c>
      <c r="O891" s="786">
        <v>0</v>
      </c>
      <c r="P891" s="786">
        <v>0</v>
      </c>
      <c r="Q891" s="785">
        <v>53</v>
      </c>
      <c r="R891" s="785"/>
      <c r="S891" s="786">
        <v>3089</v>
      </c>
      <c r="T891" s="788">
        <v>334</v>
      </c>
      <c r="U891" s="788">
        <v>3423</v>
      </c>
    </row>
    <row r="892" spans="1:21" x14ac:dyDescent="0.25">
      <c r="A892" s="782">
        <v>99804</v>
      </c>
      <c r="B892" s="783" t="s">
        <v>3501</v>
      </c>
      <c r="C892" s="784">
        <v>9.0500000000000004E-5</v>
      </c>
      <c r="D892" s="784">
        <v>8.6600000000000004E-5</v>
      </c>
      <c r="E892" s="815">
        <v>46756</v>
      </c>
      <c r="F892" s="818">
        <v>183794</v>
      </c>
      <c r="G892" s="785">
        <v>138259</v>
      </c>
      <c r="H892" s="785"/>
      <c r="I892" s="786">
        <v>7965</v>
      </c>
      <c r="J892" s="787">
        <v>33569</v>
      </c>
      <c r="K892" s="786">
        <v>19745</v>
      </c>
      <c r="L892" s="785">
        <v>13689</v>
      </c>
      <c r="M892" s="785"/>
      <c r="N892" s="786">
        <v>3914</v>
      </c>
      <c r="O892" s="786">
        <v>0</v>
      </c>
      <c r="P892" s="786">
        <v>0</v>
      </c>
      <c r="Q892" s="785">
        <v>0</v>
      </c>
      <c r="R892" s="785"/>
      <c r="S892" s="786">
        <v>46593</v>
      </c>
      <c r="T892" s="788">
        <v>4917</v>
      </c>
      <c r="U892" s="788">
        <v>51510</v>
      </c>
    </row>
    <row r="893" spans="1:21" x14ac:dyDescent="0.25">
      <c r="A893" s="782">
        <v>99811</v>
      </c>
      <c r="B893" s="783" t="s">
        <v>3502</v>
      </c>
      <c r="C893" s="784">
        <v>6.7026999999999998E-3</v>
      </c>
      <c r="D893" s="784">
        <v>6.8415000000000004E-3</v>
      </c>
      <c r="E893" s="815">
        <v>2884356</v>
      </c>
      <c r="F893" s="818">
        <v>14519955</v>
      </c>
      <c r="G893" s="785">
        <v>10239869</v>
      </c>
      <c r="H893" s="785"/>
      <c r="I893" s="786">
        <v>589911</v>
      </c>
      <c r="J893" s="787">
        <v>2486253</v>
      </c>
      <c r="K893" s="786">
        <v>1462395</v>
      </c>
      <c r="L893" s="785">
        <v>0</v>
      </c>
      <c r="M893" s="785"/>
      <c r="N893" s="786">
        <v>289858</v>
      </c>
      <c r="O893" s="786">
        <v>0</v>
      </c>
      <c r="P893" s="786">
        <v>0</v>
      </c>
      <c r="Q893" s="785">
        <v>598680</v>
      </c>
      <c r="R893" s="785"/>
      <c r="S893" s="786">
        <v>3450845</v>
      </c>
      <c r="T893" s="788">
        <v>-236953</v>
      </c>
      <c r="U893" s="788">
        <f>3213891+1</f>
        <v>3213892</v>
      </c>
    </row>
    <row r="894" spans="1:21" x14ac:dyDescent="0.25">
      <c r="A894" s="782">
        <v>99812</v>
      </c>
      <c r="B894" s="783" t="s">
        <v>3503</v>
      </c>
      <c r="C894" s="784">
        <v>2.2099999999999998E-5</v>
      </c>
      <c r="D894" s="784">
        <v>2.5599999999999999E-5</v>
      </c>
      <c r="E894" s="815">
        <v>20069</v>
      </c>
      <c r="F894" s="818">
        <v>54332</v>
      </c>
      <c r="G894" s="785">
        <v>33763</v>
      </c>
      <c r="H894" s="785"/>
      <c r="I894" s="786">
        <v>1945</v>
      </c>
      <c r="J894" s="787">
        <v>8198</v>
      </c>
      <c r="K894" s="786">
        <v>4822</v>
      </c>
      <c r="L894" s="785">
        <v>11652</v>
      </c>
      <c r="M894" s="785"/>
      <c r="N894" s="786">
        <v>956</v>
      </c>
      <c r="O894" s="786">
        <v>0</v>
      </c>
      <c r="P894" s="786">
        <v>0</v>
      </c>
      <c r="Q894" s="785">
        <v>0</v>
      </c>
      <c r="R894" s="785"/>
      <c r="S894" s="786">
        <v>11378</v>
      </c>
      <c r="T894" s="788">
        <v>4237</v>
      </c>
      <c r="U894" s="788">
        <v>15615</v>
      </c>
    </row>
    <row r="895" spans="1:21" x14ac:dyDescent="0.25">
      <c r="A895" s="782">
        <v>99818</v>
      </c>
      <c r="B895" s="783" t="s">
        <v>3504</v>
      </c>
      <c r="C895" s="784">
        <v>3.1600000000000002E-5</v>
      </c>
      <c r="D895" s="784">
        <v>3.7700000000000002E-5</v>
      </c>
      <c r="E895" s="815">
        <v>14370</v>
      </c>
      <c r="F895" s="818">
        <v>80012</v>
      </c>
      <c r="G895" s="785">
        <v>48276</v>
      </c>
      <c r="H895" s="785"/>
      <c r="I895" s="786">
        <v>2781</v>
      </c>
      <c r="J895" s="787">
        <v>11722</v>
      </c>
      <c r="K895" s="786">
        <v>6894</v>
      </c>
      <c r="L895" s="785">
        <v>3054</v>
      </c>
      <c r="M895" s="785"/>
      <c r="N895" s="786">
        <v>1367</v>
      </c>
      <c r="O895" s="786">
        <v>0</v>
      </c>
      <c r="P895" s="786">
        <v>0</v>
      </c>
      <c r="Q895" s="785">
        <v>6414</v>
      </c>
      <c r="R895" s="785"/>
      <c r="S895" s="786">
        <v>16269</v>
      </c>
      <c r="T895" s="788">
        <v>695</v>
      </c>
      <c r="U895" s="788">
        <v>16964</v>
      </c>
    </row>
    <row r="896" spans="1:21" x14ac:dyDescent="0.25">
      <c r="A896" s="782">
        <v>99821</v>
      </c>
      <c r="B896" s="783" t="s">
        <v>3505</v>
      </c>
      <c r="C896" s="784">
        <v>9.1100000000000005E-5</v>
      </c>
      <c r="D896" s="784">
        <v>8.2899999999999996E-5</v>
      </c>
      <c r="E896" s="815">
        <v>48801</v>
      </c>
      <c r="F896" s="818">
        <v>175942</v>
      </c>
      <c r="G896" s="785">
        <v>139176</v>
      </c>
      <c r="H896" s="785"/>
      <c r="I896" s="786">
        <v>8018</v>
      </c>
      <c r="J896" s="787">
        <v>33792</v>
      </c>
      <c r="K896" s="786">
        <v>19876</v>
      </c>
      <c r="L896" s="785">
        <v>21459</v>
      </c>
      <c r="M896" s="785"/>
      <c r="N896" s="786">
        <v>3940</v>
      </c>
      <c r="O896" s="786">
        <v>0</v>
      </c>
      <c r="P896" s="786">
        <v>0</v>
      </c>
      <c r="Q896" s="785">
        <v>555</v>
      </c>
      <c r="R896" s="785"/>
      <c r="S896" s="786">
        <v>46902</v>
      </c>
      <c r="T896" s="788">
        <v>9955</v>
      </c>
      <c r="U896" s="788">
        <v>56857</v>
      </c>
    </row>
    <row r="897" spans="1:21" x14ac:dyDescent="0.25">
      <c r="A897" s="782">
        <v>99831</v>
      </c>
      <c r="B897" s="783" t="s">
        <v>3506</v>
      </c>
      <c r="C897" s="784">
        <v>6.3299999999999994E-5</v>
      </c>
      <c r="D897" s="784">
        <v>5.5899999999999997E-5</v>
      </c>
      <c r="E897" s="815">
        <v>28274</v>
      </c>
      <c r="F897" s="818">
        <v>118639</v>
      </c>
      <c r="G897" s="785">
        <v>96705</v>
      </c>
      <c r="H897" s="785"/>
      <c r="I897" s="786">
        <v>5571</v>
      </c>
      <c r="J897" s="787">
        <v>23480</v>
      </c>
      <c r="K897" s="786">
        <v>13811</v>
      </c>
      <c r="L897" s="785">
        <v>7030</v>
      </c>
      <c r="M897" s="785"/>
      <c r="N897" s="786">
        <v>2737</v>
      </c>
      <c r="O897" s="786">
        <v>0</v>
      </c>
      <c r="P897" s="786">
        <v>0</v>
      </c>
      <c r="Q897" s="785">
        <v>564</v>
      </c>
      <c r="R897" s="785"/>
      <c r="S897" s="786">
        <v>32590</v>
      </c>
      <c r="T897" s="788">
        <v>1906</v>
      </c>
      <c r="U897" s="788">
        <f>34495+1</f>
        <v>34496</v>
      </c>
    </row>
    <row r="898" spans="1:21" x14ac:dyDescent="0.25">
      <c r="A898" s="782">
        <v>99841</v>
      </c>
      <c r="B898" s="783" t="s">
        <v>3507</v>
      </c>
      <c r="C898" s="784">
        <v>4.3399999999999998E-5</v>
      </c>
      <c r="D898" s="784">
        <v>4.6E-5</v>
      </c>
      <c r="E898" s="815">
        <v>19338</v>
      </c>
      <c r="F898" s="818">
        <v>97627</v>
      </c>
      <c r="G898" s="785">
        <v>66303</v>
      </c>
      <c r="H898" s="785"/>
      <c r="I898" s="786">
        <v>3820</v>
      </c>
      <c r="J898" s="787">
        <v>16098</v>
      </c>
      <c r="K898" s="786">
        <v>9469</v>
      </c>
      <c r="L898" s="785">
        <v>1271</v>
      </c>
      <c r="M898" s="785"/>
      <c r="N898" s="786">
        <v>1877</v>
      </c>
      <c r="O898" s="786">
        <v>0</v>
      </c>
      <c r="P898" s="786">
        <v>0</v>
      </c>
      <c r="Q898" s="785">
        <v>4060</v>
      </c>
      <c r="R898" s="785"/>
      <c r="S898" s="786">
        <v>22344</v>
      </c>
      <c r="T898" s="788">
        <v>-1214</v>
      </c>
      <c r="U898" s="788">
        <v>21130</v>
      </c>
    </row>
    <row r="899" spans="1:21" x14ac:dyDescent="0.25">
      <c r="A899" s="782">
        <v>99851</v>
      </c>
      <c r="B899" s="783" t="s">
        <v>3508</v>
      </c>
      <c r="C899" s="784">
        <v>2.23E-5</v>
      </c>
      <c r="D899" s="784">
        <v>2.1999999999999999E-5</v>
      </c>
      <c r="E899" s="815">
        <v>7302</v>
      </c>
      <c r="F899" s="818">
        <v>46691</v>
      </c>
      <c r="G899" s="785">
        <v>34068</v>
      </c>
      <c r="H899" s="785"/>
      <c r="I899" s="786">
        <v>1963</v>
      </c>
      <c r="J899" s="787">
        <v>8272</v>
      </c>
      <c r="K899" s="786">
        <v>4865</v>
      </c>
      <c r="L899" s="785">
        <v>142</v>
      </c>
      <c r="M899" s="785"/>
      <c r="N899" s="786">
        <v>964</v>
      </c>
      <c r="O899" s="786">
        <v>0</v>
      </c>
      <c r="P899" s="786">
        <v>0</v>
      </c>
      <c r="Q899" s="785">
        <v>3191</v>
      </c>
      <c r="R899" s="785"/>
      <c r="S899" s="786">
        <v>11481</v>
      </c>
      <c r="T899" s="788">
        <v>-847</v>
      </c>
      <c r="U899" s="788">
        <v>10634</v>
      </c>
    </row>
    <row r="900" spans="1:21" x14ac:dyDescent="0.25">
      <c r="A900" s="782">
        <v>99901</v>
      </c>
      <c r="B900" s="783" t="s">
        <v>3509</v>
      </c>
      <c r="C900" s="784">
        <v>1.6707E-3</v>
      </c>
      <c r="D900" s="784">
        <v>1.6371999999999999E-3</v>
      </c>
      <c r="E900" s="815">
        <v>760400</v>
      </c>
      <c r="F900" s="818">
        <v>3474687</v>
      </c>
      <c r="G900" s="785">
        <v>2552367</v>
      </c>
      <c r="H900" s="785"/>
      <c r="I900" s="786">
        <v>147040</v>
      </c>
      <c r="J900" s="787">
        <v>619718</v>
      </c>
      <c r="K900" s="786">
        <v>364513</v>
      </c>
      <c r="L900" s="785">
        <v>63407</v>
      </c>
      <c r="M900" s="785"/>
      <c r="N900" s="786">
        <v>72249</v>
      </c>
      <c r="O900" s="786">
        <v>0</v>
      </c>
      <c r="P900" s="786">
        <v>0</v>
      </c>
      <c r="Q900" s="785">
        <v>12021</v>
      </c>
      <c r="R900" s="785"/>
      <c r="S900" s="786">
        <v>860150</v>
      </c>
      <c r="T900" s="788">
        <v>13114</v>
      </c>
      <c r="U900" s="788">
        <v>873264</v>
      </c>
    </row>
    <row r="901" spans="1:21" x14ac:dyDescent="0.25">
      <c r="A901" s="782">
        <v>99911</v>
      </c>
      <c r="B901" s="783" t="s">
        <v>3510</v>
      </c>
      <c r="C901" s="784">
        <v>2.5980000000000003E-4</v>
      </c>
      <c r="D901" s="784">
        <v>2.5520000000000002E-4</v>
      </c>
      <c r="E901" s="815">
        <v>122066</v>
      </c>
      <c r="F901" s="818">
        <v>541620</v>
      </c>
      <c r="G901" s="785">
        <v>396902</v>
      </c>
      <c r="H901" s="785"/>
      <c r="I901" s="786">
        <v>22865</v>
      </c>
      <c r="J901" s="787">
        <v>96368</v>
      </c>
      <c r="K901" s="786">
        <v>56683</v>
      </c>
      <c r="L901" s="785">
        <v>7168</v>
      </c>
      <c r="M901" s="785"/>
      <c r="N901" s="786">
        <v>11235</v>
      </c>
      <c r="O901" s="786">
        <v>0</v>
      </c>
      <c r="P901" s="786">
        <v>0</v>
      </c>
      <c r="Q901" s="785">
        <v>12661</v>
      </c>
      <c r="R901" s="785"/>
      <c r="S901" s="786">
        <v>133756</v>
      </c>
      <c r="T901" s="788">
        <v>-5521</v>
      </c>
      <c r="U901" s="788">
        <v>128235</v>
      </c>
    </row>
    <row r="902" spans="1:21" x14ac:dyDescent="0.25">
      <c r="A902" s="782">
        <v>99921</v>
      </c>
      <c r="B902" s="783" t="s">
        <v>3511</v>
      </c>
      <c r="C902" s="784">
        <v>1.506E-4</v>
      </c>
      <c r="D902" s="784">
        <v>1.5129999999999999E-4</v>
      </c>
      <c r="E902" s="815">
        <v>65165</v>
      </c>
      <c r="F902" s="818">
        <v>321109</v>
      </c>
      <c r="G902" s="785">
        <v>230075</v>
      </c>
      <c r="H902" s="785"/>
      <c r="I902" s="786">
        <v>13254</v>
      </c>
      <c r="J902" s="787">
        <v>55863</v>
      </c>
      <c r="K902" s="786">
        <v>32858</v>
      </c>
      <c r="L902" s="785">
        <v>3258</v>
      </c>
      <c r="M902" s="785"/>
      <c r="N902" s="786">
        <v>6513</v>
      </c>
      <c r="O902" s="786">
        <v>0</v>
      </c>
      <c r="P902" s="786">
        <v>0</v>
      </c>
      <c r="Q902" s="785">
        <v>7306</v>
      </c>
      <c r="R902" s="785"/>
      <c r="S902" s="786">
        <v>77536</v>
      </c>
      <c r="T902" s="788">
        <v>-3057</v>
      </c>
      <c r="U902" s="788">
        <v>74479</v>
      </c>
    </row>
    <row r="903" spans="1:21" x14ac:dyDescent="0.25">
      <c r="A903" s="782">
        <v>99931</v>
      </c>
      <c r="B903" s="783" t="s">
        <v>3512</v>
      </c>
      <c r="C903" s="784">
        <v>1.5800000000000001E-5</v>
      </c>
      <c r="D903" s="784">
        <v>2.51E-5</v>
      </c>
      <c r="E903" s="815">
        <v>8881</v>
      </c>
      <c r="F903" s="818">
        <v>53271</v>
      </c>
      <c r="G903" s="785">
        <v>24138</v>
      </c>
      <c r="H903" s="785"/>
      <c r="I903" s="786">
        <v>1391</v>
      </c>
      <c r="J903" s="787">
        <v>5860</v>
      </c>
      <c r="K903" s="786">
        <v>3447</v>
      </c>
      <c r="L903" s="785">
        <v>0</v>
      </c>
      <c r="M903" s="785"/>
      <c r="N903" s="786">
        <v>683</v>
      </c>
      <c r="O903" s="786">
        <v>0</v>
      </c>
      <c r="P903" s="786">
        <v>0</v>
      </c>
      <c r="Q903" s="785">
        <v>8477</v>
      </c>
      <c r="R903" s="785"/>
      <c r="S903" s="786">
        <v>8135</v>
      </c>
      <c r="T903" s="788">
        <v>-3271</v>
      </c>
      <c r="U903" s="788">
        <v>4864</v>
      </c>
    </row>
    <row r="904" spans="1:21" x14ac:dyDescent="0.25">
      <c r="A904" s="782">
        <v>99941</v>
      </c>
      <c r="B904" s="783" t="s">
        <v>3513</v>
      </c>
      <c r="C904" s="784">
        <v>7.5400000000000003E-5</v>
      </c>
      <c r="D904" s="784">
        <v>7.8200000000000003E-5</v>
      </c>
      <c r="E904" s="815">
        <v>32663</v>
      </c>
      <c r="F904" s="818">
        <v>165967</v>
      </c>
      <c r="G904" s="785">
        <v>115190</v>
      </c>
      <c r="H904" s="785"/>
      <c r="I904" s="786">
        <v>6636</v>
      </c>
      <c r="J904" s="787">
        <v>27969</v>
      </c>
      <c r="K904" s="786">
        <v>16451</v>
      </c>
      <c r="L904" s="785">
        <v>0</v>
      </c>
      <c r="M904" s="785"/>
      <c r="N904" s="786">
        <v>3261</v>
      </c>
      <c r="O904" s="786">
        <v>0</v>
      </c>
      <c r="P904" s="786">
        <v>0</v>
      </c>
      <c r="Q904" s="785">
        <v>11647</v>
      </c>
      <c r="R904" s="785"/>
      <c r="S904" s="786">
        <v>38819</v>
      </c>
      <c r="T904" s="788">
        <v>-4535</v>
      </c>
      <c r="U904" s="788">
        <f>34285-1</f>
        <v>34284</v>
      </c>
    </row>
    <row r="905" spans="1:21" x14ac:dyDescent="0.25">
      <c r="A905" s="782">
        <v>99991</v>
      </c>
      <c r="B905" s="783" t="s">
        <v>3514</v>
      </c>
      <c r="C905" s="784">
        <v>5.3450000000000004E-4</v>
      </c>
      <c r="D905" s="784">
        <v>5.6990000000000003E-4</v>
      </c>
      <c r="E905" s="815">
        <v>239781</v>
      </c>
      <c r="F905" s="818">
        <v>1209519</v>
      </c>
      <c r="G905" s="785">
        <v>816568</v>
      </c>
      <c r="H905" s="785"/>
      <c r="I905" s="786">
        <v>47042</v>
      </c>
      <c r="J905" s="787">
        <v>198264</v>
      </c>
      <c r="K905" s="786">
        <v>116617</v>
      </c>
      <c r="L905" s="785">
        <v>28891</v>
      </c>
      <c r="M905" s="785"/>
      <c r="N905" s="786">
        <v>23114</v>
      </c>
      <c r="O905" s="786">
        <v>0</v>
      </c>
      <c r="P905" s="786">
        <v>0</v>
      </c>
      <c r="Q905" s="785">
        <v>28214</v>
      </c>
      <c r="R905" s="785"/>
      <c r="S905" s="786">
        <v>275184</v>
      </c>
      <c r="T905" s="788">
        <v>12361</v>
      </c>
      <c r="U905" s="788">
        <v>287545</v>
      </c>
    </row>
    <row r="906" spans="1:21" x14ac:dyDescent="0.25">
      <c r="A906" s="782">
        <v>99999</v>
      </c>
      <c r="B906" s="783" t="s">
        <v>3515</v>
      </c>
      <c r="C906" s="784">
        <v>8.7509999999999997E-4</v>
      </c>
      <c r="D906" s="784">
        <v>1.0101000000000001E-3</v>
      </c>
      <c r="E906" s="815">
        <v>509176</v>
      </c>
      <c r="F906" s="818">
        <v>2143771</v>
      </c>
      <c r="G906" s="785">
        <v>1336910</v>
      </c>
      <c r="H906" s="785"/>
      <c r="I906" s="786">
        <v>77018</v>
      </c>
      <c r="J906" s="787">
        <v>324603</v>
      </c>
      <c r="K906" s="786">
        <v>190929</v>
      </c>
      <c r="L906" s="785">
        <v>77711</v>
      </c>
      <c r="M906" s="785"/>
      <c r="N906" s="786">
        <v>37844</v>
      </c>
      <c r="O906" s="786">
        <v>0</v>
      </c>
      <c r="P906" s="786">
        <v>0</v>
      </c>
      <c r="Q906" s="785">
        <v>26259</v>
      </c>
      <c r="R906" s="785"/>
      <c r="S906" s="786">
        <v>450540</v>
      </c>
      <c r="T906" s="788">
        <v>10651</v>
      </c>
      <c r="U906" s="788">
        <v>461191</v>
      </c>
    </row>
    <row r="907" spans="1:21" x14ac:dyDescent="0.25">
      <c r="A907" s="782"/>
      <c r="B907" s="783"/>
      <c r="C907" s="784"/>
      <c r="D907" s="784"/>
      <c r="E907" s="815"/>
      <c r="F907" s="818"/>
      <c r="G907" s="785"/>
      <c r="H907" s="785"/>
      <c r="I907" s="786"/>
      <c r="J907" s="787"/>
      <c r="K907" s="786"/>
      <c r="L907" s="785"/>
      <c r="M907" s="785"/>
      <c r="N907" s="786"/>
      <c r="O907" s="786"/>
      <c r="P907" s="786"/>
      <c r="Q907" s="785"/>
      <c r="R907" s="785"/>
      <c r="S907" s="786"/>
      <c r="T907" s="788"/>
      <c r="U907" s="788"/>
    </row>
    <row r="908" spans="1:21" x14ac:dyDescent="0.25">
      <c r="A908" s="802" t="s">
        <v>2621</v>
      </c>
      <c r="B908" s="803" t="s">
        <v>2620</v>
      </c>
      <c r="C908" s="804">
        <v>2.6581E-3</v>
      </c>
      <c r="D908" s="804">
        <v>2.3587E-3</v>
      </c>
      <c r="E908" s="816">
        <v>1110621</v>
      </c>
      <c r="F908" s="818">
        <v>5005952</v>
      </c>
      <c r="G908" s="806">
        <v>4060841</v>
      </c>
      <c r="H908" s="806"/>
      <c r="I908" s="807">
        <v>233942</v>
      </c>
      <c r="J908" s="808">
        <v>985977</v>
      </c>
      <c r="K908" s="807">
        <v>579944</v>
      </c>
      <c r="L908" s="806">
        <v>130818</v>
      </c>
      <c r="M908" s="806"/>
      <c r="N908" s="807">
        <v>114950</v>
      </c>
      <c r="O908" s="807"/>
      <c r="P908" s="807">
        <v>0</v>
      </c>
      <c r="Q908" s="806">
        <v>31847</v>
      </c>
      <c r="R908" s="806"/>
      <c r="S908" s="807">
        <v>1368507</v>
      </c>
      <c r="T908" s="806">
        <v>33872</v>
      </c>
      <c r="U908" s="806">
        <v>1402379</v>
      </c>
    </row>
    <row r="909" spans="1:21" s="796" customFormat="1" x14ac:dyDescent="0.25">
      <c r="A909" s="790"/>
      <c r="B909" s="791"/>
      <c r="C909" s="792">
        <v>1</v>
      </c>
      <c r="D909" s="792">
        <v>1</v>
      </c>
      <c r="E909" s="817">
        <f>SUM(E6:E906)</f>
        <v>459076658</v>
      </c>
      <c r="F909" s="793"/>
      <c r="G909" s="793">
        <f>SUM(G7:G906)</f>
        <v>1527723006</v>
      </c>
      <c r="H909" s="793"/>
      <c r="I909" s="794">
        <f>SUM(I7:I906)</f>
        <v>88010998</v>
      </c>
      <c r="J909" s="795">
        <v>370932998</v>
      </c>
      <c r="K909" s="794">
        <f>SUM(K7:K906)</f>
        <v>218179990</v>
      </c>
      <c r="L909" s="794">
        <f>SUM(L7:L906)</f>
        <v>44399345</v>
      </c>
      <c r="M909" s="794"/>
      <c r="N909" s="794">
        <f>SUM(N7:N906)</f>
        <v>43245007</v>
      </c>
      <c r="O909" s="794">
        <f>SUM(O7:O906)</f>
        <v>0</v>
      </c>
      <c r="P909" s="794">
        <f>SUM(P7:P906)</f>
        <v>0</v>
      </c>
      <c r="Q909" s="794">
        <f>SUM(Q7:Q906)</f>
        <v>44399369</v>
      </c>
      <c r="R909" s="794"/>
      <c r="S909" s="794">
        <f>SUM(S7:S906)</f>
        <v>514844016</v>
      </c>
      <c r="T909" s="794">
        <f>SUM(T7:T906)</f>
        <v>36</v>
      </c>
      <c r="U909" s="794">
        <f>SUM(U7:U906)</f>
        <v>514844052</v>
      </c>
    </row>
    <row r="910" spans="1:21" s="796" customFormat="1" x14ac:dyDescent="0.25">
      <c r="A910" s="790"/>
      <c r="B910" s="791"/>
      <c r="C910" s="792"/>
      <c r="D910" s="792"/>
      <c r="E910" s="817"/>
      <c r="F910" s="801"/>
      <c r="G910" s="793"/>
      <c r="H910" s="793"/>
      <c r="I910" s="794"/>
      <c r="J910" s="795"/>
      <c r="K910" s="794"/>
      <c r="L910" s="794"/>
      <c r="M910" s="794"/>
      <c r="N910" s="794"/>
      <c r="O910" s="794"/>
      <c r="P910" s="794"/>
      <c r="Q910" s="794"/>
      <c r="R910" s="794"/>
      <c r="S910" s="794"/>
      <c r="T910" s="794"/>
      <c r="U910" s="794"/>
    </row>
    <row r="911" spans="1:21" s="796" customFormat="1" x14ac:dyDescent="0.25">
      <c r="A911" s="790"/>
      <c r="B911" s="791"/>
      <c r="C911" s="792"/>
      <c r="D911" s="792"/>
      <c r="E911" s="817"/>
      <c r="F911" s="801"/>
      <c r="G911" s="793"/>
      <c r="H911" s="793"/>
      <c r="I911" s="794"/>
      <c r="J911" s="795"/>
      <c r="K911" s="794"/>
      <c r="L911" s="794"/>
      <c r="M911" s="794"/>
      <c r="N911" s="794"/>
      <c r="O911" s="794"/>
      <c r="P911" s="794"/>
      <c r="Q911" s="794"/>
      <c r="R911" s="794"/>
      <c r="S911" s="794"/>
      <c r="T911" s="794"/>
      <c r="U911" s="794"/>
    </row>
    <row r="912" spans="1:21" x14ac:dyDescent="0.25">
      <c r="B912" s="797" t="s">
        <v>2086</v>
      </c>
      <c r="C912" s="780" t="s">
        <v>822</v>
      </c>
    </row>
    <row r="913" spans="2:3" x14ac:dyDescent="0.25">
      <c r="B913" s="798" t="s">
        <v>2101</v>
      </c>
      <c r="C913" s="782">
        <v>96331</v>
      </c>
    </row>
    <row r="914" spans="2:3" x14ac:dyDescent="0.25">
      <c r="B914" s="798" t="s">
        <v>2102</v>
      </c>
      <c r="C914" s="782">
        <v>94611</v>
      </c>
    </row>
    <row r="915" spans="2:3" x14ac:dyDescent="0.25">
      <c r="B915" s="798" t="s">
        <v>1462</v>
      </c>
      <c r="C915" s="782">
        <v>93402</v>
      </c>
    </row>
    <row r="916" spans="2:3" x14ac:dyDescent="0.25">
      <c r="B916" s="798" t="s">
        <v>2103</v>
      </c>
      <c r="C916" s="782">
        <v>90151</v>
      </c>
    </row>
    <row r="917" spans="2:3" x14ac:dyDescent="0.25">
      <c r="B917" s="798" t="s">
        <v>3676</v>
      </c>
      <c r="C917" s="782">
        <v>94109</v>
      </c>
    </row>
    <row r="918" spans="2:3" x14ac:dyDescent="0.25">
      <c r="B918" s="798" t="s">
        <v>1167</v>
      </c>
      <c r="C918" s="782">
        <v>90101</v>
      </c>
    </row>
    <row r="919" spans="2:3" x14ac:dyDescent="0.25">
      <c r="B919" s="798" t="s">
        <v>3516</v>
      </c>
      <c r="C919" s="782">
        <v>90117</v>
      </c>
    </row>
    <row r="920" spans="2:3" x14ac:dyDescent="0.25">
      <c r="B920" s="798" t="s">
        <v>2104</v>
      </c>
      <c r="C920" s="782">
        <v>98411</v>
      </c>
    </row>
    <row r="921" spans="2:3" x14ac:dyDescent="0.25">
      <c r="B921" s="798" t="s">
        <v>3677</v>
      </c>
      <c r="C921" s="782">
        <v>98417</v>
      </c>
    </row>
    <row r="922" spans="2:3" x14ac:dyDescent="0.25">
      <c r="B922" s="798" t="s">
        <v>1763</v>
      </c>
      <c r="C922" s="782">
        <v>97008</v>
      </c>
    </row>
    <row r="923" spans="2:3" x14ac:dyDescent="0.25">
      <c r="B923" s="798" t="s">
        <v>1764</v>
      </c>
      <c r="C923" s="782">
        <v>97010</v>
      </c>
    </row>
    <row r="924" spans="2:3" x14ac:dyDescent="0.25">
      <c r="B924" s="798" t="s">
        <v>3517</v>
      </c>
      <c r="C924" s="782">
        <v>90096</v>
      </c>
    </row>
    <row r="925" spans="2:3" x14ac:dyDescent="0.25">
      <c r="B925" s="798" t="s">
        <v>1214</v>
      </c>
      <c r="C925" s="782">
        <v>90805</v>
      </c>
    </row>
    <row r="926" spans="2:3" x14ac:dyDescent="0.25">
      <c r="B926" s="798" t="s">
        <v>3678</v>
      </c>
      <c r="C926" s="782">
        <v>92109</v>
      </c>
    </row>
    <row r="927" spans="2:3" x14ac:dyDescent="0.25">
      <c r="B927" s="798" t="s">
        <v>1175</v>
      </c>
      <c r="C927" s="782">
        <v>90201</v>
      </c>
    </row>
    <row r="928" spans="2:3" x14ac:dyDescent="0.25">
      <c r="B928" s="798" t="s">
        <v>3679</v>
      </c>
      <c r="C928" s="782">
        <v>90206</v>
      </c>
    </row>
    <row r="929" spans="2:3" x14ac:dyDescent="0.25">
      <c r="B929" s="798" t="s">
        <v>3680</v>
      </c>
      <c r="C929" s="782">
        <v>90203</v>
      </c>
    </row>
    <row r="930" spans="2:3" x14ac:dyDescent="0.25">
      <c r="B930" s="798" t="s">
        <v>3681</v>
      </c>
      <c r="C930" s="782">
        <v>90205</v>
      </c>
    </row>
    <row r="931" spans="2:3" x14ac:dyDescent="0.25">
      <c r="B931" s="798" t="s">
        <v>1180</v>
      </c>
      <c r="C931" s="782">
        <v>90301</v>
      </c>
    </row>
    <row r="932" spans="2:3" x14ac:dyDescent="0.25">
      <c r="B932" s="798" t="s">
        <v>3682</v>
      </c>
      <c r="C932" s="782">
        <v>93209</v>
      </c>
    </row>
    <row r="933" spans="2:3" x14ac:dyDescent="0.25">
      <c r="B933" s="798" t="s">
        <v>2105</v>
      </c>
      <c r="C933" s="782">
        <v>92021</v>
      </c>
    </row>
    <row r="934" spans="2:3" x14ac:dyDescent="0.25">
      <c r="B934" s="798" t="s">
        <v>2106</v>
      </c>
      <c r="C934" s="782">
        <v>94351</v>
      </c>
    </row>
    <row r="935" spans="2:3" x14ac:dyDescent="0.25">
      <c r="B935" s="798" t="s">
        <v>3683</v>
      </c>
      <c r="C935" s="782">
        <v>94347</v>
      </c>
    </row>
    <row r="936" spans="2:3" x14ac:dyDescent="0.25">
      <c r="B936" s="798" t="s">
        <v>1183</v>
      </c>
      <c r="C936" s="782">
        <v>90401</v>
      </c>
    </row>
    <row r="937" spans="2:3" x14ac:dyDescent="0.25">
      <c r="B937" s="798" t="s">
        <v>2107</v>
      </c>
      <c r="C937" s="782">
        <v>90451</v>
      </c>
    </row>
    <row r="938" spans="2:3" x14ac:dyDescent="0.25">
      <c r="B938" s="798" t="s">
        <v>2108</v>
      </c>
      <c r="C938" s="782">
        <v>99271</v>
      </c>
    </row>
    <row r="939" spans="2:3" x14ac:dyDescent="0.25">
      <c r="B939" s="798" t="s">
        <v>3684</v>
      </c>
      <c r="C939" s="782">
        <v>90099</v>
      </c>
    </row>
    <row r="940" spans="2:3" x14ac:dyDescent="0.25">
      <c r="B940" s="798" t="s">
        <v>2003</v>
      </c>
      <c r="C940" s="782">
        <v>99705</v>
      </c>
    </row>
    <row r="941" spans="2:3" x14ac:dyDescent="0.25">
      <c r="B941" s="798" t="s">
        <v>2109</v>
      </c>
      <c r="C941" s="782">
        <v>97651</v>
      </c>
    </row>
    <row r="942" spans="2:3" x14ac:dyDescent="0.25">
      <c r="B942" s="798" t="s">
        <v>2110</v>
      </c>
      <c r="C942" s="782">
        <v>95106</v>
      </c>
    </row>
    <row r="943" spans="2:3" x14ac:dyDescent="0.25">
      <c r="B943" s="798" t="s">
        <v>1192</v>
      </c>
      <c r="C943" s="782">
        <v>90501</v>
      </c>
    </row>
    <row r="944" spans="2:3" x14ac:dyDescent="0.25">
      <c r="B944" s="798" t="s">
        <v>2111</v>
      </c>
      <c r="C944" s="782">
        <v>97611</v>
      </c>
    </row>
    <row r="945" spans="2:3" x14ac:dyDescent="0.25">
      <c r="B945" s="798" t="s">
        <v>3685</v>
      </c>
      <c r="C945" s="782">
        <v>97607</v>
      </c>
    </row>
    <row r="946" spans="2:3" x14ac:dyDescent="0.25">
      <c r="B946" s="798" t="s">
        <v>3686</v>
      </c>
      <c r="C946" s="782">
        <v>97613</v>
      </c>
    </row>
    <row r="947" spans="2:3" x14ac:dyDescent="0.25">
      <c r="B947" s="798" t="s">
        <v>2112</v>
      </c>
      <c r="C947" s="782">
        <v>91121</v>
      </c>
    </row>
    <row r="948" spans="2:3" x14ac:dyDescent="0.25">
      <c r="B948" s="798" t="s">
        <v>3687</v>
      </c>
      <c r="C948" s="782">
        <v>91127</v>
      </c>
    </row>
    <row r="949" spans="2:3" x14ac:dyDescent="0.25">
      <c r="B949" s="798" t="s">
        <v>1266</v>
      </c>
      <c r="C949" s="782">
        <v>91128</v>
      </c>
    </row>
    <row r="950" spans="2:3" x14ac:dyDescent="0.25">
      <c r="B950" s="798" t="s">
        <v>2113</v>
      </c>
      <c r="C950" s="782">
        <v>91681</v>
      </c>
    </row>
    <row r="951" spans="2:3" x14ac:dyDescent="0.25">
      <c r="B951" s="798" t="s">
        <v>2114</v>
      </c>
      <c r="C951" s="782">
        <v>90811</v>
      </c>
    </row>
    <row r="952" spans="2:3" x14ac:dyDescent="0.25">
      <c r="B952" s="798" t="s">
        <v>2115</v>
      </c>
      <c r="C952" s="782">
        <v>90721</v>
      </c>
    </row>
    <row r="953" spans="2:3" x14ac:dyDescent="0.25">
      <c r="B953" s="798" t="s">
        <v>2116</v>
      </c>
      <c r="C953" s="782">
        <v>98271</v>
      </c>
    </row>
    <row r="954" spans="2:3" x14ac:dyDescent="0.25">
      <c r="B954" s="798" t="s">
        <v>1196</v>
      </c>
      <c r="C954" s="782">
        <v>90601</v>
      </c>
    </row>
    <row r="955" spans="2:3" x14ac:dyDescent="0.25">
      <c r="B955" s="798" t="s">
        <v>3688</v>
      </c>
      <c r="C955" s="782">
        <v>90602</v>
      </c>
    </row>
    <row r="956" spans="2:3" x14ac:dyDescent="0.25">
      <c r="B956" s="798" t="s">
        <v>3689</v>
      </c>
      <c r="C956" s="782">
        <v>90605</v>
      </c>
    </row>
    <row r="957" spans="2:3" x14ac:dyDescent="0.25">
      <c r="B957" s="798" t="s">
        <v>2117</v>
      </c>
      <c r="C957" s="782">
        <v>97461</v>
      </c>
    </row>
    <row r="958" spans="2:3" x14ac:dyDescent="0.25">
      <c r="B958" s="798" t="s">
        <v>1796</v>
      </c>
      <c r="C958" s="782">
        <v>97463</v>
      </c>
    </row>
    <row r="959" spans="2:3" x14ac:dyDescent="0.25">
      <c r="B959" s="798" t="s">
        <v>3690</v>
      </c>
      <c r="C959" s="782">
        <v>90705</v>
      </c>
    </row>
    <row r="960" spans="2:3" x14ac:dyDescent="0.25">
      <c r="B960" s="798" t="s">
        <v>2118</v>
      </c>
      <c r="C960" s="782">
        <v>98451</v>
      </c>
    </row>
    <row r="961" spans="2:3" x14ac:dyDescent="0.25">
      <c r="B961" s="798" t="s">
        <v>2119</v>
      </c>
      <c r="C961" s="782">
        <v>96451</v>
      </c>
    </row>
    <row r="962" spans="2:3" x14ac:dyDescent="0.25">
      <c r="B962" s="798" t="s">
        <v>2120</v>
      </c>
      <c r="C962" s="782">
        <v>96121</v>
      </c>
    </row>
    <row r="963" spans="2:3" x14ac:dyDescent="0.25">
      <c r="B963" s="798" t="s">
        <v>2121</v>
      </c>
      <c r="C963" s="782">
        <v>91091</v>
      </c>
    </row>
    <row r="964" spans="2:3" x14ac:dyDescent="0.25">
      <c r="B964" s="798" t="s">
        <v>2122</v>
      </c>
      <c r="C964" s="782">
        <v>90611</v>
      </c>
    </row>
    <row r="965" spans="2:3" x14ac:dyDescent="0.25">
      <c r="B965" s="798" t="s">
        <v>1758</v>
      </c>
      <c r="C965" s="782">
        <v>96918</v>
      </c>
    </row>
    <row r="966" spans="2:3" x14ac:dyDescent="0.25">
      <c r="B966" s="798" t="s">
        <v>2123</v>
      </c>
      <c r="C966" s="782">
        <v>96911</v>
      </c>
    </row>
    <row r="967" spans="2:3" x14ac:dyDescent="0.25">
      <c r="B967" s="798" t="s">
        <v>1955</v>
      </c>
      <c r="C967" s="782">
        <v>99208</v>
      </c>
    </row>
    <row r="968" spans="2:3" x14ac:dyDescent="0.25">
      <c r="B968" s="798" t="s">
        <v>2124</v>
      </c>
      <c r="C968" s="782">
        <v>91631</v>
      </c>
    </row>
    <row r="969" spans="2:3" x14ac:dyDescent="0.25">
      <c r="B969" s="798" t="s">
        <v>1204</v>
      </c>
      <c r="C969" s="782">
        <v>90701</v>
      </c>
    </row>
    <row r="970" spans="2:3" x14ac:dyDescent="0.25">
      <c r="B970" s="798" t="s">
        <v>3691</v>
      </c>
      <c r="C970" s="782">
        <v>90704</v>
      </c>
    </row>
    <row r="971" spans="2:3" x14ac:dyDescent="0.25">
      <c r="B971" s="798" t="s">
        <v>3692</v>
      </c>
      <c r="C971" s="782">
        <v>91633</v>
      </c>
    </row>
    <row r="972" spans="2:3" x14ac:dyDescent="0.25">
      <c r="B972" s="798" t="s">
        <v>2125</v>
      </c>
      <c r="C972" s="782">
        <v>90631</v>
      </c>
    </row>
    <row r="973" spans="2:3" x14ac:dyDescent="0.25">
      <c r="B973" s="798" t="s">
        <v>2126</v>
      </c>
      <c r="C973" s="782">
        <v>90731</v>
      </c>
    </row>
    <row r="974" spans="2:3" x14ac:dyDescent="0.25">
      <c r="B974" s="798" t="s">
        <v>2127</v>
      </c>
      <c r="C974" s="782">
        <v>93621</v>
      </c>
    </row>
    <row r="975" spans="2:3" x14ac:dyDescent="0.25">
      <c r="B975" s="798" t="s">
        <v>1488</v>
      </c>
      <c r="C975" s="782">
        <v>93623</v>
      </c>
    </row>
    <row r="976" spans="2:3" x14ac:dyDescent="0.25">
      <c r="B976" s="798" t="s">
        <v>2128</v>
      </c>
      <c r="C976" s="782">
        <v>91020</v>
      </c>
    </row>
    <row r="977" spans="2:3" x14ac:dyDescent="0.25">
      <c r="B977" s="798" t="s">
        <v>2129</v>
      </c>
      <c r="C977" s="782">
        <v>95141</v>
      </c>
    </row>
    <row r="978" spans="2:3" x14ac:dyDescent="0.25">
      <c r="B978" s="798" t="s">
        <v>1606</v>
      </c>
      <c r="C978" s="782">
        <v>95103</v>
      </c>
    </row>
    <row r="979" spans="2:3" x14ac:dyDescent="0.25">
      <c r="B979" s="798" t="s">
        <v>2130</v>
      </c>
      <c r="C979" s="782">
        <v>93021</v>
      </c>
    </row>
    <row r="980" spans="2:3" x14ac:dyDescent="0.25">
      <c r="B980" s="798" t="s">
        <v>1212</v>
      </c>
      <c r="C980" s="782">
        <v>90801</v>
      </c>
    </row>
    <row r="981" spans="2:3" x14ac:dyDescent="0.25">
      <c r="B981" s="798" t="s">
        <v>3693</v>
      </c>
      <c r="C981" s="782">
        <v>90804</v>
      </c>
    </row>
    <row r="982" spans="2:3" x14ac:dyDescent="0.25">
      <c r="B982" s="798" t="s">
        <v>1215</v>
      </c>
      <c r="C982" s="782">
        <v>90808</v>
      </c>
    </row>
    <row r="983" spans="2:3" x14ac:dyDescent="0.25">
      <c r="B983" s="798" t="s">
        <v>2131</v>
      </c>
      <c r="C983" s="782">
        <v>93671</v>
      </c>
    </row>
    <row r="984" spans="2:3" x14ac:dyDescent="0.25">
      <c r="B984" s="798" t="s">
        <v>2132</v>
      </c>
      <c r="C984" s="782">
        <v>93677</v>
      </c>
    </row>
    <row r="985" spans="2:3" x14ac:dyDescent="0.25">
      <c r="B985" s="798" t="s">
        <v>2133</v>
      </c>
      <c r="C985" s="782">
        <v>97441</v>
      </c>
    </row>
    <row r="986" spans="2:3" x14ac:dyDescent="0.25">
      <c r="B986" s="798" t="s">
        <v>2134</v>
      </c>
      <c r="C986" s="782">
        <v>93111</v>
      </c>
    </row>
    <row r="987" spans="2:3" x14ac:dyDescent="0.25">
      <c r="B987" s="798" t="s">
        <v>2135</v>
      </c>
      <c r="C987" s="782">
        <v>91111</v>
      </c>
    </row>
    <row r="988" spans="2:3" x14ac:dyDescent="0.25">
      <c r="B988" s="798" t="s">
        <v>2136</v>
      </c>
      <c r="C988" s="782">
        <v>96231</v>
      </c>
    </row>
    <row r="989" spans="2:3" x14ac:dyDescent="0.25">
      <c r="B989" s="798" t="s">
        <v>2137</v>
      </c>
      <c r="C989" s="782">
        <v>99831</v>
      </c>
    </row>
    <row r="990" spans="2:3" x14ac:dyDescent="0.25">
      <c r="B990" s="798" t="s">
        <v>2138</v>
      </c>
      <c r="C990" s="782">
        <v>91151</v>
      </c>
    </row>
    <row r="991" spans="2:3" x14ac:dyDescent="0.25">
      <c r="B991" s="798" t="s">
        <v>3694</v>
      </c>
      <c r="C991" s="782">
        <v>91154</v>
      </c>
    </row>
    <row r="992" spans="2:3" x14ac:dyDescent="0.25">
      <c r="B992" s="798" t="s">
        <v>1220</v>
      </c>
      <c r="C992" s="782">
        <v>90901</v>
      </c>
    </row>
    <row r="993" spans="2:3" x14ac:dyDescent="0.25">
      <c r="B993" s="798" t="s">
        <v>2139</v>
      </c>
      <c r="C993" s="782">
        <v>90941</v>
      </c>
    </row>
    <row r="994" spans="2:3" x14ac:dyDescent="0.25">
      <c r="B994" s="798" t="s">
        <v>2140</v>
      </c>
      <c r="C994" s="782">
        <v>99521</v>
      </c>
    </row>
    <row r="995" spans="2:3" x14ac:dyDescent="0.25">
      <c r="B995" s="798" t="s">
        <v>3695</v>
      </c>
      <c r="C995" s="782">
        <v>99527</v>
      </c>
    </row>
    <row r="996" spans="2:3" x14ac:dyDescent="0.25">
      <c r="B996" s="798" t="s">
        <v>1984</v>
      </c>
      <c r="C996" s="782">
        <v>99508</v>
      </c>
    </row>
    <row r="997" spans="2:3" x14ac:dyDescent="0.25">
      <c r="B997" s="798" t="s">
        <v>1573</v>
      </c>
      <c r="C997" s="782">
        <v>94532</v>
      </c>
    </row>
    <row r="998" spans="2:3" x14ac:dyDescent="0.25">
      <c r="B998" s="798" t="s">
        <v>3696</v>
      </c>
      <c r="C998" s="782">
        <v>91071</v>
      </c>
    </row>
    <row r="999" spans="2:3" x14ac:dyDescent="0.25">
      <c r="B999" s="798" t="s">
        <v>3697</v>
      </c>
      <c r="C999" s="782">
        <v>91077</v>
      </c>
    </row>
    <row r="1000" spans="2:3" x14ac:dyDescent="0.25">
      <c r="B1000" s="798" t="s">
        <v>2141</v>
      </c>
      <c r="C1000" s="782">
        <v>92331</v>
      </c>
    </row>
    <row r="1001" spans="2:3" x14ac:dyDescent="0.25">
      <c r="B1001" s="798" t="s">
        <v>2142</v>
      </c>
      <c r="C1001" s="782">
        <v>92414</v>
      </c>
    </row>
    <row r="1002" spans="2:3" x14ac:dyDescent="0.25">
      <c r="B1002" s="798" t="s">
        <v>2143</v>
      </c>
      <c r="C1002" s="782">
        <v>99511</v>
      </c>
    </row>
    <row r="1003" spans="2:3" x14ac:dyDescent="0.25">
      <c r="B1003" s="798" t="s">
        <v>2144</v>
      </c>
      <c r="C1003" s="782">
        <v>99941</v>
      </c>
    </row>
    <row r="1004" spans="2:3" x14ac:dyDescent="0.25">
      <c r="B1004" s="798" t="s">
        <v>1710</v>
      </c>
      <c r="C1004" s="782">
        <v>96405</v>
      </c>
    </row>
    <row r="1005" spans="2:3" x14ac:dyDescent="0.25">
      <c r="B1005" s="798" t="s">
        <v>2145</v>
      </c>
      <c r="C1005" s="782">
        <v>98811</v>
      </c>
    </row>
    <row r="1006" spans="2:3" x14ac:dyDescent="0.25">
      <c r="B1006" s="798" t="s">
        <v>3698</v>
      </c>
      <c r="C1006" s="782">
        <v>98817</v>
      </c>
    </row>
    <row r="1007" spans="2:3" x14ac:dyDescent="0.25">
      <c r="B1007" s="798" t="s">
        <v>2146</v>
      </c>
      <c r="C1007" s="782">
        <v>92561</v>
      </c>
    </row>
    <row r="1008" spans="2:3" x14ac:dyDescent="0.25">
      <c r="B1008" s="798" t="s">
        <v>1869</v>
      </c>
      <c r="C1008" s="782">
        <v>98102</v>
      </c>
    </row>
    <row r="1009" spans="2:3" x14ac:dyDescent="0.25">
      <c r="B1009" s="798" t="s">
        <v>2147</v>
      </c>
      <c r="C1009" s="782">
        <v>95321</v>
      </c>
    </row>
    <row r="1010" spans="2:3" x14ac:dyDescent="0.25">
      <c r="B1010" s="798" t="s">
        <v>2148</v>
      </c>
      <c r="C1010" s="782">
        <v>91861</v>
      </c>
    </row>
    <row r="1011" spans="2:3" x14ac:dyDescent="0.25">
      <c r="B1011" s="798" t="s">
        <v>2149</v>
      </c>
      <c r="C1011" s="782">
        <v>92421</v>
      </c>
    </row>
    <row r="1012" spans="2:3" x14ac:dyDescent="0.25">
      <c r="B1012" s="798" t="s">
        <v>3699</v>
      </c>
      <c r="C1012" s="782">
        <v>91006</v>
      </c>
    </row>
    <row r="1013" spans="2:3" x14ac:dyDescent="0.25">
      <c r="B1013" s="798" t="s">
        <v>3700</v>
      </c>
      <c r="C1013" s="782">
        <v>91003</v>
      </c>
    </row>
    <row r="1014" spans="2:3" x14ac:dyDescent="0.25">
      <c r="B1014" s="798" t="s">
        <v>1227</v>
      </c>
      <c r="C1014" s="782">
        <v>91001</v>
      </c>
    </row>
    <row r="1015" spans="2:3" x14ac:dyDescent="0.25">
      <c r="B1015" s="798" t="s">
        <v>3701</v>
      </c>
      <c r="C1015" s="782">
        <v>91004</v>
      </c>
    </row>
    <row r="1016" spans="2:3" x14ac:dyDescent="0.25">
      <c r="B1016" s="798" t="s">
        <v>3702</v>
      </c>
      <c r="C1016" s="782">
        <v>91009</v>
      </c>
    </row>
    <row r="1017" spans="2:3" x14ac:dyDescent="0.25">
      <c r="B1017" s="798" t="s">
        <v>3703</v>
      </c>
      <c r="C1017" s="782">
        <v>91042</v>
      </c>
    </row>
    <row r="1018" spans="2:3" x14ac:dyDescent="0.25">
      <c r="B1018" s="798" t="s">
        <v>2150</v>
      </c>
      <c r="C1018" s="782">
        <v>98711</v>
      </c>
    </row>
    <row r="1019" spans="2:3" x14ac:dyDescent="0.25">
      <c r="B1019" s="798" t="s">
        <v>3704</v>
      </c>
      <c r="C1019" s="782">
        <v>98717</v>
      </c>
    </row>
    <row r="1020" spans="2:3" x14ac:dyDescent="0.25">
      <c r="B1020" s="798" t="s">
        <v>1255</v>
      </c>
      <c r="C1020" s="782">
        <v>91101</v>
      </c>
    </row>
    <row r="1021" spans="2:3" x14ac:dyDescent="0.25">
      <c r="B1021" s="798" t="s">
        <v>2151</v>
      </c>
      <c r="C1021" s="782">
        <v>93531</v>
      </c>
    </row>
    <row r="1022" spans="2:3" x14ac:dyDescent="0.25">
      <c r="B1022" s="798" t="s">
        <v>3705</v>
      </c>
      <c r="C1022" s="782">
        <v>93537</v>
      </c>
    </row>
    <row r="1023" spans="2:3" x14ac:dyDescent="0.25">
      <c r="B1023" s="798" t="s">
        <v>2152</v>
      </c>
      <c r="C1023" s="782">
        <v>97111</v>
      </c>
    </row>
    <row r="1024" spans="2:3" x14ac:dyDescent="0.25">
      <c r="B1024" s="798" t="s">
        <v>3706</v>
      </c>
      <c r="C1024" s="782">
        <v>91206</v>
      </c>
    </row>
    <row r="1025" spans="2:3" x14ac:dyDescent="0.25">
      <c r="B1025" s="798" t="s">
        <v>3707</v>
      </c>
      <c r="C1025" s="782">
        <v>91203</v>
      </c>
    </row>
    <row r="1026" spans="2:3" x14ac:dyDescent="0.25">
      <c r="B1026" s="798" t="s">
        <v>1274</v>
      </c>
      <c r="C1026" s="782">
        <v>91201</v>
      </c>
    </row>
    <row r="1027" spans="2:3" x14ac:dyDescent="0.25">
      <c r="B1027" s="798" t="s">
        <v>3708</v>
      </c>
      <c r="C1027" s="782">
        <v>91208</v>
      </c>
    </row>
    <row r="1028" spans="2:3" x14ac:dyDescent="0.25">
      <c r="B1028" s="798" t="s">
        <v>3709</v>
      </c>
      <c r="C1028" s="782">
        <v>91202</v>
      </c>
    </row>
    <row r="1029" spans="2:3" x14ac:dyDescent="0.25">
      <c r="B1029" s="798" t="s">
        <v>2153</v>
      </c>
      <c r="C1029" s="782">
        <v>90111</v>
      </c>
    </row>
    <row r="1030" spans="2:3" x14ac:dyDescent="0.25">
      <c r="B1030" s="798" t="s">
        <v>2154</v>
      </c>
      <c r="C1030" s="782">
        <v>90011</v>
      </c>
    </row>
    <row r="1031" spans="2:3" x14ac:dyDescent="0.25">
      <c r="B1031" s="798" t="s">
        <v>2155</v>
      </c>
      <c r="C1031" s="782">
        <v>93931</v>
      </c>
    </row>
    <row r="1032" spans="2:3" x14ac:dyDescent="0.25">
      <c r="B1032" s="798" t="s">
        <v>3710</v>
      </c>
      <c r="C1032" s="782">
        <v>91306</v>
      </c>
    </row>
    <row r="1033" spans="2:3" x14ac:dyDescent="0.25">
      <c r="B1033" s="798" t="s">
        <v>1288</v>
      </c>
      <c r="C1033" s="782">
        <v>91301</v>
      </c>
    </row>
    <row r="1034" spans="2:3" x14ac:dyDescent="0.25">
      <c r="B1034" s="798" t="s">
        <v>3711</v>
      </c>
      <c r="C1034" s="782">
        <v>91308</v>
      </c>
    </row>
    <row r="1035" spans="2:3" x14ac:dyDescent="0.25">
      <c r="B1035" s="798" t="s">
        <v>3712</v>
      </c>
      <c r="C1035" s="782">
        <v>91461</v>
      </c>
    </row>
    <row r="1036" spans="2:3" x14ac:dyDescent="0.25">
      <c r="B1036" s="798" t="s">
        <v>2156</v>
      </c>
      <c r="C1036" s="782">
        <v>91010</v>
      </c>
    </row>
    <row r="1037" spans="2:3" x14ac:dyDescent="0.25">
      <c r="B1037" s="798" t="s">
        <v>3713</v>
      </c>
      <c r="C1037" s="782">
        <v>91007</v>
      </c>
    </row>
    <row r="1038" spans="2:3" x14ac:dyDescent="0.25">
      <c r="B1038" s="798" t="s">
        <v>1298</v>
      </c>
      <c r="C1038" s="782">
        <v>91401</v>
      </c>
    </row>
    <row r="1039" spans="2:3" x14ac:dyDescent="0.25">
      <c r="B1039" s="798" t="s">
        <v>2157</v>
      </c>
      <c r="C1039" s="782">
        <v>93171</v>
      </c>
    </row>
    <row r="1040" spans="2:3" x14ac:dyDescent="0.25">
      <c r="B1040" s="798" t="s">
        <v>1308</v>
      </c>
      <c r="C1040" s="782">
        <v>91501</v>
      </c>
    </row>
    <row r="1041" spans="2:3" x14ac:dyDescent="0.25">
      <c r="B1041" s="798" t="s">
        <v>3714</v>
      </c>
      <c r="C1041" s="782">
        <v>91504</v>
      </c>
    </row>
    <row r="1042" spans="2:3" x14ac:dyDescent="0.25">
      <c r="B1042" s="798" t="s">
        <v>2158</v>
      </c>
      <c r="C1042" s="782">
        <v>96312</v>
      </c>
    </row>
    <row r="1043" spans="2:3" x14ac:dyDescent="0.25">
      <c r="B1043" s="798" t="s">
        <v>2159</v>
      </c>
      <c r="C1043" s="782">
        <v>96241</v>
      </c>
    </row>
    <row r="1044" spans="2:3" x14ac:dyDescent="0.25">
      <c r="B1044" s="798" t="s">
        <v>2160</v>
      </c>
      <c r="C1044" s="782">
        <v>94431</v>
      </c>
    </row>
    <row r="1045" spans="2:3" x14ac:dyDescent="0.25">
      <c r="B1045" s="798" t="s">
        <v>3715</v>
      </c>
      <c r="C1045" s="782">
        <v>94437</v>
      </c>
    </row>
    <row r="1046" spans="2:3" x14ac:dyDescent="0.25">
      <c r="B1046" s="798" t="s">
        <v>2161</v>
      </c>
      <c r="C1046" s="782">
        <v>91671</v>
      </c>
    </row>
    <row r="1047" spans="2:3" x14ac:dyDescent="0.25">
      <c r="B1047" s="798" t="s">
        <v>1232</v>
      </c>
      <c r="C1047" s="782">
        <v>91008</v>
      </c>
    </row>
    <row r="1048" spans="2:3" x14ac:dyDescent="0.25">
      <c r="B1048" s="798" t="s">
        <v>1724</v>
      </c>
      <c r="C1048" s="782">
        <v>96512</v>
      </c>
    </row>
    <row r="1049" spans="2:3" x14ac:dyDescent="0.25">
      <c r="B1049" s="798" t="s">
        <v>1721</v>
      </c>
      <c r="C1049" s="782">
        <v>96507</v>
      </c>
    </row>
    <row r="1050" spans="2:3" x14ac:dyDescent="0.25">
      <c r="B1050" s="798" t="s">
        <v>2162</v>
      </c>
      <c r="C1050" s="782">
        <v>96521</v>
      </c>
    </row>
    <row r="1051" spans="2:3" x14ac:dyDescent="0.25">
      <c r="B1051" s="798" t="s">
        <v>2163</v>
      </c>
      <c r="C1051" s="782">
        <v>91024</v>
      </c>
    </row>
    <row r="1052" spans="2:3" x14ac:dyDescent="0.25">
      <c r="B1052" s="798" t="s">
        <v>2164</v>
      </c>
      <c r="C1052" s="782">
        <v>96821</v>
      </c>
    </row>
    <row r="1053" spans="2:3" x14ac:dyDescent="0.25">
      <c r="B1053" s="798" t="s">
        <v>1310</v>
      </c>
      <c r="C1053" s="782">
        <v>91601</v>
      </c>
    </row>
    <row r="1054" spans="2:3" x14ac:dyDescent="0.25">
      <c r="B1054" s="798" t="s">
        <v>3716</v>
      </c>
      <c r="C1054" s="782">
        <v>91604</v>
      </c>
    </row>
    <row r="1055" spans="2:3" x14ac:dyDescent="0.25">
      <c r="B1055" s="798" t="s">
        <v>2165</v>
      </c>
      <c r="C1055" s="782">
        <v>96391</v>
      </c>
    </row>
    <row r="1056" spans="2:3" x14ac:dyDescent="0.25">
      <c r="B1056" s="798" t="s">
        <v>2166</v>
      </c>
      <c r="C1056" s="782">
        <v>99221</v>
      </c>
    </row>
    <row r="1057" spans="2:3" x14ac:dyDescent="0.25">
      <c r="B1057" s="798" t="s">
        <v>2167</v>
      </c>
      <c r="C1057" s="782">
        <v>91051</v>
      </c>
    </row>
    <row r="1058" spans="2:3" x14ac:dyDescent="0.25">
      <c r="B1058" s="798" t="s">
        <v>3717</v>
      </c>
      <c r="C1058" s="782">
        <v>91706</v>
      </c>
    </row>
    <row r="1059" spans="2:3" x14ac:dyDescent="0.25">
      <c r="B1059" s="798" t="s">
        <v>1323</v>
      </c>
      <c r="C1059" s="782">
        <v>91701</v>
      </c>
    </row>
    <row r="1060" spans="2:3" x14ac:dyDescent="0.25">
      <c r="B1060" s="798" t="s">
        <v>3718</v>
      </c>
      <c r="C1060" s="782">
        <v>91704</v>
      </c>
    </row>
    <row r="1061" spans="2:3" x14ac:dyDescent="0.25">
      <c r="B1061" s="798" t="s">
        <v>2168</v>
      </c>
      <c r="C1061" s="782">
        <v>91881</v>
      </c>
    </row>
    <row r="1062" spans="2:3" x14ac:dyDescent="0.25">
      <c r="B1062" s="798" t="s">
        <v>1326</v>
      </c>
      <c r="C1062" s="782">
        <v>91801</v>
      </c>
    </row>
    <row r="1063" spans="2:3" x14ac:dyDescent="0.25">
      <c r="B1063" s="798" t="s">
        <v>3719</v>
      </c>
      <c r="C1063" s="782">
        <v>91804</v>
      </c>
    </row>
    <row r="1064" spans="2:3" x14ac:dyDescent="0.25">
      <c r="B1064" s="798" t="s">
        <v>2169</v>
      </c>
      <c r="C1064" s="782">
        <v>91691</v>
      </c>
    </row>
    <row r="1065" spans="2:3" x14ac:dyDescent="0.25">
      <c r="B1065" s="798" t="s">
        <v>3720</v>
      </c>
      <c r="C1065" s="782">
        <v>99222</v>
      </c>
    </row>
    <row r="1066" spans="2:3" x14ac:dyDescent="0.25">
      <c r="B1066" s="798" t="s">
        <v>3522</v>
      </c>
      <c r="C1066" s="782">
        <v>93408</v>
      </c>
    </row>
    <row r="1067" spans="2:3" x14ac:dyDescent="0.25">
      <c r="B1067" s="798" t="s">
        <v>1672</v>
      </c>
      <c r="C1067" s="782">
        <v>96009</v>
      </c>
    </row>
    <row r="1068" spans="2:3" x14ac:dyDescent="0.25">
      <c r="B1068" s="798" t="s">
        <v>2170</v>
      </c>
      <c r="C1068" s="782">
        <v>92441</v>
      </c>
    </row>
    <row r="1069" spans="2:3" x14ac:dyDescent="0.25">
      <c r="B1069" s="798" t="s">
        <v>2171</v>
      </c>
      <c r="C1069" s="782">
        <v>96811</v>
      </c>
    </row>
    <row r="1070" spans="2:3" x14ac:dyDescent="0.25">
      <c r="B1070" s="798" t="s">
        <v>2172</v>
      </c>
      <c r="C1070" s="782">
        <v>96011</v>
      </c>
    </row>
    <row r="1071" spans="2:3" x14ac:dyDescent="0.25">
      <c r="B1071" s="798" t="s">
        <v>3721</v>
      </c>
      <c r="C1071" s="782">
        <v>96018</v>
      </c>
    </row>
    <row r="1072" spans="2:3" x14ac:dyDescent="0.25">
      <c r="B1072" s="798" t="s">
        <v>3722</v>
      </c>
      <c r="C1072" s="782">
        <v>96003</v>
      </c>
    </row>
    <row r="1073" spans="2:3" x14ac:dyDescent="0.25">
      <c r="B1073" s="798" t="s">
        <v>3723</v>
      </c>
      <c r="C1073" s="782">
        <v>96005</v>
      </c>
    </row>
    <row r="1074" spans="2:3" x14ac:dyDescent="0.25">
      <c r="B1074" s="798" t="s">
        <v>3523</v>
      </c>
      <c r="C1074" s="782">
        <v>96012</v>
      </c>
    </row>
    <row r="1075" spans="2:3" x14ac:dyDescent="0.25">
      <c r="B1075" s="798" t="s">
        <v>3724</v>
      </c>
      <c r="C1075" s="782">
        <v>91903</v>
      </c>
    </row>
    <row r="1076" spans="2:3" x14ac:dyDescent="0.25">
      <c r="B1076" s="798" t="s">
        <v>1340</v>
      </c>
      <c r="C1076" s="782">
        <v>91901</v>
      </c>
    </row>
    <row r="1077" spans="2:3" x14ac:dyDescent="0.25">
      <c r="B1077" s="798" t="s">
        <v>3725</v>
      </c>
      <c r="C1077" s="782">
        <v>91904</v>
      </c>
    </row>
    <row r="1078" spans="2:3" x14ac:dyDescent="0.25">
      <c r="B1078" s="798" t="s">
        <v>1347</v>
      </c>
      <c r="C1078" s="782">
        <v>92001</v>
      </c>
    </row>
    <row r="1079" spans="2:3" x14ac:dyDescent="0.25">
      <c r="B1079" s="798" t="s">
        <v>2173</v>
      </c>
      <c r="C1079" s="782">
        <v>93641</v>
      </c>
    </row>
    <row r="1080" spans="2:3" x14ac:dyDescent="0.25">
      <c r="B1080" s="798" t="s">
        <v>3726</v>
      </c>
      <c r="C1080" s="782">
        <v>93647</v>
      </c>
    </row>
    <row r="1081" spans="2:3" x14ac:dyDescent="0.25">
      <c r="B1081" s="798" t="s">
        <v>2174</v>
      </c>
      <c r="C1081" s="782">
        <v>98041</v>
      </c>
    </row>
    <row r="1082" spans="2:3" x14ac:dyDescent="0.25">
      <c r="B1082" s="798" t="s">
        <v>3727</v>
      </c>
      <c r="C1082" s="782">
        <v>96612</v>
      </c>
    </row>
    <row r="1083" spans="2:3" x14ac:dyDescent="0.25">
      <c r="B1083" s="798" t="s">
        <v>2175</v>
      </c>
      <c r="C1083" s="782">
        <v>90751</v>
      </c>
    </row>
    <row r="1084" spans="2:3" x14ac:dyDescent="0.25">
      <c r="B1084" s="798" t="s">
        <v>1352</v>
      </c>
      <c r="C1084" s="782">
        <v>92101</v>
      </c>
    </row>
    <row r="1085" spans="2:3" x14ac:dyDescent="0.25">
      <c r="B1085" s="798" t="s">
        <v>3728</v>
      </c>
      <c r="C1085" s="782">
        <v>92104</v>
      </c>
    </row>
    <row r="1086" spans="2:3" x14ac:dyDescent="0.25">
      <c r="B1086" s="798" t="s">
        <v>2176</v>
      </c>
      <c r="C1086" s="782">
        <v>91821</v>
      </c>
    </row>
    <row r="1087" spans="2:3" x14ac:dyDescent="0.25">
      <c r="B1087" s="798" t="s">
        <v>2177</v>
      </c>
      <c r="C1087" s="782">
        <v>90931</v>
      </c>
    </row>
    <row r="1088" spans="2:3" x14ac:dyDescent="0.25">
      <c r="B1088" s="798" t="s">
        <v>1357</v>
      </c>
      <c r="C1088" s="782">
        <v>92201</v>
      </c>
    </row>
    <row r="1089" spans="2:3" x14ac:dyDescent="0.25">
      <c r="B1089" s="798" t="s">
        <v>2178</v>
      </c>
      <c r="C1089" s="782">
        <v>95131</v>
      </c>
    </row>
    <row r="1090" spans="2:3" x14ac:dyDescent="0.25">
      <c r="B1090" s="798" t="s">
        <v>2179</v>
      </c>
      <c r="C1090" s="782">
        <v>93441</v>
      </c>
    </row>
    <row r="1091" spans="2:3" x14ac:dyDescent="0.25">
      <c r="B1091" s="798" t="s">
        <v>1469</v>
      </c>
      <c r="C1091" s="782">
        <v>93442</v>
      </c>
    </row>
    <row r="1092" spans="2:3" x14ac:dyDescent="0.25">
      <c r="B1092" s="798" t="s">
        <v>2180</v>
      </c>
      <c r="C1092" s="782">
        <v>98091</v>
      </c>
    </row>
    <row r="1093" spans="2:3" x14ac:dyDescent="0.25">
      <c r="B1093" s="798" t="s">
        <v>1358</v>
      </c>
      <c r="C1093" s="782">
        <v>92301</v>
      </c>
    </row>
    <row r="1094" spans="2:3" x14ac:dyDescent="0.25">
      <c r="B1094" s="798" t="s">
        <v>3729</v>
      </c>
      <c r="C1094" s="782">
        <v>92302</v>
      </c>
    </row>
    <row r="1095" spans="2:3" x14ac:dyDescent="0.25">
      <c r="B1095" s="798" t="s">
        <v>2181</v>
      </c>
      <c r="C1095" s="782">
        <v>98211</v>
      </c>
    </row>
    <row r="1096" spans="2:3" x14ac:dyDescent="0.25">
      <c r="B1096" s="798" t="s">
        <v>3730</v>
      </c>
      <c r="C1096" s="782">
        <v>98218</v>
      </c>
    </row>
    <row r="1097" spans="2:3" x14ac:dyDescent="0.25">
      <c r="B1097" s="798" t="s">
        <v>3731</v>
      </c>
      <c r="C1097" s="782">
        <v>92506</v>
      </c>
    </row>
    <row r="1098" spans="2:3" x14ac:dyDescent="0.25">
      <c r="B1098" s="798" t="s">
        <v>3732</v>
      </c>
      <c r="C1098" s="782">
        <v>92508</v>
      </c>
    </row>
    <row r="1099" spans="2:3" x14ac:dyDescent="0.25">
      <c r="B1099" s="798" t="s">
        <v>2182</v>
      </c>
      <c r="C1099" s="782">
        <v>94341</v>
      </c>
    </row>
    <row r="1100" spans="2:3" x14ac:dyDescent="0.25">
      <c r="B1100" s="798" t="s">
        <v>2183</v>
      </c>
      <c r="C1100" s="782">
        <v>94641</v>
      </c>
    </row>
    <row r="1101" spans="2:3" x14ac:dyDescent="0.25">
      <c r="B1101" s="798" t="s">
        <v>2184</v>
      </c>
      <c r="C1101" s="782">
        <v>90813</v>
      </c>
    </row>
    <row r="1102" spans="2:3" x14ac:dyDescent="0.25">
      <c r="B1102" s="798" t="s">
        <v>1534</v>
      </c>
      <c r="C1102" s="782">
        <v>94168</v>
      </c>
    </row>
    <row r="1103" spans="2:3" x14ac:dyDescent="0.25">
      <c r="B1103" s="798" t="s">
        <v>2185</v>
      </c>
      <c r="C1103" s="782">
        <v>98911</v>
      </c>
    </row>
    <row r="1104" spans="2:3" x14ac:dyDescent="0.25">
      <c r="B1104" s="798" t="s">
        <v>2186</v>
      </c>
      <c r="C1104" s="782">
        <v>97521</v>
      </c>
    </row>
    <row r="1105" spans="2:3" x14ac:dyDescent="0.25">
      <c r="B1105" s="798" t="s">
        <v>1367</v>
      </c>
      <c r="C1105" s="782">
        <v>92401</v>
      </c>
    </row>
    <row r="1106" spans="2:3" x14ac:dyDescent="0.25">
      <c r="B1106" s="798" t="s">
        <v>2187</v>
      </c>
      <c r="C1106" s="782">
        <v>91311</v>
      </c>
    </row>
    <row r="1107" spans="2:3" x14ac:dyDescent="0.25">
      <c r="B1107" s="798" t="s">
        <v>3733</v>
      </c>
      <c r="C1107" s="782">
        <v>91317</v>
      </c>
    </row>
    <row r="1108" spans="2:3" x14ac:dyDescent="0.25">
      <c r="B1108" s="798" t="s">
        <v>2188</v>
      </c>
      <c r="C1108" s="782">
        <v>91261</v>
      </c>
    </row>
    <row r="1109" spans="2:3" x14ac:dyDescent="0.25">
      <c r="B1109" s="798" t="s">
        <v>2189</v>
      </c>
      <c r="C1109" s="782">
        <v>91851</v>
      </c>
    </row>
    <row r="1110" spans="2:3" x14ac:dyDescent="0.25">
      <c r="B1110" s="798" t="s">
        <v>3734</v>
      </c>
      <c r="C1110" s="782">
        <v>97408</v>
      </c>
    </row>
    <row r="1111" spans="2:3" x14ac:dyDescent="0.25">
      <c r="B1111" s="798" t="s">
        <v>2190</v>
      </c>
      <c r="C1111" s="782">
        <v>96641</v>
      </c>
    </row>
    <row r="1112" spans="2:3" x14ac:dyDescent="0.25">
      <c r="B1112" s="798" t="s">
        <v>2191</v>
      </c>
      <c r="C1112" s="782">
        <v>93031</v>
      </c>
    </row>
    <row r="1113" spans="2:3" x14ac:dyDescent="0.25">
      <c r="B1113" s="798" t="s">
        <v>3735</v>
      </c>
      <c r="C1113" s="782">
        <v>93027</v>
      </c>
    </row>
    <row r="1114" spans="2:3" x14ac:dyDescent="0.25">
      <c r="B1114" s="798" t="s">
        <v>2192</v>
      </c>
      <c r="C1114" s="782">
        <v>96051</v>
      </c>
    </row>
    <row r="1115" spans="2:3" x14ac:dyDescent="0.25">
      <c r="B1115" s="798" t="s">
        <v>3736</v>
      </c>
      <c r="C1115" s="782">
        <v>94501</v>
      </c>
    </row>
    <row r="1116" spans="2:3" x14ac:dyDescent="0.25">
      <c r="B1116" s="798" t="s">
        <v>2193</v>
      </c>
      <c r="C1116" s="782">
        <v>92571</v>
      </c>
    </row>
    <row r="1117" spans="2:3" x14ac:dyDescent="0.25">
      <c r="B1117" s="798" t="s">
        <v>2194</v>
      </c>
      <c r="C1117" s="782">
        <v>93631</v>
      </c>
    </row>
    <row r="1118" spans="2:3" x14ac:dyDescent="0.25">
      <c r="B1118" s="798" t="s">
        <v>3737</v>
      </c>
      <c r="C1118" s="782">
        <v>92504</v>
      </c>
    </row>
    <row r="1119" spans="2:3" x14ac:dyDescent="0.25">
      <c r="B1119" s="798" t="s">
        <v>1378</v>
      </c>
      <c r="C1119" s="782">
        <v>92501</v>
      </c>
    </row>
    <row r="1120" spans="2:3" x14ac:dyDescent="0.25">
      <c r="B1120" s="798" t="s">
        <v>1381</v>
      </c>
      <c r="C1120" s="782">
        <v>92505</v>
      </c>
    </row>
    <row r="1121" spans="2:3" x14ac:dyDescent="0.25">
      <c r="B1121" s="798" t="s">
        <v>2195</v>
      </c>
      <c r="C1121" s="782">
        <v>93921</v>
      </c>
    </row>
    <row r="1122" spans="2:3" x14ac:dyDescent="0.25">
      <c r="B1122" s="798" t="s">
        <v>2196</v>
      </c>
      <c r="C1122" s="782">
        <v>99431</v>
      </c>
    </row>
    <row r="1123" spans="2:3" x14ac:dyDescent="0.25">
      <c r="B1123" s="798" t="s">
        <v>3738</v>
      </c>
      <c r="C1123" s="782">
        <v>92604</v>
      </c>
    </row>
    <row r="1124" spans="2:3" x14ac:dyDescent="0.25">
      <c r="B1124" s="798" t="s">
        <v>1392</v>
      </c>
      <c r="C1124" s="782">
        <v>92601</v>
      </c>
    </row>
    <row r="1125" spans="2:3" x14ac:dyDescent="0.25">
      <c r="B1125" s="798" t="s">
        <v>1395</v>
      </c>
      <c r="C1125" s="782">
        <v>92608</v>
      </c>
    </row>
    <row r="1126" spans="2:3" x14ac:dyDescent="0.25">
      <c r="B1126" s="798" t="s">
        <v>3739</v>
      </c>
      <c r="C1126" s="782">
        <v>92704</v>
      </c>
    </row>
    <row r="1127" spans="2:3" x14ac:dyDescent="0.25">
      <c r="B1127" s="798" t="s">
        <v>1406</v>
      </c>
      <c r="C1127" s="782">
        <v>92701</v>
      </c>
    </row>
    <row r="1128" spans="2:3" x14ac:dyDescent="0.25">
      <c r="B1128" s="798" t="s">
        <v>2197</v>
      </c>
      <c r="C1128" s="782">
        <v>93651</v>
      </c>
    </row>
    <row r="1129" spans="2:3" x14ac:dyDescent="0.25">
      <c r="B1129" s="798" t="s">
        <v>1408</v>
      </c>
      <c r="C1129" s="782">
        <v>92801</v>
      </c>
    </row>
    <row r="1130" spans="2:3" x14ac:dyDescent="0.25">
      <c r="B1130" s="798" t="s">
        <v>3740</v>
      </c>
      <c r="C1130" s="782">
        <v>92804</v>
      </c>
    </row>
    <row r="1131" spans="2:3" x14ac:dyDescent="0.25">
      <c r="B1131" s="798" t="s">
        <v>1409</v>
      </c>
      <c r="C1131" s="782">
        <v>92802</v>
      </c>
    </row>
    <row r="1132" spans="2:3" x14ac:dyDescent="0.25">
      <c r="B1132" s="798" t="s">
        <v>2198</v>
      </c>
      <c r="C1132" s="782">
        <v>96081</v>
      </c>
    </row>
    <row r="1133" spans="2:3" x14ac:dyDescent="0.25">
      <c r="B1133" s="798" t="s">
        <v>1417</v>
      </c>
      <c r="C1133" s="782">
        <v>92901</v>
      </c>
    </row>
    <row r="1134" spans="2:3" x14ac:dyDescent="0.25">
      <c r="B1134" s="798" t="s">
        <v>1424</v>
      </c>
      <c r="C1134" s="782">
        <v>93001</v>
      </c>
    </row>
    <row r="1135" spans="2:3" x14ac:dyDescent="0.25">
      <c r="B1135" s="798" t="s">
        <v>3741</v>
      </c>
      <c r="C1135" s="782">
        <v>93009</v>
      </c>
    </row>
    <row r="1136" spans="2:3" x14ac:dyDescent="0.25">
      <c r="B1136" s="798" t="s">
        <v>2199</v>
      </c>
      <c r="C1136" s="782">
        <v>92921</v>
      </c>
    </row>
    <row r="1137" spans="2:3" x14ac:dyDescent="0.25">
      <c r="B1137" s="798" t="s">
        <v>2200</v>
      </c>
      <c r="C1137" s="782">
        <v>98621</v>
      </c>
    </row>
    <row r="1138" spans="2:3" x14ac:dyDescent="0.25">
      <c r="B1138" s="798" t="s">
        <v>3742</v>
      </c>
      <c r="C1138" s="782">
        <v>98627</v>
      </c>
    </row>
    <row r="1139" spans="2:3" x14ac:dyDescent="0.25">
      <c r="B1139" s="798" t="s">
        <v>2201</v>
      </c>
      <c r="C1139" s="782">
        <v>91221</v>
      </c>
    </row>
    <row r="1140" spans="2:3" x14ac:dyDescent="0.25">
      <c r="B1140" s="798" t="s">
        <v>2202</v>
      </c>
      <c r="C1140" s="782">
        <v>92861</v>
      </c>
    </row>
    <row r="1141" spans="2:3" x14ac:dyDescent="0.25">
      <c r="B1141" s="798" t="s">
        <v>2203</v>
      </c>
      <c r="C1141" s="782">
        <v>94311</v>
      </c>
    </row>
    <row r="1142" spans="2:3" x14ac:dyDescent="0.25">
      <c r="B1142" s="798" t="s">
        <v>3743</v>
      </c>
      <c r="C1142" s="782">
        <v>94317</v>
      </c>
    </row>
    <row r="1143" spans="2:3" x14ac:dyDescent="0.25">
      <c r="B1143" s="798" t="s">
        <v>1549</v>
      </c>
      <c r="C1143" s="782">
        <v>94313</v>
      </c>
    </row>
    <row r="1144" spans="2:3" x14ac:dyDescent="0.25">
      <c r="B1144" s="798" t="s">
        <v>1430</v>
      </c>
      <c r="C1144" s="782">
        <v>93101</v>
      </c>
    </row>
    <row r="1145" spans="2:3" x14ac:dyDescent="0.25">
      <c r="B1145" s="798" t="s">
        <v>2204</v>
      </c>
      <c r="C1145" s="782">
        <v>93103</v>
      </c>
    </row>
    <row r="1146" spans="2:3" x14ac:dyDescent="0.25">
      <c r="B1146" s="798" t="s">
        <v>2205</v>
      </c>
      <c r="C1146" s="782">
        <v>93211</v>
      </c>
    </row>
    <row r="1147" spans="2:3" x14ac:dyDescent="0.25">
      <c r="B1147" s="798" t="s">
        <v>3744</v>
      </c>
      <c r="C1147" s="782">
        <v>93212</v>
      </c>
    </row>
    <row r="1148" spans="2:3" x14ac:dyDescent="0.25">
      <c r="B1148" s="798" t="s">
        <v>1443</v>
      </c>
      <c r="C1148" s="782">
        <v>93201</v>
      </c>
    </row>
    <row r="1149" spans="2:3" x14ac:dyDescent="0.25">
      <c r="B1149" s="798" t="s">
        <v>3745</v>
      </c>
      <c r="C1149" s="782">
        <v>93204</v>
      </c>
    </row>
    <row r="1150" spans="2:3" x14ac:dyDescent="0.25">
      <c r="B1150" s="798" t="s">
        <v>3746</v>
      </c>
      <c r="C1150" s="782">
        <v>99212</v>
      </c>
    </row>
    <row r="1151" spans="2:3" x14ac:dyDescent="0.25">
      <c r="B1151" s="798" t="s">
        <v>1762</v>
      </c>
      <c r="C1151" s="782">
        <v>97005</v>
      </c>
    </row>
    <row r="1152" spans="2:3" x14ac:dyDescent="0.25">
      <c r="B1152" s="798" t="s">
        <v>2206</v>
      </c>
      <c r="C1152" s="782">
        <v>99931</v>
      </c>
    </row>
    <row r="1153" spans="2:3" x14ac:dyDescent="0.25">
      <c r="B1153" s="798" t="s">
        <v>2207</v>
      </c>
      <c r="C1153" s="782">
        <v>98021</v>
      </c>
    </row>
    <row r="1154" spans="2:3" x14ac:dyDescent="0.25">
      <c r="B1154" s="798" t="s">
        <v>1860</v>
      </c>
      <c r="C1154" s="782">
        <v>98023</v>
      </c>
    </row>
    <row r="1155" spans="2:3" x14ac:dyDescent="0.25">
      <c r="B1155" s="798" t="s">
        <v>1157</v>
      </c>
      <c r="C1155" s="782">
        <v>70505</v>
      </c>
    </row>
    <row r="1156" spans="2:3" x14ac:dyDescent="0.25">
      <c r="B1156" s="798" t="s">
        <v>3747</v>
      </c>
      <c r="C1156" s="782">
        <v>99603</v>
      </c>
    </row>
    <row r="1157" spans="2:3" x14ac:dyDescent="0.25">
      <c r="B1157" s="798" t="s">
        <v>3748</v>
      </c>
      <c r="C1157" s="782">
        <v>99610</v>
      </c>
    </row>
    <row r="1158" spans="2:3" x14ac:dyDescent="0.25">
      <c r="B1158" s="798" t="s">
        <v>2208</v>
      </c>
      <c r="C1158" s="782">
        <v>92681</v>
      </c>
    </row>
    <row r="1159" spans="2:3" x14ac:dyDescent="0.25">
      <c r="B1159" s="798" t="s">
        <v>3526</v>
      </c>
      <c r="C1159" s="782">
        <v>93108</v>
      </c>
    </row>
    <row r="1160" spans="2:3" x14ac:dyDescent="0.25">
      <c r="B1160" s="798" t="s">
        <v>2209</v>
      </c>
      <c r="C1160" s="782">
        <v>97951</v>
      </c>
    </row>
    <row r="1161" spans="2:3" x14ac:dyDescent="0.25">
      <c r="B1161" s="798" t="s">
        <v>3749</v>
      </c>
      <c r="C1161" s="782">
        <v>97957</v>
      </c>
    </row>
    <row r="1162" spans="2:3" x14ac:dyDescent="0.25">
      <c r="B1162" s="798" t="s">
        <v>2210</v>
      </c>
      <c r="C1162" s="782">
        <v>92111</v>
      </c>
    </row>
    <row r="1163" spans="2:3" x14ac:dyDescent="0.25">
      <c r="B1163" s="798" t="s">
        <v>1450</v>
      </c>
      <c r="C1163" s="782">
        <v>93301</v>
      </c>
    </row>
    <row r="1164" spans="2:3" x14ac:dyDescent="0.25">
      <c r="B1164" s="798" t="s">
        <v>3750</v>
      </c>
      <c r="C1164" s="782">
        <v>93304</v>
      </c>
    </row>
    <row r="1165" spans="2:3" x14ac:dyDescent="0.25">
      <c r="B1165" s="798" t="s">
        <v>3751</v>
      </c>
      <c r="C1165" s="782">
        <v>93305</v>
      </c>
    </row>
    <row r="1166" spans="2:3" x14ac:dyDescent="0.25">
      <c r="B1166" s="798" t="s">
        <v>3752</v>
      </c>
      <c r="C1166" s="782">
        <v>99210</v>
      </c>
    </row>
    <row r="1167" spans="2:3" x14ac:dyDescent="0.25">
      <c r="B1167" s="798" t="s">
        <v>1765</v>
      </c>
      <c r="C1167" s="782">
        <v>97011</v>
      </c>
    </row>
    <row r="1168" spans="2:3" x14ac:dyDescent="0.25">
      <c r="B1168" s="798" t="s">
        <v>3753</v>
      </c>
      <c r="C1168" s="782">
        <v>97013</v>
      </c>
    </row>
    <row r="1169" spans="2:3" x14ac:dyDescent="0.25">
      <c r="B1169" s="798" t="s">
        <v>3754</v>
      </c>
      <c r="C1169" s="782">
        <v>97012</v>
      </c>
    </row>
    <row r="1170" spans="2:3" x14ac:dyDescent="0.25">
      <c r="B1170" s="798" t="s">
        <v>3755</v>
      </c>
      <c r="C1170" s="782">
        <v>97018</v>
      </c>
    </row>
    <row r="1171" spans="2:3" x14ac:dyDescent="0.25">
      <c r="B1171" s="798" t="s">
        <v>2211</v>
      </c>
      <c r="C1171" s="782">
        <v>90911</v>
      </c>
    </row>
    <row r="1172" spans="2:3" x14ac:dyDescent="0.25">
      <c r="B1172" s="798" t="s">
        <v>3756</v>
      </c>
      <c r="C1172" s="782">
        <v>90917</v>
      </c>
    </row>
    <row r="1173" spans="2:3" x14ac:dyDescent="0.25">
      <c r="B1173" s="798" t="s">
        <v>2212</v>
      </c>
      <c r="C1173" s="782">
        <v>90641</v>
      </c>
    </row>
    <row r="1174" spans="2:3" x14ac:dyDescent="0.25">
      <c r="B1174" s="798" t="s">
        <v>2213</v>
      </c>
      <c r="C1174" s="782">
        <v>98641</v>
      </c>
    </row>
    <row r="1175" spans="2:3" x14ac:dyDescent="0.25">
      <c r="B1175" s="798" t="s">
        <v>2214</v>
      </c>
      <c r="C1175" s="782">
        <v>98161</v>
      </c>
    </row>
    <row r="1176" spans="2:3" x14ac:dyDescent="0.25">
      <c r="B1176" s="798" t="s">
        <v>2215</v>
      </c>
      <c r="C1176" s="782">
        <v>97731</v>
      </c>
    </row>
    <row r="1177" spans="2:3" x14ac:dyDescent="0.25">
      <c r="B1177" s="798" t="s">
        <v>2216</v>
      </c>
      <c r="C1177" s="782">
        <v>99851</v>
      </c>
    </row>
    <row r="1178" spans="2:3" x14ac:dyDescent="0.25">
      <c r="B1178" s="798" t="s">
        <v>3757</v>
      </c>
      <c r="C1178" s="782">
        <v>90131</v>
      </c>
    </row>
    <row r="1179" spans="2:3" x14ac:dyDescent="0.25">
      <c r="B1179" s="798" t="s">
        <v>2217</v>
      </c>
      <c r="C1179" s="782">
        <v>91651</v>
      </c>
    </row>
    <row r="1180" spans="2:3" x14ac:dyDescent="0.25">
      <c r="B1180" s="798" t="s">
        <v>2218</v>
      </c>
      <c r="C1180" s="782">
        <v>94211</v>
      </c>
    </row>
    <row r="1181" spans="2:3" x14ac:dyDescent="0.25">
      <c r="B1181" s="798" t="s">
        <v>2219</v>
      </c>
      <c r="C1181" s="782">
        <v>94331</v>
      </c>
    </row>
    <row r="1182" spans="2:3" x14ac:dyDescent="0.25">
      <c r="B1182" s="798" t="s">
        <v>2220</v>
      </c>
      <c r="C1182" s="782">
        <v>92431</v>
      </c>
    </row>
    <row r="1183" spans="2:3" x14ac:dyDescent="0.25">
      <c r="B1183" s="798" t="s">
        <v>2221</v>
      </c>
      <c r="C1183" s="782">
        <v>97821</v>
      </c>
    </row>
    <row r="1184" spans="2:3" x14ac:dyDescent="0.25">
      <c r="B1184" s="798" t="s">
        <v>1832</v>
      </c>
      <c r="C1184" s="782">
        <v>97823</v>
      </c>
    </row>
    <row r="1185" spans="2:3" x14ac:dyDescent="0.25">
      <c r="B1185" s="798" t="s">
        <v>2222</v>
      </c>
      <c r="C1185" s="782">
        <v>93141</v>
      </c>
    </row>
    <row r="1186" spans="2:3" x14ac:dyDescent="0.25">
      <c r="B1186" s="798" t="s">
        <v>2223</v>
      </c>
      <c r="C1186" s="782">
        <v>98081</v>
      </c>
    </row>
    <row r="1187" spans="2:3" x14ac:dyDescent="0.25">
      <c r="B1187" s="798" t="s">
        <v>2224</v>
      </c>
      <c r="C1187" s="782">
        <v>92671</v>
      </c>
    </row>
    <row r="1188" spans="2:3" x14ac:dyDescent="0.25">
      <c r="B1188" s="798" t="s">
        <v>2225</v>
      </c>
      <c r="C1188" s="782">
        <v>97421</v>
      </c>
    </row>
    <row r="1189" spans="2:3" x14ac:dyDescent="0.25">
      <c r="B1189" s="798" t="s">
        <v>1791</v>
      </c>
      <c r="C1189" s="782">
        <v>97423</v>
      </c>
    </row>
    <row r="1190" spans="2:3" x14ac:dyDescent="0.25">
      <c r="B1190" s="798" t="s">
        <v>2226</v>
      </c>
      <c r="C1190" s="782">
        <v>92611</v>
      </c>
    </row>
    <row r="1191" spans="2:3" x14ac:dyDescent="0.25">
      <c r="B1191" s="798" t="s">
        <v>3758</v>
      </c>
      <c r="C1191" s="782">
        <v>92613</v>
      </c>
    </row>
    <row r="1192" spans="2:3" x14ac:dyDescent="0.25">
      <c r="B1192" s="798" t="s">
        <v>3759</v>
      </c>
      <c r="C1192" s="782">
        <v>92502</v>
      </c>
    </row>
    <row r="1193" spans="2:3" x14ac:dyDescent="0.25">
      <c r="B1193" s="798" t="s">
        <v>2227</v>
      </c>
      <c r="C1193" s="782">
        <v>94531</v>
      </c>
    </row>
    <row r="1194" spans="2:3" x14ac:dyDescent="0.25">
      <c r="B1194" s="798" t="s">
        <v>2228</v>
      </c>
      <c r="C1194" s="782">
        <v>94541</v>
      </c>
    </row>
    <row r="1195" spans="2:3" x14ac:dyDescent="0.25">
      <c r="B1195" s="798" t="s">
        <v>3760</v>
      </c>
      <c r="C1195" s="782">
        <v>94547</v>
      </c>
    </row>
    <row r="1196" spans="2:3" x14ac:dyDescent="0.25">
      <c r="B1196" s="798" t="s">
        <v>1601</v>
      </c>
      <c r="C1196" s="782">
        <v>95005</v>
      </c>
    </row>
    <row r="1197" spans="2:3" x14ac:dyDescent="0.25">
      <c r="B1197" s="798" t="s">
        <v>1873</v>
      </c>
      <c r="C1197" s="782">
        <v>98111</v>
      </c>
    </row>
    <row r="1198" spans="2:3" x14ac:dyDescent="0.25">
      <c r="B1198" s="798" t="s">
        <v>3761</v>
      </c>
      <c r="C1198" s="782">
        <v>98107</v>
      </c>
    </row>
    <row r="1199" spans="2:3" x14ac:dyDescent="0.25">
      <c r="B1199" s="798" t="s">
        <v>1874</v>
      </c>
      <c r="C1199" s="782">
        <v>98113</v>
      </c>
    </row>
    <row r="1200" spans="2:3" x14ac:dyDescent="0.25">
      <c r="B1200" s="798" t="s">
        <v>3762</v>
      </c>
      <c r="C1200" s="782">
        <v>99602</v>
      </c>
    </row>
    <row r="1201" spans="2:3" x14ac:dyDescent="0.25">
      <c r="B1201" s="798" t="s">
        <v>1461</v>
      </c>
      <c r="C1201" s="782">
        <v>93401</v>
      </c>
    </row>
    <row r="1202" spans="2:3" x14ac:dyDescent="0.25">
      <c r="B1202" s="798" t="s">
        <v>3763</v>
      </c>
      <c r="C1202" s="782">
        <v>97491</v>
      </c>
    </row>
    <row r="1203" spans="2:3" x14ac:dyDescent="0.25">
      <c r="B1203" s="798" t="s">
        <v>2229</v>
      </c>
      <c r="C1203" s="782">
        <v>95151</v>
      </c>
    </row>
    <row r="1204" spans="2:3" x14ac:dyDescent="0.25">
      <c r="B1204" s="798" t="s">
        <v>1706</v>
      </c>
      <c r="C1204" s="782">
        <v>96381</v>
      </c>
    </row>
    <row r="1205" spans="2:3" x14ac:dyDescent="0.25">
      <c r="B1205" s="798" t="s">
        <v>2230</v>
      </c>
      <c r="C1205" s="782">
        <v>95611</v>
      </c>
    </row>
    <row r="1206" spans="2:3" x14ac:dyDescent="0.25">
      <c r="B1206" s="798" t="s">
        <v>1473</v>
      </c>
      <c r="C1206" s="782">
        <v>93501</v>
      </c>
    </row>
    <row r="1207" spans="2:3" x14ac:dyDescent="0.25">
      <c r="B1207" s="798" t="s">
        <v>2231</v>
      </c>
      <c r="C1207" s="782">
        <v>93511</v>
      </c>
    </row>
    <row r="1208" spans="2:3" x14ac:dyDescent="0.25">
      <c r="B1208" s="798" t="s">
        <v>3764</v>
      </c>
      <c r="C1208" s="782">
        <v>93517</v>
      </c>
    </row>
    <row r="1209" spans="2:3" x14ac:dyDescent="0.25">
      <c r="B1209" s="798" t="s">
        <v>2232</v>
      </c>
      <c r="C1209" s="782">
        <v>99631</v>
      </c>
    </row>
    <row r="1210" spans="2:3" x14ac:dyDescent="0.25">
      <c r="B1210" s="798" t="s">
        <v>2233</v>
      </c>
      <c r="C1210" s="782">
        <v>99261</v>
      </c>
    </row>
    <row r="1211" spans="2:3" x14ac:dyDescent="0.25">
      <c r="B1211" s="798" t="s">
        <v>2234</v>
      </c>
      <c r="C1211" s="782">
        <v>98241</v>
      </c>
    </row>
    <row r="1212" spans="2:3" x14ac:dyDescent="0.25">
      <c r="B1212" s="798" t="s">
        <v>2235</v>
      </c>
      <c r="C1212" s="782">
        <v>99251</v>
      </c>
    </row>
    <row r="1213" spans="2:3" x14ac:dyDescent="0.25">
      <c r="B1213" s="798" t="s">
        <v>3765</v>
      </c>
      <c r="C1213" s="782">
        <v>99252</v>
      </c>
    </row>
    <row r="1214" spans="2:3" x14ac:dyDescent="0.25">
      <c r="B1214" s="798" t="s">
        <v>2236</v>
      </c>
      <c r="C1214" s="782">
        <v>96631</v>
      </c>
    </row>
    <row r="1215" spans="2:3" x14ac:dyDescent="0.25">
      <c r="B1215" s="798" t="s">
        <v>2237</v>
      </c>
      <c r="C1215" s="782">
        <v>96651</v>
      </c>
    </row>
    <row r="1216" spans="2:3" x14ac:dyDescent="0.25">
      <c r="B1216" s="798" t="s">
        <v>1481</v>
      </c>
      <c r="C1216" s="782">
        <v>93601</v>
      </c>
    </row>
    <row r="1217" spans="2:3" x14ac:dyDescent="0.25">
      <c r="B1217" s="798" t="s">
        <v>3766</v>
      </c>
      <c r="C1217" s="782">
        <v>93618</v>
      </c>
    </row>
    <row r="1218" spans="2:3" x14ac:dyDescent="0.25">
      <c r="B1218" s="798" t="s">
        <v>2238</v>
      </c>
      <c r="C1218" s="782">
        <v>93611</v>
      </c>
    </row>
    <row r="1219" spans="2:3" x14ac:dyDescent="0.25">
      <c r="B1219" s="798" t="s">
        <v>3767</v>
      </c>
      <c r="C1219" s="782">
        <v>93617</v>
      </c>
    </row>
    <row r="1220" spans="2:3" x14ac:dyDescent="0.25">
      <c r="B1220" s="798" t="s">
        <v>1498</v>
      </c>
      <c r="C1220" s="782">
        <v>93701</v>
      </c>
    </row>
    <row r="1221" spans="2:3" x14ac:dyDescent="0.25">
      <c r="B1221" s="798" t="s">
        <v>3768</v>
      </c>
      <c r="C1221" s="782">
        <v>93704</v>
      </c>
    </row>
    <row r="1222" spans="2:3" x14ac:dyDescent="0.25">
      <c r="B1222" s="798" t="s">
        <v>2239</v>
      </c>
      <c r="C1222" s="782">
        <v>98331</v>
      </c>
    </row>
    <row r="1223" spans="2:3" x14ac:dyDescent="0.25">
      <c r="B1223" s="798" t="s">
        <v>2240</v>
      </c>
      <c r="C1223" s="782">
        <v>94151</v>
      </c>
    </row>
    <row r="1224" spans="2:3" x14ac:dyDescent="0.25">
      <c r="B1224" s="798" t="s">
        <v>3769</v>
      </c>
      <c r="C1224" s="782">
        <v>94157</v>
      </c>
    </row>
    <row r="1225" spans="2:3" x14ac:dyDescent="0.25">
      <c r="B1225" s="798" t="s">
        <v>2241</v>
      </c>
      <c r="C1225" s="782">
        <v>91241</v>
      </c>
    </row>
    <row r="1226" spans="2:3" x14ac:dyDescent="0.25">
      <c r="B1226" s="798" t="s">
        <v>1635</v>
      </c>
      <c r="C1226" s="782">
        <v>95412</v>
      </c>
    </row>
    <row r="1227" spans="2:3" x14ac:dyDescent="0.25">
      <c r="B1227" s="798" t="s">
        <v>2242</v>
      </c>
      <c r="C1227" s="782">
        <v>99611</v>
      </c>
    </row>
    <row r="1228" spans="2:3" x14ac:dyDescent="0.25">
      <c r="B1228" s="798" t="s">
        <v>1343</v>
      </c>
      <c r="C1228" s="782">
        <v>91908</v>
      </c>
    </row>
    <row r="1229" spans="2:3" x14ac:dyDescent="0.25">
      <c r="B1229" s="798" t="s">
        <v>2243</v>
      </c>
      <c r="C1229" s="782">
        <v>90121</v>
      </c>
    </row>
    <row r="1230" spans="2:3" x14ac:dyDescent="0.25">
      <c r="B1230" s="798" t="s">
        <v>3770</v>
      </c>
      <c r="C1230" s="782">
        <v>93803</v>
      </c>
    </row>
    <row r="1231" spans="2:3" x14ac:dyDescent="0.25">
      <c r="B1231" s="798" t="s">
        <v>1500</v>
      </c>
      <c r="C1231" s="782">
        <v>93801</v>
      </c>
    </row>
    <row r="1232" spans="2:3" x14ac:dyDescent="0.25">
      <c r="B1232" s="798" t="s">
        <v>3771</v>
      </c>
      <c r="C1232" s="782">
        <v>93806</v>
      </c>
    </row>
    <row r="1233" spans="2:3" x14ac:dyDescent="0.25">
      <c r="B1233" s="798" t="s">
        <v>2244</v>
      </c>
      <c r="C1233" s="782">
        <v>91411</v>
      </c>
    </row>
    <row r="1234" spans="2:3" x14ac:dyDescent="0.25">
      <c r="B1234" s="798" t="s">
        <v>3772</v>
      </c>
      <c r="C1234" s="782">
        <v>91417</v>
      </c>
    </row>
    <row r="1235" spans="2:3" x14ac:dyDescent="0.25">
      <c r="B1235" s="798" t="s">
        <v>2245</v>
      </c>
      <c r="C1235" s="782">
        <v>98061</v>
      </c>
    </row>
    <row r="1236" spans="2:3" x14ac:dyDescent="0.25">
      <c r="B1236" s="798" t="s">
        <v>3773</v>
      </c>
      <c r="C1236" s="782">
        <v>93904</v>
      </c>
    </row>
    <row r="1237" spans="2:3" x14ac:dyDescent="0.25">
      <c r="B1237" s="798" t="s">
        <v>1503</v>
      </c>
      <c r="C1237" s="782">
        <v>93901</v>
      </c>
    </row>
    <row r="1238" spans="2:3" x14ac:dyDescent="0.25">
      <c r="B1238" s="798" t="s">
        <v>1505</v>
      </c>
      <c r="C1238" s="782">
        <v>93906</v>
      </c>
    </row>
    <row r="1239" spans="2:3" x14ac:dyDescent="0.25">
      <c r="B1239" s="798" t="s">
        <v>3774</v>
      </c>
      <c r="C1239" s="782">
        <v>93908</v>
      </c>
    </row>
    <row r="1240" spans="2:3" x14ac:dyDescent="0.25">
      <c r="B1240" s="798" t="s">
        <v>3775</v>
      </c>
      <c r="C1240" s="782">
        <v>94908</v>
      </c>
    </row>
    <row r="1241" spans="2:3" x14ac:dyDescent="0.25">
      <c r="B1241" s="798" t="s">
        <v>2246</v>
      </c>
      <c r="C1241" s="782">
        <v>90161</v>
      </c>
    </row>
    <row r="1242" spans="2:3" x14ac:dyDescent="0.25">
      <c r="B1242" s="798" t="s">
        <v>1513</v>
      </c>
      <c r="C1242" s="782">
        <v>94001</v>
      </c>
    </row>
    <row r="1243" spans="2:3" x14ac:dyDescent="0.25">
      <c r="B1243" s="798" t="s">
        <v>3776</v>
      </c>
      <c r="C1243" s="782">
        <v>94004</v>
      </c>
    </row>
    <row r="1244" spans="2:3" x14ac:dyDescent="0.25">
      <c r="B1244" s="798" t="s">
        <v>2247</v>
      </c>
      <c r="C1244" s="782">
        <v>94111</v>
      </c>
    </row>
    <row r="1245" spans="2:3" x14ac:dyDescent="0.25">
      <c r="B1245" s="798" t="s">
        <v>3777</v>
      </c>
      <c r="C1245" s="782">
        <v>94117</v>
      </c>
    </row>
    <row r="1246" spans="2:3" x14ac:dyDescent="0.25">
      <c r="B1246" s="798" t="s">
        <v>2248</v>
      </c>
      <c r="C1246" s="782">
        <v>97411</v>
      </c>
    </row>
    <row r="1247" spans="2:3" x14ac:dyDescent="0.25">
      <c r="B1247" s="798" t="s">
        <v>1789</v>
      </c>
      <c r="C1247" s="782">
        <v>97413</v>
      </c>
    </row>
    <row r="1248" spans="2:3" x14ac:dyDescent="0.25">
      <c r="B1248" s="798" t="s">
        <v>1788</v>
      </c>
      <c r="C1248" s="782">
        <v>97412</v>
      </c>
    </row>
    <row r="1249" spans="2:3" x14ac:dyDescent="0.25">
      <c r="B1249" s="798" t="s">
        <v>2249</v>
      </c>
      <c r="C1249" s="782">
        <v>97431</v>
      </c>
    </row>
    <row r="1250" spans="2:3" x14ac:dyDescent="0.25">
      <c r="B1250" s="798" t="s">
        <v>2250</v>
      </c>
      <c r="C1250" s="782">
        <v>97471</v>
      </c>
    </row>
    <row r="1251" spans="2:3" x14ac:dyDescent="0.25">
      <c r="B1251" s="798" t="s">
        <v>2251</v>
      </c>
      <c r="C1251" s="782">
        <v>92351</v>
      </c>
    </row>
    <row r="1252" spans="2:3" x14ac:dyDescent="0.25">
      <c r="B1252" s="798" t="s">
        <v>2252</v>
      </c>
      <c r="C1252" s="782">
        <v>94101</v>
      </c>
    </row>
    <row r="1253" spans="2:3" x14ac:dyDescent="0.25">
      <c r="B1253" s="798" t="s">
        <v>3778</v>
      </c>
      <c r="C1253" s="782">
        <v>94118</v>
      </c>
    </row>
    <row r="1254" spans="2:3" x14ac:dyDescent="0.25">
      <c r="B1254" s="798" t="s">
        <v>1521</v>
      </c>
      <c r="C1254" s="782">
        <v>94102</v>
      </c>
    </row>
    <row r="1255" spans="2:3" x14ac:dyDescent="0.25">
      <c r="B1255" s="798" t="s">
        <v>1537</v>
      </c>
      <c r="C1255" s="782">
        <v>94201</v>
      </c>
    </row>
    <row r="1256" spans="2:3" x14ac:dyDescent="0.25">
      <c r="B1256" s="798" t="s">
        <v>3779</v>
      </c>
      <c r="C1256" s="782">
        <v>94204</v>
      </c>
    </row>
    <row r="1257" spans="2:3" x14ac:dyDescent="0.25">
      <c r="B1257" s="798" t="s">
        <v>1539</v>
      </c>
      <c r="C1257" s="782">
        <v>94205</v>
      </c>
    </row>
    <row r="1258" spans="2:3" x14ac:dyDescent="0.25">
      <c r="B1258" s="798" t="s">
        <v>2253</v>
      </c>
      <c r="C1258" s="782">
        <v>95831</v>
      </c>
    </row>
    <row r="1259" spans="2:3" x14ac:dyDescent="0.25">
      <c r="B1259" s="798" t="s">
        <v>2254</v>
      </c>
      <c r="C1259" s="782">
        <v>97721</v>
      </c>
    </row>
    <row r="1260" spans="2:3" x14ac:dyDescent="0.25">
      <c r="B1260" s="798" t="s">
        <v>3780</v>
      </c>
      <c r="C1260" s="782">
        <v>97717</v>
      </c>
    </row>
    <row r="1261" spans="2:3" x14ac:dyDescent="0.25">
      <c r="B1261" s="798" t="s">
        <v>1547</v>
      </c>
      <c r="C1261" s="782">
        <v>94301</v>
      </c>
    </row>
    <row r="1262" spans="2:3" x14ac:dyDescent="0.25">
      <c r="B1262" s="798" t="s">
        <v>2255</v>
      </c>
      <c r="C1262" s="782">
        <v>91441</v>
      </c>
    </row>
    <row r="1263" spans="2:3" x14ac:dyDescent="0.25">
      <c r="B1263" s="798" t="s">
        <v>2256</v>
      </c>
      <c r="C1263" s="782">
        <v>92531</v>
      </c>
    </row>
    <row r="1264" spans="2:3" x14ac:dyDescent="0.25">
      <c r="B1264" s="798" t="s">
        <v>2257</v>
      </c>
      <c r="C1264" s="782">
        <v>90141</v>
      </c>
    </row>
    <row r="1265" spans="2:3" x14ac:dyDescent="0.25">
      <c r="B1265" s="798" t="s">
        <v>1556</v>
      </c>
      <c r="C1265" s="782">
        <v>94401</v>
      </c>
    </row>
    <row r="1266" spans="2:3" x14ac:dyDescent="0.25">
      <c r="B1266" s="798" t="s">
        <v>3781</v>
      </c>
      <c r="C1266" s="782">
        <v>94403</v>
      </c>
    </row>
    <row r="1267" spans="2:3" x14ac:dyDescent="0.25">
      <c r="B1267" s="798" t="s">
        <v>1557</v>
      </c>
      <c r="C1267" s="782">
        <v>94402</v>
      </c>
    </row>
    <row r="1268" spans="2:3" x14ac:dyDescent="0.25">
      <c r="B1268" s="798" t="s">
        <v>2258</v>
      </c>
      <c r="C1268" s="782">
        <v>99111</v>
      </c>
    </row>
    <row r="1269" spans="2:3" x14ac:dyDescent="0.25">
      <c r="B1269" s="798" t="s">
        <v>2259</v>
      </c>
      <c r="C1269" s="782">
        <v>94511</v>
      </c>
    </row>
    <row r="1270" spans="2:3" x14ac:dyDescent="0.25">
      <c r="B1270" s="798" t="s">
        <v>3782</v>
      </c>
      <c r="C1270" s="782">
        <v>94517</v>
      </c>
    </row>
    <row r="1271" spans="2:3" x14ac:dyDescent="0.25">
      <c r="B1271" s="798" t="s">
        <v>1568</v>
      </c>
      <c r="C1271" s="782">
        <v>94512</v>
      </c>
    </row>
    <row r="1272" spans="2:3" x14ac:dyDescent="0.25">
      <c r="B1272" s="798" t="s">
        <v>2260</v>
      </c>
      <c r="C1272" s="782">
        <v>97211</v>
      </c>
    </row>
    <row r="1273" spans="2:3" x14ac:dyDescent="0.25">
      <c r="B1273" s="798" t="s">
        <v>3783</v>
      </c>
      <c r="C1273" s="782">
        <v>97217</v>
      </c>
    </row>
    <row r="1274" spans="2:3" x14ac:dyDescent="0.25">
      <c r="B1274" s="798" t="s">
        <v>1577</v>
      </c>
      <c r="C1274" s="782">
        <v>94601</v>
      </c>
    </row>
    <row r="1275" spans="2:3" x14ac:dyDescent="0.25">
      <c r="B1275" s="798" t="s">
        <v>3784</v>
      </c>
      <c r="C1275" s="782">
        <v>94604</v>
      </c>
    </row>
    <row r="1276" spans="2:3" x14ac:dyDescent="0.25">
      <c r="B1276" s="798" t="s">
        <v>1579</v>
      </c>
      <c r="C1276" s="782">
        <v>94606</v>
      </c>
    </row>
    <row r="1277" spans="2:3" x14ac:dyDescent="0.25">
      <c r="B1277" s="798" t="s">
        <v>3785</v>
      </c>
      <c r="C1277" s="782">
        <v>97213</v>
      </c>
    </row>
    <row r="1278" spans="2:3" x14ac:dyDescent="0.25">
      <c r="B1278" s="798" t="s">
        <v>2261</v>
      </c>
      <c r="C1278" s="782">
        <v>91811</v>
      </c>
    </row>
    <row r="1279" spans="2:3" x14ac:dyDescent="0.25">
      <c r="B1279" s="798" t="s">
        <v>3786</v>
      </c>
      <c r="C1279" s="782">
        <v>91812</v>
      </c>
    </row>
    <row r="1280" spans="2:3" x14ac:dyDescent="0.25">
      <c r="B1280" s="798" t="s">
        <v>3787</v>
      </c>
      <c r="C1280" s="782">
        <v>91813</v>
      </c>
    </row>
    <row r="1281" spans="2:3" x14ac:dyDescent="0.25">
      <c r="B1281" s="798" t="s">
        <v>3788</v>
      </c>
      <c r="C1281" s="782">
        <v>90617</v>
      </c>
    </row>
    <row r="1282" spans="2:3" x14ac:dyDescent="0.25">
      <c r="B1282" s="798" t="s">
        <v>3789</v>
      </c>
      <c r="C1282" s="782">
        <v>94127</v>
      </c>
    </row>
    <row r="1283" spans="2:3" x14ac:dyDescent="0.25">
      <c r="B1283" s="798" t="s">
        <v>2262</v>
      </c>
      <c r="C1283" s="782">
        <v>95621</v>
      </c>
    </row>
    <row r="1284" spans="2:3" x14ac:dyDescent="0.25">
      <c r="B1284" s="798" t="s">
        <v>3790</v>
      </c>
      <c r="C1284" s="782">
        <v>95617</v>
      </c>
    </row>
    <row r="1285" spans="2:3" x14ac:dyDescent="0.25">
      <c r="B1285" s="798" t="s">
        <v>3791</v>
      </c>
      <c r="C1285" s="782">
        <v>94121</v>
      </c>
    </row>
    <row r="1286" spans="2:3" x14ac:dyDescent="0.25">
      <c r="B1286" s="798" t="s">
        <v>3792</v>
      </c>
      <c r="C1286" s="782">
        <v>91251</v>
      </c>
    </row>
    <row r="1287" spans="2:3" x14ac:dyDescent="0.25">
      <c r="B1287" s="798" t="s">
        <v>2263</v>
      </c>
      <c r="C1287" s="782">
        <v>96831</v>
      </c>
    </row>
    <row r="1288" spans="2:3" x14ac:dyDescent="0.25">
      <c r="B1288" s="798" t="s">
        <v>2264</v>
      </c>
      <c r="C1288" s="782">
        <v>94251</v>
      </c>
    </row>
    <row r="1289" spans="2:3" x14ac:dyDescent="0.25">
      <c r="B1289" s="798" t="s">
        <v>1584</v>
      </c>
      <c r="C1289" s="782">
        <v>94701</v>
      </c>
    </row>
    <row r="1290" spans="2:3" x14ac:dyDescent="0.25">
      <c r="B1290" s="798" t="s">
        <v>3793</v>
      </c>
      <c r="C1290" s="782">
        <v>94704</v>
      </c>
    </row>
    <row r="1291" spans="2:3" x14ac:dyDescent="0.25">
      <c r="B1291" s="798" t="s">
        <v>2265</v>
      </c>
      <c r="C1291" s="782">
        <v>91014</v>
      </c>
    </row>
    <row r="1292" spans="2:3" x14ac:dyDescent="0.25">
      <c r="B1292" s="798" t="s">
        <v>2266</v>
      </c>
      <c r="C1292" s="782">
        <v>96731</v>
      </c>
    </row>
    <row r="1293" spans="2:3" x14ac:dyDescent="0.25">
      <c r="B1293" s="798" t="s">
        <v>1746</v>
      </c>
      <c r="C1293" s="782">
        <v>96733</v>
      </c>
    </row>
    <row r="1294" spans="2:3" x14ac:dyDescent="0.25">
      <c r="B1294" s="798" t="s">
        <v>2267</v>
      </c>
      <c r="C1294" s="782">
        <v>99202</v>
      </c>
    </row>
    <row r="1295" spans="2:3" x14ac:dyDescent="0.25">
      <c r="B1295" s="798" t="s">
        <v>2268</v>
      </c>
      <c r="C1295" s="782">
        <v>94011</v>
      </c>
    </row>
    <row r="1296" spans="2:3" x14ac:dyDescent="0.25">
      <c r="B1296" s="798" t="s">
        <v>2269</v>
      </c>
      <c r="C1296" s="782">
        <v>92631</v>
      </c>
    </row>
    <row r="1297" spans="2:3" x14ac:dyDescent="0.25">
      <c r="B1297" s="798" t="s">
        <v>1652</v>
      </c>
      <c r="C1297" s="782">
        <v>95733</v>
      </c>
    </row>
    <row r="1298" spans="2:3" x14ac:dyDescent="0.25">
      <c r="B1298" s="798" t="s">
        <v>3794</v>
      </c>
      <c r="C1298" s="782">
        <v>95413</v>
      </c>
    </row>
    <row r="1299" spans="2:3" x14ac:dyDescent="0.25">
      <c r="B1299" s="798" t="s">
        <v>3795</v>
      </c>
      <c r="C1299" s="782">
        <v>98013</v>
      </c>
    </row>
    <row r="1300" spans="2:3" x14ac:dyDescent="0.25">
      <c r="B1300" s="798" t="s">
        <v>3796</v>
      </c>
      <c r="C1300" s="782">
        <v>99613</v>
      </c>
    </row>
    <row r="1301" spans="2:3" x14ac:dyDescent="0.25">
      <c r="B1301" s="798" t="s">
        <v>2270</v>
      </c>
      <c r="C1301" s="782">
        <v>91431</v>
      </c>
    </row>
    <row r="1302" spans="2:3" x14ac:dyDescent="0.25">
      <c r="B1302" s="798" t="s">
        <v>2271</v>
      </c>
      <c r="C1302" s="782">
        <v>96041</v>
      </c>
    </row>
    <row r="1303" spans="2:3" x14ac:dyDescent="0.25">
      <c r="B1303" s="798" t="s">
        <v>1587</v>
      </c>
      <c r="C1303" s="782">
        <v>94801</v>
      </c>
    </row>
    <row r="1304" spans="2:3" x14ac:dyDescent="0.25">
      <c r="B1304" s="798" t="s">
        <v>3797</v>
      </c>
      <c r="C1304" s="782">
        <v>94804</v>
      </c>
    </row>
    <row r="1305" spans="2:3" x14ac:dyDescent="0.25">
      <c r="B1305" s="798" t="s">
        <v>2272</v>
      </c>
      <c r="C1305" s="782">
        <v>91661</v>
      </c>
    </row>
    <row r="1306" spans="2:3" x14ac:dyDescent="0.25">
      <c r="B1306" s="798" t="s">
        <v>2273</v>
      </c>
      <c r="C1306" s="782">
        <v>99051</v>
      </c>
    </row>
    <row r="1307" spans="2:3" x14ac:dyDescent="0.25">
      <c r="B1307" s="798" t="s">
        <v>3529</v>
      </c>
      <c r="C1307" s="782">
        <v>99014</v>
      </c>
    </row>
    <row r="1308" spans="2:3" x14ac:dyDescent="0.25">
      <c r="B1308" s="798" t="s">
        <v>1590</v>
      </c>
      <c r="C1308" s="782">
        <v>94901</v>
      </c>
    </row>
    <row r="1309" spans="2:3" x14ac:dyDescent="0.25">
      <c r="B1309" s="798" t="s">
        <v>3798</v>
      </c>
      <c r="C1309" s="782">
        <v>98109</v>
      </c>
    </row>
    <row r="1310" spans="2:3" x14ac:dyDescent="0.25">
      <c r="B1310" s="798" t="s">
        <v>3799</v>
      </c>
      <c r="C1310" s="782">
        <v>98205</v>
      </c>
    </row>
    <row r="1311" spans="2:3" x14ac:dyDescent="0.25">
      <c r="B1311" s="798" t="s">
        <v>2274</v>
      </c>
      <c r="C1311" s="782">
        <v>96661</v>
      </c>
    </row>
    <row r="1312" spans="2:3" x14ac:dyDescent="0.25">
      <c r="B1312" s="798" t="s">
        <v>1599</v>
      </c>
      <c r="C1312" s="782">
        <v>95001</v>
      </c>
    </row>
    <row r="1313" spans="2:3" x14ac:dyDescent="0.25">
      <c r="B1313" s="798" t="s">
        <v>3530</v>
      </c>
      <c r="C1313" s="782">
        <v>95017</v>
      </c>
    </row>
    <row r="1314" spans="2:3" x14ac:dyDescent="0.25">
      <c r="B1314" s="798" t="s">
        <v>2275</v>
      </c>
      <c r="C1314" s="782">
        <v>96711</v>
      </c>
    </row>
    <row r="1315" spans="2:3" x14ac:dyDescent="0.25">
      <c r="B1315" s="798" t="s">
        <v>2276</v>
      </c>
      <c r="C1315" s="782">
        <v>94131</v>
      </c>
    </row>
    <row r="1316" spans="2:3" x14ac:dyDescent="0.25">
      <c r="B1316" s="798" t="s">
        <v>2277</v>
      </c>
      <c r="C1316" s="782">
        <v>95841</v>
      </c>
    </row>
    <row r="1317" spans="2:3" x14ac:dyDescent="0.25">
      <c r="B1317" s="798" t="s">
        <v>2278</v>
      </c>
      <c r="C1317" s="782">
        <v>90511</v>
      </c>
    </row>
    <row r="1318" spans="2:3" x14ac:dyDescent="0.25">
      <c r="B1318" s="798" t="s">
        <v>1605</v>
      </c>
      <c r="C1318" s="782">
        <v>95101</v>
      </c>
    </row>
    <row r="1319" spans="2:3" x14ac:dyDescent="0.25">
      <c r="B1319" s="798" t="s">
        <v>3800</v>
      </c>
      <c r="C1319" s="782">
        <v>95104</v>
      </c>
    </row>
    <row r="1320" spans="2:3" x14ac:dyDescent="0.25">
      <c r="B1320" s="798" t="s">
        <v>3531</v>
      </c>
      <c r="C1320" s="782">
        <v>95110</v>
      </c>
    </row>
    <row r="1321" spans="2:3" x14ac:dyDescent="0.25">
      <c r="B1321" s="798" t="s">
        <v>1622</v>
      </c>
      <c r="C1321" s="782">
        <v>95201</v>
      </c>
    </row>
    <row r="1322" spans="2:3" x14ac:dyDescent="0.25">
      <c r="B1322" s="798" t="s">
        <v>3801</v>
      </c>
      <c r="C1322" s="782">
        <v>95204</v>
      </c>
    </row>
    <row r="1323" spans="2:3" x14ac:dyDescent="0.25">
      <c r="B1323" s="798" t="s">
        <v>2279</v>
      </c>
      <c r="C1323" s="782">
        <v>99921</v>
      </c>
    </row>
    <row r="1324" spans="2:3" x14ac:dyDescent="0.25">
      <c r="B1324" s="798" t="s">
        <v>1558</v>
      </c>
      <c r="C1324" s="782">
        <v>94408</v>
      </c>
    </row>
    <row r="1325" spans="2:3" x14ac:dyDescent="0.25">
      <c r="B1325" s="798" t="s">
        <v>2280</v>
      </c>
      <c r="C1325" s="782">
        <v>91331</v>
      </c>
    </row>
    <row r="1326" spans="2:3" x14ac:dyDescent="0.25">
      <c r="B1326" s="798" t="s">
        <v>2281</v>
      </c>
      <c r="C1326" s="782">
        <v>93121</v>
      </c>
    </row>
    <row r="1327" spans="2:3" x14ac:dyDescent="0.25">
      <c r="B1327" s="798" t="s">
        <v>3802</v>
      </c>
      <c r="C1327" s="782">
        <v>93127</v>
      </c>
    </row>
    <row r="1328" spans="2:3" x14ac:dyDescent="0.25">
      <c r="B1328" s="798" t="s">
        <v>2282</v>
      </c>
      <c r="C1328" s="782">
        <v>95171</v>
      </c>
    </row>
    <row r="1329" spans="2:3" x14ac:dyDescent="0.25">
      <c r="B1329" s="798" t="s">
        <v>2283</v>
      </c>
      <c r="C1329" s="782">
        <v>93421</v>
      </c>
    </row>
    <row r="1330" spans="2:3" x14ac:dyDescent="0.25">
      <c r="B1330" s="798" t="s">
        <v>3803</v>
      </c>
      <c r="C1330" s="782">
        <v>99110</v>
      </c>
    </row>
    <row r="1331" spans="2:3" x14ac:dyDescent="0.25">
      <c r="B1331" s="798" t="s">
        <v>3804</v>
      </c>
      <c r="C1331" s="782">
        <v>99109</v>
      </c>
    </row>
    <row r="1332" spans="2:3" x14ac:dyDescent="0.25">
      <c r="B1332" s="798" t="s">
        <v>2284</v>
      </c>
      <c r="C1332" s="782">
        <v>92821</v>
      </c>
    </row>
    <row r="1333" spans="2:3" x14ac:dyDescent="0.25">
      <c r="B1333" s="798" t="s">
        <v>2285</v>
      </c>
      <c r="C1333" s="782">
        <v>98521</v>
      </c>
    </row>
    <row r="1334" spans="2:3" x14ac:dyDescent="0.25">
      <c r="B1334" s="798" t="s">
        <v>3805</v>
      </c>
      <c r="C1334" s="782">
        <v>92327</v>
      </c>
    </row>
    <row r="1335" spans="2:3" x14ac:dyDescent="0.25">
      <c r="B1335" s="798" t="s">
        <v>3806</v>
      </c>
      <c r="C1335" s="782">
        <v>92321</v>
      </c>
    </row>
    <row r="1336" spans="2:3" x14ac:dyDescent="0.25">
      <c r="B1336" s="798" t="s">
        <v>2286</v>
      </c>
      <c r="C1336" s="782">
        <v>95411</v>
      </c>
    </row>
    <row r="1337" spans="2:3" x14ac:dyDescent="0.25">
      <c r="B1337" s="798" t="s">
        <v>3807</v>
      </c>
      <c r="C1337" s="782">
        <v>95415</v>
      </c>
    </row>
    <row r="1338" spans="2:3" x14ac:dyDescent="0.25">
      <c r="B1338" s="798" t="s">
        <v>2287</v>
      </c>
      <c r="C1338" s="782">
        <v>92851</v>
      </c>
    </row>
    <row r="1339" spans="2:3" x14ac:dyDescent="0.25">
      <c r="B1339" s="798" t="s">
        <v>2288</v>
      </c>
      <c r="C1339" s="782">
        <v>99291</v>
      </c>
    </row>
    <row r="1340" spans="2:3" x14ac:dyDescent="0.25">
      <c r="B1340" s="798" t="s">
        <v>2289</v>
      </c>
      <c r="C1340" s="782">
        <v>96541</v>
      </c>
    </row>
    <row r="1341" spans="2:3" x14ac:dyDescent="0.25">
      <c r="B1341" s="798" t="s">
        <v>2290</v>
      </c>
      <c r="C1341" s="782">
        <v>95431</v>
      </c>
    </row>
    <row r="1342" spans="2:3" x14ac:dyDescent="0.25">
      <c r="B1342" s="798" t="s">
        <v>2291</v>
      </c>
      <c r="C1342" s="782">
        <v>98131</v>
      </c>
    </row>
    <row r="1343" spans="2:3" x14ac:dyDescent="0.25">
      <c r="B1343" s="798" t="s">
        <v>3808</v>
      </c>
      <c r="C1343" s="782">
        <v>92461</v>
      </c>
    </row>
    <row r="1344" spans="2:3" x14ac:dyDescent="0.25">
      <c r="B1344" s="798" t="s">
        <v>3809</v>
      </c>
      <c r="C1344" s="782">
        <v>92427</v>
      </c>
    </row>
    <row r="1345" spans="2:3" x14ac:dyDescent="0.25">
      <c r="B1345" s="798" t="s">
        <v>2292</v>
      </c>
      <c r="C1345" s="782">
        <v>98051</v>
      </c>
    </row>
    <row r="1346" spans="2:3" x14ac:dyDescent="0.25">
      <c r="B1346" s="798" t="s">
        <v>1256</v>
      </c>
      <c r="C1346" s="782">
        <v>91102</v>
      </c>
    </row>
    <row r="1347" spans="2:3" x14ac:dyDescent="0.25">
      <c r="B1347" s="798" t="s">
        <v>2293</v>
      </c>
      <c r="C1347" s="782">
        <v>94521</v>
      </c>
    </row>
    <row r="1348" spans="2:3" x14ac:dyDescent="0.25">
      <c r="B1348" s="798" t="s">
        <v>3810</v>
      </c>
      <c r="C1348" s="782">
        <v>94527</v>
      </c>
    </row>
    <row r="1349" spans="2:3" x14ac:dyDescent="0.25">
      <c r="B1349" s="798" t="s">
        <v>2294</v>
      </c>
      <c r="C1349" s="782">
        <v>98311</v>
      </c>
    </row>
    <row r="1350" spans="2:3" x14ac:dyDescent="0.25">
      <c r="B1350" s="798" t="s">
        <v>3811</v>
      </c>
      <c r="C1350" s="782">
        <v>98313</v>
      </c>
    </row>
    <row r="1351" spans="2:3" x14ac:dyDescent="0.25">
      <c r="B1351" s="798" t="s">
        <v>1893</v>
      </c>
      <c r="C1351" s="782">
        <v>98308</v>
      </c>
    </row>
    <row r="1352" spans="2:3" x14ac:dyDescent="0.25">
      <c r="B1352" s="798" t="s">
        <v>2295</v>
      </c>
      <c r="C1352" s="782">
        <v>92341</v>
      </c>
    </row>
    <row r="1353" spans="2:3" x14ac:dyDescent="0.25">
      <c r="B1353" s="798" t="s">
        <v>1627</v>
      </c>
      <c r="C1353" s="782">
        <v>95301</v>
      </c>
    </row>
    <row r="1354" spans="2:3" x14ac:dyDescent="0.25">
      <c r="B1354" s="798" t="s">
        <v>2296</v>
      </c>
      <c r="C1354" s="782">
        <v>91002</v>
      </c>
    </row>
    <row r="1355" spans="2:3" x14ac:dyDescent="0.25">
      <c r="B1355" s="798" t="s">
        <v>2297</v>
      </c>
      <c r="C1355" s="782">
        <v>91451</v>
      </c>
    </row>
    <row r="1356" spans="2:3" x14ac:dyDescent="0.25">
      <c r="B1356" s="798" t="s">
        <v>1631</v>
      </c>
      <c r="C1356" s="782">
        <v>95401</v>
      </c>
    </row>
    <row r="1357" spans="2:3" x14ac:dyDescent="0.25">
      <c r="B1357" s="798" t="s">
        <v>3812</v>
      </c>
      <c r="C1357" s="782">
        <v>95404</v>
      </c>
    </row>
    <row r="1358" spans="2:3" x14ac:dyDescent="0.25">
      <c r="B1358" s="798" t="s">
        <v>1302</v>
      </c>
      <c r="C1358" s="782">
        <v>91423</v>
      </c>
    </row>
    <row r="1359" spans="2:3" x14ac:dyDescent="0.25">
      <c r="B1359" s="798" t="s">
        <v>3813</v>
      </c>
      <c r="C1359" s="782">
        <v>91457</v>
      </c>
    </row>
    <row r="1360" spans="2:3" x14ac:dyDescent="0.25">
      <c r="B1360" s="798" t="s">
        <v>3814</v>
      </c>
      <c r="C1360" s="782">
        <v>90861</v>
      </c>
    </row>
    <row r="1361" spans="2:3" x14ac:dyDescent="0.25">
      <c r="B1361" s="798" t="s">
        <v>2298</v>
      </c>
      <c r="C1361" s="782">
        <v>93451</v>
      </c>
    </row>
    <row r="1362" spans="2:3" x14ac:dyDescent="0.25">
      <c r="B1362" s="798" t="s">
        <v>2299</v>
      </c>
      <c r="C1362" s="782">
        <v>92931</v>
      </c>
    </row>
    <row r="1363" spans="2:3" x14ac:dyDescent="0.25">
      <c r="B1363" s="798" t="s">
        <v>3815</v>
      </c>
      <c r="C1363" s="782">
        <v>92917</v>
      </c>
    </row>
    <row r="1364" spans="2:3" x14ac:dyDescent="0.25">
      <c r="B1364" s="798" t="s">
        <v>2300</v>
      </c>
      <c r="C1364" s="782">
        <v>97631</v>
      </c>
    </row>
    <row r="1365" spans="2:3" x14ac:dyDescent="0.25">
      <c r="B1365" s="798" t="s">
        <v>3816</v>
      </c>
      <c r="C1365" s="782">
        <v>97637</v>
      </c>
    </row>
    <row r="1366" spans="2:3" x14ac:dyDescent="0.25">
      <c r="B1366" s="798" t="s">
        <v>2301</v>
      </c>
      <c r="C1366" s="782">
        <v>90421</v>
      </c>
    </row>
    <row r="1367" spans="2:3" x14ac:dyDescent="0.25">
      <c r="B1367" s="798" t="s">
        <v>2302</v>
      </c>
      <c r="C1367" s="782">
        <v>94321</v>
      </c>
    </row>
    <row r="1368" spans="2:3" x14ac:dyDescent="0.25">
      <c r="B1368" s="798" t="s">
        <v>1640</v>
      </c>
      <c r="C1368" s="782">
        <v>95501</v>
      </c>
    </row>
    <row r="1369" spans="2:3" x14ac:dyDescent="0.25">
      <c r="B1369" s="798" t="s">
        <v>3817</v>
      </c>
      <c r="C1369" s="782">
        <v>95504</v>
      </c>
    </row>
    <row r="1370" spans="2:3" x14ac:dyDescent="0.25">
      <c r="B1370" s="798" t="s">
        <v>2303</v>
      </c>
      <c r="C1370" s="782">
        <v>95511</v>
      </c>
    </row>
    <row r="1371" spans="2:3" x14ac:dyDescent="0.25">
      <c r="B1371" s="798" t="s">
        <v>3818</v>
      </c>
      <c r="C1371" s="782">
        <v>95517</v>
      </c>
    </row>
    <row r="1372" spans="2:3" x14ac:dyDescent="0.25">
      <c r="B1372" s="798" t="s">
        <v>1643</v>
      </c>
      <c r="C1372" s="782">
        <v>95513</v>
      </c>
    </row>
    <row r="1373" spans="2:3" x14ac:dyDescent="0.25">
      <c r="B1373" s="798" t="s">
        <v>2304</v>
      </c>
      <c r="C1373" s="782">
        <v>92651</v>
      </c>
    </row>
    <row r="1374" spans="2:3" x14ac:dyDescent="0.25">
      <c r="B1374" s="798" t="s">
        <v>2305</v>
      </c>
      <c r="C1374" s="782">
        <v>94261</v>
      </c>
    </row>
    <row r="1375" spans="2:3" x14ac:dyDescent="0.25">
      <c r="B1375" s="798" t="s">
        <v>2306</v>
      </c>
      <c r="C1375" s="782">
        <v>98431</v>
      </c>
    </row>
    <row r="1376" spans="2:3" x14ac:dyDescent="0.25">
      <c r="B1376" s="798" t="s">
        <v>3819</v>
      </c>
      <c r="C1376" s="782">
        <v>98404</v>
      </c>
    </row>
    <row r="1377" spans="2:3" x14ac:dyDescent="0.25">
      <c r="B1377" s="798" t="s">
        <v>3820</v>
      </c>
      <c r="C1377" s="782">
        <v>91841</v>
      </c>
    </row>
    <row r="1378" spans="2:3" x14ac:dyDescent="0.25">
      <c r="B1378" s="798" t="s">
        <v>2307</v>
      </c>
      <c r="C1378" s="782">
        <v>93521</v>
      </c>
    </row>
    <row r="1379" spans="2:3" x14ac:dyDescent="0.25">
      <c r="B1379" s="798" t="s">
        <v>3821</v>
      </c>
      <c r="C1379" s="782">
        <v>93527</v>
      </c>
    </row>
    <row r="1380" spans="2:3" x14ac:dyDescent="0.25">
      <c r="B1380" s="798" t="s">
        <v>2308</v>
      </c>
      <c r="C1380" s="782">
        <v>93661</v>
      </c>
    </row>
    <row r="1381" spans="2:3" x14ac:dyDescent="0.25">
      <c r="B1381" s="798" t="s">
        <v>1722</v>
      </c>
      <c r="C1381" s="782">
        <v>96508</v>
      </c>
    </row>
    <row r="1382" spans="2:3" x14ac:dyDescent="0.25">
      <c r="B1382" s="798" t="s">
        <v>2309</v>
      </c>
      <c r="C1382" s="782">
        <v>99841</v>
      </c>
    </row>
    <row r="1383" spans="2:3" x14ac:dyDescent="0.25">
      <c r="B1383" s="798" t="s">
        <v>1825</v>
      </c>
      <c r="C1383" s="782">
        <v>97802</v>
      </c>
    </row>
    <row r="1384" spans="2:3" x14ac:dyDescent="0.25">
      <c r="B1384" s="798" t="s">
        <v>2310</v>
      </c>
      <c r="C1384" s="782">
        <v>97811</v>
      </c>
    </row>
    <row r="1385" spans="2:3" x14ac:dyDescent="0.25">
      <c r="B1385" s="798" t="s">
        <v>3822</v>
      </c>
      <c r="C1385" s="782">
        <v>97817</v>
      </c>
    </row>
    <row r="1386" spans="2:3" x14ac:dyDescent="0.25">
      <c r="B1386" s="798" t="s">
        <v>3823</v>
      </c>
      <c r="C1386" s="782">
        <v>97818</v>
      </c>
    </row>
    <row r="1387" spans="2:3" x14ac:dyDescent="0.25">
      <c r="B1387" s="798" t="s">
        <v>2311</v>
      </c>
      <c r="C1387" s="782">
        <v>93341</v>
      </c>
    </row>
    <row r="1388" spans="2:3" x14ac:dyDescent="0.25">
      <c r="B1388" s="798" t="s">
        <v>1645</v>
      </c>
      <c r="C1388" s="782">
        <v>95601</v>
      </c>
    </row>
    <row r="1389" spans="2:3" x14ac:dyDescent="0.25">
      <c r="B1389" s="798" t="s">
        <v>2312</v>
      </c>
      <c r="C1389" s="782">
        <v>97941</v>
      </c>
    </row>
    <row r="1390" spans="2:3" x14ac:dyDescent="0.25">
      <c r="B1390" s="798" t="s">
        <v>3824</v>
      </c>
      <c r="C1390" s="782">
        <v>97947</v>
      </c>
    </row>
    <row r="1391" spans="2:3" x14ac:dyDescent="0.25">
      <c r="B1391" s="798" t="s">
        <v>1649</v>
      </c>
      <c r="C1391" s="782">
        <v>95701</v>
      </c>
    </row>
    <row r="1392" spans="2:3" x14ac:dyDescent="0.25">
      <c r="B1392" s="798" t="s">
        <v>1850</v>
      </c>
      <c r="C1392" s="782">
        <v>97948</v>
      </c>
    </row>
    <row r="1393" spans="2:3" x14ac:dyDescent="0.25">
      <c r="B1393" s="798" t="s">
        <v>2313</v>
      </c>
      <c r="C1393" s="782">
        <v>94421</v>
      </c>
    </row>
    <row r="1394" spans="2:3" x14ac:dyDescent="0.25">
      <c r="B1394" s="798" t="s">
        <v>3825</v>
      </c>
      <c r="C1394" s="782">
        <v>94427</v>
      </c>
    </row>
    <row r="1395" spans="2:3" x14ac:dyDescent="0.25">
      <c r="B1395" s="798" t="s">
        <v>3826</v>
      </c>
      <c r="C1395" s="782">
        <v>94428</v>
      </c>
    </row>
    <row r="1396" spans="2:3" x14ac:dyDescent="0.25">
      <c r="B1396" s="798" t="s">
        <v>2314</v>
      </c>
      <c r="C1396" s="782">
        <v>93191</v>
      </c>
    </row>
    <row r="1397" spans="2:3" x14ac:dyDescent="0.25">
      <c r="B1397" s="798" t="s">
        <v>2315</v>
      </c>
      <c r="C1397" s="782">
        <v>91831</v>
      </c>
    </row>
    <row r="1398" spans="2:3" x14ac:dyDescent="0.25">
      <c r="B1398" s="798" t="s">
        <v>2316</v>
      </c>
      <c r="C1398" s="782">
        <v>92831</v>
      </c>
    </row>
    <row r="1399" spans="2:3" x14ac:dyDescent="0.25">
      <c r="B1399" s="798" t="s">
        <v>2317</v>
      </c>
      <c r="C1399" s="782">
        <v>95911</v>
      </c>
    </row>
    <row r="1400" spans="2:3" x14ac:dyDescent="0.25">
      <c r="B1400" s="798" t="s">
        <v>3827</v>
      </c>
      <c r="C1400" s="782">
        <v>95917</v>
      </c>
    </row>
    <row r="1401" spans="2:3" x14ac:dyDescent="0.25">
      <c r="B1401" s="798" t="s">
        <v>2318</v>
      </c>
      <c r="C1401" s="782">
        <v>95711</v>
      </c>
    </row>
    <row r="1402" spans="2:3" x14ac:dyDescent="0.25">
      <c r="B1402" s="798" t="s">
        <v>2319</v>
      </c>
      <c r="C1402" s="782">
        <v>95721</v>
      </c>
    </row>
    <row r="1403" spans="2:3" x14ac:dyDescent="0.25">
      <c r="B1403" s="798" t="s">
        <v>2320</v>
      </c>
      <c r="C1403" s="782">
        <v>99021</v>
      </c>
    </row>
    <row r="1404" spans="2:3" x14ac:dyDescent="0.25">
      <c r="B1404" s="798" t="s">
        <v>3828</v>
      </c>
      <c r="C1404" s="782">
        <v>95802</v>
      </c>
    </row>
    <row r="1405" spans="2:3" x14ac:dyDescent="0.25">
      <c r="B1405" s="798" t="s">
        <v>1653</v>
      </c>
      <c r="C1405" s="782">
        <v>95801</v>
      </c>
    </row>
    <row r="1406" spans="2:3" x14ac:dyDescent="0.25">
      <c r="B1406" s="798" t="s">
        <v>3829</v>
      </c>
      <c r="C1406" s="782">
        <v>95804</v>
      </c>
    </row>
    <row r="1407" spans="2:3" x14ac:dyDescent="0.25">
      <c r="B1407" s="798" t="s">
        <v>3830</v>
      </c>
      <c r="C1407" s="782">
        <v>90092</v>
      </c>
    </row>
    <row r="1408" spans="2:3" x14ac:dyDescent="0.25">
      <c r="B1408" s="798" t="s">
        <v>2321</v>
      </c>
      <c r="C1408" s="782">
        <v>99081</v>
      </c>
    </row>
    <row r="1409" spans="2:3" x14ac:dyDescent="0.25">
      <c r="B1409" s="798" t="s">
        <v>2322</v>
      </c>
      <c r="C1409" s="782">
        <v>96071</v>
      </c>
    </row>
    <row r="1410" spans="2:3" x14ac:dyDescent="0.25">
      <c r="B1410" s="798" t="s">
        <v>1514</v>
      </c>
      <c r="C1410" s="782">
        <v>94002</v>
      </c>
    </row>
    <row r="1411" spans="2:3" x14ac:dyDescent="0.25">
      <c r="B1411" s="798" t="s">
        <v>2323</v>
      </c>
      <c r="C1411" s="782">
        <v>97840</v>
      </c>
    </row>
    <row r="1412" spans="2:3" x14ac:dyDescent="0.25">
      <c r="B1412" s="798" t="s">
        <v>3831</v>
      </c>
      <c r="C1412" s="782">
        <v>97847</v>
      </c>
    </row>
    <row r="1413" spans="2:3" x14ac:dyDescent="0.25">
      <c r="B1413" s="798" t="s">
        <v>2324</v>
      </c>
      <c r="C1413" s="782">
        <v>97921</v>
      </c>
    </row>
    <row r="1414" spans="2:3" x14ac:dyDescent="0.25">
      <c r="B1414" s="798" t="s">
        <v>2325</v>
      </c>
      <c r="C1414" s="782">
        <v>95221</v>
      </c>
    </row>
    <row r="1415" spans="2:3" x14ac:dyDescent="0.25">
      <c r="B1415" s="798" t="s">
        <v>2326</v>
      </c>
      <c r="C1415" s="782">
        <v>93610</v>
      </c>
    </row>
    <row r="1416" spans="2:3" x14ac:dyDescent="0.25">
      <c r="B1416" s="798" t="s">
        <v>3832</v>
      </c>
      <c r="C1416" s="782">
        <v>95901</v>
      </c>
    </row>
    <row r="1417" spans="2:3" x14ac:dyDescent="0.25">
      <c r="B1417" s="798" t="s">
        <v>2084</v>
      </c>
      <c r="C1417" s="782">
        <v>90114</v>
      </c>
    </row>
    <row r="1418" spans="2:3" x14ac:dyDescent="0.25">
      <c r="B1418" s="798" t="s">
        <v>1667</v>
      </c>
      <c r="C1418" s="782">
        <v>96001</v>
      </c>
    </row>
    <row r="1419" spans="2:3" x14ac:dyDescent="0.25">
      <c r="B1419" s="798" t="s">
        <v>3833</v>
      </c>
      <c r="C1419" s="782">
        <v>96004</v>
      </c>
    </row>
    <row r="1420" spans="2:3" x14ac:dyDescent="0.25">
      <c r="B1420" s="798" t="s">
        <v>3834</v>
      </c>
      <c r="C1420" s="782">
        <v>96008</v>
      </c>
    </row>
    <row r="1421" spans="2:3" x14ac:dyDescent="0.25">
      <c r="B1421" s="798" t="s">
        <v>1259</v>
      </c>
      <c r="C1421" s="782">
        <v>91108</v>
      </c>
    </row>
    <row r="1422" spans="2:3" x14ac:dyDescent="0.25">
      <c r="B1422" s="798" t="s">
        <v>3835</v>
      </c>
      <c r="C1422" s="782">
        <v>94941</v>
      </c>
    </row>
    <row r="1423" spans="2:3" x14ac:dyDescent="0.25">
      <c r="B1423" s="798" t="s">
        <v>2327</v>
      </c>
      <c r="C1423" s="782">
        <v>95122</v>
      </c>
    </row>
    <row r="1424" spans="2:3" x14ac:dyDescent="0.25">
      <c r="B1424" s="798" t="s">
        <v>3836</v>
      </c>
      <c r="C1424" s="782">
        <v>92607</v>
      </c>
    </row>
    <row r="1425" spans="2:3" x14ac:dyDescent="0.25">
      <c r="B1425" s="798" t="s">
        <v>2328</v>
      </c>
      <c r="C1425" s="782">
        <v>96431</v>
      </c>
    </row>
    <row r="1426" spans="2:3" x14ac:dyDescent="0.25">
      <c r="B1426" s="798" t="s">
        <v>3534</v>
      </c>
      <c r="C1426" s="782">
        <v>90709</v>
      </c>
    </row>
    <row r="1427" spans="2:3" x14ac:dyDescent="0.25">
      <c r="B1427" s="798" t="s">
        <v>2329</v>
      </c>
      <c r="C1427" s="782">
        <v>91341</v>
      </c>
    </row>
    <row r="1428" spans="2:3" x14ac:dyDescent="0.25">
      <c r="B1428" s="798" t="s">
        <v>2330</v>
      </c>
      <c r="C1428" s="782">
        <v>92941</v>
      </c>
    </row>
    <row r="1429" spans="2:3" x14ac:dyDescent="0.25">
      <c r="B1429" s="798" t="s">
        <v>2331</v>
      </c>
      <c r="C1429" s="782">
        <v>94551</v>
      </c>
    </row>
    <row r="1430" spans="2:3" x14ac:dyDescent="0.25">
      <c r="B1430" s="798" t="s">
        <v>2332</v>
      </c>
      <c r="C1430" s="782">
        <v>99022</v>
      </c>
    </row>
    <row r="1431" spans="2:3" x14ac:dyDescent="0.25">
      <c r="B1431" s="798" t="s">
        <v>2333</v>
      </c>
      <c r="C1431" s="782">
        <v>96031</v>
      </c>
    </row>
    <row r="1432" spans="2:3" x14ac:dyDescent="0.25">
      <c r="B1432" s="798" t="s">
        <v>2334</v>
      </c>
      <c r="C1432" s="782">
        <v>98414</v>
      </c>
    </row>
    <row r="1433" spans="2:3" x14ac:dyDescent="0.25">
      <c r="B1433" s="798" t="s">
        <v>1682</v>
      </c>
      <c r="C1433" s="782">
        <v>96101</v>
      </c>
    </row>
    <row r="1434" spans="2:3" x14ac:dyDescent="0.25">
      <c r="B1434" s="798" t="s">
        <v>3837</v>
      </c>
      <c r="C1434" s="782">
        <v>96102</v>
      </c>
    </row>
    <row r="1435" spans="2:3" x14ac:dyDescent="0.25">
      <c r="B1435" s="798" t="s">
        <v>2335</v>
      </c>
      <c r="C1435" s="782">
        <v>93011</v>
      </c>
    </row>
    <row r="1436" spans="2:3" x14ac:dyDescent="0.25">
      <c r="B1436" s="798" t="s">
        <v>2336</v>
      </c>
      <c r="C1436" s="782">
        <v>99011</v>
      </c>
    </row>
    <row r="1437" spans="2:3" x14ac:dyDescent="0.25">
      <c r="B1437" s="798" t="s">
        <v>3838</v>
      </c>
      <c r="C1437" s="782">
        <v>99017</v>
      </c>
    </row>
    <row r="1438" spans="2:3" x14ac:dyDescent="0.25">
      <c r="B1438" s="798" t="s">
        <v>3839</v>
      </c>
      <c r="C1438" s="782">
        <v>99013</v>
      </c>
    </row>
    <row r="1439" spans="2:3" x14ac:dyDescent="0.25">
      <c r="B1439" s="798" t="s">
        <v>1686</v>
      </c>
      <c r="C1439" s="782">
        <v>96201</v>
      </c>
    </row>
    <row r="1440" spans="2:3" x14ac:dyDescent="0.25">
      <c r="B1440" s="798" t="s">
        <v>3840</v>
      </c>
      <c r="C1440" s="782">
        <v>96204</v>
      </c>
    </row>
    <row r="1441" spans="2:3" x14ac:dyDescent="0.25">
      <c r="B1441" s="798" t="s">
        <v>2337</v>
      </c>
      <c r="C1441" s="782">
        <v>91161</v>
      </c>
    </row>
    <row r="1442" spans="2:3" x14ac:dyDescent="0.25">
      <c r="B1442" s="798" t="s">
        <v>1693</v>
      </c>
      <c r="C1442" s="782">
        <v>96301</v>
      </c>
    </row>
    <row r="1443" spans="2:3" x14ac:dyDescent="0.25">
      <c r="B1443" s="798" t="s">
        <v>3841</v>
      </c>
      <c r="C1443" s="782">
        <v>96304</v>
      </c>
    </row>
    <row r="1444" spans="2:3" x14ac:dyDescent="0.25">
      <c r="B1444" s="798" t="s">
        <v>1697</v>
      </c>
      <c r="C1444" s="782">
        <v>96310</v>
      </c>
    </row>
    <row r="1445" spans="2:3" x14ac:dyDescent="0.25">
      <c r="B1445" s="798" t="s">
        <v>3842</v>
      </c>
      <c r="C1445" s="782">
        <v>96305</v>
      </c>
    </row>
    <row r="1446" spans="2:3" x14ac:dyDescent="0.25">
      <c r="B1446" s="798" t="s">
        <v>2338</v>
      </c>
      <c r="C1446" s="782">
        <v>94921</v>
      </c>
    </row>
    <row r="1447" spans="2:3" x14ac:dyDescent="0.25">
      <c r="B1447" s="798" t="s">
        <v>3843</v>
      </c>
      <c r="C1447" s="782">
        <v>94927</v>
      </c>
    </row>
    <row r="1448" spans="2:3" x14ac:dyDescent="0.25">
      <c r="B1448" s="798" t="s">
        <v>1595</v>
      </c>
      <c r="C1448" s="782">
        <v>94923</v>
      </c>
    </row>
    <row r="1449" spans="2:3" x14ac:dyDescent="0.25">
      <c r="B1449" s="798" t="s">
        <v>2339</v>
      </c>
      <c r="C1449" s="782">
        <v>91611</v>
      </c>
    </row>
    <row r="1450" spans="2:3" x14ac:dyDescent="0.25">
      <c r="B1450" s="798" t="s">
        <v>2340</v>
      </c>
      <c r="C1450" s="782">
        <v>91231</v>
      </c>
    </row>
    <row r="1451" spans="2:3" x14ac:dyDescent="0.25">
      <c r="B1451" s="798" t="s">
        <v>3844</v>
      </c>
      <c r="C1451" s="782">
        <v>91217</v>
      </c>
    </row>
    <row r="1452" spans="2:3" x14ac:dyDescent="0.25">
      <c r="B1452" s="798" t="s">
        <v>1284</v>
      </c>
      <c r="C1452" s="782">
        <v>91233</v>
      </c>
    </row>
    <row r="1453" spans="2:3" x14ac:dyDescent="0.25">
      <c r="B1453" s="798" t="s">
        <v>2341</v>
      </c>
      <c r="C1453" s="782">
        <v>99206</v>
      </c>
    </row>
    <row r="1454" spans="2:3" x14ac:dyDescent="0.25">
      <c r="B1454" s="798" t="s">
        <v>2342</v>
      </c>
      <c r="C1454" s="782">
        <v>90461</v>
      </c>
    </row>
    <row r="1455" spans="2:3" x14ac:dyDescent="0.25">
      <c r="B1455" s="798" t="s">
        <v>3845</v>
      </c>
      <c r="C1455" s="782">
        <v>98637</v>
      </c>
    </row>
    <row r="1456" spans="2:3" x14ac:dyDescent="0.25">
      <c r="B1456" s="798" t="s">
        <v>2343</v>
      </c>
      <c r="C1456" s="782">
        <v>96251</v>
      </c>
    </row>
    <row r="1457" spans="2:3" x14ac:dyDescent="0.25">
      <c r="B1457" s="798" t="s">
        <v>2344</v>
      </c>
      <c r="C1457" s="782">
        <v>99621</v>
      </c>
    </row>
    <row r="1458" spans="2:3" x14ac:dyDescent="0.25">
      <c r="B1458" s="798" t="s">
        <v>2345</v>
      </c>
      <c r="C1458" s="782">
        <v>91321</v>
      </c>
    </row>
    <row r="1459" spans="2:3" x14ac:dyDescent="0.25">
      <c r="B1459" s="798" t="s">
        <v>3846</v>
      </c>
      <c r="C1459" s="782">
        <v>98631</v>
      </c>
    </row>
    <row r="1460" spans="2:3" x14ac:dyDescent="0.25">
      <c r="B1460" s="798" t="s">
        <v>3847</v>
      </c>
      <c r="C1460" s="782">
        <v>93691</v>
      </c>
    </row>
    <row r="1461" spans="2:3" x14ac:dyDescent="0.25">
      <c r="B1461" s="798" t="s">
        <v>3848</v>
      </c>
      <c r="C1461" s="782">
        <v>99623</v>
      </c>
    </row>
    <row r="1462" spans="2:3" x14ac:dyDescent="0.25">
      <c r="B1462" s="798" t="s">
        <v>3849</v>
      </c>
      <c r="C1462" s="782">
        <v>91327</v>
      </c>
    </row>
    <row r="1463" spans="2:3" x14ac:dyDescent="0.25">
      <c r="B1463" s="798" t="s">
        <v>2346</v>
      </c>
      <c r="C1463" s="782">
        <v>94621</v>
      </c>
    </row>
    <row r="1464" spans="2:3" x14ac:dyDescent="0.25">
      <c r="B1464" s="798" t="s">
        <v>2347</v>
      </c>
      <c r="C1464" s="782">
        <v>92011</v>
      </c>
    </row>
    <row r="1465" spans="2:3" x14ac:dyDescent="0.25">
      <c r="B1465" s="798" t="s">
        <v>3850</v>
      </c>
      <c r="C1465" s="782">
        <v>92017</v>
      </c>
    </row>
    <row r="1466" spans="2:3" x14ac:dyDescent="0.25">
      <c r="B1466" s="798" t="s">
        <v>3851</v>
      </c>
      <c r="C1466" s="782">
        <v>99991</v>
      </c>
    </row>
    <row r="1467" spans="2:3" x14ac:dyDescent="0.25">
      <c r="B1467" s="798" t="s">
        <v>3852</v>
      </c>
      <c r="C1467" s="782">
        <v>99999</v>
      </c>
    </row>
    <row r="1468" spans="2:3" x14ac:dyDescent="0.25">
      <c r="B1468" s="798" t="s">
        <v>2348</v>
      </c>
      <c r="C1468" s="782">
        <v>92811</v>
      </c>
    </row>
    <row r="1469" spans="2:3" x14ac:dyDescent="0.25">
      <c r="B1469" s="798" t="s">
        <v>1348</v>
      </c>
      <c r="C1469" s="782">
        <v>92005</v>
      </c>
    </row>
    <row r="1470" spans="2:3" x14ac:dyDescent="0.25">
      <c r="B1470" s="798" t="s">
        <v>1708</v>
      </c>
      <c r="C1470" s="782">
        <v>96401</v>
      </c>
    </row>
    <row r="1471" spans="2:3" x14ac:dyDescent="0.25">
      <c r="B1471" s="798" t="s">
        <v>3853</v>
      </c>
      <c r="C1471" s="782">
        <v>96404</v>
      </c>
    </row>
    <row r="1472" spans="2:3" x14ac:dyDescent="0.25">
      <c r="B1472" s="798" t="s">
        <v>2349</v>
      </c>
      <c r="C1472" s="782">
        <v>96421</v>
      </c>
    </row>
    <row r="1473" spans="2:3" x14ac:dyDescent="0.25">
      <c r="B1473" s="798" t="s">
        <v>2350</v>
      </c>
      <c r="C1473" s="782">
        <v>91026</v>
      </c>
    </row>
    <row r="1474" spans="2:3" x14ac:dyDescent="0.25">
      <c r="B1474" s="798" t="s">
        <v>1633</v>
      </c>
      <c r="C1474" s="782">
        <v>95405</v>
      </c>
    </row>
    <row r="1475" spans="2:3" x14ac:dyDescent="0.25">
      <c r="B1475" s="798" t="s">
        <v>3854</v>
      </c>
      <c r="C1475" s="782">
        <v>94005</v>
      </c>
    </row>
    <row r="1476" spans="2:3" x14ac:dyDescent="0.25">
      <c r="B1476" s="798" t="s">
        <v>3855</v>
      </c>
      <c r="C1476" s="782">
        <v>95205</v>
      </c>
    </row>
    <row r="1477" spans="2:3" x14ac:dyDescent="0.25">
      <c r="B1477" s="798" t="s">
        <v>1383</v>
      </c>
      <c r="C1477" s="782">
        <v>92507</v>
      </c>
    </row>
    <row r="1478" spans="2:3" x14ac:dyDescent="0.25">
      <c r="B1478" s="798" t="s">
        <v>3856</v>
      </c>
      <c r="C1478" s="782">
        <v>92113</v>
      </c>
    </row>
    <row r="1479" spans="2:3" x14ac:dyDescent="0.25">
      <c r="B1479" s="798" t="s">
        <v>3857</v>
      </c>
      <c r="C1479" s="782">
        <v>96502</v>
      </c>
    </row>
    <row r="1480" spans="2:3" x14ac:dyDescent="0.25">
      <c r="B1480" s="798" t="s">
        <v>1717</v>
      </c>
      <c r="C1480" s="782">
        <v>96501</v>
      </c>
    </row>
    <row r="1481" spans="2:3" x14ac:dyDescent="0.25">
      <c r="B1481" s="798" t="s">
        <v>3858</v>
      </c>
      <c r="C1481" s="782">
        <v>96504</v>
      </c>
    </row>
    <row r="1482" spans="2:3" x14ac:dyDescent="0.25">
      <c r="B1482" s="798" t="s">
        <v>3859</v>
      </c>
      <c r="C1482" s="782">
        <v>97913</v>
      </c>
    </row>
    <row r="1483" spans="2:3" x14ac:dyDescent="0.25">
      <c r="B1483" s="798" t="s">
        <v>3860</v>
      </c>
      <c r="C1483" s="782">
        <v>92511</v>
      </c>
    </row>
    <row r="1484" spans="2:3" x14ac:dyDescent="0.25">
      <c r="B1484" s="798" t="s">
        <v>2351</v>
      </c>
      <c r="C1484" s="782">
        <v>90621</v>
      </c>
    </row>
    <row r="1485" spans="2:3" x14ac:dyDescent="0.25">
      <c r="B1485" s="798" t="s">
        <v>2352</v>
      </c>
      <c r="C1485" s="782">
        <v>91621</v>
      </c>
    </row>
    <row r="1486" spans="2:3" x14ac:dyDescent="0.25">
      <c r="B1486" s="798" t="s">
        <v>2353</v>
      </c>
      <c r="C1486" s="782">
        <v>91871</v>
      </c>
    </row>
    <row r="1487" spans="2:3" x14ac:dyDescent="0.25">
      <c r="B1487" s="798" t="s">
        <v>2354</v>
      </c>
      <c r="C1487" s="782">
        <v>98231</v>
      </c>
    </row>
    <row r="1488" spans="2:3" x14ac:dyDescent="0.25">
      <c r="B1488" s="798" t="s">
        <v>2355</v>
      </c>
      <c r="C1488" s="782">
        <v>99311</v>
      </c>
    </row>
    <row r="1489" spans="2:3" x14ac:dyDescent="0.25">
      <c r="B1489" s="798" t="s">
        <v>2356</v>
      </c>
      <c r="C1489" s="782">
        <v>96751</v>
      </c>
    </row>
    <row r="1490" spans="2:3" x14ac:dyDescent="0.25">
      <c r="B1490" s="798" t="s">
        <v>2357</v>
      </c>
      <c r="C1490" s="782">
        <v>99711</v>
      </c>
    </row>
    <row r="1491" spans="2:3" x14ac:dyDescent="0.25">
      <c r="B1491" s="798" t="s">
        <v>3861</v>
      </c>
      <c r="C1491" s="782">
        <v>99717</v>
      </c>
    </row>
    <row r="1492" spans="2:3" x14ac:dyDescent="0.25">
      <c r="B1492" s="798" t="s">
        <v>1729</v>
      </c>
      <c r="C1492" s="782">
        <v>96601</v>
      </c>
    </row>
    <row r="1493" spans="2:3" x14ac:dyDescent="0.25">
      <c r="B1493" s="798" t="s">
        <v>3862</v>
      </c>
      <c r="C1493" s="782">
        <v>96604</v>
      </c>
    </row>
    <row r="1494" spans="2:3" x14ac:dyDescent="0.25">
      <c r="B1494" s="798" t="s">
        <v>2358</v>
      </c>
      <c r="C1494" s="782">
        <v>91012</v>
      </c>
    </row>
    <row r="1495" spans="2:3" x14ac:dyDescent="0.25">
      <c r="B1495" s="798" t="s">
        <v>1181</v>
      </c>
      <c r="C1495" s="782">
        <v>90305</v>
      </c>
    </row>
    <row r="1496" spans="2:3" x14ac:dyDescent="0.25">
      <c r="B1496" s="798" t="s">
        <v>2359</v>
      </c>
      <c r="C1496" s="782">
        <v>98421</v>
      </c>
    </row>
    <row r="1497" spans="2:3" x14ac:dyDescent="0.25">
      <c r="B1497" s="798" t="s">
        <v>3863</v>
      </c>
      <c r="C1497" s="782">
        <v>98427</v>
      </c>
    </row>
    <row r="1498" spans="2:3" x14ac:dyDescent="0.25">
      <c r="B1498" s="798" t="s">
        <v>2360</v>
      </c>
      <c r="C1498" s="782">
        <v>95821</v>
      </c>
    </row>
    <row r="1499" spans="2:3" x14ac:dyDescent="0.25">
      <c r="B1499" s="798" t="s">
        <v>2361</v>
      </c>
      <c r="C1499" s="782">
        <v>91021</v>
      </c>
    </row>
    <row r="1500" spans="2:3" x14ac:dyDescent="0.25">
      <c r="B1500" s="798" t="s">
        <v>3864</v>
      </c>
      <c r="C1500" s="782">
        <v>91027</v>
      </c>
    </row>
    <row r="1501" spans="2:3" x14ac:dyDescent="0.25">
      <c r="B1501" s="798" t="s">
        <v>2362</v>
      </c>
      <c r="C1501" s="782">
        <v>94161</v>
      </c>
    </row>
    <row r="1502" spans="2:3" x14ac:dyDescent="0.25">
      <c r="B1502" s="798" t="s">
        <v>2363</v>
      </c>
      <c r="C1502" s="782">
        <v>98441</v>
      </c>
    </row>
    <row r="1503" spans="2:3" x14ac:dyDescent="0.25">
      <c r="B1503" s="798" t="s">
        <v>2364</v>
      </c>
      <c r="C1503" s="782">
        <v>91061</v>
      </c>
    </row>
    <row r="1504" spans="2:3" x14ac:dyDescent="0.25">
      <c r="B1504" s="798" t="s">
        <v>3865</v>
      </c>
      <c r="C1504" s="782">
        <v>91067</v>
      </c>
    </row>
    <row r="1505" spans="2:3" x14ac:dyDescent="0.25">
      <c r="B1505" s="798" t="s">
        <v>3866</v>
      </c>
      <c r="C1505" s="782">
        <v>94812</v>
      </c>
    </row>
    <row r="1506" spans="2:3" x14ac:dyDescent="0.25">
      <c r="B1506" s="798" t="s">
        <v>2365</v>
      </c>
      <c r="C1506" s="782">
        <v>95921</v>
      </c>
    </row>
    <row r="1507" spans="2:3" x14ac:dyDescent="0.25">
      <c r="B1507" s="798" t="s">
        <v>1740</v>
      </c>
      <c r="C1507" s="782">
        <v>96701</v>
      </c>
    </row>
    <row r="1508" spans="2:3" x14ac:dyDescent="0.25">
      <c r="B1508" s="798" t="s">
        <v>3867</v>
      </c>
      <c r="C1508" s="782">
        <v>96704</v>
      </c>
    </row>
    <row r="1509" spans="2:3" x14ac:dyDescent="0.25">
      <c r="B1509" s="798" t="s">
        <v>3868</v>
      </c>
      <c r="C1509" s="782">
        <v>96708</v>
      </c>
    </row>
    <row r="1510" spans="2:3" x14ac:dyDescent="0.25">
      <c r="B1510" s="798" t="s">
        <v>1749</v>
      </c>
      <c r="C1510" s="782">
        <v>96801</v>
      </c>
    </row>
    <row r="1511" spans="2:3" x14ac:dyDescent="0.25">
      <c r="B1511" s="798" t="s">
        <v>3869</v>
      </c>
      <c r="C1511" s="782">
        <v>96804</v>
      </c>
    </row>
    <row r="1512" spans="2:3" x14ac:dyDescent="0.25">
      <c r="B1512" s="798" t="s">
        <v>3870</v>
      </c>
      <c r="C1512" s="782">
        <v>96808</v>
      </c>
    </row>
    <row r="1513" spans="2:3" x14ac:dyDescent="0.25">
      <c r="B1513" s="798" t="s">
        <v>2366</v>
      </c>
      <c r="C1513" s="782">
        <v>96912</v>
      </c>
    </row>
    <row r="1514" spans="2:3" x14ac:dyDescent="0.25">
      <c r="B1514" s="798" t="s">
        <v>2367</v>
      </c>
      <c r="C1514" s="782">
        <v>93911</v>
      </c>
    </row>
    <row r="1515" spans="2:3" x14ac:dyDescent="0.25">
      <c r="B1515" s="798" t="s">
        <v>1509</v>
      </c>
      <c r="C1515" s="782">
        <v>93913</v>
      </c>
    </row>
    <row r="1516" spans="2:3" x14ac:dyDescent="0.25">
      <c r="B1516" s="798" t="s">
        <v>1755</v>
      </c>
      <c r="C1516" s="782">
        <v>96901</v>
      </c>
    </row>
    <row r="1517" spans="2:3" x14ac:dyDescent="0.25">
      <c r="B1517" s="798" t="s">
        <v>3871</v>
      </c>
      <c r="C1517" s="782">
        <v>97841</v>
      </c>
    </row>
    <row r="1518" spans="2:3" x14ac:dyDescent="0.25">
      <c r="B1518" s="798" t="s">
        <v>1444</v>
      </c>
      <c r="C1518" s="782">
        <v>93202</v>
      </c>
    </row>
    <row r="1519" spans="2:3" x14ac:dyDescent="0.25">
      <c r="B1519" s="798" t="s">
        <v>3537</v>
      </c>
      <c r="C1519" s="782">
        <v>93609</v>
      </c>
    </row>
    <row r="1520" spans="2:3" x14ac:dyDescent="0.25">
      <c r="B1520" s="798" t="s">
        <v>3872</v>
      </c>
      <c r="C1520" s="782">
        <v>97004</v>
      </c>
    </row>
    <row r="1521" spans="2:3" x14ac:dyDescent="0.25">
      <c r="B1521" s="798" t="s">
        <v>1759</v>
      </c>
      <c r="C1521" s="782">
        <v>97001</v>
      </c>
    </row>
    <row r="1522" spans="2:3" x14ac:dyDescent="0.25">
      <c r="B1522" s="798" t="s">
        <v>1760</v>
      </c>
      <c r="C1522" s="782">
        <v>97002</v>
      </c>
    </row>
    <row r="1523" spans="2:3" x14ac:dyDescent="0.25">
      <c r="B1523" s="798" t="s">
        <v>1768</v>
      </c>
      <c r="C1523" s="782">
        <v>97015</v>
      </c>
    </row>
    <row r="1524" spans="2:3" x14ac:dyDescent="0.25">
      <c r="B1524" s="798" t="s">
        <v>2368</v>
      </c>
      <c r="C1524" s="782">
        <v>90441</v>
      </c>
    </row>
    <row r="1525" spans="2:3" x14ac:dyDescent="0.25">
      <c r="B1525" s="798" t="s">
        <v>2369</v>
      </c>
      <c r="C1525" s="782">
        <v>97851</v>
      </c>
    </row>
    <row r="1526" spans="2:3" x14ac:dyDescent="0.25">
      <c r="B1526" s="798" t="s">
        <v>1838</v>
      </c>
      <c r="C1526" s="782">
        <v>97853</v>
      </c>
    </row>
    <row r="1527" spans="2:3" x14ac:dyDescent="0.25">
      <c r="B1527" s="798" t="s">
        <v>1770</v>
      </c>
      <c r="C1527" s="782">
        <v>97101</v>
      </c>
    </row>
    <row r="1528" spans="2:3" x14ac:dyDescent="0.25">
      <c r="B1528" s="798" t="s">
        <v>3873</v>
      </c>
      <c r="C1528" s="782">
        <v>97104</v>
      </c>
    </row>
    <row r="1529" spans="2:3" x14ac:dyDescent="0.25">
      <c r="B1529" s="798" t="s">
        <v>1775</v>
      </c>
      <c r="C1529" s="782">
        <v>97201</v>
      </c>
    </row>
    <row r="1530" spans="2:3" x14ac:dyDescent="0.25">
      <c r="B1530" s="798" t="s">
        <v>3874</v>
      </c>
      <c r="C1530" s="782">
        <v>97304</v>
      </c>
    </row>
    <row r="1531" spans="2:3" x14ac:dyDescent="0.25">
      <c r="B1531" s="798" t="s">
        <v>1780</v>
      </c>
      <c r="C1531" s="782">
        <v>97301</v>
      </c>
    </row>
    <row r="1532" spans="2:3" x14ac:dyDescent="0.25">
      <c r="B1532" s="798" t="s">
        <v>1977</v>
      </c>
      <c r="C1532" s="782">
        <v>99405</v>
      </c>
    </row>
    <row r="1533" spans="2:3" x14ac:dyDescent="0.25">
      <c r="B1533" s="798" t="s">
        <v>1159</v>
      </c>
      <c r="C1533" s="782">
        <v>72265</v>
      </c>
    </row>
    <row r="1534" spans="2:3" x14ac:dyDescent="0.25">
      <c r="B1534" s="798" t="s">
        <v>3875</v>
      </c>
      <c r="C1534" s="782">
        <v>94112</v>
      </c>
    </row>
    <row r="1535" spans="2:3" x14ac:dyDescent="0.25">
      <c r="B1535" s="798" t="s">
        <v>1463</v>
      </c>
      <c r="C1535" s="782">
        <v>93406</v>
      </c>
    </row>
    <row r="1536" spans="2:3" x14ac:dyDescent="0.25">
      <c r="B1536" s="798" t="s">
        <v>2370</v>
      </c>
      <c r="C1536" s="782">
        <v>99651</v>
      </c>
    </row>
    <row r="1537" spans="2:3" x14ac:dyDescent="0.25">
      <c r="B1537" s="798" t="s">
        <v>2371</v>
      </c>
      <c r="C1537" s="782">
        <v>98611</v>
      </c>
    </row>
    <row r="1538" spans="2:3" x14ac:dyDescent="0.25">
      <c r="B1538" s="798" t="s">
        <v>3876</v>
      </c>
      <c r="C1538" s="782">
        <v>98607</v>
      </c>
    </row>
    <row r="1539" spans="2:3" x14ac:dyDescent="0.25">
      <c r="B1539" s="798" t="s">
        <v>2372</v>
      </c>
      <c r="C1539" s="782">
        <v>91641</v>
      </c>
    </row>
    <row r="1540" spans="2:3" x14ac:dyDescent="0.25">
      <c r="B1540" s="798" t="s">
        <v>2373</v>
      </c>
      <c r="C1540" s="782">
        <v>95161</v>
      </c>
    </row>
    <row r="1541" spans="2:3" x14ac:dyDescent="0.25">
      <c r="B1541" s="798" t="s">
        <v>2374</v>
      </c>
      <c r="C1541" s="782">
        <v>96361</v>
      </c>
    </row>
    <row r="1542" spans="2:3" x14ac:dyDescent="0.25">
      <c r="B1542" s="798" t="s">
        <v>3877</v>
      </c>
      <c r="C1542" s="782">
        <v>94108</v>
      </c>
    </row>
    <row r="1543" spans="2:3" x14ac:dyDescent="0.25">
      <c r="B1543" s="798" t="s">
        <v>2375</v>
      </c>
      <c r="C1543" s="782">
        <v>96351</v>
      </c>
    </row>
    <row r="1544" spans="2:3" x14ac:dyDescent="0.25">
      <c r="B1544" s="798" t="s">
        <v>2376</v>
      </c>
      <c r="C1544" s="782">
        <v>93331</v>
      </c>
    </row>
    <row r="1545" spans="2:3" x14ac:dyDescent="0.25">
      <c r="B1545" s="798" t="s">
        <v>2377</v>
      </c>
      <c r="C1545" s="782">
        <v>96021</v>
      </c>
    </row>
    <row r="1546" spans="2:3" x14ac:dyDescent="0.25">
      <c r="B1546" s="798" t="s">
        <v>2378</v>
      </c>
      <c r="C1546" s="782">
        <v>95421</v>
      </c>
    </row>
    <row r="1547" spans="2:3" x14ac:dyDescent="0.25">
      <c r="B1547" s="798" t="s">
        <v>1783</v>
      </c>
      <c r="C1547" s="782">
        <v>97401</v>
      </c>
    </row>
    <row r="1548" spans="2:3" x14ac:dyDescent="0.25">
      <c r="B1548" s="798" t="s">
        <v>3878</v>
      </c>
      <c r="C1548" s="782">
        <v>97404</v>
      </c>
    </row>
    <row r="1549" spans="2:3" x14ac:dyDescent="0.25">
      <c r="B1549" s="798" t="s">
        <v>3879</v>
      </c>
      <c r="C1549" s="782">
        <v>97402</v>
      </c>
    </row>
    <row r="1550" spans="2:3" x14ac:dyDescent="0.25">
      <c r="B1550" s="798" t="s">
        <v>2379</v>
      </c>
      <c r="C1550" s="782">
        <v>91921</v>
      </c>
    </row>
    <row r="1551" spans="2:3" x14ac:dyDescent="0.25">
      <c r="B1551" s="798" t="s">
        <v>3880</v>
      </c>
      <c r="C1551" s="782">
        <v>95908</v>
      </c>
    </row>
    <row r="1552" spans="2:3" x14ac:dyDescent="0.25">
      <c r="B1552" s="798" t="s">
        <v>2380</v>
      </c>
      <c r="C1552" s="782">
        <v>99411</v>
      </c>
    </row>
    <row r="1553" spans="2:3" x14ac:dyDescent="0.25">
      <c r="B1553" s="798" t="s">
        <v>1979</v>
      </c>
      <c r="C1553" s="782">
        <v>99413</v>
      </c>
    </row>
    <row r="1554" spans="2:3" x14ac:dyDescent="0.25">
      <c r="B1554" s="798" t="s">
        <v>1800</v>
      </c>
      <c r="C1554" s="782">
        <v>97501</v>
      </c>
    </row>
    <row r="1555" spans="2:3" x14ac:dyDescent="0.25">
      <c r="B1555" s="798" t="s">
        <v>2381</v>
      </c>
      <c r="C1555" s="782">
        <v>90431</v>
      </c>
    </row>
    <row r="1556" spans="2:3" x14ac:dyDescent="0.25">
      <c r="B1556" s="798" t="s">
        <v>2382</v>
      </c>
      <c r="C1556" s="782">
        <v>95211</v>
      </c>
    </row>
    <row r="1557" spans="2:3" x14ac:dyDescent="0.25">
      <c r="B1557" s="798" t="s">
        <v>2383</v>
      </c>
      <c r="C1557" s="782">
        <v>95181</v>
      </c>
    </row>
    <row r="1558" spans="2:3" x14ac:dyDescent="0.25">
      <c r="B1558" s="798" t="s">
        <v>2384</v>
      </c>
      <c r="C1558" s="782">
        <v>93351</v>
      </c>
    </row>
    <row r="1559" spans="2:3" x14ac:dyDescent="0.25">
      <c r="B1559" s="798" t="s">
        <v>3881</v>
      </c>
      <c r="C1559" s="782">
        <v>95105</v>
      </c>
    </row>
    <row r="1560" spans="2:3" x14ac:dyDescent="0.25">
      <c r="B1560" s="798" t="s">
        <v>3882</v>
      </c>
      <c r="C1560" s="782">
        <v>92614</v>
      </c>
    </row>
    <row r="1561" spans="2:3" x14ac:dyDescent="0.25">
      <c r="B1561" s="798" t="s">
        <v>2385</v>
      </c>
      <c r="C1561" s="782">
        <v>94711</v>
      </c>
    </row>
    <row r="1562" spans="2:3" x14ac:dyDescent="0.25">
      <c r="B1562" s="798" t="s">
        <v>2386</v>
      </c>
      <c r="C1562" s="782">
        <v>99211</v>
      </c>
    </row>
    <row r="1563" spans="2:3" x14ac:dyDescent="0.25">
      <c r="B1563" s="798" t="s">
        <v>1960</v>
      </c>
      <c r="C1563" s="782">
        <v>99218</v>
      </c>
    </row>
    <row r="1564" spans="2:3" x14ac:dyDescent="0.25">
      <c r="B1564" s="798" t="s">
        <v>3883</v>
      </c>
      <c r="C1564" s="782">
        <v>99213</v>
      </c>
    </row>
    <row r="1565" spans="2:3" x14ac:dyDescent="0.25">
      <c r="B1565" s="798" t="s">
        <v>2387</v>
      </c>
      <c r="C1565" s="782">
        <v>97641</v>
      </c>
    </row>
    <row r="1566" spans="2:3" x14ac:dyDescent="0.25">
      <c r="B1566" s="798" t="s">
        <v>2388</v>
      </c>
      <c r="C1566" s="782">
        <v>97621</v>
      </c>
    </row>
    <row r="1567" spans="2:3" x14ac:dyDescent="0.25">
      <c r="B1567" s="798" t="s">
        <v>3884</v>
      </c>
      <c r="C1567" s="782">
        <v>97627</v>
      </c>
    </row>
    <row r="1568" spans="2:3" x14ac:dyDescent="0.25">
      <c r="B1568" s="798" t="s">
        <v>3885</v>
      </c>
      <c r="C1568" s="782">
        <v>97623</v>
      </c>
    </row>
    <row r="1569" spans="2:3" x14ac:dyDescent="0.25">
      <c r="B1569" s="798" t="s">
        <v>1804</v>
      </c>
      <c r="C1569" s="782">
        <v>97601</v>
      </c>
    </row>
    <row r="1570" spans="2:3" x14ac:dyDescent="0.25">
      <c r="B1570" s="798" t="s">
        <v>2389</v>
      </c>
      <c r="C1570" s="782">
        <v>93681</v>
      </c>
    </row>
    <row r="1571" spans="2:3" x14ac:dyDescent="0.25">
      <c r="B1571" s="798" t="s">
        <v>2390</v>
      </c>
      <c r="C1571" s="782">
        <v>97871</v>
      </c>
    </row>
    <row r="1572" spans="2:3" x14ac:dyDescent="0.25">
      <c r="B1572" s="798" t="s">
        <v>3886</v>
      </c>
      <c r="C1572" s="782">
        <v>97877</v>
      </c>
    </row>
    <row r="1573" spans="2:3" x14ac:dyDescent="0.25">
      <c r="B1573" s="798" t="s">
        <v>1983</v>
      </c>
      <c r="C1573" s="782">
        <v>99502</v>
      </c>
    </row>
    <row r="1574" spans="2:3" x14ac:dyDescent="0.25">
      <c r="B1574" s="798" t="s">
        <v>2391</v>
      </c>
      <c r="C1574" s="782">
        <v>97911</v>
      </c>
    </row>
    <row r="1575" spans="2:3" x14ac:dyDescent="0.25">
      <c r="B1575" s="798" t="s">
        <v>3887</v>
      </c>
      <c r="C1575" s="782">
        <v>97917</v>
      </c>
    </row>
    <row r="1576" spans="2:3" x14ac:dyDescent="0.25">
      <c r="B1576" s="798" t="s">
        <v>2392</v>
      </c>
      <c r="C1576" s="782">
        <v>96611</v>
      </c>
    </row>
    <row r="1577" spans="2:3" x14ac:dyDescent="0.25">
      <c r="B1577" s="798" t="s">
        <v>2393</v>
      </c>
      <c r="C1577" s="782">
        <v>96741</v>
      </c>
    </row>
    <row r="1578" spans="2:3" x14ac:dyDescent="0.25">
      <c r="B1578" s="798" t="s">
        <v>1816</v>
      </c>
      <c r="C1578" s="782">
        <v>97701</v>
      </c>
    </row>
    <row r="1579" spans="2:3" x14ac:dyDescent="0.25">
      <c r="B1579" s="798" t="s">
        <v>2394</v>
      </c>
      <c r="C1579" s="782">
        <v>92541</v>
      </c>
    </row>
    <row r="1580" spans="2:3" x14ac:dyDescent="0.25">
      <c r="B1580" s="798" t="s">
        <v>1540</v>
      </c>
      <c r="C1580" s="782">
        <v>94209</v>
      </c>
    </row>
    <row r="1581" spans="2:3" x14ac:dyDescent="0.25">
      <c r="B1581" s="798" t="s">
        <v>3888</v>
      </c>
      <c r="C1581" s="782">
        <v>94221</v>
      </c>
    </row>
    <row r="1582" spans="2:3" x14ac:dyDescent="0.25">
      <c r="B1582" s="798" t="s">
        <v>2395</v>
      </c>
      <c r="C1582" s="782">
        <v>96341</v>
      </c>
    </row>
    <row r="1583" spans="2:3" x14ac:dyDescent="0.25">
      <c r="B1583" s="798" t="s">
        <v>2396</v>
      </c>
      <c r="C1583" s="782">
        <v>93821</v>
      </c>
    </row>
    <row r="1584" spans="2:3" x14ac:dyDescent="0.25">
      <c r="B1584" s="798" t="s">
        <v>2397</v>
      </c>
      <c r="C1584" s="782">
        <v>95851</v>
      </c>
    </row>
    <row r="1585" spans="2:3" x14ac:dyDescent="0.25">
      <c r="B1585" s="798" t="s">
        <v>1662</v>
      </c>
      <c r="C1585" s="782">
        <v>95853</v>
      </c>
    </row>
    <row r="1586" spans="2:3" x14ac:dyDescent="0.25">
      <c r="B1586" s="798" t="s">
        <v>1824</v>
      </c>
      <c r="C1586" s="782">
        <v>97801</v>
      </c>
    </row>
    <row r="1587" spans="2:3" x14ac:dyDescent="0.25">
      <c r="B1587" s="798" t="s">
        <v>1826</v>
      </c>
      <c r="C1587" s="782">
        <v>97803</v>
      </c>
    </row>
    <row r="1588" spans="2:3" x14ac:dyDescent="0.25">
      <c r="B1588" s="798" t="s">
        <v>1827</v>
      </c>
      <c r="C1588" s="782">
        <v>97805</v>
      </c>
    </row>
    <row r="1589" spans="2:3" x14ac:dyDescent="0.25">
      <c r="B1589" s="798" t="s">
        <v>2398</v>
      </c>
      <c r="C1589" s="782">
        <v>97711</v>
      </c>
    </row>
    <row r="1590" spans="2:3" x14ac:dyDescent="0.25">
      <c r="B1590" s="798" t="s">
        <v>1842</v>
      </c>
      <c r="C1590" s="782">
        <v>97901</v>
      </c>
    </row>
    <row r="1591" spans="2:3" x14ac:dyDescent="0.25">
      <c r="B1591" s="798" t="s">
        <v>1819</v>
      </c>
      <c r="C1591" s="782">
        <v>97713</v>
      </c>
    </row>
    <row r="1592" spans="2:3" x14ac:dyDescent="0.25">
      <c r="B1592" s="798" t="s">
        <v>3889</v>
      </c>
      <c r="C1592" s="782">
        <v>97727</v>
      </c>
    </row>
    <row r="1593" spans="2:3" x14ac:dyDescent="0.25">
      <c r="B1593" s="798" t="s">
        <v>2399</v>
      </c>
      <c r="C1593" s="782">
        <v>98071</v>
      </c>
    </row>
    <row r="1594" spans="2:3" x14ac:dyDescent="0.25">
      <c r="B1594" s="798" t="s">
        <v>1456</v>
      </c>
      <c r="C1594" s="782">
        <v>93323</v>
      </c>
    </row>
    <row r="1595" spans="2:3" x14ac:dyDescent="0.25">
      <c r="B1595" s="798" t="s">
        <v>3890</v>
      </c>
      <c r="C1595" s="782">
        <v>93333</v>
      </c>
    </row>
    <row r="1596" spans="2:3" x14ac:dyDescent="0.25">
      <c r="B1596" s="798" t="s">
        <v>3891</v>
      </c>
      <c r="C1596" s="782">
        <v>93321</v>
      </c>
    </row>
    <row r="1597" spans="2:3" x14ac:dyDescent="0.25">
      <c r="B1597" s="798" t="s">
        <v>2400</v>
      </c>
      <c r="C1597" s="782">
        <v>99203</v>
      </c>
    </row>
    <row r="1598" spans="2:3" x14ac:dyDescent="0.25">
      <c r="B1598" s="798" t="s">
        <v>2401</v>
      </c>
      <c r="C1598" s="782">
        <v>99421</v>
      </c>
    </row>
    <row r="1599" spans="2:3" x14ac:dyDescent="0.25">
      <c r="B1599" s="798" t="s">
        <v>2402</v>
      </c>
      <c r="C1599" s="782">
        <v>93161</v>
      </c>
    </row>
    <row r="1600" spans="2:3" x14ac:dyDescent="0.25">
      <c r="B1600" s="798" t="s">
        <v>2403</v>
      </c>
      <c r="C1600" s="782">
        <v>98261</v>
      </c>
    </row>
    <row r="1601" spans="2:3" x14ac:dyDescent="0.25">
      <c r="B1601" s="798" t="s">
        <v>3892</v>
      </c>
      <c r="C1601" s="782">
        <v>98237</v>
      </c>
    </row>
    <row r="1602" spans="2:3" x14ac:dyDescent="0.25">
      <c r="B1602" s="798" t="s">
        <v>3893</v>
      </c>
      <c r="C1602" s="782">
        <v>98003</v>
      </c>
    </row>
    <row r="1603" spans="2:3" x14ac:dyDescent="0.25">
      <c r="B1603" s="798" t="s">
        <v>3894</v>
      </c>
      <c r="C1603" s="782">
        <v>98008</v>
      </c>
    </row>
    <row r="1604" spans="2:3" x14ac:dyDescent="0.25">
      <c r="B1604" s="798" t="s">
        <v>3895</v>
      </c>
      <c r="C1604" s="782">
        <v>98002</v>
      </c>
    </row>
    <row r="1605" spans="2:3" x14ac:dyDescent="0.25">
      <c r="B1605" s="798" t="s">
        <v>1853</v>
      </c>
      <c r="C1605" s="782">
        <v>98001</v>
      </c>
    </row>
    <row r="1606" spans="2:3" x14ac:dyDescent="0.25">
      <c r="B1606" s="798" t="s">
        <v>3896</v>
      </c>
      <c r="C1606" s="782">
        <v>98004</v>
      </c>
    </row>
    <row r="1607" spans="2:3" x14ac:dyDescent="0.25">
      <c r="B1607" s="798" t="s">
        <v>2404</v>
      </c>
      <c r="C1607" s="782">
        <v>97861</v>
      </c>
    </row>
    <row r="1608" spans="2:3" x14ac:dyDescent="0.25">
      <c r="B1608" s="798" t="s">
        <v>2405</v>
      </c>
      <c r="C1608" s="782">
        <v>97311</v>
      </c>
    </row>
    <row r="1609" spans="2:3" x14ac:dyDescent="0.25">
      <c r="B1609" s="798" t="s">
        <v>2406</v>
      </c>
      <c r="C1609" s="782">
        <v>93431</v>
      </c>
    </row>
    <row r="1610" spans="2:3" x14ac:dyDescent="0.25">
      <c r="B1610" s="798" t="s">
        <v>2407</v>
      </c>
      <c r="C1610" s="782">
        <v>91214</v>
      </c>
    </row>
    <row r="1611" spans="2:3" x14ac:dyDescent="0.25">
      <c r="B1611" s="798" t="s">
        <v>1868</v>
      </c>
      <c r="C1611" s="782">
        <v>98101</v>
      </c>
    </row>
    <row r="1612" spans="2:3" x14ac:dyDescent="0.25">
      <c r="B1612" s="798" t="s">
        <v>3897</v>
      </c>
      <c r="C1612" s="782">
        <v>98103</v>
      </c>
    </row>
    <row r="1613" spans="2:3" x14ac:dyDescent="0.25">
      <c r="B1613" s="798" t="s">
        <v>2408</v>
      </c>
      <c r="C1613" s="782">
        <v>98141</v>
      </c>
    </row>
    <row r="1614" spans="2:3" x14ac:dyDescent="0.25">
      <c r="B1614" s="798" t="s">
        <v>3898</v>
      </c>
      <c r="C1614" s="782">
        <v>98147</v>
      </c>
    </row>
    <row r="1615" spans="2:3" x14ac:dyDescent="0.25">
      <c r="B1615" s="798" t="s">
        <v>2409</v>
      </c>
      <c r="C1615" s="782">
        <v>98221</v>
      </c>
    </row>
    <row r="1616" spans="2:3" x14ac:dyDescent="0.25">
      <c r="B1616" s="798" t="s">
        <v>2410</v>
      </c>
      <c r="C1616" s="782">
        <v>98011</v>
      </c>
    </row>
    <row r="1617" spans="2:3" x14ac:dyDescent="0.25">
      <c r="B1617" s="798" t="s">
        <v>2411</v>
      </c>
      <c r="C1617" s="782">
        <v>97531</v>
      </c>
    </row>
    <row r="1618" spans="2:3" x14ac:dyDescent="0.25">
      <c r="B1618" s="798" t="s">
        <v>1880</v>
      </c>
      <c r="C1618" s="782">
        <v>98201</v>
      </c>
    </row>
    <row r="1619" spans="2:3" x14ac:dyDescent="0.25">
      <c r="B1619" s="798" t="s">
        <v>1817</v>
      </c>
      <c r="C1619" s="782">
        <v>97705</v>
      </c>
    </row>
    <row r="1620" spans="2:3" x14ac:dyDescent="0.25">
      <c r="B1620" s="798" t="s">
        <v>3539</v>
      </c>
      <c r="C1620" s="782">
        <v>96318</v>
      </c>
    </row>
    <row r="1621" spans="2:3" x14ac:dyDescent="0.25">
      <c r="B1621" s="798" t="s">
        <v>2412</v>
      </c>
      <c r="C1621" s="782">
        <v>95311</v>
      </c>
    </row>
    <row r="1622" spans="2:3" x14ac:dyDescent="0.25">
      <c r="B1622" s="798" t="s">
        <v>3899</v>
      </c>
      <c r="C1622" s="782">
        <v>95317</v>
      </c>
    </row>
    <row r="1623" spans="2:3" x14ac:dyDescent="0.25">
      <c r="B1623" s="798" t="s">
        <v>2413</v>
      </c>
      <c r="C1623" s="782">
        <v>91421</v>
      </c>
    </row>
    <row r="1624" spans="2:3" x14ac:dyDescent="0.25">
      <c r="B1624" s="798" t="s">
        <v>1891</v>
      </c>
      <c r="C1624" s="782">
        <v>98301</v>
      </c>
    </row>
    <row r="1625" spans="2:3" x14ac:dyDescent="0.25">
      <c r="B1625" s="798" t="s">
        <v>3900</v>
      </c>
      <c r="C1625" s="782">
        <v>98304</v>
      </c>
    </row>
    <row r="1626" spans="2:3" x14ac:dyDescent="0.25">
      <c r="B1626" s="798" t="s">
        <v>2414</v>
      </c>
      <c r="C1626" s="782">
        <v>94241</v>
      </c>
    </row>
    <row r="1627" spans="2:3" x14ac:dyDescent="0.25">
      <c r="B1627" s="798" t="s">
        <v>2415</v>
      </c>
      <c r="C1627" s="782">
        <v>96681</v>
      </c>
    </row>
    <row r="1628" spans="2:3" x14ac:dyDescent="0.25">
      <c r="B1628" s="798" t="s">
        <v>3901</v>
      </c>
      <c r="C1628" s="782">
        <v>72593</v>
      </c>
    </row>
    <row r="1629" spans="2:3" x14ac:dyDescent="0.25">
      <c r="B1629" s="798" t="s">
        <v>2416</v>
      </c>
      <c r="C1629" s="782">
        <v>95121</v>
      </c>
    </row>
    <row r="1630" spans="2:3" x14ac:dyDescent="0.25">
      <c r="B1630" s="798" t="s">
        <v>1614</v>
      </c>
      <c r="C1630" s="782">
        <v>95123</v>
      </c>
    </row>
    <row r="1631" spans="2:3" x14ac:dyDescent="0.25">
      <c r="B1631" s="798" t="s">
        <v>2417</v>
      </c>
      <c r="C1631" s="782">
        <v>99531</v>
      </c>
    </row>
    <row r="1632" spans="2:3" x14ac:dyDescent="0.25">
      <c r="B1632" s="798" t="s">
        <v>2418</v>
      </c>
      <c r="C1632" s="782">
        <v>96671</v>
      </c>
    </row>
    <row r="1633" spans="2:3" x14ac:dyDescent="0.25">
      <c r="B1633" s="798" t="s">
        <v>2419</v>
      </c>
      <c r="C1633" s="782">
        <v>91081</v>
      </c>
    </row>
    <row r="1634" spans="2:3" x14ac:dyDescent="0.25">
      <c r="B1634" s="798" t="s">
        <v>3902</v>
      </c>
      <c r="C1634" s="782">
        <v>91057</v>
      </c>
    </row>
    <row r="1635" spans="2:3" x14ac:dyDescent="0.25">
      <c r="B1635" s="798" t="s">
        <v>2420</v>
      </c>
      <c r="C1635" s="782">
        <v>96461</v>
      </c>
    </row>
    <row r="1636" spans="2:3" x14ac:dyDescent="0.25">
      <c r="B1636" s="798" t="s">
        <v>2421</v>
      </c>
      <c r="C1636" s="782">
        <v>92311</v>
      </c>
    </row>
    <row r="1637" spans="2:3" x14ac:dyDescent="0.25">
      <c r="B1637" s="798" t="s">
        <v>3903</v>
      </c>
      <c r="C1637" s="782">
        <v>92317</v>
      </c>
    </row>
    <row r="1638" spans="2:3" x14ac:dyDescent="0.25">
      <c r="B1638" s="798" t="s">
        <v>1786</v>
      </c>
      <c r="C1638" s="782">
        <v>97405</v>
      </c>
    </row>
    <row r="1639" spans="2:3" x14ac:dyDescent="0.25">
      <c r="B1639" s="798" t="s">
        <v>2422</v>
      </c>
      <c r="C1639" s="782">
        <v>91911</v>
      </c>
    </row>
    <row r="1640" spans="2:3" x14ac:dyDescent="0.25">
      <c r="B1640" s="798" t="s">
        <v>3904</v>
      </c>
      <c r="C1640" s="782">
        <v>91917</v>
      </c>
    </row>
    <row r="1641" spans="2:3" x14ac:dyDescent="0.25">
      <c r="B1641" s="798" t="s">
        <v>2423</v>
      </c>
      <c r="C1641" s="782">
        <v>97481</v>
      </c>
    </row>
    <row r="1642" spans="2:3" x14ac:dyDescent="0.25">
      <c r="B1642" s="798" t="s">
        <v>3905</v>
      </c>
      <c r="C1642" s="782">
        <v>91138</v>
      </c>
    </row>
    <row r="1643" spans="2:3" x14ac:dyDescent="0.25">
      <c r="B1643" s="798" t="s">
        <v>2424</v>
      </c>
      <c r="C1643" s="782">
        <v>95111</v>
      </c>
    </row>
    <row r="1644" spans="2:3" x14ac:dyDescent="0.25">
      <c r="B1644" s="798" t="s">
        <v>1611</v>
      </c>
      <c r="C1644" s="782">
        <v>95113</v>
      </c>
    </row>
    <row r="1645" spans="2:3" x14ac:dyDescent="0.25">
      <c r="B1645" s="798" t="s">
        <v>2425</v>
      </c>
      <c r="C1645" s="782">
        <v>94021</v>
      </c>
    </row>
    <row r="1646" spans="2:3" x14ac:dyDescent="0.25">
      <c r="B1646" s="798" t="s">
        <v>3906</v>
      </c>
      <c r="C1646" s="782">
        <v>90918</v>
      </c>
    </row>
    <row r="1647" spans="2:3" x14ac:dyDescent="0.25">
      <c r="B1647" s="798" t="s">
        <v>3907</v>
      </c>
      <c r="C1647" s="782">
        <v>93910</v>
      </c>
    </row>
    <row r="1648" spans="2:3" x14ac:dyDescent="0.25">
      <c r="B1648" s="798" t="s">
        <v>3540</v>
      </c>
      <c r="C1648" s="782">
        <v>91013</v>
      </c>
    </row>
    <row r="1649" spans="2:3" x14ac:dyDescent="0.25">
      <c r="B1649" s="798" t="s">
        <v>2426</v>
      </c>
      <c r="C1649" s="782">
        <v>96311</v>
      </c>
    </row>
    <row r="1650" spans="2:3" x14ac:dyDescent="0.25">
      <c r="B1650" s="798" t="s">
        <v>2427</v>
      </c>
      <c r="C1650" s="782">
        <v>92841</v>
      </c>
    </row>
    <row r="1651" spans="2:3" x14ac:dyDescent="0.25">
      <c r="B1651" s="798" t="s">
        <v>1994</v>
      </c>
      <c r="C1651" s="782">
        <v>99609</v>
      </c>
    </row>
    <row r="1652" spans="2:3" x14ac:dyDescent="0.25">
      <c r="B1652" s="798" t="s">
        <v>2428</v>
      </c>
      <c r="C1652" s="782">
        <v>91011</v>
      </c>
    </row>
    <row r="1653" spans="2:3" x14ac:dyDescent="0.25">
      <c r="B1653" s="798" t="s">
        <v>3908</v>
      </c>
      <c r="C1653" s="782">
        <v>91017</v>
      </c>
    </row>
    <row r="1654" spans="2:3" x14ac:dyDescent="0.25">
      <c r="B1654" s="798" t="s">
        <v>3909</v>
      </c>
      <c r="C1654" s="782">
        <v>95008</v>
      </c>
    </row>
    <row r="1655" spans="2:3" x14ac:dyDescent="0.25">
      <c r="B1655" s="798" t="s">
        <v>2429</v>
      </c>
      <c r="C1655" s="782">
        <v>72657</v>
      </c>
    </row>
    <row r="1656" spans="2:3" x14ac:dyDescent="0.25">
      <c r="B1656" s="798" t="s">
        <v>3910</v>
      </c>
      <c r="C1656" s="782">
        <v>90307</v>
      </c>
    </row>
    <row r="1657" spans="2:3" x14ac:dyDescent="0.25">
      <c r="B1657" s="798" t="s">
        <v>2430</v>
      </c>
      <c r="C1657" s="782">
        <v>98031</v>
      </c>
    </row>
    <row r="1658" spans="2:3" x14ac:dyDescent="0.25">
      <c r="B1658" s="798" t="s">
        <v>2431</v>
      </c>
      <c r="C1658" s="782">
        <v>98121</v>
      </c>
    </row>
    <row r="1659" spans="2:3" x14ac:dyDescent="0.25">
      <c r="B1659" s="798" t="s">
        <v>2432</v>
      </c>
      <c r="C1659" s="782">
        <v>96411</v>
      </c>
    </row>
    <row r="1660" spans="2:3" x14ac:dyDescent="0.25">
      <c r="B1660" s="798" t="s">
        <v>2433</v>
      </c>
      <c r="C1660" s="782">
        <v>92661</v>
      </c>
    </row>
    <row r="1661" spans="2:3" x14ac:dyDescent="0.25">
      <c r="B1661" s="798" t="s">
        <v>2434</v>
      </c>
      <c r="C1661" s="782">
        <v>96111</v>
      </c>
    </row>
    <row r="1662" spans="2:3" x14ac:dyDescent="0.25">
      <c r="B1662" s="798" t="s">
        <v>3911</v>
      </c>
      <c r="C1662" s="782">
        <v>91032</v>
      </c>
    </row>
    <row r="1663" spans="2:3" x14ac:dyDescent="0.25">
      <c r="B1663" s="798" t="s">
        <v>3912</v>
      </c>
      <c r="C1663" s="782">
        <v>97831</v>
      </c>
    </row>
    <row r="1664" spans="2:3" x14ac:dyDescent="0.25">
      <c r="B1664" s="798" t="s">
        <v>3913</v>
      </c>
      <c r="C1664" s="782">
        <v>97837</v>
      </c>
    </row>
    <row r="1665" spans="2:3" x14ac:dyDescent="0.25">
      <c r="B1665" s="798" t="s">
        <v>2435</v>
      </c>
      <c r="C1665" s="782">
        <v>96061</v>
      </c>
    </row>
    <row r="1666" spans="2:3" x14ac:dyDescent="0.25">
      <c r="B1666" s="798" t="s">
        <v>2436</v>
      </c>
      <c r="C1666" s="782">
        <v>98481</v>
      </c>
    </row>
    <row r="1667" spans="2:3" x14ac:dyDescent="0.25">
      <c r="B1667" s="798" t="s">
        <v>2437</v>
      </c>
      <c r="C1667" s="782">
        <v>93602</v>
      </c>
    </row>
    <row r="1668" spans="2:3" x14ac:dyDescent="0.25">
      <c r="B1668" s="798" t="s">
        <v>1898</v>
      </c>
      <c r="C1668" s="782">
        <v>98401</v>
      </c>
    </row>
    <row r="1669" spans="2:3" x14ac:dyDescent="0.25">
      <c r="B1669" s="798" t="s">
        <v>2438</v>
      </c>
      <c r="C1669" s="782">
        <v>99821</v>
      </c>
    </row>
    <row r="1670" spans="2:3" x14ac:dyDescent="0.25">
      <c r="B1670" s="798" t="s">
        <v>2439</v>
      </c>
      <c r="C1670" s="782">
        <v>96211</v>
      </c>
    </row>
    <row r="1671" spans="2:3" x14ac:dyDescent="0.25">
      <c r="B1671" s="798" t="s">
        <v>2440</v>
      </c>
      <c r="C1671" s="782">
        <v>94911</v>
      </c>
    </row>
    <row r="1672" spans="2:3" x14ac:dyDescent="0.25">
      <c r="B1672" s="798" t="s">
        <v>3914</v>
      </c>
      <c r="C1672" s="782">
        <v>94917</v>
      </c>
    </row>
    <row r="1673" spans="2:3" x14ac:dyDescent="0.25">
      <c r="B1673" s="798" t="s">
        <v>2441</v>
      </c>
      <c r="C1673" s="782">
        <v>92621</v>
      </c>
    </row>
    <row r="1674" spans="2:3" x14ac:dyDescent="0.25">
      <c r="B1674" s="798" t="s">
        <v>1907</v>
      </c>
      <c r="C1674" s="782">
        <v>98501</v>
      </c>
    </row>
    <row r="1675" spans="2:3" x14ac:dyDescent="0.25">
      <c r="B1675" s="798" t="s">
        <v>2442</v>
      </c>
      <c r="C1675" s="782">
        <v>97931</v>
      </c>
    </row>
    <row r="1676" spans="2:3" x14ac:dyDescent="0.25">
      <c r="B1676" s="798" t="s">
        <v>2443</v>
      </c>
      <c r="C1676" s="782">
        <v>93914</v>
      </c>
    </row>
    <row r="1677" spans="2:3" x14ac:dyDescent="0.25">
      <c r="B1677" s="798" t="s">
        <v>2444</v>
      </c>
      <c r="C1677" s="782">
        <v>90651</v>
      </c>
    </row>
    <row r="1678" spans="2:3" x14ac:dyDescent="0.25">
      <c r="B1678" s="798" t="s">
        <v>2445</v>
      </c>
      <c r="C1678" s="782">
        <v>94171</v>
      </c>
    </row>
    <row r="1679" spans="2:3" x14ac:dyDescent="0.25">
      <c r="B1679" s="798" t="s">
        <v>1536</v>
      </c>
      <c r="C1679" s="782">
        <v>94172</v>
      </c>
    </row>
    <row r="1680" spans="2:3" x14ac:dyDescent="0.25">
      <c r="B1680" s="798" t="s">
        <v>2446</v>
      </c>
      <c r="C1680" s="782">
        <v>91041</v>
      </c>
    </row>
    <row r="1681" spans="2:3" x14ac:dyDescent="0.25">
      <c r="B1681" s="798" t="s">
        <v>3915</v>
      </c>
      <c r="C1681" s="782">
        <v>91047</v>
      </c>
    </row>
    <row r="1682" spans="2:3" x14ac:dyDescent="0.25">
      <c r="B1682" s="798" t="s">
        <v>1774</v>
      </c>
      <c r="C1682" s="782">
        <v>97131</v>
      </c>
    </row>
    <row r="1683" spans="2:3" x14ac:dyDescent="0.25">
      <c r="B1683" s="798" t="s">
        <v>1911</v>
      </c>
      <c r="C1683" s="782">
        <v>98601</v>
      </c>
    </row>
    <row r="1684" spans="2:3" x14ac:dyDescent="0.25">
      <c r="B1684" s="798" t="s">
        <v>1921</v>
      </c>
      <c r="C1684" s="782">
        <v>98701</v>
      </c>
    </row>
    <row r="1685" spans="2:3" x14ac:dyDescent="0.25">
      <c r="B1685" s="798" t="s">
        <v>2447</v>
      </c>
      <c r="C1685" s="782">
        <v>96721</v>
      </c>
    </row>
    <row r="1686" spans="2:3" x14ac:dyDescent="0.25">
      <c r="B1686" s="798" t="s">
        <v>2448</v>
      </c>
      <c r="C1686" s="782">
        <v>95011</v>
      </c>
    </row>
    <row r="1687" spans="2:3" x14ac:dyDescent="0.25">
      <c r="B1687" s="798" t="s">
        <v>2449</v>
      </c>
      <c r="C1687" s="782">
        <v>92451</v>
      </c>
    </row>
    <row r="1688" spans="2:3" x14ac:dyDescent="0.25">
      <c r="B1688" s="798" t="s">
        <v>2450</v>
      </c>
      <c r="C1688" s="782">
        <v>93311</v>
      </c>
    </row>
    <row r="1689" spans="2:3" x14ac:dyDescent="0.25">
      <c r="B1689" s="798" t="s">
        <v>1454</v>
      </c>
      <c r="C1689" s="782">
        <v>93317</v>
      </c>
    </row>
    <row r="1690" spans="2:3" x14ac:dyDescent="0.25">
      <c r="B1690" s="798" t="s">
        <v>2451</v>
      </c>
      <c r="C1690" s="782">
        <v>90211</v>
      </c>
    </row>
    <row r="1691" spans="2:3" x14ac:dyDescent="0.25">
      <c r="B1691" s="798" t="s">
        <v>2452</v>
      </c>
      <c r="C1691" s="782">
        <v>96302</v>
      </c>
    </row>
    <row r="1692" spans="2:3" x14ac:dyDescent="0.25">
      <c r="B1692" s="798" t="s">
        <v>2453</v>
      </c>
      <c r="C1692" s="782">
        <v>93181</v>
      </c>
    </row>
    <row r="1693" spans="2:3" x14ac:dyDescent="0.25">
      <c r="B1693" s="798" t="s">
        <v>2454</v>
      </c>
      <c r="C1693" s="782">
        <v>92911</v>
      </c>
    </row>
    <row r="1694" spans="2:3" x14ac:dyDescent="0.25">
      <c r="B1694" s="798" t="s">
        <v>3916</v>
      </c>
      <c r="C1694" s="782">
        <v>92914</v>
      </c>
    </row>
    <row r="1695" spans="2:3" x14ac:dyDescent="0.25">
      <c r="B1695" s="798" t="s">
        <v>1419</v>
      </c>
      <c r="C1695" s="782">
        <v>92913</v>
      </c>
    </row>
    <row r="1696" spans="2:3" x14ac:dyDescent="0.25">
      <c r="B1696" s="798" t="s">
        <v>2455</v>
      </c>
      <c r="C1696" s="782">
        <v>93471</v>
      </c>
    </row>
    <row r="1697" spans="2:3" x14ac:dyDescent="0.25">
      <c r="B1697" s="798" t="s">
        <v>3917</v>
      </c>
      <c r="C1697" s="782">
        <v>90098</v>
      </c>
    </row>
    <row r="1698" spans="2:3" x14ac:dyDescent="0.25">
      <c r="B1698" s="798" t="s">
        <v>2456</v>
      </c>
      <c r="C1698" s="782">
        <v>97121</v>
      </c>
    </row>
    <row r="1699" spans="2:3" x14ac:dyDescent="0.25">
      <c r="B1699" s="798" t="s">
        <v>1924</v>
      </c>
      <c r="C1699" s="782">
        <v>98801</v>
      </c>
    </row>
    <row r="1700" spans="2:3" x14ac:dyDescent="0.25">
      <c r="B1700" s="798" t="s">
        <v>2457</v>
      </c>
      <c r="C1700" s="782">
        <v>92521</v>
      </c>
    </row>
    <row r="1701" spans="2:3" x14ac:dyDescent="0.25">
      <c r="B1701" s="798" t="s">
        <v>3541</v>
      </c>
      <c r="C1701" s="782">
        <v>93417</v>
      </c>
    </row>
    <row r="1702" spans="2:3" x14ac:dyDescent="0.25">
      <c r="B1702" s="798" t="s">
        <v>1449</v>
      </c>
      <c r="C1702" s="782">
        <v>93219</v>
      </c>
    </row>
    <row r="1703" spans="2:3" x14ac:dyDescent="0.25">
      <c r="B1703" s="798" t="s">
        <v>3542</v>
      </c>
      <c r="C1703" s="782">
        <v>92513</v>
      </c>
    </row>
    <row r="1704" spans="2:3" x14ac:dyDescent="0.25">
      <c r="B1704" s="798" t="s">
        <v>2458</v>
      </c>
      <c r="C1704" s="782">
        <v>97661</v>
      </c>
    </row>
    <row r="1705" spans="2:3" x14ac:dyDescent="0.25">
      <c r="B1705" s="798" t="s">
        <v>2459</v>
      </c>
      <c r="C1705" s="782">
        <v>94931</v>
      </c>
    </row>
    <row r="1706" spans="2:3" x14ac:dyDescent="0.25">
      <c r="B1706" s="798" t="s">
        <v>2460</v>
      </c>
      <c r="C1706" s="782">
        <v>96221</v>
      </c>
    </row>
    <row r="1707" spans="2:3" x14ac:dyDescent="0.25">
      <c r="B1707" s="798" t="s">
        <v>2461</v>
      </c>
      <c r="C1707" s="782">
        <v>97511</v>
      </c>
    </row>
    <row r="1708" spans="2:3" x14ac:dyDescent="0.25">
      <c r="B1708" s="798" t="s">
        <v>3918</v>
      </c>
      <c r="C1708" s="782">
        <v>95002</v>
      </c>
    </row>
    <row r="1709" spans="2:3" x14ac:dyDescent="0.25">
      <c r="B1709" s="798" t="s">
        <v>2462</v>
      </c>
      <c r="C1709" s="782">
        <v>98251</v>
      </c>
    </row>
    <row r="1710" spans="2:3" x14ac:dyDescent="0.25">
      <c r="B1710" s="798" t="s">
        <v>3919</v>
      </c>
      <c r="C1710" s="782">
        <v>98904</v>
      </c>
    </row>
    <row r="1711" spans="2:3" x14ac:dyDescent="0.25">
      <c r="B1711" s="798" t="s">
        <v>1927</v>
      </c>
      <c r="C1711" s="782">
        <v>98901</v>
      </c>
    </row>
    <row r="1712" spans="2:3" x14ac:dyDescent="0.25">
      <c r="B1712" s="798" t="s">
        <v>1930</v>
      </c>
      <c r="C1712" s="782">
        <v>99001</v>
      </c>
    </row>
    <row r="1713" spans="2:3" x14ac:dyDescent="0.25">
      <c r="B1713" s="798" t="s">
        <v>2463</v>
      </c>
      <c r="C1713" s="782">
        <v>99061</v>
      </c>
    </row>
    <row r="1714" spans="2:3" x14ac:dyDescent="0.25">
      <c r="B1714" s="798" t="s">
        <v>3920</v>
      </c>
      <c r="C1714" s="782">
        <v>93309</v>
      </c>
    </row>
    <row r="1715" spans="2:3" x14ac:dyDescent="0.25">
      <c r="B1715" s="798" t="s">
        <v>2464</v>
      </c>
      <c r="C1715" s="782">
        <v>91211</v>
      </c>
    </row>
    <row r="1716" spans="2:3" x14ac:dyDescent="0.25">
      <c r="B1716" s="798" t="s">
        <v>1279</v>
      </c>
      <c r="C1716" s="782">
        <v>91213</v>
      </c>
    </row>
    <row r="1717" spans="2:3" x14ac:dyDescent="0.25">
      <c r="B1717" s="798" t="s">
        <v>1944</v>
      </c>
      <c r="C1717" s="782">
        <v>99101</v>
      </c>
    </row>
    <row r="1718" spans="2:3" x14ac:dyDescent="0.25">
      <c r="B1718" s="798" t="s">
        <v>3921</v>
      </c>
      <c r="C1718" s="782">
        <v>99104</v>
      </c>
    </row>
    <row r="1719" spans="2:3" x14ac:dyDescent="0.25">
      <c r="B1719" s="798" t="s">
        <v>2465</v>
      </c>
      <c r="C1719" s="782">
        <v>92551</v>
      </c>
    </row>
    <row r="1720" spans="2:3" x14ac:dyDescent="0.25">
      <c r="B1720" s="798" t="s">
        <v>2466</v>
      </c>
      <c r="C1720" s="782">
        <v>96321</v>
      </c>
    </row>
    <row r="1721" spans="2:3" x14ac:dyDescent="0.25">
      <c r="B1721" s="798" t="s">
        <v>3922</v>
      </c>
      <c r="C1721" s="782">
        <v>95009</v>
      </c>
    </row>
    <row r="1722" spans="2:3" x14ac:dyDescent="0.25">
      <c r="B1722" s="798" t="s">
        <v>2467</v>
      </c>
      <c r="C1722" s="782">
        <v>92641</v>
      </c>
    </row>
    <row r="1723" spans="2:3" x14ac:dyDescent="0.25">
      <c r="B1723" s="798" t="s">
        <v>2468</v>
      </c>
      <c r="C1723" s="782">
        <v>90411</v>
      </c>
    </row>
    <row r="1724" spans="2:3" x14ac:dyDescent="0.25">
      <c r="B1724" s="798" t="s">
        <v>3923</v>
      </c>
      <c r="C1724" s="782">
        <v>90417</v>
      </c>
    </row>
    <row r="1725" spans="2:3" x14ac:dyDescent="0.25">
      <c r="B1725" s="798" t="s">
        <v>1185</v>
      </c>
      <c r="C1725" s="782">
        <v>90413</v>
      </c>
    </row>
    <row r="1726" spans="2:3" x14ac:dyDescent="0.25">
      <c r="B1726" s="798" t="s">
        <v>2469</v>
      </c>
      <c r="C1726" s="782">
        <v>98321</v>
      </c>
    </row>
    <row r="1727" spans="2:3" x14ac:dyDescent="0.25">
      <c r="B1727" s="798" t="s">
        <v>1949</v>
      </c>
      <c r="C1727" s="782">
        <v>99201</v>
      </c>
    </row>
    <row r="1728" spans="2:3" x14ac:dyDescent="0.25">
      <c r="B1728" s="798" t="s">
        <v>3924</v>
      </c>
      <c r="C1728" s="782">
        <v>99204</v>
      </c>
    </row>
    <row r="1729" spans="2:3" x14ac:dyDescent="0.25">
      <c r="B1729" s="798" t="s">
        <v>1954</v>
      </c>
      <c r="C1729" s="782">
        <v>99207</v>
      </c>
    </row>
    <row r="1730" spans="2:3" x14ac:dyDescent="0.25">
      <c r="B1730" s="798" t="s">
        <v>2470</v>
      </c>
      <c r="C1730" s="782">
        <v>99281</v>
      </c>
    </row>
    <row r="1731" spans="2:3" x14ac:dyDescent="0.25">
      <c r="B1731" s="798" t="s">
        <v>2471</v>
      </c>
      <c r="C1731" s="782">
        <v>93461</v>
      </c>
    </row>
    <row r="1732" spans="2:3" x14ac:dyDescent="0.25">
      <c r="B1732" s="798" t="s">
        <v>2472</v>
      </c>
      <c r="C1732" s="782">
        <v>93151</v>
      </c>
    </row>
    <row r="1733" spans="2:3" x14ac:dyDescent="0.25">
      <c r="B1733" s="798" t="s">
        <v>3925</v>
      </c>
      <c r="C1733" s="782">
        <v>93157</v>
      </c>
    </row>
    <row r="1734" spans="2:3" x14ac:dyDescent="0.25">
      <c r="B1734" s="798" t="s">
        <v>2473</v>
      </c>
      <c r="C1734" s="782">
        <v>98511</v>
      </c>
    </row>
    <row r="1735" spans="2:3" x14ac:dyDescent="0.25">
      <c r="B1735" s="798" t="s">
        <v>3926</v>
      </c>
      <c r="C1735" s="782">
        <v>98517</v>
      </c>
    </row>
    <row r="1736" spans="2:3" x14ac:dyDescent="0.25">
      <c r="B1736" s="798" t="s">
        <v>2474</v>
      </c>
      <c r="C1736" s="782">
        <v>99661</v>
      </c>
    </row>
    <row r="1737" spans="2:3" x14ac:dyDescent="0.25">
      <c r="B1737" s="798" t="s">
        <v>2475</v>
      </c>
      <c r="C1737" s="782">
        <v>94031</v>
      </c>
    </row>
    <row r="1738" spans="2:3" x14ac:dyDescent="0.25">
      <c r="B1738" s="798" t="s">
        <v>1971</v>
      </c>
      <c r="C1738" s="782">
        <v>99301</v>
      </c>
    </row>
    <row r="1739" spans="2:3" x14ac:dyDescent="0.25">
      <c r="B1739" s="798" t="s">
        <v>3927</v>
      </c>
      <c r="C1739" s="782">
        <v>99304</v>
      </c>
    </row>
    <row r="1740" spans="2:3" x14ac:dyDescent="0.25">
      <c r="B1740" s="798" t="s">
        <v>2476</v>
      </c>
      <c r="C1740" s="782">
        <v>99321</v>
      </c>
    </row>
    <row r="1741" spans="2:3" x14ac:dyDescent="0.25">
      <c r="B1741" s="798" t="s">
        <v>2477</v>
      </c>
      <c r="C1741" s="782">
        <v>93131</v>
      </c>
    </row>
    <row r="1742" spans="2:3" x14ac:dyDescent="0.25">
      <c r="B1742" s="798" t="s">
        <v>3928</v>
      </c>
      <c r="C1742" s="782">
        <v>93137</v>
      </c>
    </row>
    <row r="1743" spans="2:3" x14ac:dyDescent="0.25">
      <c r="B1743" s="798" t="s">
        <v>2478</v>
      </c>
      <c r="C1743" s="782">
        <v>90711</v>
      </c>
    </row>
    <row r="1744" spans="2:3" x14ac:dyDescent="0.25">
      <c r="B1744" s="798" t="s">
        <v>1975</v>
      </c>
      <c r="C1744" s="782">
        <v>99401</v>
      </c>
    </row>
    <row r="1745" spans="2:3" x14ac:dyDescent="0.25">
      <c r="B1745" s="798" t="s">
        <v>3929</v>
      </c>
      <c r="C1745" s="782">
        <v>99404</v>
      </c>
    </row>
    <row r="1746" spans="2:3" x14ac:dyDescent="0.25">
      <c r="B1746" s="798" t="s">
        <v>2479</v>
      </c>
      <c r="C1746" s="782">
        <v>90741</v>
      </c>
    </row>
    <row r="1747" spans="2:3" x14ac:dyDescent="0.25">
      <c r="B1747" s="798" t="s">
        <v>1982</v>
      </c>
      <c r="C1747" s="782">
        <v>99501</v>
      </c>
    </row>
    <row r="1748" spans="2:3" x14ac:dyDescent="0.25">
      <c r="B1748" s="798" t="s">
        <v>3930</v>
      </c>
      <c r="C1748" s="782">
        <v>99509</v>
      </c>
    </row>
    <row r="1749" spans="2:3" x14ac:dyDescent="0.25">
      <c r="B1749" s="798" t="s">
        <v>3931</v>
      </c>
      <c r="C1749" s="782">
        <v>91302</v>
      </c>
    </row>
    <row r="1750" spans="2:3" x14ac:dyDescent="0.25">
      <c r="B1750" s="798" t="s">
        <v>2480</v>
      </c>
      <c r="C1750" s="782">
        <v>99041</v>
      </c>
    </row>
    <row r="1751" spans="2:3" x14ac:dyDescent="0.25">
      <c r="B1751" s="798" t="s">
        <v>3932</v>
      </c>
      <c r="C1751" s="782">
        <v>99047</v>
      </c>
    </row>
    <row r="1752" spans="2:3" x14ac:dyDescent="0.25">
      <c r="B1752" s="798" t="s">
        <v>1990</v>
      </c>
      <c r="C1752" s="782">
        <v>99601</v>
      </c>
    </row>
    <row r="1753" spans="2:3" x14ac:dyDescent="0.25">
      <c r="B1753" s="798" t="s">
        <v>3933</v>
      </c>
      <c r="C1753" s="782">
        <v>99604</v>
      </c>
    </row>
    <row r="1754" spans="2:3" x14ac:dyDescent="0.25">
      <c r="B1754" s="798" t="s">
        <v>2481</v>
      </c>
      <c r="C1754" s="782">
        <v>94411</v>
      </c>
    </row>
    <row r="1755" spans="2:3" x14ac:dyDescent="0.25">
      <c r="B1755" s="798" t="s">
        <v>3934</v>
      </c>
      <c r="C1755" s="782">
        <v>94412</v>
      </c>
    </row>
    <row r="1756" spans="2:3" x14ac:dyDescent="0.25">
      <c r="B1756" s="798" t="s">
        <v>2482</v>
      </c>
      <c r="C1756" s="782">
        <v>91141</v>
      </c>
    </row>
    <row r="1757" spans="2:3" x14ac:dyDescent="0.25">
      <c r="B1757" s="798" t="s">
        <v>3935</v>
      </c>
      <c r="C1757" s="782">
        <v>91147</v>
      </c>
    </row>
    <row r="1758" spans="2:3" x14ac:dyDescent="0.25">
      <c r="B1758" s="798" t="s">
        <v>2483</v>
      </c>
      <c r="C1758" s="782">
        <v>99071</v>
      </c>
    </row>
    <row r="1759" spans="2:3" x14ac:dyDescent="0.25">
      <c r="B1759" s="798" t="s">
        <v>2484</v>
      </c>
      <c r="C1759" s="782">
        <v>94231</v>
      </c>
    </row>
    <row r="1760" spans="2:3" x14ac:dyDescent="0.25">
      <c r="B1760" s="798" t="s">
        <v>2485</v>
      </c>
      <c r="C1760" s="782">
        <v>99231</v>
      </c>
    </row>
    <row r="1761" spans="2:3" x14ac:dyDescent="0.25">
      <c r="B1761" s="798" t="s">
        <v>2486</v>
      </c>
      <c r="C1761" s="782">
        <v>99091</v>
      </c>
    </row>
    <row r="1762" spans="2:3" x14ac:dyDescent="0.25">
      <c r="B1762" s="798" t="s">
        <v>3936</v>
      </c>
      <c r="C1762" s="782">
        <v>91120</v>
      </c>
    </row>
    <row r="1763" spans="2:3" x14ac:dyDescent="0.25">
      <c r="B1763" s="798" t="s">
        <v>3544</v>
      </c>
      <c r="C1763" s="782">
        <v>92444</v>
      </c>
    </row>
    <row r="1764" spans="2:3" x14ac:dyDescent="0.25">
      <c r="B1764" s="798" t="s">
        <v>2487</v>
      </c>
      <c r="C1764" s="782">
        <v>90521</v>
      </c>
    </row>
    <row r="1765" spans="2:3" x14ac:dyDescent="0.25">
      <c r="B1765" s="798" t="s">
        <v>3937</v>
      </c>
      <c r="C1765" s="782">
        <v>90507</v>
      </c>
    </row>
    <row r="1766" spans="2:3" x14ac:dyDescent="0.25">
      <c r="B1766" s="798" t="s">
        <v>3938</v>
      </c>
      <c r="C1766" s="782">
        <v>92602</v>
      </c>
    </row>
    <row r="1767" spans="2:3" x14ac:dyDescent="0.25">
      <c r="B1767" s="798" t="s">
        <v>3939</v>
      </c>
      <c r="C1767" s="782">
        <v>91608</v>
      </c>
    </row>
    <row r="1768" spans="2:3" x14ac:dyDescent="0.25">
      <c r="B1768" s="798" t="s">
        <v>2488</v>
      </c>
      <c r="C1768" s="782">
        <v>91119</v>
      </c>
    </row>
    <row r="1769" spans="2:3" x14ac:dyDescent="0.25">
      <c r="B1769" s="798" t="s">
        <v>3940</v>
      </c>
      <c r="C1769" s="782">
        <v>91107</v>
      </c>
    </row>
    <row r="1770" spans="2:3" x14ac:dyDescent="0.25">
      <c r="B1770" s="798" t="s">
        <v>3941</v>
      </c>
      <c r="C1770" s="782">
        <v>91818</v>
      </c>
    </row>
    <row r="1771" spans="2:3" x14ac:dyDescent="0.25">
      <c r="B1771" s="798" t="s">
        <v>1332</v>
      </c>
      <c r="C1771" s="782">
        <v>91819</v>
      </c>
    </row>
    <row r="1772" spans="2:3" x14ac:dyDescent="0.25">
      <c r="B1772" s="798" t="s">
        <v>2489</v>
      </c>
      <c r="C1772" s="782">
        <v>96371</v>
      </c>
    </row>
    <row r="1773" spans="2:3" x14ac:dyDescent="0.25">
      <c r="B1773" s="798" t="s">
        <v>2490</v>
      </c>
      <c r="C1773" s="782">
        <v>96441</v>
      </c>
    </row>
    <row r="1774" spans="2:3" x14ac:dyDescent="0.25">
      <c r="B1774" s="798" t="s">
        <v>2491</v>
      </c>
      <c r="C1774" s="782">
        <v>90921</v>
      </c>
    </row>
    <row r="1775" spans="2:3" x14ac:dyDescent="0.25">
      <c r="B1775" s="798" t="s">
        <v>2492</v>
      </c>
      <c r="C1775" s="782">
        <v>92411</v>
      </c>
    </row>
    <row r="1776" spans="2:3" x14ac:dyDescent="0.25">
      <c r="B1776" s="798" t="s">
        <v>3942</v>
      </c>
      <c r="C1776" s="782">
        <v>92417</v>
      </c>
    </row>
    <row r="1777" spans="2:3" x14ac:dyDescent="0.25">
      <c r="B1777" s="798" t="s">
        <v>1368</v>
      </c>
      <c r="C1777" s="782">
        <v>92403</v>
      </c>
    </row>
    <row r="1778" spans="2:3" x14ac:dyDescent="0.25">
      <c r="B1778" s="798" t="s">
        <v>2002</v>
      </c>
      <c r="C1778" s="782">
        <v>99701</v>
      </c>
    </row>
    <row r="1779" spans="2:3" x14ac:dyDescent="0.25">
      <c r="B1779" s="798" t="s">
        <v>2493</v>
      </c>
      <c r="C1779" s="782">
        <v>99721</v>
      </c>
    </row>
    <row r="1780" spans="2:3" x14ac:dyDescent="0.25">
      <c r="B1780" s="798" t="s">
        <v>3943</v>
      </c>
      <c r="C1780" s="782">
        <v>99727</v>
      </c>
    </row>
    <row r="1781" spans="2:3" x14ac:dyDescent="0.25">
      <c r="B1781" s="798" t="s">
        <v>2494</v>
      </c>
      <c r="C1781" s="782">
        <v>95811</v>
      </c>
    </row>
    <row r="1782" spans="2:3" x14ac:dyDescent="0.25">
      <c r="B1782" s="798" t="s">
        <v>1657</v>
      </c>
      <c r="C1782" s="782">
        <v>95813</v>
      </c>
    </row>
    <row r="1783" spans="2:3" x14ac:dyDescent="0.25">
      <c r="B1783" s="798" t="s">
        <v>2495</v>
      </c>
      <c r="C1783" s="782">
        <v>96531</v>
      </c>
    </row>
    <row r="1784" spans="2:3" x14ac:dyDescent="0.25">
      <c r="B1784" s="798" t="s">
        <v>1719</v>
      </c>
      <c r="C1784" s="782">
        <v>96503</v>
      </c>
    </row>
    <row r="1785" spans="2:3" x14ac:dyDescent="0.25">
      <c r="B1785" s="798" t="s">
        <v>2496</v>
      </c>
      <c r="C1785" s="782">
        <v>99811</v>
      </c>
    </row>
    <row r="1786" spans="2:3" x14ac:dyDescent="0.25">
      <c r="B1786" s="798" t="s">
        <v>3944</v>
      </c>
      <c r="C1786" s="782">
        <v>99818</v>
      </c>
    </row>
    <row r="1787" spans="2:3" x14ac:dyDescent="0.25">
      <c r="B1787" s="798" t="s">
        <v>2008</v>
      </c>
      <c r="C1787" s="782">
        <v>99801</v>
      </c>
    </row>
    <row r="1788" spans="2:3" x14ac:dyDescent="0.25">
      <c r="B1788" s="798" t="s">
        <v>3945</v>
      </c>
      <c r="C1788" s="782">
        <v>99804</v>
      </c>
    </row>
    <row r="1789" spans="2:3" x14ac:dyDescent="0.25">
      <c r="B1789" s="798" t="s">
        <v>3946</v>
      </c>
      <c r="C1789" s="782">
        <v>99802</v>
      </c>
    </row>
    <row r="1790" spans="2:3" x14ac:dyDescent="0.25">
      <c r="B1790" s="798" t="s">
        <v>3947</v>
      </c>
      <c r="C1790" s="782">
        <v>99812</v>
      </c>
    </row>
    <row r="1791" spans="2:3" x14ac:dyDescent="0.25">
      <c r="B1791" s="798" t="s">
        <v>3948</v>
      </c>
      <c r="C1791" s="782">
        <v>95191</v>
      </c>
    </row>
    <row r="1792" spans="2:3" x14ac:dyDescent="0.25">
      <c r="B1792" s="798" t="s">
        <v>2497</v>
      </c>
      <c r="C1792" s="782">
        <v>90812</v>
      </c>
    </row>
    <row r="1793" spans="2:3" x14ac:dyDescent="0.25">
      <c r="B1793" s="798" t="s">
        <v>2498</v>
      </c>
      <c r="C1793" s="782">
        <v>97221</v>
      </c>
    </row>
    <row r="1794" spans="2:3" x14ac:dyDescent="0.25">
      <c r="B1794" s="798" t="s">
        <v>2499</v>
      </c>
      <c r="C1794" s="782">
        <v>99031</v>
      </c>
    </row>
    <row r="1795" spans="2:3" x14ac:dyDescent="0.25">
      <c r="B1795" s="798" t="s">
        <v>2500</v>
      </c>
      <c r="C1795" s="782">
        <v>93411</v>
      </c>
    </row>
    <row r="1796" spans="2:3" x14ac:dyDescent="0.25">
      <c r="B1796" s="798" t="s">
        <v>1465</v>
      </c>
      <c r="C1796" s="782">
        <v>93413</v>
      </c>
    </row>
    <row r="1797" spans="2:3" x14ac:dyDescent="0.25">
      <c r="B1797" s="798" t="s">
        <v>2501</v>
      </c>
      <c r="C1797" s="782">
        <v>97451</v>
      </c>
    </row>
    <row r="1798" spans="2:3" x14ac:dyDescent="0.25">
      <c r="B1798" s="798" t="s">
        <v>2502</v>
      </c>
      <c r="C1798" s="782">
        <v>94631</v>
      </c>
    </row>
    <row r="1799" spans="2:3" x14ac:dyDescent="0.25">
      <c r="B1799" s="798" t="s">
        <v>2503</v>
      </c>
      <c r="C1799" s="782">
        <v>91171</v>
      </c>
    </row>
    <row r="1800" spans="2:3" x14ac:dyDescent="0.25">
      <c r="B1800" s="798" t="s">
        <v>1257</v>
      </c>
      <c r="C1800" s="782">
        <v>91104</v>
      </c>
    </row>
    <row r="1801" spans="2:3" x14ac:dyDescent="0.25">
      <c r="B1801" s="798" t="s">
        <v>3949</v>
      </c>
      <c r="C1801" s="782">
        <v>91109</v>
      </c>
    </row>
    <row r="1802" spans="2:3" x14ac:dyDescent="0.25">
      <c r="B1802" s="798" t="s">
        <v>2504</v>
      </c>
      <c r="C1802" s="782">
        <v>96621</v>
      </c>
    </row>
    <row r="1803" spans="2:3" x14ac:dyDescent="0.25">
      <c r="B1803" s="798" t="s">
        <v>2505</v>
      </c>
      <c r="C1803" s="782">
        <v>96511</v>
      </c>
    </row>
    <row r="1804" spans="2:3" x14ac:dyDescent="0.25">
      <c r="B1804" s="798" t="s">
        <v>2018</v>
      </c>
      <c r="C1804" s="782">
        <v>99901</v>
      </c>
    </row>
    <row r="1805" spans="2:3" x14ac:dyDescent="0.25">
      <c r="B1805" s="798" t="s">
        <v>3545</v>
      </c>
      <c r="C1805" s="782">
        <v>98604</v>
      </c>
    </row>
    <row r="1806" spans="2:3" x14ac:dyDescent="0.25">
      <c r="B1806" s="798" t="s">
        <v>1913</v>
      </c>
      <c r="C1806" s="782">
        <v>98608</v>
      </c>
    </row>
    <row r="1807" spans="2:3" x14ac:dyDescent="0.25">
      <c r="B1807" s="798" t="s">
        <v>2506</v>
      </c>
      <c r="C1807" s="782">
        <v>99911</v>
      </c>
    </row>
    <row r="1808" spans="2:3" x14ac:dyDescent="0.25">
      <c r="B1808" s="798" t="s">
        <v>1161</v>
      </c>
      <c r="C1808" s="782">
        <v>90001</v>
      </c>
    </row>
    <row r="1809" spans="2:3" x14ac:dyDescent="0.25">
      <c r="B1809" s="798" t="s">
        <v>3950</v>
      </c>
      <c r="C1809" s="782">
        <v>90002</v>
      </c>
    </row>
    <row r="1810" spans="2:3" x14ac:dyDescent="0.25">
      <c r="B1810" s="798" t="s">
        <v>2507</v>
      </c>
      <c r="C1810" s="782">
        <v>91719</v>
      </c>
    </row>
    <row r="1811" spans="2:3" x14ac:dyDescent="0.25">
      <c r="B1811" s="798" t="s">
        <v>2508</v>
      </c>
      <c r="C1811" s="782">
        <v>93541</v>
      </c>
    </row>
    <row r="1812" spans="2:3" x14ac:dyDescent="0.25">
      <c r="B1812" s="798" t="s">
        <v>2509</v>
      </c>
      <c r="C1812" s="782">
        <v>99241</v>
      </c>
    </row>
    <row r="1813" spans="2:3" x14ac:dyDescent="0.25">
      <c r="B1813" s="642" t="s">
        <v>2620</v>
      </c>
      <c r="C1813" s="668" t="s">
        <v>2621</v>
      </c>
    </row>
  </sheetData>
  <customSheetViews>
    <customSheetView guid="{D2B860EA-92EC-4999-9A59-C624E1F8C7FB}" scale="90" fitToPage="1" state="hidden">
      <selection activeCell="E7" sqref="E7"/>
      <pageMargins left="0" right="0" top="0.75" bottom="0.75" header="0.3" footer="0.3"/>
      <pageSetup scale="46" fitToHeight="0" orientation="landscape" r:id="rId1"/>
    </customSheetView>
    <customSheetView guid="{C1197650-3ED8-49E4-8E4C-0D1D4B503FC0}" scale="90" fitToPage="1" state="hidden">
      <selection activeCell="E7" sqref="E7"/>
      <pageMargins left="0" right="0" top="0.75" bottom="0.75" header="0.3" footer="0.3"/>
      <pageSetup scale="46" fitToHeight="0" orientation="landscape" r:id="rId2"/>
    </customSheetView>
  </customSheetViews>
  <pageMargins left="0" right="0" top="0.75" bottom="0.75" header="0.3" footer="0.3"/>
  <pageSetup scale="46" fitToHeight="0"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4:U1810"/>
  <sheetViews>
    <sheetView workbookViewId="0"/>
  </sheetViews>
  <sheetFormatPr defaultColWidth="9.140625" defaultRowHeight="15" x14ac:dyDescent="0.25"/>
  <cols>
    <col min="1" max="1" width="15.28515625" style="642" customWidth="1"/>
    <col min="2" max="2" width="39.5703125" style="642" customWidth="1"/>
    <col min="3" max="5" width="13.85546875" style="642" customWidth="1"/>
    <col min="6" max="6" width="13.42578125" style="642" customWidth="1"/>
    <col min="7" max="7" width="18.28515625" style="642" customWidth="1"/>
    <col min="8" max="8" width="4.140625" style="642" customWidth="1"/>
    <col min="9" max="9" width="18.28515625" style="642" customWidth="1"/>
    <col min="10" max="10" width="20" style="642" customWidth="1"/>
    <col min="11" max="11" width="14.42578125" style="642" customWidth="1"/>
    <col min="12" max="12" width="19.42578125" style="642" customWidth="1"/>
    <col min="13" max="13" width="3" style="642" customWidth="1"/>
    <col min="14" max="14" width="18.28515625" style="642" customWidth="1"/>
    <col min="15" max="15" width="20" style="642" customWidth="1"/>
    <col min="16" max="16" width="9.140625" style="642" customWidth="1"/>
    <col min="17" max="17" width="19.42578125" style="642" customWidth="1"/>
    <col min="18" max="18" width="2.42578125" style="642" customWidth="1"/>
    <col min="19" max="19" width="13.85546875" style="642" customWidth="1"/>
    <col min="20" max="20" width="22.42578125" style="642" customWidth="1"/>
    <col min="21" max="21" width="14.28515625" style="642" customWidth="1"/>
    <col min="22" max="16384" width="9.140625" style="642"/>
  </cols>
  <sheetData>
    <row r="4" spans="1:21" x14ac:dyDescent="0.25">
      <c r="A4" s="641" t="s">
        <v>2624</v>
      </c>
      <c r="I4" s="643" t="s">
        <v>1144</v>
      </c>
      <c r="J4" s="643"/>
      <c r="K4" s="643"/>
      <c r="L4" s="643"/>
      <c r="N4" s="643" t="s">
        <v>1145</v>
      </c>
      <c r="O4" s="643"/>
      <c r="P4" s="643"/>
      <c r="Q4" s="643"/>
      <c r="S4" s="643" t="s">
        <v>1146</v>
      </c>
      <c r="T4" s="643"/>
      <c r="U4" s="643"/>
    </row>
    <row r="5" spans="1:21" ht="120" x14ac:dyDescent="0.25">
      <c r="A5" s="778" t="s">
        <v>1147</v>
      </c>
      <c r="B5" s="644" t="s">
        <v>1148</v>
      </c>
      <c r="C5" s="644" t="s">
        <v>2087</v>
      </c>
      <c r="D5" s="644" t="s">
        <v>2088</v>
      </c>
      <c r="E5" s="644" t="s">
        <v>2625</v>
      </c>
      <c r="F5" s="644" t="s">
        <v>2626</v>
      </c>
      <c r="G5" s="644" t="s">
        <v>1149</v>
      </c>
      <c r="H5" s="644"/>
      <c r="I5" s="644" t="s">
        <v>1150</v>
      </c>
      <c r="J5" s="644" t="s">
        <v>1151</v>
      </c>
      <c r="K5" s="644" t="s">
        <v>1152</v>
      </c>
      <c r="L5" s="644" t="s">
        <v>1153</v>
      </c>
      <c r="M5" s="644"/>
      <c r="N5" s="644" t="s">
        <v>1150</v>
      </c>
      <c r="O5" s="644" t="s">
        <v>1151</v>
      </c>
      <c r="P5" s="644" t="s">
        <v>1152</v>
      </c>
      <c r="Q5" s="644" t="s">
        <v>1153</v>
      </c>
      <c r="R5" s="644"/>
      <c r="S5" s="644" t="s">
        <v>1154</v>
      </c>
      <c r="T5" s="644" t="s">
        <v>1155</v>
      </c>
      <c r="U5" s="644" t="s">
        <v>1156</v>
      </c>
    </row>
    <row r="6" spans="1:21" x14ac:dyDescent="0.25">
      <c r="A6" s="644" t="s">
        <v>822</v>
      </c>
      <c r="B6" s="645" t="s">
        <v>2086</v>
      </c>
      <c r="C6" s="644"/>
      <c r="D6" s="644"/>
      <c r="E6" s="644"/>
      <c r="F6" s="644"/>
      <c r="G6" s="644"/>
      <c r="H6" s="644"/>
      <c r="I6" s="644"/>
      <c r="J6" s="644"/>
      <c r="K6" s="644"/>
      <c r="L6" s="644"/>
      <c r="M6" s="644"/>
      <c r="N6" s="644"/>
      <c r="O6" s="644"/>
      <c r="P6" s="644"/>
      <c r="Q6" s="644"/>
      <c r="R6" s="644"/>
      <c r="S6" s="644"/>
      <c r="T6" s="644"/>
      <c r="U6" s="644"/>
    </row>
    <row r="7" spans="1:21" x14ac:dyDescent="0.25">
      <c r="A7" s="646">
        <v>70505</v>
      </c>
      <c r="B7" s="647" t="s">
        <v>2627</v>
      </c>
      <c r="C7" s="648">
        <v>4.6880000000000001E-4</v>
      </c>
      <c r="D7" s="648">
        <v>5.0319999999999998E-4</v>
      </c>
      <c r="E7" s="649">
        <v>186822</v>
      </c>
      <c r="F7" s="649">
        <v>225833</v>
      </c>
      <c r="G7" s="649">
        <v>994951</v>
      </c>
      <c r="H7" s="649"/>
      <c r="I7" s="650">
        <v>18693</v>
      </c>
      <c r="J7" s="650">
        <v>871894</v>
      </c>
      <c r="K7" s="650">
        <v>68145</v>
      </c>
      <c r="L7" s="649">
        <v>0</v>
      </c>
      <c r="M7" s="649"/>
      <c r="N7" s="650">
        <v>34864</v>
      </c>
      <c r="O7" s="650">
        <v>321812</v>
      </c>
      <c r="P7" s="650">
        <v>0</v>
      </c>
      <c r="Q7" s="649">
        <v>31773</v>
      </c>
      <c r="R7" s="649"/>
      <c r="S7" s="650">
        <v>265936</v>
      </c>
      <c r="T7" s="651">
        <v>-10267</v>
      </c>
      <c r="U7" s="651">
        <v>255668</v>
      </c>
    </row>
    <row r="8" spans="1:21" x14ac:dyDescent="0.25">
      <c r="A8" s="646">
        <v>71786</v>
      </c>
      <c r="B8" s="647" t="s">
        <v>2628</v>
      </c>
      <c r="C8" s="648">
        <v>4.3600000000000003E-5</v>
      </c>
      <c r="D8" s="648">
        <v>4.3699999999999998E-5</v>
      </c>
      <c r="E8" s="649">
        <v>14646.29</v>
      </c>
      <c r="F8" s="649">
        <v>19612</v>
      </c>
      <c r="G8" s="649">
        <v>92534</v>
      </c>
      <c r="H8" s="649"/>
      <c r="I8" s="650">
        <v>1739</v>
      </c>
      <c r="J8" s="650">
        <v>81089</v>
      </c>
      <c r="K8" s="650">
        <v>6338</v>
      </c>
      <c r="L8" s="649">
        <v>0</v>
      </c>
      <c r="M8" s="649"/>
      <c r="N8" s="650">
        <v>3242</v>
      </c>
      <c r="O8" s="650">
        <v>29930</v>
      </c>
      <c r="P8" s="650">
        <v>0</v>
      </c>
      <c r="Q8" s="649">
        <v>6350</v>
      </c>
      <c r="R8" s="649"/>
      <c r="S8" s="650">
        <v>24733</v>
      </c>
      <c r="T8" s="651">
        <v>-2337</v>
      </c>
      <c r="U8" s="651">
        <v>22396</v>
      </c>
    </row>
    <row r="9" spans="1:21" x14ac:dyDescent="0.25">
      <c r="A9" s="646">
        <v>72265</v>
      </c>
      <c r="B9" s="647" t="s">
        <v>2629</v>
      </c>
      <c r="C9" s="648">
        <v>1.327E-4</v>
      </c>
      <c r="D9" s="648">
        <v>1.3329999999999999E-4</v>
      </c>
      <c r="E9" s="649">
        <v>48905</v>
      </c>
      <c r="F9" s="649">
        <v>59824</v>
      </c>
      <c r="G9" s="649">
        <v>281634</v>
      </c>
      <c r="H9" s="649"/>
      <c r="I9" s="650">
        <v>5291</v>
      </c>
      <c r="J9" s="650">
        <v>246801</v>
      </c>
      <c r="K9" s="650">
        <v>19289</v>
      </c>
      <c r="L9" s="649">
        <v>7214</v>
      </c>
      <c r="M9" s="649"/>
      <c r="N9" s="650">
        <v>9869</v>
      </c>
      <c r="O9" s="650">
        <v>91093</v>
      </c>
      <c r="P9" s="650">
        <v>0</v>
      </c>
      <c r="Q9" s="649">
        <v>5063</v>
      </c>
      <c r="R9" s="649"/>
      <c r="S9" s="650">
        <v>75277</v>
      </c>
      <c r="T9" s="651">
        <v>2291</v>
      </c>
      <c r="U9" s="651">
        <v>77567</v>
      </c>
    </row>
    <row r="10" spans="1:21" x14ac:dyDescent="0.25">
      <c r="A10" s="646">
        <v>72657</v>
      </c>
      <c r="B10" s="647" t="s">
        <v>2630</v>
      </c>
      <c r="C10" s="648">
        <v>4.2799999999999997E-5</v>
      </c>
      <c r="D10" s="648">
        <v>4.0800000000000002E-5</v>
      </c>
      <c r="E10" s="649">
        <v>15356.17</v>
      </c>
      <c r="F10" s="649">
        <v>18311</v>
      </c>
      <c r="G10" s="649">
        <v>90836</v>
      </c>
      <c r="H10" s="649"/>
      <c r="I10" s="650">
        <v>1707</v>
      </c>
      <c r="J10" s="650">
        <v>79601</v>
      </c>
      <c r="K10" s="650">
        <v>6221</v>
      </c>
      <c r="L10" s="649">
        <v>6577</v>
      </c>
      <c r="M10" s="649"/>
      <c r="N10" s="650">
        <v>3183</v>
      </c>
      <c r="O10" s="650">
        <v>29380</v>
      </c>
      <c r="P10" s="650">
        <v>0</v>
      </c>
      <c r="Q10" s="649">
        <v>4643</v>
      </c>
      <c r="R10" s="649"/>
      <c r="S10" s="650">
        <v>24279</v>
      </c>
      <c r="T10" s="651">
        <v>1725</v>
      </c>
      <c r="U10" s="651">
        <v>26005</v>
      </c>
    </row>
    <row r="11" spans="1:21" x14ac:dyDescent="0.25">
      <c r="A11" s="646">
        <v>90001</v>
      </c>
      <c r="B11" s="647" t="s">
        <v>2631</v>
      </c>
      <c r="C11" s="648">
        <v>8.6910000000000004E-4</v>
      </c>
      <c r="D11" s="648">
        <v>8.2339999999999996E-4</v>
      </c>
      <c r="E11" s="649">
        <v>342848</v>
      </c>
      <c r="F11" s="649">
        <v>369537</v>
      </c>
      <c r="G11" s="649">
        <v>1844521</v>
      </c>
      <c r="H11" s="649"/>
      <c r="I11" s="650">
        <v>34655</v>
      </c>
      <c r="J11" s="650">
        <v>1616389</v>
      </c>
      <c r="K11" s="650">
        <v>126333</v>
      </c>
      <c r="L11" s="649">
        <v>17611</v>
      </c>
      <c r="M11" s="649"/>
      <c r="N11" s="650">
        <v>64634</v>
      </c>
      <c r="O11" s="650">
        <v>596601</v>
      </c>
      <c r="P11" s="650">
        <v>0</v>
      </c>
      <c r="Q11" s="649">
        <v>4549</v>
      </c>
      <c r="R11" s="649"/>
      <c r="S11" s="650">
        <v>493013</v>
      </c>
      <c r="T11" s="651">
        <v>4026</v>
      </c>
      <c r="U11" s="651">
        <v>497039</v>
      </c>
    </row>
    <row r="12" spans="1:21" x14ac:dyDescent="0.25">
      <c r="A12" s="646">
        <v>90002</v>
      </c>
      <c r="B12" s="647" t="s">
        <v>2632</v>
      </c>
      <c r="C12" s="648">
        <v>1.15E-5</v>
      </c>
      <c r="D12" s="648">
        <v>1.15E-5</v>
      </c>
      <c r="E12" s="649">
        <v>5945</v>
      </c>
      <c r="F12" s="649">
        <v>5161</v>
      </c>
      <c r="G12" s="649">
        <v>24407</v>
      </c>
      <c r="H12" s="649"/>
      <c r="I12" s="650">
        <v>458.5625</v>
      </c>
      <c r="J12" s="650">
        <v>21388</v>
      </c>
      <c r="K12" s="650">
        <v>1672</v>
      </c>
      <c r="L12" s="649">
        <v>1428</v>
      </c>
      <c r="M12" s="649"/>
      <c r="N12" s="650">
        <v>855</v>
      </c>
      <c r="O12" s="650">
        <v>7894</v>
      </c>
      <c r="P12" s="650">
        <v>0</v>
      </c>
      <c r="Q12" s="649">
        <v>0</v>
      </c>
      <c r="R12" s="649"/>
      <c r="S12" s="650">
        <v>6524</v>
      </c>
      <c r="T12" s="651">
        <v>436</v>
      </c>
      <c r="U12" s="651">
        <v>6960</v>
      </c>
    </row>
    <row r="13" spans="1:21" x14ac:dyDescent="0.25">
      <c r="A13" s="646">
        <v>90011</v>
      </c>
      <c r="B13" s="647" t="s">
        <v>2633</v>
      </c>
      <c r="C13" s="648">
        <v>2.0819999999999999E-4</v>
      </c>
      <c r="D13" s="648">
        <v>2.2800000000000001E-4</v>
      </c>
      <c r="E13" s="649">
        <v>74534</v>
      </c>
      <c r="F13" s="649">
        <v>102325</v>
      </c>
      <c r="G13" s="649">
        <v>441870</v>
      </c>
      <c r="H13" s="649"/>
      <c r="I13" s="650">
        <v>8302</v>
      </c>
      <c r="J13" s="650">
        <v>387219</v>
      </c>
      <c r="K13" s="650">
        <v>30264</v>
      </c>
      <c r="L13" s="649">
        <v>4623</v>
      </c>
      <c r="M13" s="649"/>
      <c r="N13" s="650">
        <v>15484</v>
      </c>
      <c r="O13" s="650">
        <v>142921</v>
      </c>
      <c r="P13" s="650">
        <v>0</v>
      </c>
      <c r="Q13" s="649">
        <v>24562</v>
      </c>
      <c r="R13" s="649"/>
      <c r="S13" s="650">
        <v>118105</v>
      </c>
      <c r="T13" s="651">
        <v>-4521</v>
      </c>
      <c r="U13" s="651">
        <v>113585</v>
      </c>
    </row>
    <row r="14" spans="1:21" x14ac:dyDescent="0.25">
      <c r="A14" s="646">
        <v>90092</v>
      </c>
      <c r="B14" s="647" t="s">
        <v>2634</v>
      </c>
      <c r="C14" s="648">
        <v>3.946E-4</v>
      </c>
      <c r="D14" s="648">
        <v>4.8670000000000001E-4</v>
      </c>
      <c r="E14" s="649">
        <v>169426.22</v>
      </c>
      <c r="F14" s="649">
        <v>218428</v>
      </c>
      <c r="G14" s="649">
        <v>837473</v>
      </c>
      <c r="H14" s="649"/>
      <c r="I14" s="650">
        <v>15735</v>
      </c>
      <c r="J14" s="650">
        <v>733894</v>
      </c>
      <c r="K14" s="650">
        <v>57359</v>
      </c>
      <c r="L14" s="649">
        <v>0</v>
      </c>
      <c r="M14" s="649"/>
      <c r="N14" s="650">
        <v>29346</v>
      </c>
      <c r="O14" s="650">
        <v>270876</v>
      </c>
      <c r="P14" s="650">
        <v>0</v>
      </c>
      <c r="Q14" s="649">
        <v>115870</v>
      </c>
      <c r="R14" s="649"/>
      <c r="S14" s="650">
        <v>223844</v>
      </c>
      <c r="T14" s="651">
        <v>-40775</v>
      </c>
      <c r="U14" s="651">
        <v>183070</v>
      </c>
    </row>
    <row r="15" spans="1:21" x14ac:dyDescent="0.25">
      <c r="A15" s="646">
        <v>90096</v>
      </c>
      <c r="B15" s="647" t="s">
        <v>2635</v>
      </c>
      <c r="C15" s="648">
        <v>1.3860999999999999E-3</v>
      </c>
      <c r="D15" s="648">
        <v>1.4866E-3</v>
      </c>
      <c r="E15" s="649">
        <v>582268</v>
      </c>
      <c r="F15" s="649">
        <v>667177</v>
      </c>
      <c r="G15" s="649">
        <v>2941769</v>
      </c>
      <c r="H15" s="649"/>
      <c r="I15" s="650">
        <v>55271</v>
      </c>
      <c r="J15" s="650">
        <v>2577927</v>
      </c>
      <c r="K15" s="650">
        <v>201485</v>
      </c>
      <c r="L15" s="649">
        <v>79002</v>
      </c>
      <c r="M15" s="649"/>
      <c r="N15" s="650">
        <v>103083</v>
      </c>
      <c r="O15" s="650">
        <v>951499</v>
      </c>
      <c r="P15" s="650">
        <v>0</v>
      </c>
      <c r="Q15" s="649">
        <v>44718</v>
      </c>
      <c r="R15" s="649"/>
      <c r="S15" s="650">
        <v>786292</v>
      </c>
      <c r="T15" s="651">
        <v>23820</v>
      </c>
      <c r="U15" s="651">
        <v>810111</v>
      </c>
    </row>
    <row r="16" spans="1:21" x14ac:dyDescent="0.25">
      <c r="A16" s="646">
        <v>90098</v>
      </c>
      <c r="B16" s="647" t="s">
        <v>2636</v>
      </c>
      <c r="C16" s="648">
        <v>2.9280000000000002E-4</v>
      </c>
      <c r="D16" s="648">
        <v>5.0869999999999995E-4</v>
      </c>
      <c r="E16" s="649">
        <v>129330</v>
      </c>
      <c r="F16" s="649">
        <v>228302</v>
      </c>
      <c r="G16" s="649">
        <v>621420</v>
      </c>
      <c r="H16" s="649"/>
      <c r="I16" s="650">
        <v>11675</v>
      </c>
      <c r="J16" s="650">
        <v>544562</v>
      </c>
      <c r="K16" s="650">
        <v>42562</v>
      </c>
      <c r="L16" s="649">
        <v>0</v>
      </c>
      <c r="M16" s="649"/>
      <c r="N16" s="650">
        <v>21775</v>
      </c>
      <c r="O16" s="650">
        <v>200995</v>
      </c>
      <c r="P16" s="650">
        <v>0</v>
      </c>
      <c r="Q16" s="649">
        <v>163662</v>
      </c>
      <c r="R16" s="649"/>
      <c r="S16" s="650">
        <v>166096</v>
      </c>
      <c r="T16" s="651">
        <v>-52769</v>
      </c>
      <c r="U16" s="651">
        <v>113327</v>
      </c>
    </row>
    <row r="17" spans="1:21" x14ac:dyDescent="0.25">
      <c r="A17" s="646">
        <v>90099</v>
      </c>
      <c r="B17" s="647" t="s">
        <v>2637</v>
      </c>
      <c r="C17" s="648">
        <v>4.9330000000000001E-4</v>
      </c>
      <c r="D17" s="648">
        <v>5.9599999999999996E-4</v>
      </c>
      <c r="E17" s="649">
        <v>207476.25</v>
      </c>
      <c r="F17" s="649">
        <v>267481</v>
      </c>
      <c r="G17" s="649">
        <v>1046948</v>
      </c>
      <c r="H17" s="649"/>
      <c r="I17" s="650">
        <v>19670</v>
      </c>
      <c r="J17" s="650">
        <v>917460</v>
      </c>
      <c r="K17" s="650">
        <v>71707</v>
      </c>
      <c r="L17" s="649">
        <v>4838</v>
      </c>
      <c r="M17" s="649"/>
      <c r="N17" s="650">
        <v>36686</v>
      </c>
      <c r="O17" s="650">
        <v>338630</v>
      </c>
      <c r="P17" s="650">
        <v>0</v>
      </c>
      <c r="Q17" s="649">
        <v>60491</v>
      </c>
      <c r="R17" s="649"/>
      <c r="S17" s="650">
        <v>279834</v>
      </c>
      <c r="T17" s="651">
        <v>-14054</v>
      </c>
      <c r="U17" s="651">
        <v>265780</v>
      </c>
    </row>
    <row r="18" spans="1:21" x14ac:dyDescent="0.25">
      <c r="A18" s="646">
        <v>90101</v>
      </c>
      <c r="B18" s="647" t="s">
        <v>2638</v>
      </c>
      <c r="C18" s="648">
        <v>6.3996000000000001E-3</v>
      </c>
      <c r="D18" s="648">
        <v>6.1599000000000003E-3</v>
      </c>
      <c r="E18" s="649">
        <v>2594375.06</v>
      </c>
      <c r="F18" s="649">
        <v>2764526</v>
      </c>
      <c r="G18" s="649">
        <v>13582095</v>
      </c>
      <c r="H18" s="649"/>
      <c r="I18" s="650">
        <v>255184</v>
      </c>
      <c r="J18" s="650">
        <v>11902245</v>
      </c>
      <c r="K18" s="650">
        <v>930252</v>
      </c>
      <c r="L18" s="649">
        <v>229062</v>
      </c>
      <c r="M18" s="649"/>
      <c r="N18" s="650">
        <v>475932</v>
      </c>
      <c r="O18" s="650">
        <v>4393057</v>
      </c>
      <c r="P18" s="650">
        <v>0</v>
      </c>
      <c r="Q18" s="649">
        <v>51491</v>
      </c>
      <c r="R18" s="649"/>
      <c r="S18" s="650">
        <v>3630295</v>
      </c>
      <c r="T18" s="651">
        <v>45786</v>
      </c>
      <c r="U18" s="651">
        <v>3676081</v>
      </c>
    </row>
    <row r="19" spans="1:21" x14ac:dyDescent="0.25">
      <c r="A19" s="646">
        <v>90111</v>
      </c>
      <c r="B19" s="647" t="s">
        <v>2639</v>
      </c>
      <c r="C19" s="648">
        <v>4.8874000000000001E-3</v>
      </c>
      <c r="D19" s="648">
        <v>4.9893000000000003E-3</v>
      </c>
      <c r="E19" s="649">
        <v>1973481.4</v>
      </c>
      <c r="F19" s="649">
        <v>2239168</v>
      </c>
      <c r="G19" s="649">
        <v>10372700</v>
      </c>
      <c r="H19" s="649"/>
      <c r="I19" s="650">
        <v>194885</v>
      </c>
      <c r="J19" s="650">
        <v>9089792</v>
      </c>
      <c r="K19" s="650">
        <v>710437</v>
      </c>
      <c r="L19" s="649">
        <v>0</v>
      </c>
      <c r="M19" s="649"/>
      <c r="N19" s="650">
        <v>363471</v>
      </c>
      <c r="O19" s="650">
        <v>3354995</v>
      </c>
      <c r="P19" s="650">
        <v>0</v>
      </c>
      <c r="Q19" s="649">
        <v>163983</v>
      </c>
      <c r="R19" s="649"/>
      <c r="S19" s="650">
        <v>2772471</v>
      </c>
      <c r="T19" s="651">
        <v>-57381</v>
      </c>
      <c r="U19" s="651">
        <v>2715090</v>
      </c>
    </row>
    <row r="20" spans="1:21" x14ac:dyDescent="0.25">
      <c r="A20" s="646">
        <v>90114</v>
      </c>
      <c r="B20" s="647" t="s">
        <v>2640</v>
      </c>
      <c r="C20" s="648">
        <v>1.0681E-3</v>
      </c>
      <c r="D20" s="648">
        <v>1.0043000000000001E-3</v>
      </c>
      <c r="E20" s="649">
        <v>1022992</v>
      </c>
      <c r="F20" s="649">
        <v>450724</v>
      </c>
      <c r="G20" s="649">
        <v>2266866</v>
      </c>
      <c r="H20" s="649"/>
      <c r="I20" s="650">
        <v>42590</v>
      </c>
      <c r="J20" s="650">
        <v>1986497</v>
      </c>
      <c r="K20" s="650">
        <v>155260</v>
      </c>
      <c r="L20" s="649">
        <v>821100</v>
      </c>
      <c r="M20" s="649"/>
      <c r="N20" s="650">
        <v>79434</v>
      </c>
      <c r="O20" s="650">
        <v>733206</v>
      </c>
      <c r="P20" s="650">
        <v>0</v>
      </c>
      <c r="Q20" s="649">
        <v>0</v>
      </c>
      <c r="R20" s="649"/>
      <c r="S20" s="650">
        <v>605900</v>
      </c>
      <c r="T20" s="651">
        <v>245765</v>
      </c>
      <c r="U20" s="651">
        <v>851665</v>
      </c>
    </row>
    <row r="21" spans="1:21" x14ac:dyDescent="0.25">
      <c r="A21" s="646">
        <v>90117</v>
      </c>
      <c r="B21" s="647" t="s">
        <v>2641</v>
      </c>
      <c r="C21" s="648">
        <v>1.35E-4</v>
      </c>
      <c r="D21" s="648">
        <v>1.3019999999999999E-4</v>
      </c>
      <c r="E21" s="649">
        <v>78954</v>
      </c>
      <c r="F21" s="649">
        <v>58433</v>
      </c>
      <c r="G21" s="649">
        <v>286515</v>
      </c>
      <c r="H21" s="649"/>
      <c r="I21" s="650">
        <v>5383.125</v>
      </c>
      <c r="J21" s="650">
        <v>251078.67</v>
      </c>
      <c r="K21" s="650">
        <v>19624</v>
      </c>
      <c r="L21" s="649">
        <v>42554</v>
      </c>
      <c r="M21" s="649"/>
      <c r="N21" s="650">
        <v>10040</v>
      </c>
      <c r="O21" s="650">
        <v>92671.83</v>
      </c>
      <c r="P21" s="650">
        <v>0</v>
      </c>
      <c r="Q21" s="649">
        <v>0</v>
      </c>
      <c r="R21" s="649"/>
      <c r="S21" s="650">
        <v>76581</v>
      </c>
      <c r="T21" s="651">
        <v>14293</v>
      </c>
      <c r="U21" s="651">
        <v>90874</v>
      </c>
    </row>
    <row r="22" spans="1:21" x14ac:dyDescent="0.25">
      <c r="A22" s="646">
        <v>90121</v>
      </c>
      <c r="B22" s="647" t="s">
        <v>2642</v>
      </c>
      <c r="C22" s="648">
        <v>1.0789E-3</v>
      </c>
      <c r="D22" s="648">
        <v>1.1057E-3</v>
      </c>
      <c r="E22" s="649">
        <v>394126</v>
      </c>
      <c r="F22" s="649">
        <v>496232</v>
      </c>
      <c r="G22" s="649">
        <v>2289787</v>
      </c>
      <c r="H22" s="649"/>
      <c r="I22" s="650">
        <v>43021</v>
      </c>
      <c r="J22" s="650">
        <v>2006584</v>
      </c>
      <c r="K22" s="650">
        <v>156830</v>
      </c>
      <c r="L22" s="649">
        <v>6521</v>
      </c>
      <c r="M22" s="649"/>
      <c r="N22" s="650">
        <v>80237</v>
      </c>
      <c r="O22" s="650">
        <v>740620</v>
      </c>
      <c r="P22" s="650">
        <v>0</v>
      </c>
      <c r="Q22" s="649">
        <v>74370</v>
      </c>
      <c r="R22" s="649"/>
      <c r="S22" s="650">
        <v>612027</v>
      </c>
      <c r="T22" s="651">
        <v>-17947</v>
      </c>
      <c r="U22" s="651">
        <v>594079</v>
      </c>
    </row>
    <row r="23" spans="1:21" x14ac:dyDescent="0.25">
      <c r="A23" s="646">
        <v>90131</v>
      </c>
      <c r="B23" s="647" t="s">
        <v>2643</v>
      </c>
      <c r="C23" s="648">
        <v>5.0440000000000001E-4</v>
      </c>
      <c r="D23" s="648">
        <v>4.727E-4</v>
      </c>
      <c r="E23" s="649">
        <v>173703</v>
      </c>
      <c r="F23" s="649">
        <v>212145</v>
      </c>
      <c r="G23" s="649">
        <v>1070506</v>
      </c>
      <c r="H23" s="649"/>
      <c r="I23" s="650">
        <v>20112.95</v>
      </c>
      <c r="J23" s="650">
        <v>938104</v>
      </c>
      <c r="K23" s="650">
        <v>73320</v>
      </c>
      <c r="L23" s="649">
        <v>0</v>
      </c>
      <c r="M23" s="649"/>
      <c r="N23" s="650">
        <v>37512</v>
      </c>
      <c r="O23" s="650">
        <v>346249</v>
      </c>
      <c r="P23" s="650">
        <v>0</v>
      </c>
      <c r="Q23" s="649">
        <v>23072</v>
      </c>
      <c r="R23" s="649"/>
      <c r="S23" s="650">
        <v>286130</v>
      </c>
      <c r="T23" s="651">
        <v>-8951</v>
      </c>
      <c r="U23" s="651">
        <v>277180</v>
      </c>
    </row>
    <row r="24" spans="1:21" x14ac:dyDescent="0.25">
      <c r="A24" s="646">
        <v>90141</v>
      </c>
      <c r="B24" s="647" t="s">
        <v>2644</v>
      </c>
      <c r="C24" s="648">
        <v>1.306E-4</v>
      </c>
      <c r="D24" s="648">
        <v>1.5919999999999999E-4</v>
      </c>
      <c r="E24" s="649">
        <v>55925.87</v>
      </c>
      <c r="F24" s="649">
        <v>71448</v>
      </c>
      <c r="G24" s="649">
        <v>277177</v>
      </c>
      <c r="H24" s="649"/>
      <c r="I24" s="650">
        <v>5208</v>
      </c>
      <c r="J24" s="650">
        <v>242895</v>
      </c>
      <c r="K24" s="650">
        <v>18984</v>
      </c>
      <c r="L24" s="649">
        <v>2143</v>
      </c>
      <c r="M24" s="649"/>
      <c r="N24" s="650">
        <v>9713</v>
      </c>
      <c r="O24" s="650">
        <v>89651</v>
      </c>
      <c r="P24" s="650">
        <v>0</v>
      </c>
      <c r="Q24" s="649">
        <v>13732</v>
      </c>
      <c r="R24" s="649"/>
      <c r="S24" s="650">
        <v>74085</v>
      </c>
      <c r="T24" s="651">
        <v>-2701</v>
      </c>
      <c r="U24" s="651">
        <v>71385</v>
      </c>
    </row>
    <row r="25" spans="1:21" x14ac:dyDescent="0.25">
      <c r="A25" s="646">
        <v>90151</v>
      </c>
      <c r="B25" s="647" t="s">
        <v>2645</v>
      </c>
      <c r="C25" s="648">
        <v>1.0000000000000001E-5</v>
      </c>
      <c r="D25" s="648">
        <v>9.7999999999999993E-6</v>
      </c>
      <c r="E25" s="649">
        <v>2703</v>
      </c>
      <c r="F25" s="649">
        <v>4398</v>
      </c>
      <c r="G25" s="649">
        <v>21223</v>
      </c>
      <c r="H25" s="649"/>
      <c r="I25" s="650">
        <v>399</v>
      </c>
      <c r="J25" s="650">
        <v>18598</v>
      </c>
      <c r="K25" s="650">
        <v>1454</v>
      </c>
      <c r="L25" s="649">
        <v>0</v>
      </c>
      <c r="M25" s="649"/>
      <c r="N25" s="650">
        <v>743.69</v>
      </c>
      <c r="O25" s="650">
        <v>6865</v>
      </c>
      <c r="P25" s="650">
        <v>0</v>
      </c>
      <c r="Q25" s="649">
        <v>2266</v>
      </c>
      <c r="R25" s="649"/>
      <c r="S25" s="650">
        <v>5673</v>
      </c>
      <c r="T25" s="651">
        <v>-782</v>
      </c>
      <c r="U25" s="651">
        <v>4891</v>
      </c>
    </row>
    <row r="26" spans="1:21" x14ac:dyDescent="0.25">
      <c r="A26" s="646">
        <v>90161</v>
      </c>
      <c r="B26" s="647" t="s">
        <v>2646</v>
      </c>
      <c r="C26" s="648">
        <v>3.4799999999999999E-5</v>
      </c>
      <c r="D26" s="648">
        <v>2.6299999999999999E-5</v>
      </c>
      <c r="E26" s="649">
        <v>13115.62</v>
      </c>
      <c r="F26" s="649">
        <v>11803</v>
      </c>
      <c r="G26" s="649">
        <v>73857</v>
      </c>
      <c r="H26" s="649"/>
      <c r="I26" s="650">
        <v>1388</v>
      </c>
      <c r="J26" s="650">
        <v>64723</v>
      </c>
      <c r="K26" s="650">
        <v>5059</v>
      </c>
      <c r="L26" s="649">
        <v>5728</v>
      </c>
      <c r="M26" s="649"/>
      <c r="N26" s="650">
        <v>2588</v>
      </c>
      <c r="O26" s="650">
        <v>23889</v>
      </c>
      <c r="P26" s="650">
        <v>0</v>
      </c>
      <c r="Q26" s="649">
        <v>0</v>
      </c>
      <c r="R26" s="649"/>
      <c r="S26" s="650">
        <v>19741</v>
      </c>
      <c r="T26" s="651">
        <v>1706</v>
      </c>
      <c r="U26" s="651">
        <v>21447</v>
      </c>
    </row>
    <row r="27" spans="1:21" x14ac:dyDescent="0.25">
      <c r="A27" s="646">
        <v>90201</v>
      </c>
      <c r="B27" s="647" t="s">
        <v>2647</v>
      </c>
      <c r="C27" s="648">
        <v>1.2419E-3</v>
      </c>
      <c r="D27" s="648">
        <v>1.1842999999999999E-3</v>
      </c>
      <c r="E27" s="649">
        <v>470870</v>
      </c>
      <c r="F27" s="649">
        <v>531507</v>
      </c>
      <c r="G27" s="649">
        <v>2635728</v>
      </c>
      <c r="H27" s="649"/>
      <c r="I27" s="650">
        <v>49521</v>
      </c>
      <c r="J27" s="650">
        <v>2309738</v>
      </c>
      <c r="K27" s="650">
        <v>180524</v>
      </c>
      <c r="L27" s="649">
        <v>70694</v>
      </c>
      <c r="M27" s="649"/>
      <c r="N27" s="650">
        <v>92359</v>
      </c>
      <c r="O27" s="650">
        <v>852512</v>
      </c>
      <c r="P27" s="650">
        <v>0</v>
      </c>
      <c r="Q27" s="649">
        <v>450</v>
      </c>
      <c r="R27" s="649"/>
      <c r="S27" s="650">
        <v>704491</v>
      </c>
      <c r="T27" s="651">
        <v>33957</v>
      </c>
      <c r="U27" s="651">
        <v>738448</v>
      </c>
    </row>
    <row r="28" spans="1:21" x14ac:dyDescent="0.25">
      <c r="A28" s="646">
        <v>90203</v>
      </c>
      <c r="B28" s="647" t="s">
        <v>2648</v>
      </c>
      <c r="C28" s="648">
        <v>2.3680000000000001E-4</v>
      </c>
      <c r="D28" s="648">
        <v>2.7530000000000002E-4</v>
      </c>
      <c r="E28" s="649">
        <v>95318</v>
      </c>
      <c r="F28" s="649">
        <v>123553</v>
      </c>
      <c r="G28" s="649">
        <v>502569</v>
      </c>
      <c r="H28" s="649"/>
      <c r="I28" s="650">
        <v>9442.4</v>
      </c>
      <c r="J28" s="650">
        <v>440411</v>
      </c>
      <c r="K28" s="650">
        <v>34421</v>
      </c>
      <c r="L28" s="649">
        <v>3338</v>
      </c>
      <c r="M28" s="649"/>
      <c r="N28" s="650">
        <v>17611</v>
      </c>
      <c r="O28" s="650">
        <v>162553</v>
      </c>
      <c r="P28" s="650">
        <v>0</v>
      </c>
      <c r="Q28" s="649">
        <v>36458</v>
      </c>
      <c r="R28" s="649"/>
      <c r="S28" s="650">
        <v>134329</v>
      </c>
      <c r="T28" s="651">
        <v>-11660</v>
      </c>
      <c r="U28" s="651">
        <v>122669</v>
      </c>
    </row>
    <row r="29" spans="1:21" x14ac:dyDescent="0.25">
      <c r="A29" s="646">
        <v>90205</v>
      </c>
      <c r="B29" s="647" t="s">
        <v>2649</v>
      </c>
      <c r="C29" s="648">
        <v>3.3599999999999997E-5</v>
      </c>
      <c r="D29" s="648">
        <v>3.5299999999999997E-5</v>
      </c>
      <c r="E29" s="649">
        <v>13992.72</v>
      </c>
      <c r="F29" s="649">
        <v>15842</v>
      </c>
      <c r="G29" s="649">
        <v>71310</v>
      </c>
      <c r="H29" s="649"/>
      <c r="I29" s="650">
        <v>1339.8</v>
      </c>
      <c r="J29" s="650">
        <v>62491</v>
      </c>
      <c r="K29" s="650">
        <v>4884</v>
      </c>
      <c r="L29" s="649">
        <v>1378</v>
      </c>
      <c r="M29" s="649"/>
      <c r="N29" s="650">
        <v>2499</v>
      </c>
      <c r="O29" s="650">
        <v>23065</v>
      </c>
      <c r="P29" s="650">
        <v>0</v>
      </c>
      <c r="Q29" s="649">
        <v>782</v>
      </c>
      <c r="R29" s="649"/>
      <c r="S29" s="650">
        <v>19060</v>
      </c>
      <c r="T29" s="651">
        <v>406</v>
      </c>
      <c r="U29" s="651">
        <v>19467</v>
      </c>
    </row>
    <row r="30" spans="1:21" x14ac:dyDescent="0.25">
      <c r="A30" s="646">
        <v>90206</v>
      </c>
      <c r="B30" s="647" t="s">
        <v>2650</v>
      </c>
      <c r="C30" s="648">
        <v>4.347E-4</v>
      </c>
      <c r="D30" s="648">
        <v>4.3810000000000002E-4</v>
      </c>
      <c r="E30" s="649">
        <v>170440.57</v>
      </c>
      <c r="F30" s="649">
        <v>196617</v>
      </c>
      <c r="G30" s="649">
        <v>922579</v>
      </c>
      <c r="H30" s="649"/>
      <c r="I30" s="650">
        <v>17334</v>
      </c>
      <c r="J30" s="650">
        <v>808473</v>
      </c>
      <c r="K30" s="650">
        <v>63188</v>
      </c>
      <c r="L30" s="649">
        <v>18047</v>
      </c>
      <c r="M30" s="649"/>
      <c r="N30" s="650">
        <v>32328</v>
      </c>
      <c r="O30" s="650">
        <v>298403</v>
      </c>
      <c r="P30" s="650">
        <v>0</v>
      </c>
      <c r="Q30" s="649">
        <v>12515</v>
      </c>
      <c r="R30" s="649"/>
      <c r="S30" s="650">
        <v>246592</v>
      </c>
      <c r="T30" s="651">
        <v>5439</v>
      </c>
      <c r="U30" s="651">
        <v>252031</v>
      </c>
    </row>
    <row r="31" spans="1:21" x14ac:dyDescent="0.25">
      <c r="A31" s="646">
        <v>90211</v>
      </c>
      <c r="B31" s="647" t="s">
        <v>2651</v>
      </c>
      <c r="C31" s="648">
        <v>1.5689999999999999E-4</v>
      </c>
      <c r="D31" s="648">
        <v>1.708E-4</v>
      </c>
      <c r="E31" s="649">
        <v>58970</v>
      </c>
      <c r="F31" s="649">
        <v>76654</v>
      </c>
      <c r="G31" s="649">
        <v>332994</v>
      </c>
      <c r="H31" s="649"/>
      <c r="I31" s="650">
        <v>6256</v>
      </c>
      <c r="J31" s="650">
        <v>291809</v>
      </c>
      <c r="K31" s="650">
        <v>22807</v>
      </c>
      <c r="L31" s="649">
        <v>0</v>
      </c>
      <c r="M31" s="649"/>
      <c r="N31" s="650">
        <v>11668</v>
      </c>
      <c r="O31" s="650">
        <v>107705</v>
      </c>
      <c r="P31" s="650">
        <v>0</v>
      </c>
      <c r="Q31" s="649">
        <v>17335</v>
      </c>
      <c r="R31" s="649"/>
      <c r="S31" s="650">
        <v>89005</v>
      </c>
      <c r="T31" s="651">
        <v>-5305</v>
      </c>
      <c r="U31" s="651">
        <v>83699</v>
      </c>
    </row>
    <row r="32" spans="1:21" x14ac:dyDescent="0.25">
      <c r="A32" s="646">
        <v>90301</v>
      </c>
      <c r="B32" s="647" t="s">
        <v>2652</v>
      </c>
      <c r="C32" s="648">
        <v>6.4000000000000005E-4</v>
      </c>
      <c r="D32" s="648">
        <v>6.2489999999999996E-4</v>
      </c>
      <c r="E32" s="649">
        <v>241334.31</v>
      </c>
      <c r="F32" s="649">
        <v>280451</v>
      </c>
      <c r="G32" s="649">
        <v>1358294</v>
      </c>
      <c r="H32" s="649"/>
      <c r="I32" s="650">
        <v>25520</v>
      </c>
      <c r="J32" s="650">
        <v>1190299</v>
      </c>
      <c r="K32" s="650">
        <v>93031</v>
      </c>
      <c r="L32" s="649">
        <v>6684</v>
      </c>
      <c r="M32" s="649"/>
      <c r="N32" s="650">
        <v>47596.160000000003</v>
      </c>
      <c r="O32" s="650">
        <v>439333</v>
      </c>
      <c r="P32" s="650">
        <v>0</v>
      </c>
      <c r="Q32" s="649">
        <v>19561</v>
      </c>
      <c r="R32" s="649"/>
      <c r="S32" s="650">
        <v>363052</v>
      </c>
      <c r="T32" s="651">
        <v>-5224</v>
      </c>
      <c r="U32" s="651">
        <v>357828</v>
      </c>
    </row>
    <row r="33" spans="1:21" x14ac:dyDescent="0.25">
      <c r="A33" s="646">
        <v>90305</v>
      </c>
      <c r="B33" s="647" t="s">
        <v>2653</v>
      </c>
      <c r="C33" s="648">
        <v>1.7009999999999999E-4</v>
      </c>
      <c r="D33" s="648">
        <v>1.773E-4</v>
      </c>
      <c r="E33" s="649">
        <v>84901.17</v>
      </c>
      <c r="F33" s="649">
        <v>79571</v>
      </c>
      <c r="G33" s="649">
        <v>361009</v>
      </c>
      <c r="H33" s="649"/>
      <c r="I33" s="650">
        <v>6783</v>
      </c>
      <c r="J33" s="650">
        <v>316359</v>
      </c>
      <c r="K33" s="650">
        <v>24726</v>
      </c>
      <c r="L33" s="649">
        <v>26122</v>
      </c>
      <c r="M33" s="649"/>
      <c r="N33" s="650">
        <v>12650</v>
      </c>
      <c r="O33" s="650">
        <v>116767</v>
      </c>
      <c r="P33" s="650">
        <v>0</v>
      </c>
      <c r="Q33" s="649">
        <v>0</v>
      </c>
      <c r="R33" s="649"/>
      <c r="S33" s="650">
        <v>96492</v>
      </c>
      <c r="T33" s="651">
        <v>9101</v>
      </c>
      <c r="U33" s="651">
        <v>105594</v>
      </c>
    </row>
    <row r="34" spans="1:21" x14ac:dyDescent="0.25">
      <c r="A34" s="646">
        <v>90307</v>
      </c>
      <c r="B34" s="647" t="s">
        <v>2654</v>
      </c>
      <c r="C34" s="648">
        <v>7.7000000000000008E-6</v>
      </c>
      <c r="D34" s="648">
        <v>8.4999999999999999E-6</v>
      </c>
      <c r="E34" s="649">
        <v>3744</v>
      </c>
      <c r="F34" s="649">
        <v>3815</v>
      </c>
      <c r="G34" s="649">
        <v>16342</v>
      </c>
      <c r="H34" s="649"/>
      <c r="I34" s="650">
        <v>307</v>
      </c>
      <c r="J34" s="650">
        <v>14321</v>
      </c>
      <c r="K34" s="650">
        <v>1119</v>
      </c>
      <c r="L34" s="649">
        <v>213</v>
      </c>
      <c r="M34" s="649"/>
      <c r="N34" s="650">
        <v>573</v>
      </c>
      <c r="O34" s="650">
        <v>5286</v>
      </c>
      <c r="P34" s="650">
        <v>0</v>
      </c>
      <c r="Q34" s="649">
        <v>80</v>
      </c>
      <c r="R34" s="649"/>
      <c r="S34" s="650">
        <v>4368</v>
      </c>
      <c r="T34" s="651">
        <v>33</v>
      </c>
      <c r="U34" s="651">
        <v>4401</v>
      </c>
    </row>
    <row r="35" spans="1:21" x14ac:dyDescent="0.25">
      <c r="A35" s="646">
        <v>90401</v>
      </c>
      <c r="B35" s="647" t="s">
        <v>2655</v>
      </c>
      <c r="C35" s="648">
        <v>1.3626999999999999E-3</v>
      </c>
      <c r="D35" s="648">
        <v>1.359E-3</v>
      </c>
      <c r="E35" s="649">
        <v>569788.09</v>
      </c>
      <c r="F35" s="649">
        <v>609911</v>
      </c>
      <c r="G35" s="649">
        <v>2892106</v>
      </c>
      <c r="H35" s="649"/>
      <c r="I35" s="650">
        <v>54338</v>
      </c>
      <c r="J35" s="650">
        <v>2534407</v>
      </c>
      <c r="K35" s="650">
        <v>198083</v>
      </c>
      <c r="L35" s="649">
        <v>70826</v>
      </c>
      <c r="M35" s="649"/>
      <c r="N35" s="650">
        <v>101343</v>
      </c>
      <c r="O35" s="650">
        <v>935436</v>
      </c>
      <c r="P35" s="650">
        <v>0</v>
      </c>
      <c r="Q35" s="649">
        <v>0</v>
      </c>
      <c r="R35" s="649"/>
      <c r="S35" s="650">
        <v>773017</v>
      </c>
      <c r="T35" s="651">
        <v>26807</v>
      </c>
      <c r="U35" s="651">
        <v>799824</v>
      </c>
    </row>
    <row r="36" spans="1:21" x14ac:dyDescent="0.25">
      <c r="A36" s="646">
        <v>90411</v>
      </c>
      <c r="B36" s="647" t="s">
        <v>2656</v>
      </c>
      <c r="C36" s="648">
        <v>3.5490000000000001E-4</v>
      </c>
      <c r="D36" s="648">
        <v>4.0069999999999998E-4</v>
      </c>
      <c r="E36" s="649">
        <v>139271.16</v>
      </c>
      <c r="F36" s="649">
        <v>179832</v>
      </c>
      <c r="G36" s="649">
        <v>753217</v>
      </c>
      <c r="H36" s="649"/>
      <c r="I36" s="650">
        <v>14152</v>
      </c>
      <c r="J36" s="650">
        <v>660058</v>
      </c>
      <c r="K36" s="650">
        <v>51589</v>
      </c>
      <c r="L36" s="649">
        <v>0</v>
      </c>
      <c r="M36" s="649"/>
      <c r="N36" s="650">
        <v>26394</v>
      </c>
      <c r="O36" s="650">
        <v>243624</v>
      </c>
      <c r="P36" s="650">
        <v>0</v>
      </c>
      <c r="Q36" s="649">
        <v>45866</v>
      </c>
      <c r="R36" s="649"/>
      <c r="S36" s="650">
        <v>201324</v>
      </c>
      <c r="T36" s="651">
        <v>-13553</v>
      </c>
      <c r="U36" s="651">
        <v>187770</v>
      </c>
    </row>
    <row r="37" spans="1:21" x14ac:dyDescent="0.25">
      <c r="A37" s="646">
        <v>90413</v>
      </c>
      <c r="B37" s="647" t="s">
        <v>2657</v>
      </c>
      <c r="C37" s="648">
        <v>3.7299999999999999E-5</v>
      </c>
      <c r="D37" s="648">
        <v>3.6399999999999997E-5</v>
      </c>
      <c r="E37" s="649">
        <v>16560</v>
      </c>
      <c r="F37" s="649">
        <v>16336</v>
      </c>
      <c r="G37" s="649">
        <v>79163</v>
      </c>
      <c r="H37" s="649"/>
      <c r="I37" s="650">
        <v>1487</v>
      </c>
      <c r="J37" s="650">
        <v>69372</v>
      </c>
      <c r="K37" s="650">
        <v>5422</v>
      </c>
      <c r="L37" s="649">
        <v>9568</v>
      </c>
      <c r="M37" s="649"/>
      <c r="N37" s="650">
        <v>2774</v>
      </c>
      <c r="O37" s="650">
        <v>25605</v>
      </c>
      <c r="P37" s="650">
        <v>0</v>
      </c>
      <c r="Q37" s="649">
        <v>0</v>
      </c>
      <c r="R37" s="649"/>
      <c r="S37" s="650">
        <v>21159</v>
      </c>
      <c r="T37" s="651">
        <v>3645</v>
      </c>
      <c r="U37" s="651">
        <v>24804</v>
      </c>
    </row>
    <row r="38" spans="1:21" x14ac:dyDescent="0.25">
      <c r="A38" s="646">
        <v>90417</v>
      </c>
      <c r="B38" s="647" t="s">
        <v>2658</v>
      </c>
      <c r="C38" s="648">
        <v>1.2099999999999999E-5</v>
      </c>
      <c r="D38" s="648">
        <v>1.38E-5</v>
      </c>
      <c r="E38" s="649">
        <v>7492</v>
      </c>
      <c r="F38" s="649">
        <v>6193</v>
      </c>
      <c r="G38" s="649">
        <v>25680</v>
      </c>
      <c r="H38" s="649"/>
      <c r="I38" s="650">
        <v>482</v>
      </c>
      <c r="J38" s="650">
        <v>22504</v>
      </c>
      <c r="K38" s="650">
        <v>1759</v>
      </c>
      <c r="L38" s="649">
        <v>2032</v>
      </c>
      <c r="M38" s="649"/>
      <c r="N38" s="650">
        <v>900</v>
      </c>
      <c r="O38" s="650">
        <v>8306</v>
      </c>
      <c r="P38" s="650">
        <v>0</v>
      </c>
      <c r="Q38" s="649">
        <v>0</v>
      </c>
      <c r="R38" s="649"/>
      <c r="S38" s="650">
        <v>6864</v>
      </c>
      <c r="T38" s="651">
        <v>687</v>
      </c>
      <c r="U38" s="651">
        <v>7551</v>
      </c>
    </row>
    <row r="39" spans="1:21" x14ac:dyDescent="0.25">
      <c r="A39" s="646">
        <v>90421</v>
      </c>
      <c r="B39" s="647" t="s">
        <v>2659</v>
      </c>
      <c r="C39" s="648">
        <v>2.3600000000000001E-5</v>
      </c>
      <c r="D39" s="648">
        <v>2.4700000000000001E-5</v>
      </c>
      <c r="E39" s="649">
        <v>7745.31</v>
      </c>
      <c r="F39" s="649">
        <v>11085</v>
      </c>
      <c r="G39" s="649">
        <v>50087</v>
      </c>
      <c r="H39" s="649"/>
      <c r="I39" s="650">
        <v>941</v>
      </c>
      <c r="J39" s="650">
        <v>43892</v>
      </c>
      <c r="K39" s="650">
        <v>3431</v>
      </c>
      <c r="L39" s="649">
        <v>0</v>
      </c>
      <c r="M39" s="649"/>
      <c r="N39" s="650">
        <v>1755</v>
      </c>
      <c r="O39" s="650">
        <v>16200</v>
      </c>
      <c r="P39" s="650">
        <v>0</v>
      </c>
      <c r="Q39" s="649">
        <v>3590</v>
      </c>
      <c r="R39" s="649"/>
      <c r="S39" s="650">
        <v>13388</v>
      </c>
      <c r="T39" s="651">
        <v>-1226</v>
      </c>
      <c r="U39" s="651">
        <v>12162</v>
      </c>
    </row>
    <row r="40" spans="1:21" x14ac:dyDescent="0.25">
      <c r="A40" s="646">
        <v>90431</v>
      </c>
      <c r="B40" s="647" t="s">
        <v>2660</v>
      </c>
      <c r="C40" s="648">
        <v>4.2799999999999997E-5</v>
      </c>
      <c r="D40" s="648">
        <v>4.7599999999999998E-5</v>
      </c>
      <c r="E40" s="649">
        <v>18711.07</v>
      </c>
      <c r="F40" s="649">
        <v>21363</v>
      </c>
      <c r="G40" s="649">
        <v>90836</v>
      </c>
      <c r="H40" s="649"/>
      <c r="I40" s="650">
        <v>1707</v>
      </c>
      <c r="J40" s="650">
        <v>79601</v>
      </c>
      <c r="K40" s="650">
        <v>6221</v>
      </c>
      <c r="L40" s="649">
        <v>8478</v>
      </c>
      <c r="M40" s="649"/>
      <c r="N40" s="650">
        <v>3183</v>
      </c>
      <c r="O40" s="650">
        <v>29380</v>
      </c>
      <c r="P40" s="650">
        <v>0</v>
      </c>
      <c r="Q40" s="649">
        <v>1719</v>
      </c>
      <c r="R40" s="649"/>
      <c r="S40" s="650">
        <v>24279</v>
      </c>
      <c r="T40" s="651">
        <v>2793</v>
      </c>
      <c r="U40" s="651">
        <v>27072</v>
      </c>
    </row>
    <row r="41" spans="1:21" x14ac:dyDescent="0.25">
      <c r="A41" s="646">
        <v>90441</v>
      </c>
      <c r="B41" s="647" t="s">
        <v>2661</v>
      </c>
      <c r="C41" s="648">
        <v>9.3999999999999998E-6</v>
      </c>
      <c r="D41" s="648">
        <v>1.03E-5</v>
      </c>
      <c r="E41" s="649">
        <v>4675</v>
      </c>
      <c r="F41" s="649">
        <v>4623</v>
      </c>
      <c r="G41" s="649">
        <v>19950</v>
      </c>
      <c r="H41" s="649"/>
      <c r="I41" s="650">
        <v>374.82499999999999</v>
      </c>
      <c r="J41" s="650">
        <v>17483</v>
      </c>
      <c r="K41" s="650">
        <v>1366</v>
      </c>
      <c r="L41" s="649">
        <v>1367</v>
      </c>
      <c r="M41" s="649"/>
      <c r="N41" s="650">
        <v>699</v>
      </c>
      <c r="O41" s="650">
        <v>6453</v>
      </c>
      <c r="P41" s="650">
        <v>0</v>
      </c>
      <c r="Q41" s="649">
        <v>200</v>
      </c>
      <c r="R41" s="649"/>
      <c r="S41" s="650">
        <v>5332</v>
      </c>
      <c r="T41" s="651">
        <v>578</v>
      </c>
      <c r="U41" s="651">
        <v>5911</v>
      </c>
    </row>
    <row r="42" spans="1:21" x14ac:dyDescent="0.25">
      <c r="A42" s="646">
        <v>90451</v>
      </c>
      <c r="B42" s="647" t="s">
        <v>2662</v>
      </c>
      <c r="C42" s="648">
        <v>1.7900000000000001E-5</v>
      </c>
      <c r="D42" s="648">
        <v>1.2099999999999999E-5</v>
      </c>
      <c r="E42" s="649">
        <v>6772.25</v>
      </c>
      <c r="F42" s="649">
        <v>5430</v>
      </c>
      <c r="G42" s="649">
        <v>37990</v>
      </c>
      <c r="H42" s="649"/>
      <c r="I42" s="650">
        <v>713.76250000000005</v>
      </c>
      <c r="J42" s="650">
        <v>33291</v>
      </c>
      <c r="K42" s="650">
        <v>2602</v>
      </c>
      <c r="L42" s="649">
        <v>3118</v>
      </c>
      <c r="M42" s="649"/>
      <c r="N42" s="650">
        <v>1331</v>
      </c>
      <c r="O42" s="650">
        <v>12288</v>
      </c>
      <c r="P42" s="650">
        <v>0</v>
      </c>
      <c r="Q42" s="649">
        <v>288</v>
      </c>
      <c r="R42" s="649"/>
      <c r="S42" s="650">
        <v>10154</v>
      </c>
      <c r="T42" s="651">
        <v>814</v>
      </c>
      <c r="U42" s="651">
        <v>10968</v>
      </c>
    </row>
    <row r="43" spans="1:21" x14ac:dyDescent="0.25">
      <c r="A43" s="646">
        <v>90461</v>
      </c>
      <c r="B43" s="647" t="s">
        <v>2663</v>
      </c>
      <c r="C43" s="648">
        <v>1.7200000000000001E-5</v>
      </c>
      <c r="D43" s="648">
        <v>1.7200000000000001E-5</v>
      </c>
      <c r="E43" s="649">
        <v>6466.34</v>
      </c>
      <c r="F43" s="649">
        <v>7719</v>
      </c>
      <c r="G43" s="649">
        <v>36504</v>
      </c>
      <c r="H43" s="649"/>
      <c r="I43" s="650">
        <v>685.85</v>
      </c>
      <c r="J43" s="650">
        <v>31989</v>
      </c>
      <c r="K43" s="650">
        <v>2500</v>
      </c>
      <c r="L43" s="649">
        <v>4750</v>
      </c>
      <c r="M43" s="649"/>
      <c r="N43" s="650">
        <v>1279</v>
      </c>
      <c r="O43" s="650">
        <v>11807</v>
      </c>
      <c r="P43" s="650">
        <v>0</v>
      </c>
      <c r="Q43" s="649">
        <v>2426</v>
      </c>
      <c r="R43" s="649"/>
      <c r="S43" s="650">
        <v>9757</v>
      </c>
      <c r="T43" s="651">
        <v>583</v>
      </c>
      <c r="U43" s="651">
        <v>10340</v>
      </c>
    </row>
    <row r="44" spans="1:21" x14ac:dyDescent="0.25">
      <c r="A44" s="646">
        <v>90501</v>
      </c>
      <c r="B44" s="647" t="s">
        <v>2664</v>
      </c>
      <c r="C44" s="648">
        <v>1.4001E-3</v>
      </c>
      <c r="D44" s="648">
        <v>1.4352E-3</v>
      </c>
      <c r="E44" s="649">
        <v>603983</v>
      </c>
      <c r="F44" s="649">
        <v>644109</v>
      </c>
      <c r="G44" s="649">
        <v>2971481</v>
      </c>
      <c r="H44" s="649"/>
      <c r="I44" s="650">
        <v>55829</v>
      </c>
      <c r="J44" s="650">
        <v>2603965</v>
      </c>
      <c r="K44" s="650">
        <v>203520</v>
      </c>
      <c r="L44" s="649">
        <v>46994</v>
      </c>
      <c r="M44" s="649"/>
      <c r="N44" s="650">
        <v>104124</v>
      </c>
      <c r="O44" s="650">
        <v>961110</v>
      </c>
      <c r="P44" s="650">
        <v>0</v>
      </c>
      <c r="Q44" s="649">
        <v>0</v>
      </c>
      <c r="R44" s="649"/>
      <c r="S44" s="650">
        <v>794233</v>
      </c>
      <c r="T44" s="651">
        <v>20332</v>
      </c>
      <c r="U44" s="651">
        <v>814566</v>
      </c>
    </row>
    <row r="45" spans="1:21" x14ac:dyDescent="0.25">
      <c r="A45" s="646">
        <v>90507</v>
      </c>
      <c r="B45" s="647" t="s">
        <v>1193</v>
      </c>
      <c r="C45" s="648">
        <v>7.3000000000000004E-6</v>
      </c>
      <c r="D45" s="648">
        <v>7.7000000000000008E-6</v>
      </c>
      <c r="E45" s="649">
        <v>9534.18</v>
      </c>
      <c r="F45" s="649">
        <v>3456</v>
      </c>
      <c r="G45" s="649">
        <v>15493</v>
      </c>
      <c r="H45" s="649"/>
      <c r="I45" s="650">
        <v>291</v>
      </c>
      <c r="J45" s="650">
        <v>13577</v>
      </c>
      <c r="K45" s="650">
        <v>1061</v>
      </c>
      <c r="L45" s="649">
        <v>8871</v>
      </c>
      <c r="M45" s="649"/>
      <c r="N45" s="650">
        <v>543</v>
      </c>
      <c r="O45" s="650">
        <v>5011</v>
      </c>
      <c r="P45" s="650">
        <v>0</v>
      </c>
      <c r="Q45" s="649">
        <v>0</v>
      </c>
      <c r="R45" s="649"/>
      <c r="S45" s="650">
        <v>4141</v>
      </c>
      <c r="T45" s="651">
        <v>2759</v>
      </c>
      <c r="U45" s="651">
        <v>6900</v>
      </c>
    </row>
    <row r="46" spans="1:21" x14ac:dyDescent="0.25">
      <c r="A46" s="646">
        <v>90511</v>
      </c>
      <c r="B46" s="647" t="s">
        <v>2665</v>
      </c>
      <c r="C46" s="648">
        <v>9.5500000000000004E-5</v>
      </c>
      <c r="D46" s="648">
        <v>9.0699999999999996E-5</v>
      </c>
      <c r="E46" s="649">
        <v>45634.76</v>
      </c>
      <c r="F46" s="649">
        <v>40706</v>
      </c>
      <c r="G46" s="649">
        <v>202683</v>
      </c>
      <c r="H46" s="649"/>
      <c r="I46" s="650">
        <v>3808.0625</v>
      </c>
      <c r="J46" s="650">
        <v>177615</v>
      </c>
      <c r="K46" s="650">
        <v>13882</v>
      </c>
      <c r="L46" s="649">
        <v>15579</v>
      </c>
      <c r="M46" s="649"/>
      <c r="N46" s="650">
        <v>7102</v>
      </c>
      <c r="O46" s="650">
        <v>65557</v>
      </c>
      <c r="P46" s="650">
        <v>0</v>
      </c>
      <c r="Q46" s="649">
        <v>0</v>
      </c>
      <c r="R46" s="649"/>
      <c r="S46" s="650">
        <v>54174</v>
      </c>
      <c r="T46" s="651">
        <v>5418</v>
      </c>
      <c r="U46" s="651">
        <v>59592</v>
      </c>
    </row>
    <row r="47" spans="1:21" x14ac:dyDescent="0.25">
      <c r="A47" s="646">
        <v>90521</v>
      </c>
      <c r="B47" s="647" t="s">
        <v>2666</v>
      </c>
      <c r="C47" s="648">
        <v>1.395E-4</v>
      </c>
      <c r="D47" s="648">
        <v>1.451E-4</v>
      </c>
      <c r="E47" s="649">
        <v>47723.41</v>
      </c>
      <c r="F47" s="649">
        <v>65120</v>
      </c>
      <c r="G47" s="649">
        <v>296066</v>
      </c>
      <c r="H47" s="649"/>
      <c r="I47" s="650">
        <v>5562.5625</v>
      </c>
      <c r="J47" s="650">
        <v>259448</v>
      </c>
      <c r="K47" s="650">
        <v>20278</v>
      </c>
      <c r="L47" s="649">
        <v>0</v>
      </c>
      <c r="M47" s="649"/>
      <c r="N47" s="650">
        <v>10374</v>
      </c>
      <c r="O47" s="650">
        <v>95761</v>
      </c>
      <c r="P47" s="650">
        <v>0</v>
      </c>
      <c r="Q47" s="649">
        <v>17468</v>
      </c>
      <c r="R47" s="649"/>
      <c r="S47" s="650">
        <v>79134</v>
      </c>
      <c r="T47" s="651">
        <v>-5509</v>
      </c>
      <c r="U47" s="651">
        <v>73625</v>
      </c>
    </row>
    <row r="48" spans="1:21" x14ac:dyDescent="0.25">
      <c r="A48" s="646">
        <v>90601</v>
      </c>
      <c r="B48" s="647" t="s">
        <v>2667</v>
      </c>
      <c r="C48" s="648">
        <v>1.1785999999999999E-3</v>
      </c>
      <c r="D48" s="648">
        <v>1.2051E-3</v>
      </c>
      <c r="E48" s="649">
        <v>469146.06</v>
      </c>
      <c r="F48" s="649">
        <v>540842</v>
      </c>
      <c r="G48" s="649">
        <v>2501384</v>
      </c>
      <c r="H48" s="649"/>
      <c r="I48" s="650">
        <v>46997</v>
      </c>
      <c r="J48" s="650">
        <v>2192010</v>
      </c>
      <c r="K48" s="650">
        <v>171322</v>
      </c>
      <c r="L48" s="649">
        <v>32298</v>
      </c>
      <c r="M48" s="649"/>
      <c r="N48" s="650">
        <v>87651</v>
      </c>
      <c r="O48" s="650">
        <v>809059</v>
      </c>
      <c r="P48" s="650">
        <v>0</v>
      </c>
      <c r="Q48" s="649">
        <v>26702</v>
      </c>
      <c r="R48" s="649"/>
      <c r="S48" s="650">
        <v>668583</v>
      </c>
      <c r="T48" s="651">
        <v>7604</v>
      </c>
      <c r="U48" s="651">
        <v>676188</v>
      </c>
    </row>
    <row r="49" spans="1:21" x14ac:dyDescent="0.25">
      <c r="A49" s="646">
        <v>90602</v>
      </c>
      <c r="B49" s="647" t="s">
        <v>2099</v>
      </c>
      <c r="C49" s="648">
        <v>6.3299999999999994E-5</v>
      </c>
      <c r="D49" s="648">
        <v>0</v>
      </c>
      <c r="E49" s="649">
        <v>31566.720000000001</v>
      </c>
      <c r="F49" s="649">
        <v>0</v>
      </c>
      <c r="G49" s="649">
        <v>134344</v>
      </c>
      <c r="H49" s="649"/>
      <c r="I49" s="650">
        <v>2524</v>
      </c>
      <c r="J49" s="650">
        <v>117728</v>
      </c>
      <c r="K49" s="650">
        <v>9201</v>
      </c>
      <c r="L49" s="649">
        <v>46975</v>
      </c>
      <c r="M49" s="649"/>
      <c r="N49" s="650">
        <v>4708</v>
      </c>
      <c r="O49" s="650">
        <v>43453</v>
      </c>
      <c r="P49" s="650">
        <v>0</v>
      </c>
      <c r="Q49" s="649">
        <v>0</v>
      </c>
      <c r="R49" s="649"/>
      <c r="S49" s="650">
        <v>35908</v>
      </c>
      <c r="T49" s="651">
        <v>12962</v>
      </c>
      <c r="U49" s="651">
        <v>48870</v>
      </c>
    </row>
    <row r="50" spans="1:21" x14ac:dyDescent="0.25">
      <c r="A50" s="646">
        <v>90605</v>
      </c>
      <c r="B50" s="647" t="s">
        <v>2668</v>
      </c>
      <c r="C50" s="648">
        <v>3.8399999999999998E-5</v>
      </c>
      <c r="D50" s="648">
        <v>3.6399999999999997E-5</v>
      </c>
      <c r="E50" s="649">
        <v>22332.880000000001</v>
      </c>
      <c r="F50" s="649">
        <v>16336</v>
      </c>
      <c r="G50" s="649">
        <v>81498</v>
      </c>
      <c r="H50" s="649"/>
      <c r="I50" s="650">
        <v>1531</v>
      </c>
      <c r="J50" s="650">
        <v>71418</v>
      </c>
      <c r="K50" s="650">
        <v>5582</v>
      </c>
      <c r="L50" s="649">
        <v>11852</v>
      </c>
      <c r="M50" s="649"/>
      <c r="N50" s="650">
        <v>2856</v>
      </c>
      <c r="O50" s="650">
        <v>26360</v>
      </c>
      <c r="P50" s="650">
        <v>0</v>
      </c>
      <c r="Q50" s="649">
        <v>0</v>
      </c>
      <c r="R50" s="649"/>
      <c r="S50" s="650">
        <v>21783</v>
      </c>
      <c r="T50" s="651">
        <v>3784</v>
      </c>
      <c r="U50" s="651">
        <v>25567</v>
      </c>
    </row>
    <row r="51" spans="1:21" x14ac:dyDescent="0.25">
      <c r="A51" s="646">
        <v>90611</v>
      </c>
      <c r="B51" s="647" t="s">
        <v>2669</v>
      </c>
      <c r="C51" s="648">
        <v>1.5669999999999999E-4</v>
      </c>
      <c r="D51" s="648">
        <v>1.663E-4</v>
      </c>
      <c r="E51" s="649">
        <v>56254</v>
      </c>
      <c r="F51" s="649">
        <v>74634</v>
      </c>
      <c r="G51" s="649">
        <v>332570</v>
      </c>
      <c r="H51" s="649"/>
      <c r="I51" s="650">
        <v>6248</v>
      </c>
      <c r="J51" s="650">
        <v>291437</v>
      </c>
      <c r="K51" s="650">
        <v>22778</v>
      </c>
      <c r="L51" s="649">
        <v>5072.51</v>
      </c>
      <c r="M51" s="649"/>
      <c r="N51" s="650">
        <v>11654</v>
      </c>
      <c r="O51" s="650">
        <v>107568</v>
      </c>
      <c r="P51" s="650">
        <v>0</v>
      </c>
      <c r="Q51" s="649">
        <v>13074</v>
      </c>
      <c r="R51" s="649"/>
      <c r="S51" s="650">
        <v>88891</v>
      </c>
      <c r="T51" s="651">
        <v>-969</v>
      </c>
      <c r="U51" s="651">
        <v>87922</v>
      </c>
    </row>
    <row r="52" spans="1:21" x14ac:dyDescent="0.25">
      <c r="A52" s="646">
        <v>90617</v>
      </c>
      <c r="B52" s="647" t="s">
        <v>2670</v>
      </c>
      <c r="C52" s="648">
        <v>2.6800000000000001E-5</v>
      </c>
      <c r="D52" s="648">
        <v>2.6599999999999999E-5</v>
      </c>
      <c r="E52" s="649">
        <v>14103</v>
      </c>
      <c r="F52" s="649">
        <v>11938</v>
      </c>
      <c r="G52" s="649">
        <v>56879</v>
      </c>
      <c r="H52" s="649"/>
      <c r="I52" s="650">
        <v>1069</v>
      </c>
      <c r="J52" s="650">
        <v>49844</v>
      </c>
      <c r="K52" s="650">
        <v>3896</v>
      </c>
      <c r="L52" s="649">
        <v>8505</v>
      </c>
      <c r="M52" s="649"/>
      <c r="N52" s="650">
        <v>1993</v>
      </c>
      <c r="O52" s="650">
        <v>18397</v>
      </c>
      <c r="P52" s="650">
        <v>0</v>
      </c>
      <c r="Q52" s="649">
        <v>0</v>
      </c>
      <c r="R52" s="649"/>
      <c r="S52" s="650">
        <v>15203</v>
      </c>
      <c r="T52" s="651">
        <v>3445</v>
      </c>
      <c r="U52" s="651">
        <v>18647</v>
      </c>
    </row>
    <row r="53" spans="1:21" x14ac:dyDescent="0.25">
      <c r="A53" s="646">
        <v>90621</v>
      </c>
      <c r="B53" s="647" t="s">
        <v>2671</v>
      </c>
      <c r="C53" s="648">
        <v>8.2100000000000003E-5</v>
      </c>
      <c r="D53" s="648">
        <v>7.9400000000000006E-5</v>
      </c>
      <c r="E53" s="649">
        <v>28252</v>
      </c>
      <c r="F53" s="649">
        <v>35634</v>
      </c>
      <c r="G53" s="649">
        <v>174244</v>
      </c>
      <c r="H53" s="649"/>
      <c r="I53" s="650">
        <v>3274</v>
      </c>
      <c r="J53" s="650">
        <v>152693</v>
      </c>
      <c r="K53" s="650">
        <v>11934</v>
      </c>
      <c r="L53" s="649">
        <v>1182</v>
      </c>
      <c r="M53" s="649"/>
      <c r="N53" s="650">
        <v>6106</v>
      </c>
      <c r="O53" s="650">
        <v>56358</v>
      </c>
      <c r="P53" s="650">
        <v>0</v>
      </c>
      <c r="Q53" s="649">
        <v>7913</v>
      </c>
      <c r="R53" s="649"/>
      <c r="S53" s="650">
        <v>46573</v>
      </c>
      <c r="T53" s="651">
        <v>-1933</v>
      </c>
      <c r="U53" s="651">
        <v>44639</v>
      </c>
    </row>
    <row r="54" spans="1:21" x14ac:dyDescent="0.25">
      <c r="A54" s="646">
        <v>90631</v>
      </c>
      <c r="B54" s="647" t="s">
        <v>2672</v>
      </c>
      <c r="C54" s="648">
        <v>3.8000000000000002E-4</v>
      </c>
      <c r="D54" s="648">
        <v>3.4539999999999999E-4</v>
      </c>
      <c r="E54" s="649">
        <v>153531.72</v>
      </c>
      <c r="F54" s="649">
        <v>155013</v>
      </c>
      <c r="G54" s="649">
        <v>806487.3</v>
      </c>
      <c r="H54" s="649"/>
      <c r="I54" s="650">
        <v>15152.5</v>
      </c>
      <c r="J54" s="650">
        <v>706740</v>
      </c>
      <c r="K54" s="650">
        <v>55237.18</v>
      </c>
      <c r="L54" s="649">
        <v>16567</v>
      </c>
      <c r="M54" s="649"/>
      <c r="N54" s="650">
        <v>28260.22</v>
      </c>
      <c r="O54" s="650">
        <v>260854.04</v>
      </c>
      <c r="P54" s="650">
        <v>0</v>
      </c>
      <c r="Q54" s="649">
        <v>14381</v>
      </c>
      <c r="R54" s="649"/>
      <c r="S54" s="650">
        <v>215562.22</v>
      </c>
      <c r="T54" s="651">
        <v>-1856</v>
      </c>
      <c r="U54" s="651">
        <v>213706</v>
      </c>
    </row>
    <row r="55" spans="1:21" x14ac:dyDescent="0.25">
      <c r="A55" s="646">
        <v>90641</v>
      </c>
      <c r="B55" s="647" t="s">
        <v>2673</v>
      </c>
      <c r="C55" s="648">
        <v>1.4399999999999999E-5</v>
      </c>
      <c r="D55" s="648">
        <v>1.5400000000000002E-5</v>
      </c>
      <c r="E55" s="649">
        <v>5940.04</v>
      </c>
      <c r="F55" s="649">
        <v>6911</v>
      </c>
      <c r="G55" s="649">
        <v>30562</v>
      </c>
      <c r="H55" s="649"/>
      <c r="I55" s="650">
        <v>574</v>
      </c>
      <c r="J55" s="650">
        <v>26782</v>
      </c>
      <c r="K55" s="650">
        <v>2093</v>
      </c>
      <c r="L55" s="649">
        <v>340</v>
      </c>
      <c r="M55" s="649"/>
      <c r="N55" s="650">
        <v>1071</v>
      </c>
      <c r="O55" s="650">
        <v>9885</v>
      </c>
      <c r="P55" s="650">
        <v>0</v>
      </c>
      <c r="Q55" s="649">
        <v>782</v>
      </c>
      <c r="R55" s="649"/>
      <c r="S55" s="650">
        <v>8169</v>
      </c>
      <c r="T55" s="651">
        <v>-144</v>
      </c>
      <c r="U55" s="651">
        <v>8025</v>
      </c>
    </row>
    <row r="56" spans="1:21" x14ac:dyDescent="0.25">
      <c r="A56" s="646">
        <v>90651</v>
      </c>
      <c r="B56" s="647" t="s">
        <v>2674</v>
      </c>
      <c r="C56" s="648">
        <v>1.108E-4</v>
      </c>
      <c r="D56" s="648">
        <v>1.042E-4</v>
      </c>
      <c r="E56" s="649">
        <v>96248</v>
      </c>
      <c r="F56" s="649">
        <v>46764</v>
      </c>
      <c r="G56" s="649">
        <v>235155</v>
      </c>
      <c r="H56" s="649"/>
      <c r="I56" s="650">
        <v>4418</v>
      </c>
      <c r="J56" s="650">
        <v>206070</v>
      </c>
      <c r="K56" s="650">
        <v>16106</v>
      </c>
      <c r="L56" s="649">
        <v>73167</v>
      </c>
      <c r="M56" s="649"/>
      <c r="N56" s="650">
        <v>8240</v>
      </c>
      <c r="O56" s="650">
        <v>76060</v>
      </c>
      <c r="P56" s="650">
        <v>0</v>
      </c>
      <c r="Q56" s="649">
        <v>9364.94</v>
      </c>
      <c r="R56" s="649"/>
      <c r="S56" s="650">
        <v>62853</v>
      </c>
      <c r="T56" s="651">
        <v>17052</v>
      </c>
      <c r="U56" s="651">
        <v>79906</v>
      </c>
    </row>
    <row r="57" spans="1:21" x14ac:dyDescent="0.25">
      <c r="A57" s="646">
        <v>90701</v>
      </c>
      <c r="B57" s="647" t="s">
        <v>2675</v>
      </c>
      <c r="C57" s="648">
        <v>2.3587E-3</v>
      </c>
      <c r="D57" s="648">
        <v>2.3326000000000002E-3</v>
      </c>
      <c r="E57" s="649">
        <v>908617.53</v>
      </c>
      <c r="F57" s="649">
        <v>1046857</v>
      </c>
      <c r="G57" s="649">
        <v>5005952</v>
      </c>
      <c r="H57" s="649"/>
      <c r="I57" s="650">
        <v>94053</v>
      </c>
      <c r="J57" s="650">
        <v>4386809</v>
      </c>
      <c r="K57" s="650">
        <v>342863</v>
      </c>
      <c r="L57" s="649">
        <v>35812.04</v>
      </c>
      <c r="M57" s="649"/>
      <c r="N57" s="650">
        <v>175414</v>
      </c>
      <c r="O57" s="650">
        <v>1619148</v>
      </c>
      <c r="P57" s="650">
        <v>0</v>
      </c>
      <c r="Q57" s="649">
        <v>44222</v>
      </c>
      <c r="R57" s="649"/>
      <c r="S57" s="650">
        <v>1338017</v>
      </c>
      <c r="T57" s="651">
        <v>5621</v>
      </c>
      <c r="U57" s="651">
        <v>1343639</v>
      </c>
    </row>
    <row r="58" spans="1:21" x14ac:dyDescent="0.25">
      <c r="A58" s="646">
        <v>90704</v>
      </c>
      <c r="B58" s="647" t="s">
        <v>2676</v>
      </c>
      <c r="C58" s="648">
        <v>3.4900000000000001E-5</v>
      </c>
      <c r="D58" s="648">
        <v>3.3300000000000003E-5</v>
      </c>
      <c r="E58" s="649">
        <v>22788</v>
      </c>
      <c r="F58" s="649">
        <v>14945</v>
      </c>
      <c r="G58" s="649">
        <v>74069</v>
      </c>
      <c r="H58" s="649"/>
      <c r="I58" s="650">
        <v>1392</v>
      </c>
      <c r="J58" s="650">
        <v>64908</v>
      </c>
      <c r="K58" s="650">
        <v>5073</v>
      </c>
      <c r="L58" s="649">
        <v>13042</v>
      </c>
      <c r="M58" s="649"/>
      <c r="N58" s="650">
        <v>2595</v>
      </c>
      <c r="O58" s="650">
        <v>23957</v>
      </c>
      <c r="P58" s="650">
        <v>0</v>
      </c>
      <c r="Q58" s="649">
        <v>0</v>
      </c>
      <c r="R58" s="649"/>
      <c r="S58" s="650">
        <v>19798</v>
      </c>
      <c r="T58" s="651">
        <v>4197</v>
      </c>
      <c r="U58" s="651">
        <v>23995</v>
      </c>
    </row>
    <row r="59" spans="1:21" x14ac:dyDescent="0.25">
      <c r="A59" s="646">
        <v>90705</v>
      </c>
      <c r="B59" s="647" t="s">
        <v>2677</v>
      </c>
      <c r="C59" s="648">
        <v>3.3899999999999997E-5</v>
      </c>
      <c r="D59" s="648">
        <v>3.0599999999999998E-5</v>
      </c>
      <c r="E59" s="649">
        <v>17670</v>
      </c>
      <c r="F59" s="649">
        <v>13733</v>
      </c>
      <c r="G59" s="649">
        <v>71947</v>
      </c>
      <c r="H59" s="649"/>
      <c r="I59" s="650">
        <v>1352</v>
      </c>
      <c r="J59" s="650">
        <v>63049</v>
      </c>
      <c r="K59" s="650">
        <v>4928</v>
      </c>
      <c r="L59" s="649">
        <v>9785</v>
      </c>
      <c r="M59" s="649"/>
      <c r="N59" s="650">
        <v>2521</v>
      </c>
      <c r="O59" s="650">
        <v>23271</v>
      </c>
      <c r="P59" s="650">
        <v>0</v>
      </c>
      <c r="Q59" s="649">
        <v>0</v>
      </c>
      <c r="R59" s="649"/>
      <c r="S59" s="650">
        <v>19230</v>
      </c>
      <c r="T59" s="651">
        <v>3239</v>
      </c>
      <c r="U59" s="651">
        <v>22470</v>
      </c>
    </row>
    <row r="60" spans="1:21" x14ac:dyDescent="0.25">
      <c r="A60" s="646">
        <v>90709</v>
      </c>
      <c r="B60" s="647" t="s">
        <v>2678</v>
      </c>
      <c r="C60" s="648">
        <v>1.4569999999999999E-4</v>
      </c>
      <c r="D60" s="648">
        <v>2.1790000000000001E-4</v>
      </c>
      <c r="E60" s="649">
        <v>59289.13</v>
      </c>
      <c r="F60" s="649">
        <v>97792</v>
      </c>
      <c r="G60" s="649">
        <v>309224</v>
      </c>
      <c r="H60" s="649"/>
      <c r="I60" s="650">
        <v>5810</v>
      </c>
      <c r="J60" s="650">
        <v>270979</v>
      </c>
      <c r="K60" s="650">
        <v>21179</v>
      </c>
      <c r="L60" s="649">
        <v>10221</v>
      </c>
      <c r="M60" s="649"/>
      <c r="N60" s="650">
        <v>10836</v>
      </c>
      <c r="O60" s="650">
        <v>100017</v>
      </c>
      <c r="P60" s="650">
        <v>0</v>
      </c>
      <c r="Q60" s="649">
        <v>44565</v>
      </c>
      <c r="R60" s="649"/>
      <c r="S60" s="650">
        <v>82651</v>
      </c>
      <c r="T60" s="651">
        <v>-6883</v>
      </c>
      <c r="U60" s="651">
        <v>75769</v>
      </c>
    </row>
    <row r="61" spans="1:21" x14ac:dyDescent="0.25">
      <c r="A61" s="646">
        <v>90711</v>
      </c>
      <c r="B61" s="647" t="s">
        <v>2679</v>
      </c>
      <c r="C61" s="648">
        <v>1.7302000000000001E-3</v>
      </c>
      <c r="D61" s="648">
        <v>1.8802000000000001E-3</v>
      </c>
      <c r="E61" s="649">
        <v>667293.38</v>
      </c>
      <c r="F61" s="649">
        <v>843822</v>
      </c>
      <c r="G61" s="649">
        <v>3672064</v>
      </c>
      <c r="H61" s="649"/>
      <c r="I61" s="650">
        <v>68992</v>
      </c>
      <c r="J61" s="650">
        <v>3217899</v>
      </c>
      <c r="K61" s="650">
        <v>251504</v>
      </c>
      <c r="L61" s="649">
        <v>0</v>
      </c>
      <c r="M61" s="649"/>
      <c r="N61" s="650">
        <v>128673</v>
      </c>
      <c r="O61" s="650">
        <v>1187710</v>
      </c>
      <c r="P61" s="650">
        <v>0</v>
      </c>
      <c r="Q61" s="649">
        <v>193488</v>
      </c>
      <c r="R61" s="649"/>
      <c r="S61" s="650">
        <v>981489</v>
      </c>
      <c r="T61" s="651">
        <v>-61566</v>
      </c>
      <c r="U61" s="651">
        <v>919922</v>
      </c>
    </row>
    <row r="62" spans="1:21" x14ac:dyDescent="0.25">
      <c r="A62" s="646">
        <v>90721</v>
      </c>
      <c r="B62" s="647" t="s">
        <v>2680</v>
      </c>
      <c r="C62" s="648">
        <v>3.7299999999999999E-5</v>
      </c>
      <c r="D62" s="648">
        <v>3.82E-5</v>
      </c>
      <c r="E62" s="649">
        <v>14531.46</v>
      </c>
      <c r="F62" s="649">
        <v>17144</v>
      </c>
      <c r="G62" s="649">
        <v>79163</v>
      </c>
      <c r="H62" s="649"/>
      <c r="I62" s="650">
        <v>1487</v>
      </c>
      <c r="J62" s="650">
        <v>69372</v>
      </c>
      <c r="K62" s="650">
        <v>5422</v>
      </c>
      <c r="L62" s="649">
        <v>5347</v>
      </c>
      <c r="M62" s="649"/>
      <c r="N62" s="650">
        <v>2774</v>
      </c>
      <c r="O62" s="650">
        <v>25605</v>
      </c>
      <c r="P62" s="650">
        <v>0</v>
      </c>
      <c r="Q62" s="649">
        <v>1129</v>
      </c>
      <c r="R62" s="649"/>
      <c r="S62" s="650">
        <v>21159</v>
      </c>
      <c r="T62" s="651">
        <v>2098</v>
      </c>
      <c r="U62" s="651">
        <v>23258</v>
      </c>
    </row>
    <row r="63" spans="1:21" x14ac:dyDescent="0.25">
      <c r="A63" s="646">
        <v>90731</v>
      </c>
      <c r="B63" s="647" t="s">
        <v>2681</v>
      </c>
      <c r="C63" s="648">
        <v>1.917E-4</v>
      </c>
      <c r="D63" s="648">
        <v>1.9459999999999999E-4</v>
      </c>
      <c r="E63" s="649">
        <v>77066</v>
      </c>
      <c r="F63" s="649">
        <v>87335</v>
      </c>
      <c r="G63" s="649">
        <v>406852</v>
      </c>
      <c r="H63" s="649"/>
      <c r="I63" s="650">
        <v>7644</v>
      </c>
      <c r="J63" s="650">
        <v>356532</v>
      </c>
      <c r="K63" s="650">
        <v>27866</v>
      </c>
      <c r="L63" s="649">
        <v>0</v>
      </c>
      <c r="M63" s="649"/>
      <c r="N63" s="650">
        <v>14257</v>
      </c>
      <c r="O63" s="650">
        <v>131594</v>
      </c>
      <c r="P63" s="650">
        <v>0</v>
      </c>
      <c r="Q63" s="649">
        <v>10037</v>
      </c>
      <c r="R63" s="649"/>
      <c r="S63" s="650">
        <v>108745</v>
      </c>
      <c r="T63" s="651">
        <v>-3998</v>
      </c>
      <c r="U63" s="651">
        <v>104747</v>
      </c>
    </row>
    <row r="64" spans="1:21" x14ac:dyDescent="0.25">
      <c r="A64" s="646">
        <v>90741</v>
      </c>
      <c r="B64" s="647" t="s">
        <v>2682</v>
      </c>
      <c r="C64" s="648">
        <v>1.2099999999999999E-5</v>
      </c>
      <c r="D64" s="648">
        <v>1.2799999999999999E-5</v>
      </c>
      <c r="E64" s="649">
        <v>6754</v>
      </c>
      <c r="F64" s="649">
        <v>5745</v>
      </c>
      <c r="G64" s="649">
        <v>25680</v>
      </c>
      <c r="H64" s="649"/>
      <c r="I64" s="650">
        <v>482</v>
      </c>
      <c r="J64" s="650">
        <v>22504</v>
      </c>
      <c r="K64" s="650">
        <v>1759</v>
      </c>
      <c r="L64" s="649">
        <v>3208</v>
      </c>
      <c r="M64" s="649"/>
      <c r="N64" s="650">
        <v>900</v>
      </c>
      <c r="O64" s="650">
        <v>8306</v>
      </c>
      <c r="P64" s="650">
        <v>0</v>
      </c>
      <c r="Q64" s="649">
        <v>1496</v>
      </c>
      <c r="R64" s="649"/>
      <c r="S64" s="650">
        <v>6864</v>
      </c>
      <c r="T64" s="651">
        <v>287</v>
      </c>
      <c r="U64" s="651">
        <v>7151</v>
      </c>
    </row>
    <row r="65" spans="1:21" x14ac:dyDescent="0.25">
      <c r="A65" s="646">
        <v>90751</v>
      </c>
      <c r="B65" s="647" t="s">
        <v>2683</v>
      </c>
      <c r="C65" s="648">
        <v>6.5599999999999995E-5</v>
      </c>
      <c r="D65" s="648">
        <v>6.2000000000000003E-5</v>
      </c>
      <c r="E65" s="649">
        <v>24796.57</v>
      </c>
      <c r="F65" s="649">
        <v>27825</v>
      </c>
      <c r="G65" s="649">
        <v>139225</v>
      </c>
      <c r="H65" s="649"/>
      <c r="I65" s="650">
        <v>2616</v>
      </c>
      <c r="J65" s="650">
        <v>122006</v>
      </c>
      <c r="K65" s="650">
        <v>9536</v>
      </c>
      <c r="L65" s="649">
        <v>8610</v>
      </c>
      <c r="M65" s="649"/>
      <c r="N65" s="650">
        <v>4879</v>
      </c>
      <c r="O65" s="650">
        <v>45032</v>
      </c>
      <c r="P65" s="650">
        <v>0</v>
      </c>
      <c r="Q65" s="649">
        <v>0</v>
      </c>
      <c r="R65" s="649"/>
      <c r="S65" s="650">
        <v>37213</v>
      </c>
      <c r="T65" s="651">
        <v>3670</v>
      </c>
      <c r="U65" s="651">
        <v>40883</v>
      </c>
    </row>
    <row r="66" spans="1:21" x14ac:dyDescent="0.25">
      <c r="A66" s="646">
        <v>90801</v>
      </c>
      <c r="B66" s="647" t="s">
        <v>2684</v>
      </c>
      <c r="C66" s="648">
        <v>1.1404E-3</v>
      </c>
      <c r="D66" s="648">
        <v>1.0472000000000001E-3</v>
      </c>
      <c r="E66" s="649">
        <v>442982.95</v>
      </c>
      <c r="F66" s="649">
        <v>469977</v>
      </c>
      <c r="G66" s="649">
        <v>2420311</v>
      </c>
      <c r="H66" s="649"/>
      <c r="I66" s="650">
        <v>45473.45</v>
      </c>
      <c r="J66" s="650">
        <v>2120964</v>
      </c>
      <c r="K66" s="650">
        <v>165770</v>
      </c>
      <c r="L66" s="649">
        <v>156481</v>
      </c>
      <c r="M66" s="649"/>
      <c r="N66" s="650">
        <v>84810</v>
      </c>
      <c r="O66" s="650">
        <v>782837</v>
      </c>
      <c r="P66" s="650">
        <v>0</v>
      </c>
      <c r="Q66" s="649">
        <v>0</v>
      </c>
      <c r="R66" s="649"/>
      <c r="S66" s="650">
        <v>646914</v>
      </c>
      <c r="T66" s="651">
        <v>53264</v>
      </c>
      <c r="U66" s="651">
        <v>700177</v>
      </c>
    </row>
    <row r="67" spans="1:21" x14ac:dyDescent="0.25">
      <c r="A67" s="646">
        <v>90804</v>
      </c>
      <c r="B67" s="647" t="s">
        <v>2685</v>
      </c>
      <c r="C67" s="648">
        <v>6.0000000000000002E-6</v>
      </c>
      <c r="D67" s="648">
        <v>4.6999999999999999E-6</v>
      </c>
      <c r="E67" s="649">
        <v>2490.12</v>
      </c>
      <c r="F67" s="649">
        <v>2109</v>
      </c>
      <c r="G67" s="649">
        <v>12734.01</v>
      </c>
      <c r="H67" s="649"/>
      <c r="I67" s="650">
        <v>239.25</v>
      </c>
      <c r="J67" s="650">
        <v>11159</v>
      </c>
      <c r="K67" s="650">
        <v>872</v>
      </c>
      <c r="L67" s="649">
        <v>2282</v>
      </c>
      <c r="M67" s="649"/>
      <c r="N67" s="650">
        <v>446</v>
      </c>
      <c r="O67" s="650">
        <v>4119</v>
      </c>
      <c r="P67" s="650">
        <v>0</v>
      </c>
      <c r="Q67" s="649">
        <v>0</v>
      </c>
      <c r="R67" s="649"/>
      <c r="S67" s="650">
        <v>3404</v>
      </c>
      <c r="T67" s="651">
        <v>878</v>
      </c>
      <c r="U67" s="651">
        <v>4282</v>
      </c>
    </row>
    <row r="68" spans="1:21" x14ac:dyDescent="0.25">
      <c r="A68" s="646">
        <v>90805</v>
      </c>
      <c r="B68" s="647" t="s">
        <v>2686</v>
      </c>
      <c r="C68" s="648">
        <v>5.5099999999999998E-5</v>
      </c>
      <c r="D68" s="648">
        <v>5.2800000000000003E-5</v>
      </c>
      <c r="E68" s="649">
        <v>34303</v>
      </c>
      <c r="F68" s="649">
        <v>23696</v>
      </c>
      <c r="G68" s="649">
        <v>116941</v>
      </c>
      <c r="H68" s="649"/>
      <c r="I68" s="650">
        <v>2197</v>
      </c>
      <c r="J68" s="650">
        <v>102477</v>
      </c>
      <c r="K68" s="650">
        <v>8009</v>
      </c>
      <c r="L68" s="649">
        <v>22372</v>
      </c>
      <c r="M68" s="649"/>
      <c r="N68" s="650">
        <v>4098</v>
      </c>
      <c r="O68" s="650">
        <v>37824</v>
      </c>
      <c r="P68" s="650">
        <v>0</v>
      </c>
      <c r="Q68" s="649">
        <v>0</v>
      </c>
      <c r="R68" s="649"/>
      <c r="S68" s="650">
        <v>31257</v>
      </c>
      <c r="T68" s="651">
        <v>7625</v>
      </c>
      <c r="U68" s="651">
        <v>38881</v>
      </c>
    </row>
    <row r="69" spans="1:21" x14ac:dyDescent="0.25">
      <c r="A69" s="646">
        <v>90808</v>
      </c>
      <c r="B69" s="647" t="s">
        <v>2687</v>
      </c>
      <c r="C69" s="648">
        <v>1.109E-4</v>
      </c>
      <c r="D69" s="648">
        <v>1.176E-4</v>
      </c>
      <c r="E69" s="649">
        <v>47437.34</v>
      </c>
      <c r="F69" s="649">
        <v>52778</v>
      </c>
      <c r="G69" s="649">
        <v>235367</v>
      </c>
      <c r="H69" s="649"/>
      <c r="I69" s="650">
        <v>4422</v>
      </c>
      <c r="J69" s="650">
        <v>206256</v>
      </c>
      <c r="K69" s="650">
        <v>16121</v>
      </c>
      <c r="L69" s="649">
        <v>1422</v>
      </c>
      <c r="M69" s="649"/>
      <c r="N69" s="650">
        <v>8248</v>
      </c>
      <c r="O69" s="650">
        <v>76128</v>
      </c>
      <c r="P69" s="650">
        <v>0</v>
      </c>
      <c r="Q69" s="649">
        <v>2972</v>
      </c>
      <c r="R69" s="649"/>
      <c r="S69" s="650">
        <v>62910</v>
      </c>
      <c r="T69" s="651">
        <v>-460</v>
      </c>
      <c r="U69" s="651">
        <v>62451</v>
      </c>
    </row>
    <row r="70" spans="1:21" x14ac:dyDescent="0.25">
      <c r="A70" s="646">
        <v>90811</v>
      </c>
      <c r="B70" s="647" t="s">
        <v>2688</v>
      </c>
      <c r="C70" s="648">
        <v>4.0000000000000003E-5</v>
      </c>
      <c r="D70" s="648">
        <v>3.6199999999999999E-5</v>
      </c>
      <c r="E70" s="649">
        <v>12069.34</v>
      </c>
      <c r="F70" s="649">
        <v>16246</v>
      </c>
      <c r="G70" s="649">
        <v>84893</v>
      </c>
      <c r="H70" s="649"/>
      <c r="I70" s="650">
        <v>1595</v>
      </c>
      <c r="J70" s="650">
        <v>74394</v>
      </c>
      <c r="K70" s="650">
        <v>5814</v>
      </c>
      <c r="L70" s="649">
        <v>947</v>
      </c>
      <c r="M70" s="649"/>
      <c r="N70" s="650">
        <v>2974.76</v>
      </c>
      <c r="O70" s="650">
        <v>27458</v>
      </c>
      <c r="P70" s="650">
        <v>0</v>
      </c>
      <c r="Q70" s="649">
        <v>2175</v>
      </c>
      <c r="R70" s="649"/>
      <c r="S70" s="650">
        <v>22691</v>
      </c>
      <c r="T70" s="651">
        <v>-159</v>
      </c>
      <c r="U70" s="651">
        <v>22531</v>
      </c>
    </row>
    <row r="71" spans="1:21" x14ac:dyDescent="0.25">
      <c r="A71" s="646">
        <v>90812</v>
      </c>
      <c r="B71" s="647" t="s">
        <v>2689</v>
      </c>
      <c r="C71" s="648">
        <v>2.13E-4</v>
      </c>
      <c r="D71" s="648">
        <v>2.409E-4</v>
      </c>
      <c r="E71" s="649">
        <v>88699.09</v>
      </c>
      <c r="F71" s="649">
        <v>108114</v>
      </c>
      <c r="G71" s="649">
        <v>452057</v>
      </c>
      <c r="H71" s="649"/>
      <c r="I71" s="650">
        <v>8493.375</v>
      </c>
      <c r="J71" s="650">
        <v>396146</v>
      </c>
      <c r="K71" s="650">
        <v>30962</v>
      </c>
      <c r="L71" s="649">
        <v>8573</v>
      </c>
      <c r="M71" s="649"/>
      <c r="N71" s="650">
        <v>15841</v>
      </c>
      <c r="O71" s="650">
        <v>146216</v>
      </c>
      <c r="P71" s="650">
        <v>0</v>
      </c>
      <c r="Q71" s="649">
        <v>14237</v>
      </c>
      <c r="R71" s="649"/>
      <c r="S71" s="650">
        <v>120828</v>
      </c>
      <c r="T71" s="651">
        <v>453</v>
      </c>
      <c r="U71" s="651">
        <v>121281</v>
      </c>
    </row>
    <row r="72" spans="1:21" x14ac:dyDescent="0.25">
      <c r="A72" s="646">
        <v>90813</v>
      </c>
      <c r="B72" s="647" t="s">
        <v>2690</v>
      </c>
      <c r="C72" s="648">
        <v>5.4999999999999999E-6</v>
      </c>
      <c r="D72" s="648">
        <v>5.4E-6</v>
      </c>
      <c r="E72" s="649">
        <v>1841</v>
      </c>
      <c r="F72" s="649">
        <v>2423</v>
      </c>
      <c r="G72" s="649">
        <v>11673</v>
      </c>
      <c r="H72" s="649"/>
      <c r="I72" s="650">
        <v>219.3125</v>
      </c>
      <c r="J72" s="650">
        <v>10229</v>
      </c>
      <c r="K72" s="650">
        <v>799</v>
      </c>
      <c r="L72" s="649">
        <v>0</v>
      </c>
      <c r="M72" s="649"/>
      <c r="N72" s="650">
        <v>409</v>
      </c>
      <c r="O72" s="650">
        <v>3776</v>
      </c>
      <c r="P72" s="650">
        <v>0</v>
      </c>
      <c r="Q72" s="649">
        <v>1089</v>
      </c>
      <c r="R72" s="649"/>
      <c r="S72" s="650">
        <v>3120</v>
      </c>
      <c r="T72" s="651">
        <v>-397</v>
      </c>
      <c r="U72" s="651">
        <v>2723</v>
      </c>
    </row>
    <row r="73" spans="1:21" x14ac:dyDescent="0.25">
      <c r="A73" s="646">
        <v>90861</v>
      </c>
      <c r="B73" s="647" t="s">
        <v>2691</v>
      </c>
      <c r="C73" s="648">
        <v>4.7999999999999998E-6</v>
      </c>
      <c r="D73" s="648">
        <v>5.3000000000000001E-6</v>
      </c>
      <c r="E73" s="649">
        <v>3510</v>
      </c>
      <c r="F73" s="649">
        <v>2379</v>
      </c>
      <c r="G73" s="649">
        <v>10187</v>
      </c>
      <c r="H73" s="649"/>
      <c r="I73" s="650">
        <v>191</v>
      </c>
      <c r="J73" s="650">
        <v>8927</v>
      </c>
      <c r="K73" s="650">
        <v>698</v>
      </c>
      <c r="L73" s="649">
        <v>3258</v>
      </c>
      <c r="M73" s="649"/>
      <c r="N73" s="650">
        <v>357</v>
      </c>
      <c r="O73" s="650">
        <v>3295</v>
      </c>
      <c r="P73" s="650">
        <v>0</v>
      </c>
      <c r="Q73" s="649">
        <v>2245</v>
      </c>
      <c r="R73" s="649"/>
      <c r="S73" s="650">
        <v>2723</v>
      </c>
      <c r="T73" s="651">
        <v>-63</v>
      </c>
      <c r="U73" s="651">
        <v>2659</v>
      </c>
    </row>
    <row r="74" spans="1:21" x14ac:dyDescent="0.25">
      <c r="A74" s="646">
        <v>90901</v>
      </c>
      <c r="B74" s="647" t="s">
        <v>2692</v>
      </c>
      <c r="C74" s="648">
        <v>2.1302999999999999E-3</v>
      </c>
      <c r="D74" s="648">
        <v>2.2187000000000001E-3</v>
      </c>
      <c r="E74" s="649">
        <v>886463</v>
      </c>
      <c r="F74" s="649">
        <v>995739</v>
      </c>
      <c r="G74" s="649">
        <v>4521210</v>
      </c>
      <c r="H74" s="649"/>
      <c r="I74" s="650">
        <v>84946</v>
      </c>
      <c r="J74" s="650">
        <v>3962021</v>
      </c>
      <c r="K74" s="650">
        <v>309663</v>
      </c>
      <c r="L74" s="649">
        <v>9118.18</v>
      </c>
      <c r="M74" s="649"/>
      <c r="N74" s="650">
        <v>158428</v>
      </c>
      <c r="O74" s="650">
        <v>1462361</v>
      </c>
      <c r="P74" s="650">
        <v>0</v>
      </c>
      <c r="Q74" s="649">
        <v>53019</v>
      </c>
      <c r="R74" s="649"/>
      <c r="S74" s="650">
        <v>1208453</v>
      </c>
      <c r="T74" s="651">
        <v>-10432</v>
      </c>
      <c r="U74" s="651">
        <v>1198021</v>
      </c>
    </row>
    <row r="75" spans="1:21" x14ac:dyDescent="0.25">
      <c r="A75" s="646">
        <v>90911</v>
      </c>
      <c r="B75" s="647" t="s">
        <v>2693</v>
      </c>
      <c r="C75" s="648">
        <v>3.6010000000000003E-4</v>
      </c>
      <c r="D75" s="648">
        <v>3.6860000000000001E-4</v>
      </c>
      <c r="E75" s="649">
        <v>130625.3</v>
      </c>
      <c r="F75" s="649">
        <v>165425</v>
      </c>
      <c r="G75" s="649">
        <v>764253</v>
      </c>
      <c r="H75" s="649"/>
      <c r="I75" s="650">
        <v>14359</v>
      </c>
      <c r="J75" s="650">
        <v>669729</v>
      </c>
      <c r="K75" s="650">
        <v>52344</v>
      </c>
      <c r="L75" s="649">
        <v>0</v>
      </c>
      <c r="M75" s="649"/>
      <c r="N75" s="650">
        <v>26780</v>
      </c>
      <c r="O75" s="650">
        <v>247194</v>
      </c>
      <c r="P75" s="650">
        <v>0</v>
      </c>
      <c r="Q75" s="649">
        <v>51509</v>
      </c>
      <c r="R75" s="649"/>
      <c r="S75" s="650">
        <v>204274</v>
      </c>
      <c r="T75" s="651">
        <v>-20027</v>
      </c>
      <c r="U75" s="651">
        <v>184246</v>
      </c>
    </row>
    <row r="76" spans="1:21" x14ac:dyDescent="0.25">
      <c r="A76" s="646">
        <v>90917</v>
      </c>
      <c r="B76" s="647" t="s">
        <v>2694</v>
      </c>
      <c r="C76" s="648">
        <v>1.42E-5</v>
      </c>
      <c r="D76" s="648">
        <v>1.01E-5</v>
      </c>
      <c r="E76" s="649">
        <v>5169</v>
      </c>
      <c r="F76" s="649">
        <v>4533</v>
      </c>
      <c r="G76" s="649">
        <v>30137</v>
      </c>
      <c r="H76" s="649"/>
      <c r="I76" s="650">
        <v>566.22500000000002</v>
      </c>
      <c r="J76" s="650">
        <v>26410</v>
      </c>
      <c r="K76" s="650">
        <v>2064</v>
      </c>
      <c r="L76" s="649">
        <v>2014</v>
      </c>
      <c r="M76" s="649"/>
      <c r="N76" s="650">
        <v>1056</v>
      </c>
      <c r="O76" s="650">
        <v>9748</v>
      </c>
      <c r="P76" s="650">
        <v>0</v>
      </c>
      <c r="Q76" s="649">
        <v>881.57</v>
      </c>
      <c r="R76" s="649"/>
      <c r="S76" s="650">
        <v>8055</v>
      </c>
      <c r="T76" s="651">
        <v>110</v>
      </c>
      <c r="U76" s="651">
        <v>8165</v>
      </c>
    </row>
    <row r="77" spans="1:21" x14ac:dyDescent="0.25">
      <c r="A77" s="646">
        <v>90918</v>
      </c>
      <c r="B77" s="647" t="s">
        <v>2695</v>
      </c>
      <c r="C77" s="648">
        <v>1.24E-5</v>
      </c>
      <c r="D77" s="648">
        <v>1.3499999999999999E-5</v>
      </c>
      <c r="E77" s="649">
        <v>4291.66</v>
      </c>
      <c r="F77" s="649">
        <v>6059</v>
      </c>
      <c r="G77" s="649">
        <v>26317</v>
      </c>
      <c r="H77" s="649"/>
      <c r="I77" s="650">
        <v>494.45</v>
      </c>
      <c r="J77" s="650">
        <v>23062</v>
      </c>
      <c r="K77" s="650">
        <v>1802</v>
      </c>
      <c r="L77" s="649">
        <v>0</v>
      </c>
      <c r="M77" s="649"/>
      <c r="N77" s="650">
        <v>922</v>
      </c>
      <c r="O77" s="650">
        <v>8512</v>
      </c>
      <c r="P77" s="650">
        <v>0</v>
      </c>
      <c r="Q77" s="649">
        <v>2531</v>
      </c>
      <c r="R77" s="649"/>
      <c r="S77" s="650">
        <v>7034</v>
      </c>
      <c r="T77" s="651">
        <v>-865</v>
      </c>
      <c r="U77" s="651">
        <v>6169</v>
      </c>
    </row>
    <row r="78" spans="1:21" x14ac:dyDescent="0.25">
      <c r="A78" s="646">
        <v>90921</v>
      </c>
      <c r="B78" s="647" t="s">
        <v>2696</v>
      </c>
      <c r="C78" s="648">
        <v>8.7399999999999997E-5</v>
      </c>
      <c r="D78" s="648">
        <v>1.149E-4</v>
      </c>
      <c r="E78" s="649">
        <v>45670.59</v>
      </c>
      <c r="F78" s="649">
        <v>51566</v>
      </c>
      <c r="G78" s="649">
        <v>185492</v>
      </c>
      <c r="H78" s="649"/>
      <c r="I78" s="650">
        <v>3485</v>
      </c>
      <c r="J78" s="650">
        <v>162550</v>
      </c>
      <c r="K78" s="650">
        <v>12705</v>
      </c>
      <c r="L78" s="649">
        <v>4488</v>
      </c>
      <c r="M78" s="649"/>
      <c r="N78" s="650">
        <v>6500</v>
      </c>
      <c r="O78" s="650">
        <v>59996</v>
      </c>
      <c r="P78" s="650">
        <v>0</v>
      </c>
      <c r="Q78" s="649">
        <v>10576</v>
      </c>
      <c r="R78" s="649"/>
      <c r="S78" s="650">
        <v>49579</v>
      </c>
      <c r="T78" s="651">
        <v>-1977</v>
      </c>
      <c r="U78" s="651">
        <v>47602</v>
      </c>
    </row>
    <row r="79" spans="1:21" x14ac:dyDescent="0.25">
      <c r="A79" s="646">
        <v>90931</v>
      </c>
      <c r="B79" s="647" t="s">
        <v>2697</v>
      </c>
      <c r="C79" s="648">
        <v>5.1900000000000001E-5</v>
      </c>
      <c r="D79" s="648">
        <v>6.2700000000000006E-5</v>
      </c>
      <c r="E79" s="649">
        <v>20869.29</v>
      </c>
      <c r="F79" s="649">
        <v>28139</v>
      </c>
      <c r="G79" s="649">
        <v>110149</v>
      </c>
      <c r="H79" s="649"/>
      <c r="I79" s="650">
        <v>2070</v>
      </c>
      <c r="J79" s="650">
        <v>96526</v>
      </c>
      <c r="K79" s="650">
        <v>7544</v>
      </c>
      <c r="L79" s="649">
        <v>6439</v>
      </c>
      <c r="M79" s="649"/>
      <c r="N79" s="650">
        <v>3860</v>
      </c>
      <c r="O79" s="650">
        <v>35627</v>
      </c>
      <c r="P79" s="650">
        <v>0</v>
      </c>
      <c r="Q79" s="649">
        <v>6227</v>
      </c>
      <c r="R79" s="649"/>
      <c r="S79" s="650">
        <v>29441</v>
      </c>
      <c r="T79" s="651">
        <v>1082</v>
      </c>
      <c r="U79" s="651">
        <v>30524</v>
      </c>
    </row>
    <row r="80" spans="1:21" x14ac:dyDescent="0.25">
      <c r="A80" s="646">
        <v>90941</v>
      </c>
      <c r="B80" s="647" t="s">
        <v>2698</v>
      </c>
      <c r="C80" s="648">
        <v>9.0799999999999998E-5</v>
      </c>
      <c r="D80" s="648">
        <v>8.1199999999999995E-5</v>
      </c>
      <c r="E80" s="649">
        <v>33657.32</v>
      </c>
      <c r="F80" s="649">
        <v>36442</v>
      </c>
      <c r="G80" s="649">
        <v>192708</v>
      </c>
      <c r="H80" s="649"/>
      <c r="I80" s="650">
        <v>3620.65</v>
      </c>
      <c r="J80" s="650">
        <v>168874</v>
      </c>
      <c r="K80" s="650">
        <v>13199</v>
      </c>
      <c r="L80" s="649">
        <v>2275</v>
      </c>
      <c r="M80" s="649"/>
      <c r="N80" s="650">
        <v>6753</v>
      </c>
      <c r="O80" s="650">
        <v>62330</v>
      </c>
      <c r="P80" s="650">
        <v>0</v>
      </c>
      <c r="Q80" s="649">
        <v>7609</v>
      </c>
      <c r="R80" s="649"/>
      <c r="S80" s="650">
        <v>51508</v>
      </c>
      <c r="T80" s="651">
        <v>-2188</v>
      </c>
      <c r="U80" s="651">
        <v>49320</v>
      </c>
    </row>
    <row r="81" spans="1:21" x14ac:dyDescent="0.25">
      <c r="A81" s="646">
        <v>91001</v>
      </c>
      <c r="B81" s="647" t="s">
        <v>2699</v>
      </c>
      <c r="C81" s="648">
        <v>6.6189999999999999E-3</v>
      </c>
      <c r="D81" s="648">
        <v>6.5719999999999997E-3</v>
      </c>
      <c r="E81" s="649">
        <v>2476167.31</v>
      </c>
      <c r="F81" s="649">
        <v>2949474</v>
      </c>
      <c r="G81" s="649">
        <v>14047735</v>
      </c>
      <c r="H81" s="649"/>
      <c r="I81" s="650">
        <v>263933</v>
      </c>
      <c r="J81" s="650">
        <v>12310294</v>
      </c>
      <c r="K81" s="650">
        <v>962144</v>
      </c>
      <c r="L81" s="649">
        <v>72024</v>
      </c>
      <c r="M81" s="649"/>
      <c r="N81" s="650">
        <v>492248</v>
      </c>
      <c r="O81" s="650">
        <v>4543666</v>
      </c>
      <c r="P81" s="650">
        <v>0</v>
      </c>
      <c r="Q81" s="649">
        <v>203248</v>
      </c>
      <c r="R81" s="649"/>
      <c r="S81" s="650">
        <v>3754754</v>
      </c>
      <c r="T81" s="651">
        <v>-19657</v>
      </c>
      <c r="U81" s="651">
        <v>3735096</v>
      </c>
    </row>
    <row r="82" spans="1:21" x14ac:dyDescent="0.25">
      <c r="A82" s="646">
        <v>91002</v>
      </c>
      <c r="B82" s="647" t="s">
        <v>2700</v>
      </c>
      <c r="C82" s="648">
        <v>5.6360000000000004E-4</v>
      </c>
      <c r="D82" s="648">
        <v>5.8929999999999996E-4</v>
      </c>
      <c r="E82" s="649">
        <v>198213.95</v>
      </c>
      <c r="F82" s="649">
        <v>264474</v>
      </c>
      <c r="G82" s="649">
        <v>1196148</v>
      </c>
      <c r="H82" s="649"/>
      <c r="I82" s="650">
        <v>22474</v>
      </c>
      <c r="J82" s="650">
        <v>1048207</v>
      </c>
      <c r="K82" s="650">
        <v>81925</v>
      </c>
      <c r="L82" s="649">
        <v>5287.43</v>
      </c>
      <c r="M82" s="649"/>
      <c r="N82" s="650">
        <v>41914</v>
      </c>
      <c r="O82" s="650">
        <v>386888</v>
      </c>
      <c r="P82" s="650">
        <v>0</v>
      </c>
      <c r="Q82" s="649">
        <v>69296</v>
      </c>
      <c r="R82" s="649"/>
      <c r="S82" s="650">
        <v>319713</v>
      </c>
      <c r="T82" s="651">
        <v>-18039</v>
      </c>
      <c r="U82" s="651">
        <v>301674</v>
      </c>
    </row>
    <row r="83" spans="1:21" x14ac:dyDescent="0.25">
      <c r="A83" s="646">
        <v>91003</v>
      </c>
      <c r="B83" s="647" t="s">
        <v>2701</v>
      </c>
      <c r="C83" s="648">
        <v>5.6550000000000003E-4</v>
      </c>
      <c r="D83" s="648">
        <v>6.4320000000000002E-4</v>
      </c>
      <c r="E83" s="649">
        <v>237083</v>
      </c>
      <c r="F83" s="649">
        <v>288664</v>
      </c>
      <c r="G83" s="649">
        <v>1200180</v>
      </c>
      <c r="H83" s="649"/>
      <c r="I83" s="650">
        <v>22549.3125</v>
      </c>
      <c r="J83" s="650">
        <v>1051741</v>
      </c>
      <c r="K83" s="650">
        <v>82202</v>
      </c>
      <c r="L83" s="649">
        <v>33107</v>
      </c>
      <c r="M83" s="649"/>
      <c r="N83" s="650">
        <v>42056</v>
      </c>
      <c r="O83" s="650">
        <v>388192</v>
      </c>
      <c r="P83" s="650">
        <v>0</v>
      </c>
      <c r="Q83" s="649">
        <v>38498</v>
      </c>
      <c r="R83" s="649"/>
      <c r="S83" s="650">
        <v>320791</v>
      </c>
      <c r="T83" s="651">
        <v>4893</v>
      </c>
      <c r="U83" s="651">
        <v>325683</v>
      </c>
    </row>
    <row r="84" spans="1:21" x14ac:dyDescent="0.25">
      <c r="A84" s="646">
        <v>91004</v>
      </c>
      <c r="B84" s="647" t="s">
        <v>2702</v>
      </c>
      <c r="C84" s="648">
        <v>1.7499999999999998E-5</v>
      </c>
      <c r="D84" s="648">
        <v>1.8199999999999999E-5</v>
      </c>
      <c r="E84" s="649">
        <v>9480</v>
      </c>
      <c r="F84" s="649">
        <v>8168</v>
      </c>
      <c r="G84" s="649">
        <v>37141</v>
      </c>
      <c r="H84" s="649"/>
      <c r="I84" s="650">
        <v>698</v>
      </c>
      <c r="J84" s="650">
        <v>32547</v>
      </c>
      <c r="K84" s="650">
        <v>2544</v>
      </c>
      <c r="L84" s="649">
        <v>7859</v>
      </c>
      <c r="M84" s="649"/>
      <c r="N84" s="650">
        <v>1301.4575</v>
      </c>
      <c r="O84" s="650">
        <v>12013</v>
      </c>
      <c r="P84" s="650">
        <v>0</v>
      </c>
      <c r="Q84" s="649">
        <v>217</v>
      </c>
      <c r="R84" s="649"/>
      <c r="S84" s="650">
        <v>9927</v>
      </c>
      <c r="T84" s="651">
        <v>2541</v>
      </c>
      <c r="U84" s="651">
        <v>12468</v>
      </c>
    </row>
    <row r="85" spans="1:21" x14ac:dyDescent="0.25">
      <c r="A85" s="646">
        <v>91006</v>
      </c>
      <c r="B85" s="647" t="s">
        <v>2703</v>
      </c>
      <c r="C85" s="648">
        <v>1.0096E-3</v>
      </c>
      <c r="D85" s="648">
        <v>1.0097000000000001E-3</v>
      </c>
      <c r="E85" s="649">
        <v>387783</v>
      </c>
      <c r="F85" s="649">
        <v>453147</v>
      </c>
      <c r="G85" s="649">
        <v>2142709</v>
      </c>
      <c r="H85" s="649"/>
      <c r="I85" s="650">
        <v>40258</v>
      </c>
      <c r="J85" s="650">
        <v>1877696</v>
      </c>
      <c r="K85" s="650">
        <v>146756</v>
      </c>
      <c r="L85" s="649">
        <v>28780</v>
      </c>
      <c r="M85" s="649"/>
      <c r="N85" s="650">
        <v>75083</v>
      </c>
      <c r="O85" s="650">
        <v>693048</v>
      </c>
      <c r="P85" s="650">
        <v>0</v>
      </c>
      <c r="Q85" s="649">
        <v>21822</v>
      </c>
      <c r="R85" s="649"/>
      <c r="S85" s="650">
        <v>572715</v>
      </c>
      <c r="T85" s="651">
        <v>4927</v>
      </c>
      <c r="U85" s="651">
        <v>577642</v>
      </c>
    </row>
    <row r="86" spans="1:21" x14ac:dyDescent="0.25">
      <c r="A86" s="646">
        <v>91007</v>
      </c>
      <c r="B86" s="647" t="s">
        <v>2704</v>
      </c>
      <c r="C86" s="648">
        <v>1.2500000000000001E-5</v>
      </c>
      <c r="D86" s="648">
        <v>9.5999999999999996E-6</v>
      </c>
      <c r="E86" s="649">
        <v>10106.58</v>
      </c>
      <c r="F86" s="649">
        <v>4308</v>
      </c>
      <c r="G86" s="649">
        <v>26529.1875</v>
      </c>
      <c r="H86" s="649"/>
      <c r="I86" s="650">
        <v>498.4375</v>
      </c>
      <c r="J86" s="650">
        <v>23248</v>
      </c>
      <c r="K86" s="650">
        <v>1817</v>
      </c>
      <c r="L86" s="649">
        <v>7512</v>
      </c>
      <c r="M86" s="649"/>
      <c r="N86" s="650">
        <v>930</v>
      </c>
      <c r="O86" s="650">
        <v>8581</v>
      </c>
      <c r="P86" s="650">
        <v>0</v>
      </c>
      <c r="Q86" s="649">
        <v>1019</v>
      </c>
      <c r="R86" s="649"/>
      <c r="S86" s="650">
        <v>7091</v>
      </c>
      <c r="T86" s="651">
        <v>1625</v>
      </c>
      <c r="U86" s="651">
        <v>8716</v>
      </c>
    </row>
    <row r="87" spans="1:21" x14ac:dyDescent="0.25">
      <c r="A87" s="646">
        <v>91008</v>
      </c>
      <c r="B87" s="647" t="s">
        <v>2705</v>
      </c>
      <c r="C87" s="648">
        <v>1.273E-4</v>
      </c>
      <c r="D87" s="648">
        <v>1.1629999999999999E-4</v>
      </c>
      <c r="E87" s="649">
        <v>64143</v>
      </c>
      <c r="F87" s="649">
        <v>52195</v>
      </c>
      <c r="G87" s="649">
        <v>270173</v>
      </c>
      <c r="H87" s="649"/>
      <c r="I87" s="650">
        <v>5076</v>
      </c>
      <c r="J87" s="650">
        <v>236758</v>
      </c>
      <c r="K87" s="650">
        <v>18504</v>
      </c>
      <c r="L87" s="649">
        <v>45460</v>
      </c>
      <c r="M87" s="649"/>
      <c r="N87" s="650">
        <v>9467</v>
      </c>
      <c r="O87" s="650">
        <v>87386</v>
      </c>
      <c r="P87" s="650">
        <v>0</v>
      </c>
      <c r="Q87" s="649">
        <v>0</v>
      </c>
      <c r="R87" s="649"/>
      <c r="S87" s="650">
        <v>72213</v>
      </c>
      <c r="T87" s="651">
        <v>15722</v>
      </c>
      <c r="U87" s="651">
        <v>87935</v>
      </c>
    </row>
    <row r="88" spans="1:21" x14ac:dyDescent="0.25">
      <c r="A88" s="646">
        <v>91009</v>
      </c>
      <c r="B88" s="647" t="s">
        <v>2706</v>
      </c>
      <c r="C88" s="648">
        <v>1.8700000000000001E-5</v>
      </c>
      <c r="D88" s="648">
        <v>1.5099999999999999E-5</v>
      </c>
      <c r="E88" s="649">
        <v>10450.36</v>
      </c>
      <c r="F88" s="649">
        <v>6777</v>
      </c>
      <c r="G88" s="649">
        <v>39688</v>
      </c>
      <c r="H88" s="649"/>
      <c r="I88" s="650">
        <v>745.66250000000002</v>
      </c>
      <c r="J88" s="650">
        <v>34779</v>
      </c>
      <c r="K88" s="650">
        <v>2718</v>
      </c>
      <c r="L88" s="649">
        <v>4142</v>
      </c>
      <c r="M88" s="649"/>
      <c r="N88" s="650">
        <v>1391</v>
      </c>
      <c r="O88" s="650">
        <v>12837</v>
      </c>
      <c r="P88" s="650">
        <v>0</v>
      </c>
      <c r="Q88" s="649">
        <v>3815</v>
      </c>
      <c r="R88" s="649"/>
      <c r="S88" s="650">
        <v>10608</v>
      </c>
      <c r="T88" s="651">
        <v>-284</v>
      </c>
      <c r="U88" s="651">
        <v>10324</v>
      </c>
    </row>
    <row r="89" spans="1:21" x14ac:dyDescent="0.25">
      <c r="A89" s="646">
        <v>91010</v>
      </c>
      <c r="B89" s="647" t="s">
        <v>2707</v>
      </c>
      <c r="C89" s="648">
        <v>6.8399999999999996E-5</v>
      </c>
      <c r="D89" s="648">
        <v>7.08E-5</v>
      </c>
      <c r="E89" s="649">
        <v>29262</v>
      </c>
      <c r="F89" s="649">
        <v>31775</v>
      </c>
      <c r="G89" s="649">
        <v>145168</v>
      </c>
      <c r="H89" s="649"/>
      <c r="I89" s="650">
        <v>2727.45</v>
      </c>
      <c r="J89" s="650">
        <v>127213</v>
      </c>
      <c r="K89" s="650">
        <v>9943</v>
      </c>
      <c r="L89" s="649">
        <v>10683</v>
      </c>
      <c r="M89" s="649"/>
      <c r="N89" s="650">
        <v>5087</v>
      </c>
      <c r="O89" s="650">
        <v>46954</v>
      </c>
      <c r="P89" s="650">
        <v>0</v>
      </c>
      <c r="Q89" s="649">
        <v>400</v>
      </c>
      <c r="R89" s="649"/>
      <c r="S89" s="650">
        <v>38801</v>
      </c>
      <c r="T89" s="651">
        <v>4384</v>
      </c>
      <c r="U89" s="651">
        <v>43185</v>
      </c>
    </row>
    <row r="90" spans="1:21" x14ac:dyDescent="0.25">
      <c r="A90" s="646">
        <v>91011</v>
      </c>
      <c r="B90" s="647" t="s">
        <v>2708</v>
      </c>
      <c r="C90" s="648">
        <v>3.1789999999999998E-4</v>
      </c>
      <c r="D90" s="648">
        <v>3.0249999999999998E-4</v>
      </c>
      <c r="E90" s="649">
        <v>134881.49</v>
      </c>
      <c r="F90" s="649">
        <v>135760</v>
      </c>
      <c r="G90" s="649">
        <v>674690</v>
      </c>
      <c r="H90" s="649"/>
      <c r="I90" s="650">
        <v>12676</v>
      </c>
      <c r="J90" s="650">
        <v>591244</v>
      </c>
      <c r="K90" s="650">
        <v>46210</v>
      </c>
      <c r="L90" s="649">
        <v>30818</v>
      </c>
      <c r="M90" s="649"/>
      <c r="N90" s="650">
        <v>23642</v>
      </c>
      <c r="O90" s="650">
        <v>218225</v>
      </c>
      <c r="P90" s="650">
        <v>0</v>
      </c>
      <c r="Q90" s="649">
        <v>0</v>
      </c>
      <c r="R90" s="649"/>
      <c r="S90" s="650">
        <v>180335</v>
      </c>
      <c r="T90" s="651">
        <v>10335</v>
      </c>
      <c r="U90" s="651">
        <v>190670</v>
      </c>
    </row>
    <row r="91" spans="1:21" x14ac:dyDescent="0.25">
      <c r="A91" s="646">
        <v>91012</v>
      </c>
      <c r="B91" s="647" t="s">
        <v>2709</v>
      </c>
      <c r="C91" s="648">
        <v>1.49E-5</v>
      </c>
      <c r="D91" s="648">
        <v>1.08E-5</v>
      </c>
      <c r="E91" s="649">
        <v>7817.43</v>
      </c>
      <c r="F91" s="649">
        <v>4847</v>
      </c>
      <c r="G91" s="649">
        <v>31623</v>
      </c>
      <c r="H91" s="649"/>
      <c r="I91" s="650">
        <v>594</v>
      </c>
      <c r="J91" s="650">
        <v>27712</v>
      </c>
      <c r="K91" s="650">
        <v>2166</v>
      </c>
      <c r="L91" s="649">
        <v>3563</v>
      </c>
      <c r="M91" s="649"/>
      <c r="N91" s="650">
        <v>1108</v>
      </c>
      <c r="O91" s="650">
        <v>10228</v>
      </c>
      <c r="P91" s="650">
        <v>0</v>
      </c>
      <c r="Q91" s="649">
        <v>4733</v>
      </c>
      <c r="R91" s="649"/>
      <c r="S91" s="650">
        <v>8452</v>
      </c>
      <c r="T91" s="651">
        <v>-1352</v>
      </c>
      <c r="U91" s="651">
        <v>7100</v>
      </c>
    </row>
    <row r="92" spans="1:21" x14ac:dyDescent="0.25">
      <c r="A92" s="646">
        <v>91013</v>
      </c>
      <c r="B92" s="647" t="s">
        <v>2710</v>
      </c>
      <c r="C92" s="648">
        <v>2.1800000000000001E-5</v>
      </c>
      <c r="D92" s="648">
        <v>0</v>
      </c>
      <c r="E92" s="649">
        <v>20992.21</v>
      </c>
      <c r="F92" s="649">
        <v>0</v>
      </c>
      <c r="G92" s="649">
        <v>46267</v>
      </c>
      <c r="H92" s="649"/>
      <c r="I92" s="650">
        <v>869</v>
      </c>
      <c r="J92" s="650">
        <v>40545</v>
      </c>
      <c r="K92" s="650">
        <v>3169</v>
      </c>
      <c r="L92" s="649">
        <v>21362</v>
      </c>
      <c r="M92" s="649"/>
      <c r="N92" s="650">
        <v>1621</v>
      </c>
      <c r="O92" s="650">
        <v>14965</v>
      </c>
      <c r="P92" s="650">
        <v>0</v>
      </c>
      <c r="Q92" s="649">
        <v>0</v>
      </c>
      <c r="R92" s="649"/>
      <c r="S92" s="650">
        <v>12366</v>
      </c>
      <c r="T92" s="651">
        <v>5534</v>
      </c>
      <c r="U92" s="651">
        <v>17901</v>
      </c>
    </row>
    <row r="93" spans="1:21" x14ac:dyDescent="0.25">
      <c r="A93" s="646">
        <v>91014</v>
      </c>
      <c r="B93" s="647" t="s">
        <v>2711</v>
      </c>
      <c r="C93" s="648">
        <v>2.1499999999999999E-4</v>
      </c>
      <c r="D93" s="648">
        <v>2.241E-4</v>
      </c>
      <c r="E93" s="649">
        <v>84391.47</v>
      </c>
      <c r="F93" s="649">
        <v>100575</v>
      </c>
      <c r="G93" s="649">
        <v>456302</v>
      </c>
      <c r="H93" s="649"/>
      <c r="I93" s="650">
        <v>8573.125</v>
      </c>
      <c r="J93" s="650">
        <v>399866</v>
      </c>
      <c r="K93" s="650">
        <v>31253</v>
      </c>
      <c r="L93" s="649">
        <v>0</v>
      </c>
      <c r="M93" s="649"/>
      <c r="N93" s="650">
        <v>15989</v>
      </c>
      <c r="O93" s="650">
        <v>147588.47</v>
      </c>
      <c r="P93" s="650">
        <v>0</v>
      </c>
      <c r="Q93" s="649">
        <v>17744</v>
      </c>
      <c r="R93" s="649"/>
      <c r="S93" s="650">
        <v>121963</v>
      </c>
      <c r="T93" s="651">
        <v>-6457</v>
      </c>
      <c r="U93" s="651">
        <v>115506</v>
      </c>
    </row>
    <row r="94" spans="1:21" x14ac:dyDescent="0.25">
      <c r="A94" s="646">
        <v>91017</v>
      </c>
      <c r="B94" s="647" t="s">
        <v>2712</v>
      </c>
      <c r="C94" s="648">
        <v>2.3E-5</v>
      </c>
      <c r="D94" s="648">
        <v>1.01E-5</v>
      </c>
      <c r="E94" s="649">
        <v>10837.78</v>
      </c>
      <c r="F94" s="649">
        <v>4533</v>
      </c>
      <c r="G94" s="649">
        <v>48814</v>
      </c>
      <c r="H94" s="649"/>
      <c r="I94" s="650">
        <v>917.125</v>
      </c>
      <c r="J94" s="650">
        <v>42776</v>
      </c>
      <c r="K94" s="650">
        <v>3343</v>
      </c>
      <c r="L94" s="649">
        <v>11872</v>
      </c>
      <c r="M94" s="649"/>
      <c r="N94" s="650">
        <v>1710</v>
      </c>
      <c r="O94" s="650">
        <v>15789</v>
      </c>
      <c r="P94" s="650">
        <v>0</v>
      </c>
      <c r="Q94" s="649">
        <v>0</v>
      </c>
      <c r="R94" s="649"/>
      <c r="S94" s="650">
        <v>13047</v>
      </c>
      <c r="T94" s="651">
        <v>3546</v>
      </c>
      <c r="U94" s="651">
        <v>16593</v>
      </c>
    </row>
    <row r="95" spans="1:21" x14ac:dyDescent="0.25">
      <c r="A95" s="646">
        <v>91020</v>
      </c>
      <c r="B95" s="647" t="s">
        <v>2713</v>
      </c>
      <c r="C95" s="648">
        <v>1.9899999999999999E-5</v>
      </c>
      <c r="D95" s="648">
        <v>1.7E-5</v>
      </c>
      <c r="E95" s="649">
        <v>8500.07</v>
      </c>
      <c r="F95" s="649">
        <v>7629</v>
      </c>
      <c r="G95" s="649">
        <v>42234</v>
      </c>
      <c r="H95" s="649"/>
      <c r="I95" s="650">
        <v>794</v>
      </c>
      <c r="J95" s="650">
        <v>37011</v>
      </c>
      <c r="K95" s="650">
        <v>2893</v>
      </c>
      <c r="L95" s="649">
        <v>2656</v>
      </c>
      <c r="M95" s="649"/>
      <c r="N95" s="650">
        <v>1480</v>
      </c>
      <c r="O95" s="650">
        <v>13661</v>
      </c>
      <c r="P95" s="650">
        <v>0</v>
      </c>
      <c r="Q95" s="649">
        <v>582</v>
      </c>
      <c r="R95" s="649"/>
      <c r="S95" s="650">
        <v>11289</v>
      </c>
      <c r="T95" s="651">
        <v>685</v>
      </c>
      <c r="U95" s="651">
        <v>11973</v>
      </c>
    </row>
    <row r="96" spans="1:21" x14ac:dyDescent="0.25">
      <c r="A96" s="646">
        <v>91021</v>
      </c>
      <c r="B96" s="647" t="s">
        <v>2714</v>
      </c>
      <c r="C96" s="648">
        <v>8.6989999999999995E-4</v>
      </c>
      <c r="D96" s="648">
        <v>9.4979999999999999E-4</v>
      </c>
      <c r="E96" s="649">
        <v>366474.75</v>
      </c>
      <c r="F96" s="649">
        <v>426265</v>
      </c>
      <c r="G96" s="649">
        <v>1846219</v>
      </c>
      <c r="H96" s="649"/>
      <c r="I96" s="650">
        <v>34687</v>
      </c>
      <c r="J96" s="650">
        <v>1617877</v>
      </c>
      <c r="K96" s="650">
        <v>126450</v>
      </c>
      <c r="L96" s="649">
        <v>0</v>
      </c>
      <c r="M96" s="649"/>
      <c r="N96" s="650">
        <v>64694</v>
      </c>
      <c r="O96" s="650">
        <v>597150</v>
      </c>
      <c r="P96" s="650">
        <v>0</v>
      </c>
      <c r="Q96" s="649">
        <v>117733</v>
      </c>
      <c r="R96" s="649"/>
      <c r="S96" s="650">
        <v>493467</v>
      </c>
      <c r="T96" s="651">
        <v>-45954</v>
      </c>
      <c r="U96" s="651">
        <v>447513</v>
      </c>
    </row>
    <row r="97" spans="1:21" x14ac:dyDescent="0.25">
      <c r="A97" s="646">
        <v>91024</v>
      </c>
      <c r="B97" s="647" t="s">
        <v>2715</v>
      </c>
      <c r="C97" s="648">
        <v>6.6299999999999999E-5</v>
      </c>
      <c r="D97" s="648">
        <v>4.3800000000000001E-5</v>
      </c>
      <c r="E97" s="649">
        <v>26295.57</v>
      </c>
      <c r="F97" s="649">
        <v>19657</v>
      </c>
      <c r="G97" s="649">
        <v>140711</v>
      </c>
      <c r="H97" s="649"/>
      <c r="I97" s="650">
        <v>2644</v>
      </c>
      <c r="J97" s="650">
        <v>123308</v>
      </c>
      <c r="K97" s="650">
        <v>9637</v>
      </c>
      <c r="L97" s="649">
        <v>28363</v>
      </c>
      <c r="M97" s="649"/>
      <c r="N97" s="650">
        <v>4931</v>
      </c>
      <c r="O97" s="650">
        <v>45512</v>
      </c>
      <c r="P97" s="650">
        <v>0</v>
      </c>
      <c r="Q97" s="649">
        <v>0</v>
      </c>
      <c r="R97" s="649"/>
      <c r="S97" s="650">
        <v>37610</v>
      </c>
      <c r="T97" s="651">
        <v>9531</v>
      </c>
      <c r="U97" s="651">
        <v>47141</v>
      </c>
    </row>
    <row r="98" spans="1:21" x14ac:dyDescent="0.25">
      <c r="A98" s="646">
        <v>91026</v>
      </c>
      <c r="B98" s="647" t="s">
        <v>1242</v>
      </c>
      <c r="C98" s="648">
        <v>6.0900000000000003E-5</v>
      </c>
      <c r="D98" s="648">
        <v>5.4700000000000001E-5</v>
      </c>
      <c r="E98" s="649">
        <v>45660</v>
      </c>
      <c r="F98" s="649">
        <v>24549</v>
      </c>
      <c r="G98" s="649">
        <v>129250</v>
      </c>
      <c r="H98" s="649"/>
      <c r="I98" s="650">
        <v>2428</v>
      </c>
      <c r="J98" s="650">
        <v>113264</v>
      </c>
      <c r="K98" s="650">
        <v>8852</v>
      </c>
      <c r="L98" s="649">
        <v>43564</v>
      </c>
      <c r="M98" s="649"/>
      <c r="N98" s="650">
        <v>4529</v>
      </c>
      <c r="O98" s="650">
        <v>41805</v>
      </c>
      <c r="P98" s="650">
        <v>0</v>
      </c>
      <c r="Q98" s="649">
        <v>6237</v>
      </c>
      <c r="R98" s="649"/>
      <c r="S98" s="650">
        <v>34547</v>
      </c>
      <c r="T98" s="651">
        <v>10429</v>
      </c>
      <c r="U98" s="651">
        <v>44976</v>
      </c>
    </row>
    <row r="99" spans="1:21" x14ac:dyDescent="0.25">
      <c r="A99" s="646">
        <v>91027</v>
      </c>
      <c r="B99" s="647" t="s">
        <v>2716</v>
      </c>
      <c r="C99" s="648">
        <v>1.6099999999999998E-5</v>
      </c>
      <c r="D99" s="648">
        <v>1.6099999999999998E-5</v>
      </c>
      <c r="E99" s="649">
        <v>15581</v>
      </c>
      <c r="F99" s="649">
        <v>7226</v>
      </c>
      <c r="G99" s="649">
        <v>34170</v>
      </c>
      <c r="H99" s="649"/>
      <c r="I99" s="650">
        <v>642</v>
      </c>
      <c r="J99" s="650">
        <v>29943</v>
      </c>
      <c r="K99" s="650">
        <v>2340</v>
      </c>
      <c r="L99" s="649">
        <v>15162</v>
      </c>
      <c r="M99" s="649"/>
      <c r="N99" s="650">
        <v>1197</v>
      </c>
      <c r="O99" s="650">
        <v>11052</v>
      </c>
      <c r="P99" s="650">
        <v>0</v>
      </c>
      <c r="Q99" s="649">
        <v>0</v>
      </c>
      <c r="R99" s="649"/>
      <c r="S99" s="650">
        <v>9133</v>
      </c>
      <c r="T99" s="651">
        <v>5044</v>
      </c>
      <c r="U99" s="651">
        <v>14177</v>
      </c>
    </row>
    <row r="100" spans="1:21" x14ac:dyDescent="0.25">
      <c r="A100" s="646">
        <v>91032</v>
      </c>
      <c r="B100" s="647" t="s">
        <v>2717</v>
      </c>
      <c r="C100" s="648">
        <v>1.8600000000000001E-5</v>
      </c>
      <c r="D100" s="648">
        <v>2.12E-5</v>
      </c>
      <c r="E100" s="649">
        <v>14204.55</v>
      </c>
      <c r="F100" s="649">
        <v>9514</v>
      </c>
      <c r="G100" s="649">
        <v>39475</v>
      </c>
      <c r="H100" s="649"/>
      <c r="I100" s="650">
        <v>742</v>
      </c>
      <c r="J100" s="650">
        <v>34593</v>
      </c>
      <c r="K100" s="650">
        <v>2704</v>
      </c>
      <c r="L100" s="649">
        <v>14052</v>
      </c>
      <c r="M100" s="649"/>
      <c r="N100" s="650">
        <v>1383</v>
      </c>
      <c r="O100" s="650">
        <v>12768</v>
      </c>
      <c r="P100" s="650">
        <v>0</v>
      </c>
      <c r="Q100" s="649">
        <v>0</v>
      </c>
      <c r="R100" s="649"/>
      <c r="S100" s="650">
        <v>10551</v>
      </c>
      <c r="T100" s="651">
        <v>4978</v>
      </c>
      <c r="U100" s="651">
        <v>15529</v>
      </c>
    </row>
    <row r="101" spans="1:21" x14ac:dyDescent="0.25">
      <c r="A101" s="646">
        <v>91041</v>
      </c>
      <c r="B101" s="647" t="s">
        <v>2718</v>
      </c>
      <c r="C101" s="648">
        <v>4.3609999999999998E-4</v>
      </c>
      <c r="D101" s="648">
        <v>4.8910000000000002E-4</v>
      </c>
      <c r="E101" s="649">
        <v>143841.5</v>
      </c>
      <c r="F101" s="649">
        <v>219505</v>
      </c>
      <c r="G101" s="649">
        <v>925550</v>
      </c>
      <c r="H101" s="649"/>
      <c r="I101" s="650">
        <v>17389</v>
      </c>
      <c r="J101" s="650">
        <v>811077</v>
      </c>
      <c r="K101" s="650">
        <v>63392</v>
      </c>
      <c r="L101" s="649">
        <v>0</v>
      </c>
      <c r="M101" s="649"/>
      <c r="N101" s="650">
        <v>32432</v>
      </c>
      <c r="O101" s="650">
        <v>299364</v>
      </c>
      <c r="P101" s="650">
        <v>0</v>
      </c>
      <c r="Q101" s="649">
        <v>93669</v>
      </c>
      <c r="R101" s="649"/>
      <c r="S101" s="650">
        <v>247386</v>
      </c>
      <c r="T101" s="651">
        <v>-28115</v>
      </c>
      <c r="U101" s="651">
        <v>219271</v>
      </c>
    </row>
    <row r="102" spans="1:21" x14ac:dyDescent="0.25">
      <c r="A102" s="646">
        <v>91042</v>
      </c>
      <c r="B102" s="647" t="s">
        <v>2719</v>
      </c>
      <c r="C102" s="648">
        <v>2.062E-4</v>
      </c>
      <c r="D102" s="648">
        <v>2.1579999999999999E-4</v>
      </c>
      <c r="E102" s="649">
        <v>79476</v>
      </c>
      <c r="F102" s="649">
        <v>96850</v>
      </c>
      <c r="G102" s="649">
        <v>437625</v>
      </c>
      <c r="H102" s="649"/>
      <c r="I102" s="650">
        <v>8222</v>
      </c>
      <c r="J102" s="650">
        <v>383499</v>
      </c>
      <c r="K102" s="650">
        <v>29973</v>
      </c>
      <c r="L102" s="649">
        <v>241</v>
      </c>
      <c r="M102" s="649"/>
      <c r="N102" s="650">
        <v>15335</v>
      </c>
      <c r="O102" s="650">
        <v>141548</v>
      </c>
      <c r="P102" s="650">
        <v>0</v>
      </c>
      <c r="Q102" s="649">
        <v>9427</v>
      </c>
      <c r="R102" s="649"/>
      <c r="S102" s="650">
        <v>116971</v>
      </c>
      <c r="T102" s="651">
        <v>-2338</v>
      </c>
      <c r="U102" s="651">
        <v>114633</v>
      </c>
    </row>
    <row r="103" spans="1:21" x14ac:dyDescent="0.25">
      <c r="A103" s="646">
        <v>91047</v>
      </c>
      <c r="B103" s="647" t="s">
        <v>2720</v>
      </c>
      <c r="C103" s="648">
        <v>1.3200000000000001E-5</v>
      </c>
      <c r="D103" s="648">
        <v>1.29E-5</v>
      </c>
      <c r="E103" s="649">
        <v>17711.78</v>
      </c>
      <c r="F103" s="649">
        <v>5789</v>
      </c>
      <c r="G103" s="649">
        <v>28015</v>
      </c>
      <c r="H103" s="649"/>
      <c r="I103" s="650">
        <v>526.35</v>
      </c>
      <c r="J103" s="650">
        <v>24550</v>
      </c>
      <c r="K103" s="650">
        <v>1919</v>
      </c>
      <c r="L103" s="649">
        <v>17767</v>
      </c>
      <c r="M103" s="649"/>
      <c r="N103" s="650">
        <v>982</v>
      </c>
      <c r="O103" s="650">
        <v>9061</v>
      </c>
      <c r="P103" s="650">
        <v>0</v>
      </c>
      <c r="Q103" s="649">
        <v>0</v>
      </c>
      <c r="R103" s="649"/>
      <c r="S103" s="650">
        <v>7488</v>
      </c>
      <c r="T103" s="651">
        <v>5499</v>
      </c>
      <c r="U103" s="651">
        <v>12987</v>
      </c>
    </row>
    <row r="104" spans="1:21" x14ac:dyDescent="0.25">
      <c r="A104" s="646">
        <v>91051</v>
      </c>
      <c r="B104" s="647" t="s">
        <v>2721</v>
      </c>
      <c r="C104" s="648">
        <v>7.6600000000000005E-5</v>
      </c>
      <c r="D104" s="648">
        <v>8.14E-5</v>
      </c>
      <c r="E104" s="649">
        <v>31833</v>
      </c>
      <c r="F104" s="649">
        <v>36532</v>
      </c>
      <c r="G104" s="649">
        <v>162571</v>
      </c>
      <c r="H104" s="649"/>
      <c r="I104" s="650">
        <v>3054</v>
      </c>
      <c r="J104" s="650">
        <v>142464</v>
      </c>
      <c r="K104" s="650">
        <v>11135</v>
      </c>
      <c r="L104" s="649">
        <v>2509</v>
      </c>
      <c r="M104" s="649"/>
      <c r="N104" s="650">
        <v>5697</v>
      </c>
      <c r="O104" s="650">
        <v>52583</v>
      </c>
      <c r="P104" s="650">
        <v>0</v>
      </c>
      <c r="Q104" s="649">
        <v>2829</v>
      </c>
      <c r="R104" s="649"/>
      <c r="S104" s="650">
        <v>43453</v>
      </c>
      <c r="T104" s="651">
        <v>37</v>
      </c>
      <c r="U104" s="651">
        <v>43490</v>
      </c>
    </row>
    <row r="105" spans="1:21" x14ac:dyDescent="0.25">
      <c r="A105" s="646">
        <v>91057</v>
      </c>
      <c r="B105" s="647" t="s">
        <v>2722</v>
      </c>
      <c r="C105" s="648">
        <v>1.5E-5</v>
      </c>
      <c r="D105" s="648">
        <v>1.49E-5</v>
      </c>
      <c r="E105" s="649">
        <v>9524.76</v>
      </c>
      <c r="F105" s="649">
        <v>6687</v>
      </c>
      <c r="G105" s="649">
        <v>31835</v>
      </c>
      <c r="H105" s="649"/>
      <c r="I105" s="650">
        <v>598.125</v>
      </c>
      <c r="J105" s="650">
        <v>27897.63</v>
      </c>
      <c r="K105" s="650">
        <v>2180.415</v>
      </c>
      <c r="L105" s="649">
        <v>5494</v>
      </c>
      <c r="M105" s="649"/>
      <c r="N105" s="650">
        <v>1116</v>
      </c>
      <c r="O105" s="650">
        <v>10297</v>
      </c>
      <c r="P105" s="650">
        <v>0</v>
      </c>
      <c r="Q105" s="649">
        <v>0</v>
      </c>
      <c r="R105" s="649"/>
      <c r="S105" s="650">
        <v>8509</v>
      </c>
      <c r="T105" s="651">
        <v>1691</v>
      </c>
      <c r="U105" s="651">
        <v>10200</v>
      </c>
    </row>
    <row r="106" spans="1:21" x14ac:dyDescent="0.25">
      <c r="A106" s="646">
        <v>91061</v>
      </c>
      <c r="B106" s="647" t="s">
        <v>2723</v>
      </c>
      <c r="C106" s="648">
        <v>3.7730000000000001E-4</v>
      </c>
      <c r="D106" s="648">
        <v>3.322E-4</v>
      </c>
      <c r="E106" s="649">
        <v>141049.84</v>
      </c>
      <c r="F106" s="649">
        <v>149089</v>
      </c>
      <c r="G106" s="649">
        <v>800757</v>
      </c>
      <c r="H106" s="649"/>
      <c r="I106" s="650">
        <v>15045</v>
      </c>
      <c r="J106" s="650">
        <v>701718</v>
      </c>
      <c r="K106" s="650">
        <v>54845</v>
      </c>
      <c r="L106" s="649">
        <v>13223</v>
      </c>
      <c r="M106" s="649"/>
      <c r="N106" s="650">
        <v>28059</v>
      </c>
      <c r="O106" s="650">
        <v>259001</v>
      </c>
      <c r="P106" s="650">
        <v>0</v>
      </c>
      <c r="Q106" s="649">
        <v>46977</v>
      </c>
      <c r="R106" s="649"/>
      <c r="S106" s="650">
        <v>214031</v>
      </c>
      <c r="T106" s="651">
        <v>-15751</v>
      </c>
      <c r="U106" s="651">
        <v>198279</v>
      </c>
    </row>
    <row r="107" spans="1:21" x14ac:dyDescent="0.25">
      <c r="A107" s="646">
        <v>91067</v>
      </c>
      <c r="B107" s="647" t="s">
        <v>2724</v>
      </c>
      <c r="C107" s="648">
        <v>1.8499999999999999E-5</v>
      </c>
      <c r="D107" s="648">
        <v>1.7099999999999999E-5</v>
      </c>
      <c r="E107" s="649">
        <v>8476</v>
      </c>
      <c r="F107" s="649">
        <v>7674</v>
      </c>
      <c r="G107" s="649">
        <v>39263</v>
      </c>
      <c r="H107" s="649"/>
      <c r="I107" s="650">
        <v>737.6875</v>
      </c>
      <c r="J107" s="650">
        <v>34407</v>
      </c>
      <c r="K107" s="650">
        <v>2689</v>
      </c>
      <c r="L107" s="649">
        <v>3670</v>
      </c>
      <c r="M107" s="649"/>
      <c r="N107" s="650">
        <v>1376</v>
      </c>
      <c r="O107" s="650">
        <v>12699</v>
      </c>
      <c r="P107" s="650">
        <v>0</v>
      </c>
      <c r="Q107" s="649">
        <v>0</v>
      </c>
      <c r="R107" s="649"/>
      <c r="S107" s="650">
        <v>10494</v>
      </c>
      <c r="T107" s="651">
        <v>1258</v>
      </c>
      <c r="U107" s="651">
        <v>11752</v>
      </c>
    </row>
    <row r="108" spans="1:21" x14ac:dyDescent="0.25">
      <c r="A108" s="646">
        <v>91071</v>
      </c>
      <c r="B108" s="647" t="s">
        <v>2725</v>
      </c>
      <c r="C108" s="648">
        <v>2.4379999999999999E-4</v>
      </c>
      <c r="D108" s="648">
        <v>2.321E-4</v>
      </c>
      <c r="E108" s="649">
        <v>89648</v>
      </c>
      <c r="F108" s="649">
        <v>104165</v>
      </c>
      <c r="G108" s="649">
        <v>517425</v>
      </c>
      <c r="H108" s="649"/>
      <c r="I108" s="650">
        <v>9722</v>
      </c>
      <c r="J108" s="650">
        <v>453429</v>
      </c>
      <c r="K108" s="650">
        <v>35439</v>
      </c>
      <c r="L108" s="649">
        <v>16829.43</v>
      </c>
      <c r="M108" s="649"/>
      <c r="N108" s="650">
        <v>18131</v>
      </c>
      <c r="O108" s="650">
        <v>167358</v>
      </c>
      <c r="P108" s="650">
        <v>0</v>
      </c>
      <c r="Q108" s="649">
        <v>3799</v>
      </c>
      <c r="R108" s="649"/>
      <c r="S108" s="650">
        <v>138300</v>
      </c>
      <c r="T108" s="651">
        <v>7310</v>
      </c>
      <c r="U108" s="651">
        <v>145610</v>
      </c>
    </row>
    <row r="109" spans="1:21" x14ac:dyDescent="0.25">
      <c r="A109" s="646">
        <v>91077</v>
      </c>
      <c r="B109" s="647" t="s">
        <v>2726</v>
      </c>
      <c r="C109" s="648">
        <v>3.9999999999999998E-6</v>
      </c>
      <c r="D109" s="648">
        <v>4.7999999999999998E-6</v>
      </c>
      <c r="E109" s="649">
        <v>2964.42</v>
      </c>
      <c r="F109" s="649">
        <v>2154</v>
      </c>
      <c r="G109" s="649">
        <v>8489.34</v>
      </c>
      <c r="H109" s="649"/>
      <c r="I109" s="650">
        <v>159.5</v>
      </c>
      <c r="J109" s="650">
        <v>7439</v>
      </c>
      <c r="K109" s="650">
        <v>581</v>
      </c>
      <c r="L109" s="649">
        <v>1140</v>
      </c>
      <c r="M109" s="649"/>
      <c r="N109" s="650">
        <v>297</v>
      </c>
      <c r="O109" s="650">
        <v>2746</v>
      </c>
      <c r="P109" s="650">
        <v>0</v>
      </c>
      <c r="Q109" s="649">
        <v>103</v>
      </c>
      <c r="R109" s="649"/>
      <c r="S109" s="650">
        <v>2269</v>
      </c>
      <c r="T109" s="651">
        <v>294</v>
      </c>
      <c r="U109" s="651">
        <v>2563</v>
      </c>
    </row>
    <row r="110" spans="1:21" x14ac:dyDescent="0.25">
      <c r="A110" s="646">
        <v>91081</v>
      </c>
      <c r="B110" s="647" t="s">
        <v>2727</v>
      </c>
      <c r="C110" s="648">
        <v>3.6499999999999998E-4</v>
      </c>
      <c r="D110" s="648">
        <v>3.5750000000000002E-4</v>
      </c>
      <c r="E110" s="649">
        <v>146436</v>
      </c>
      <c r="F110" s="649">
        <v>160444</v>
      </c>
      <c r="G110" s="649">
        <v>774652</v>
      </c>
      <c r="H110" s="649"/>
      <c r="I110" s="650">
        <v>14554.375</v>
      </c>
      <c r="J110" s="650">
        <v>678842.33</v>
      </c>
      <c r="K110" s="650">
        <v>53057</v>
      </c>
      <c r="L110" s="649">
        <v>1642</v>
      </c>
      <c r="M110" s="649"/>
      <c r="N110" s="650">
        <v>27145</v>
      </c>
      <c r="O110" s="650">
        <v>250557</v>
      </c>
      <c r="P110" s="650">
        <v>0</v>
      </c>
      <c r="Q110" s="649">
        <v>27235</v>
      </c>
      <c r="R110" s="649"/>
      <c r="S110" s="650">
        <v>207053</v>
      </c>
      <c r="T110" s="651">
        <v>-13214</v>
      </c>
      <c r="U110" s="651">
        <v>193840</v>
      </c>
    </row>
    <row r="111" spans="1:21" x14ac:dyDescent="0.25">
      <c r="A111" s="646">
        <v>91091</v>
      </c>
      <c r="B111" s="647" t="s">
        <v>2728</v>
      </c>
      <c r="C111" s="648">
        <v>5.6380000000000004E-4</v>
      </c>
      <c r="D111" s="648">
        <v>5.3359999999999996E-4</v>
      </c>
      <c r="E111" s="649">
        <v>203382.8</v>
      </c>
      <c r="F111" s="649">
        <v>239476</v>
      </c>
      <c r="G111" s="649">
        <v>1196572</v>
      </c>
      <c r="H111" s="649"/>
      <c r="I111" s="650">
        <v>22482</v>
      </c>
      <c r="J111" s="650">
        <v>1048579</v>
      </c>
      <c r="K111" s="650">
        <v>81955</v>
      </c>
      <c r="L111" s="649">
        <v>0</v>
      </c>
      <c r="M111" s="649"/>
      <c r="N111" s="650">
        <v>41929</v>
      </c>
      <c r="O111" s="650">
        <v>387025</v>
      </c>
      <c r="P111" s="650">
        <v>0</v>
      </c>
      <c r="Q111" s="649">
        <v>54149</v>
      </c>
      <c r="R111" s="649"/>
      <c r="S111" s="650">
        <v>319826</v>
      </c>
      <c r="T111" s="651">
        <v>-22256</v>
      </c>
      <c r="U111" s="651">
        <v>297571</v>
      </c>
    </row>
    <row r="112" spans="1:21" x14ac:dyDescent="0.25">
      <c r="A112" s="646">
        <v>91101</v>
      </c>
      <c r="B112" s="647" t="s">
        <v>2729</v>
      </c>
      <c r="C112" s="648">
        <v>1.36685E-2</v>
      </c>
      <c r="D112" s="648">
        <v>1.3700499999999999E-2</v>
      </c>
      <c r="E112" s="649">
        <v>5218349</v>
      </c>
      <c r="F112" s="649">
        <v>6148702</v>
      </c>
      <c r="G112" s="649">
        <v>29009136</v>
      </c>
      <c r="H112" s="649"/>
      <c r="I112" s="650">
        <v>545031</v>
      </c>
      <c r="J112" s="650">
        <v>25421250</v>
      </c>
      <c r="K112" s="650">
        <v>1986867</v>
      </c>
      <c r="L112" s="649">
        <v>791280</v>
      </c>
      <c r="M112" s="649"/>
      <c r="N112" s="650">
        <v>1016513</v>
      </c>
      <c r="O112" s="650">
        <v>9382851</v>
      </c>
      <c r="P112" s="650">
        <v>0</v>
      </c>
      <c r="Q112" s="649">
        <v>337196</v>
      </c>
      <c r="R112" s="649"/>
      <c r="S112" s="650">
        <v>7753716</v>
      </c>
      <c r="T112" s="651">
        <v>232315</v>
      </c>
      <c r="U112" s="651">
        <v>7986031</v>
      </c>
    </row>
    <row r="113" spans="1:21" x14ac:dyDescent="0.25">
      <c r="A113" s="646">
        <v>91102</v>
      </c>
      <c r="B113" s="647" t="s">
        <v>2730</v>
      </c>
      <c r="C113" s="648">
        <v>3.034E-4</v>
      </c>
      <c r="D113" s="648">
        <v>2.834E-4</v>
      </c>
      <c r="E113" s="649">
        <v>133771</v>
      </c>
      <c r="F113" s="649">
        <v>127188</v>
      </c>
      <c r="G113" s="649">
        <v>643916</v>
      </c>
      <c r="H113" s="649"/>
      <c r="I113" s="650">
        <v>12098</v>
      </c>
      <c r="J113" s="650">
        <v>564276</v>
      </c>
      <c r="K113" s="650">
        <v>44103</v>
      </c>
      <c r="L113" s="649">
        <v>18534</v>
      </c>
      <c r="M113" s="649"/>
      <c r="N113" s="650">
        <v>22564</v>
      </c>
      <c r="O113" s="650">
        <v>208271</v>
      </c>
      <c r="P113" s="650">
        <v>0</v>
      </c>
      <c r="Q113" s="649">
        <v>52648</v>
      </c>
      <c r="R113" s="649"/>
      <c r="S113" s="650">
        <v>172109</v>
      </c>
      <c r="T113" s="651">
        <v>-13734</v>
      </c>
      <c r="U113" s="651">
        <v>158376</v>
      </c>
    </row>
    <row r="114" spans="1:21" x14ac:dyDescent="0.25">
      <c r="A114" s="646">
        <v>91104</v>
      </c>
      <c r="B114" s="647" t="s">
        <v>2731</v>
      </c>
      <c r="C114" s="648">
        <v>8.1999999999999994E-6</v>
      </c>
      <c r="D114" s="648">
        <v>9.2E-6</v>
      </c>
      <c r="E114" s="649">
        <v>5034.29</v>
      </c>
      <c r="F114" s="649">
        <v>4129</v>
      </c>
      <c r="G114" s="649">
        <v>17403</v>
      </c>
      <c r="H114" s="649"/>
      <c r="I114" s="650">
        <v>327</v>
      </c>
      <c r="J114" s="650">
        <v>15251</v>
      </c>
      <c r="K114" s="650">
        <v>1192</v>
      </c>
      <c r="L114" s="649">
        <v>993</v>
      </c>
      <c r="M114" s="649"/>
      <c r="N114" s="650">
        <v>610</v>
      </c>
      <c r="O114" s="650">
        <v>5629</v>
      </c>
      <c r="P114" s="650">
        <v>0</v>
      </c>
      <c r="Q114" s="649">
        <v>78</v>
      </c>
      <c r="R114" s="649"/>
      <c r="S114" s="650">
        <v>4652</v>
      </c>
      <c r="T114" s="651">
        <v>239</v>
      </c>
      <c r="U114" s="651">
        <v>4890</v>
      </c>
    </row>
    <row r="115" spans="1:21" x14ac:dyDescent="0.25">
      <c r="A115" s="646">
        <v>91107</v>
      </c>
      <c r="B115" s="647" t="s">
        <v>2732</v>
      </c>
      <c r="C115" s="648">
        <v>6.7899999999999997E-5</v>
      </c>
      <c r="D115" s="648">
        <v>6.3999999999999997E-5</v>
      </c>
      <c r="E115" s="649">
        <v>34872.559999999998</v>
      </c>
      <c r="F115" s="649">
        <v>28723</v>
      </c>
      <c r="G115" s="649">
        <v>144107</v>
      </c>
      <c r="H115" s="649"/>
      <c r="I115" s="650">
        <v>2708</v>
      </c>
      <c r="J115" s="650">
        <v>126283</v>
      </c>
      <c r="K115" s="650">
        <v>9870</v>
      </c>
      <c r="L115" s="649">
        <v>11761</v>
      </c>
      <c r="M115" s="649"/>
      <c r="N115" s="650">
        <v>5050</v>
      </c>
      <c r="O115" s="650">
        <v>46610</v>
      </c>
      <c r="P115" s="650">
        <v>0</v>
      </c>
      <c r="Q115" s="649">
        <v>0</v>
      </c>
      <c r="R115" s="649"/>
      <c r="S115" s="650">
        <v>38518</v>
      </c>
      <c r="T115" s="651">
        <v>3853</v>
      </c>
      <c r="U115" s="651">
        <v>42371</v>
      </c>
    </row>
    <row r="116" spans="1:21" x14ac:dyDescent="0.25">
      <c r="A116" s="646">
        <v>91108</v>
      </c>
      <c r="B116" s="647" t="s">
        <v>2733</v>
      </c>
      <c r="C116" s="648">
        <v>1.2622E-3</v>
      </c>
      <c r="D116" s="648">
        <v>1.2565E-3</v>
      </c>
      <c r="E116" s="649">
        <v>552346.72</v>
      </c>
      <c r="F116" s="649">
        <v>563910</v>
      </c>
      <c r="G116" s="649">
        <v>2678811</v>
      </c>
      <c r="H116" s="649"/>
      <c r="I116" s="650">
        <v>50330</v>
      </c>
      <c r="J116" s="650">
        <v>2347493</v>
      </c>
      <c r="K116" s="650">
        <v>183475</v>
      </c>
      <c r="L116" s="649">
        <v>83626</v>
      </c>
      <c r="M116" s="649"/>
      <c r="N116" s="650">
        <v>93869</v>
      </c>
      <c r="O116" s="650">
        <v>866447</v>
      </c>
      <c r="P116" s="650">
        <v>0</v>
      </c>
      <c r="Q116" s="649">
        <v>0</v>
      </c>
      <c r="R116" s="649"/>
      <c r="S116" s="650">
        <v>716007</v>
      </c>
      <c r="T116" s="651">
        <v>29649</v>
      </c>
      <c r="U116" s="651">
        <v>745656</v>
      </c>
    </row>
    <row r="117" spans="1:21" x14ac:dyDescent="0.25">
      <c r="A117" s="646">
        <v>91109</v>
      </c>
      <c r="B117" s="647" t="s">
        <v>2734</v>
      </c>
      <c r="C117" s="648">
        <v>9.2100000000000003E-5</v>
      </c>
      <c r="D117" s="648">
        <v>9.6600000000000003E-5</v>
      </c>
      <c r="E117" s="649">
        <v>40330</v>
      </c>
      <c r="F117" s="649">
        <v>43354</v>
      </c>
      <c r="G117" s="649">
        <v>195467</v>
      </c>
      <c r="H117" s="649"/>
      <c r="I117" s="650">
        <v>3672</v>
      </c>
      <c r="J117" s="650">
        <v>171291</v>
      </c>
      <c r="K117" s="650">
        <v>13388</v>
      </c>
      <c r="L117" s="649">
        <v>2200</v>
      </c>
      <c r="M117" s="649"/>
      <c r="N117" s="650">
        <v>6849</v>
      </c>
      <c r="O117" s="650">
        <v>63223</v>
      </c>
      <c r="P117" s="650">
        <v>0</v>
      </c>
      <c r="Q117" s="649">
        <v>1611</v>
      </c>
      <c r="R117" s="649"/>
      <c r="S117" s="650">
        <v>52245</v>
      </c>
      <c r="T117" s="651">
        <v>89</v>
      </c>
      <c r="U117" s="651">
        <v>52335</v>
      </c>
    </row>
    <row r="118" spans="1:21" x14ac:dyDescent="0.25">
      <c r="A118" s="646">
        <v>91111</v>
      </c>
      <c r="B118" s="647" t="s">
        <v>2735</v>
      </c>
      <c r="C118" s="648">
        <v>2.2359999999999999E-4</v>
      </c>
      <c r="D118" s="648">
        <v>2.2049999999999999E-4</v>
      </c>
      <c r="E118" s="649">
        <v>98685</v>
      </c>
      <c r="F118" s="649">
        <v>98959</v>
      </c>
      <c r="G118" s="649">
        <v>474554</v>
      </c>
      <c r="H118" s="649"/>
      <c r="I118" s="650">
        <v>8916</v>
      </c>
      <c r="J118" s="650">
        <v>415861</v>
      </c>
      <c r="K118" s="650">
        <v>32503</v>
      </c>
      <c r="L118" s="649">
        <v>26669</v>
      </c>
      <c r="M118" s="649"/>
      <c r="N118" s="650">
        <v>16629</v>
      </c>
      <c r="O118" s="650">
        <v>153492</v>
      </c>
      <c r="P118" s="650">
        <v>0</v>
      </c>
      <c r="Q118" s="649">
        <v>0</v>
      </c>
      <c r="R118" s="649"/>
      <c r="S118" s="650">
        <v>126841</v>
      </c>
      <c r="T118" s="651">
        <v>8870</v>
      </c>
      <c r="U118" s="651">
        <v>135711</v>
      </c>
    </row>
    <row r="119" spans="1:21" x14ac:dyDescent="0.25">
      <c r="A119" s="646">
        <v>91119</v>
      </c>
      <c r="B119" s="647" t="s">
        <v>1262</v>
      </c>
      <c r="C119" s="648">
        <v>0</v>
      </c>
      <c r="D119" s="648">
        <v>0</v>
      </c>
      <c r="E119" s="649">
        <v>0</v>
      </c>
      <c r="F119" s="649">
        <v>0</v>
      </c>
      <c r="G119" s="649">
        <v>0</v>
      </c>
      <c r="H119" s="649"/>
      <c r="I119" s="650">
        <v>0</v>
      </c>
      <c r="J119" s="650">
        <v>0</v>
      </c>
      <c r="K119" s="650">
        <v>0</v>
      </c>
      <c r="L119" s="649">
        <v>0</v>
      </c>
      <c r="M119" s="649"/>
      <c r="N119" s="650">
        <v>0</v>
      </c>
      <c r="O119" s="650">
        <v>0</v>
      </c>
      <c r="P119" s="650">
        <v>0</v>
      </c>
      <c r="Q119" s="649">
        <v>645424.66</v>
      </c>
      <c r="R119" s="649"/>
      <c r="S119" s="650">
        <v>0</v>
      </c>
      <c r="T119" s="651">
        <v>-324334</v>
      </c>
      <c r="U119" s="651">
        <v>-324334</v>
      </c>
    </row>
    <row r="120" spans="1:21" x14ac:dyDescent="0.25">
      <c r="A120" s="646">
        <v>91120</v>
      </c>
      <c r="B120" s="647" t="s">
        <v>2736</v>
      </c>
      <c r="C120" s="648">
        <v>1.184E-4</v>
      </c>
      <c r="D120" s="648">
        <v>1.161E-4</v>
      </c>
      <c r="E120" s="649">
        <v>42592.1</v>
      </c>
      <c r="F120" s="649">
        <v>52105</v>
      </c>
      <c r="G120" s="649">
        <v>251284</v>
      </c>
      <c r="H120" s="649"/>
      <c r="I120" s="650">
        <v>4721.2</v>
      </c>
      <c r="J120" s="650">
        <v>220205</v>
      </c>
      <c r="K120" s="650">
        <v>17211</v>
      </c>
      <c r="L120" s="649">
        <v>0</v>
      </c>
      <c r="M120" s="649"/>
      <c r="N120" s="650">
        <v>8805</v>
      </c>
      <c r="O120" s="650">
        <v>81277</v>
      </c>
      <c r="P120" s="650">
        <v>0</v>
      </c>
      <c r="Q120" s="649">
        <v>29635</v>
      </c>
      <c r="R120" s="649"/>
      <c r="S120" s="650">
        <v>67165</v>
      </c>
      <c r="T120" s="651">
        <v>-11244</v>
      </c>
      <c r="U120" s="651">
        <v>55921</v>
      </c>
    </row>
    <row r="121" spans="1:21" x14ac:dyDescent="0.25">
      <c r="A121" s="646">
        <v>91121</v>
      </c>
      <c r="B121" s="647" t="s">
        <v>2737</v>
      </c>
      <c r="C121" s="648">
        <v>9.7842999999999992E-3</v>
      </c>
      <c r="D121" s="648">
        <v>1.0167600000000001E-2</v>
      </c>
      <c r="E121" s="649">
        <v>3705845</v>
      </c>
      <c r="F121" s="649">
        <v>4563158</v>
      </c>
      <c r="G121" s="649">
        <v>20765562</v>
      </c>
      <c r="H121" s="649"/>
      <c r="I121" s="650">
        <v>390149</v>
      </c>
      <c r="J121" s="650">
        <v>18197252</v>
      </c>
      <c r="K121" s="650">
        <v>1422256</v>
      </c>
      <c r="L121" s="649">
        <v>0</v>
      </c>
      <c r="M121" s="649"/>
      <c r="N121" s="650">
        <v>727649</v>
      </c>
      <c r="O121" s="650">
        <v>6716511</v>
      </c>
      <c r="P121" s="650">
        <v>0</v>
      </c>
      <c r="Q121" s="649">
        <v>834506</v>
      </c>
      <c r="R121" s="649"/>
      <c r="S121" s="650">
        <v>5550330</v>
      </c>
      <c r="T121" s="651">
        <v>-296106</v>
      </c>
      <c r="U121" s="651">
        <v>5254224</v>
      </c>
    </row>
    <row r="122" spans="1:21" x14ac:dyDescent="0.25">
      <c r="A122" s="646">
        <v>91127</v>
      </c>
      <c r="B122" s="647" t="s">
        <v>2738</v>
      </c>
      <c r="C122" s="648">
        <v>2.8229999999999998E-4</v>
      </c>
      <c r="D122" s="648">
        <v>2.7680000000000001E-4</v>
      </c>
      <c r="E122" s="649">
        <v>136473</v>
      </c>
      <c r="F122" s="649">
        <v>124226</v>
      </c>
      <c r="G122" s="649">
        <v>599135</v>
      </c>
      <c r="H122" s="649"/>
      <c r="I122" s="650">
        <v>11257</v>
      </c>
      <c r="J122" s="650">
        <v>525033</v>
      </c>
      <c r="K122" s="650">
        <v>41035</v>
      </c>
      <c r="L122" s="649">
        <v>59704</v>
      </c>
      <c r="M122" s="649"/>
      <c r="N122" s="650">
        <v>20994</v>
      </c>
      <c r="O122" s="650">
        <v>193787</v>
      </c>
      <c r="P122" s="650">
        <v>0</v>
      </c>
      <c r="Q122" s="649">
        <v>0</v>
      </c>
      <c r="R122" s="649"/>
      <c r="S122" s="650">
        <v>160140</v>
      </c>
      <c r="T122" s="651">
        <v>22617</v>
      </c>
      <c r="U122" s="651">
        <v>182757</v>
      </c>
    </row>
    <row r="123" spans="1:21" x14ac:dyDescent="0.25">
      <c r="A123" s="646">
        <v>91128</v>
      </c>
      <c r="B123" s="647" t="s">
        <v>2739</v>
      </c>
      <c r="C123" s="648">
        <v>5.0929999999999997E-4</v>
      </c>
      <c r="D123" s="648">
        <v>5.042E-4</v>
      </c>
      <c r="E123" s="649">
        <v>208474</v>
      </c>
      <c r="F123" s="649">
        <v>226282</v>
      </c>
      <c r="G123" s="649">
        <v>1080905</v>
      </c>
      <c r="H123" s="649"/>
      <c r="I123" s="650">
        <v>20308</v>
      </c>
      <c r="J123" s="650">
        <v>947218</v>
      </c>
      <c r="K123" s="650">
        <v>74032</v>
      </c>
      <c r="L123" s="649">
        <v>10827</v>
      </c>
      <c r="M123" s="649"/>
      <c r="N123" s="650">
        <v>37876</v>
      </c>
      <c r="O123" s="650">
        <v>349613</v>
      </c>
      <c r="P123" s="650">
        <v>0</v>
      </c>
      <c r="Q123" s="649">
        <v>12589</v>
      </c>
      <c r="R123" s="649"/>
      <c r="S123" s="650">
        <v>288910</v>
      </c>
      <c r="T123" s="651">
        <v>-2677</v>
      </c>
      <c r="U123" s="651">
        <v>286233</v>
      </c>
    </row>
    <row r="124" spans="1:21" x14ac:dyDescent="0.25">
      <c r="A124" s="646">
        <v>91138</v>
      </c>
      <c r="B124" s="647" t="s">
        <v>2740</v>
      </c>
      <c r="C124" s="648">
        <v>6.2350000000000003E-4</v>
      </c>
      <c r="D124" s="648">
        <v>6.6279999999999996E-4</v>
      </c>
      <c r="E124" s="649">
        <v>190650</v>
      </c>
      <c r="F124" s="649">
        <v>297461</v>
      </c>
      <c r="G124" s="649">
        <v>1323276</v>
      </c>
      <c r="H124" s="649"/>
      <c r="I124" s="650">
        <v>24862.0625</v>
      </c>
      <c r="J124" s="650">
        <v>1159611</v>
      </c>
      <c r="K124" s="650">
        <v>90633</v>
      </c>
      <c r="L124" s="649">
        <v>0</v>
      </c>
      <c r="M124" s="649"/>
      <c r="N124" s="650">
        <v>46369</v>
      </c>
      <c r="O124" s="650">
        <v>428007</v>
      </c>
      <c r="P124" s="650">
        <v>0</v>
      </c>
      <c r="Q124" s="649">
        <v>111983</v>
      </c>
      <c r="R124" s="649"/>
      <c r="S124" s="650">
        <v>353692</v>
      </c>
      <c r="T124" s="651">
        <v>-35624</v>
      </c>
      <c r="U124" s="651">
        <v>318068</v>
      </c>
    </row>
    <row r="125" spans="1:21" x14ac:dyDescent="0.25">
      <c r="A125" s="646">
        <v>91141</v>
      </c>
      <c r="B125" s="647" t="s">
        <v>2741</v>
      </c>
      <c r="C125" s="648">
        <v>5.5679999999999998E-4</v>
      </c>
      <c r="D125" s="648">
        <v>6.2560000000000003E-4</v>
      </c>
      <c r="E125" s="649">
        <v>214309.96</v>
      </c>
      <c r="F125" s="649">
        <v>280766</v>
      </c>
      <c r="G125" s="649">
        <v>1181716</v>
      </c>
      <c r="H125" s="649"/>
      <c r="I125" s="650">
        <v>22202</v>
      </c>
      <c r="J125" s="650">
        <v>1035560</v>
      </c>
      <c r="K125" s="650">
        <v>80937</v>
      </c>
      <c r="L125" s="649">
        <v>0</v>
      </c>
      <c r="M125" s="649"/>
      <c r="N125" s="650">
        <v>41409</v>
      </c>
      <c r="O125" s="650">
        <v>382220</v>
      </c>
      <c r="P125" s="650">
        <v>0</v>
      </c>
      <c r="Q125" s="649">
        <v>106380</v>
      </c>
      <c r="R125" s="649"/>
      <c r="S125" s="650">
        <v>315855</v>
      </c>
      <c r="T125" s="651">
        <v>-35698</v>
      </c>
      <c r="U125" s="651">
        <v>280157</v>
      </c>
    </row>
    <row r="126" spans="1:21" x14ac:dyDescent="0.25">
      <c r="A126" s="646">
        <v>91147</v>
      </c>
      <c r="B126" s="647" t="s">
        <v>2742</v>
      </c>
      <c r="C126" s="648">
        <v>2.4199999999999999E-5</v>
      </c>
      <c r="D126" s="648">
        <v>2.1399999999999998E-5</v>
      </c>
      <c r="E126" s="649">
        <v>10371</v>
      </c>
      <c r="F126" s="649">
        <v>9604</v>
      </c>
      <c r="G126" s="649">
        <v>51361</v>
      </c>
      <c r="H126" s="649"/>
      <c r="I126" s="650">
        <v>965</v>
      </c>
      <c r="J126" s="650">
        <v>45008</v>
      </c>
      <c r="K126" s="650">
        <v>3518</v>
      </c>
      <c r="L126" s="649">
        <v>10859</v>
      </c>
      <c r="M126" s="649"/>
      <c r="N126" s="650">
        <v>1800</v>
      </c>
      <c r="O126" s="650">
        <v>16612</v>
      </c>
      <c r="P126" s="650">
        <v>0</v>
      </c>
      <c r="Q126" s="649">
        <v>0</v>
      </c>
      <c r="R126" s="649"/>
      <c r="S126" s="650">
        <v>13728</v>
      </c>
      <c r="T126" s="651">
        <v>3941</v>
      </c>
      <c r="U126" s="651">
        <v>17669</v>
      </c>
    </row>
    <row r="127" spans="1:21" x14ac:dyDescent="0.25">
      <c r="A127" s="646">
        <v>91151</v>
      </c>
      <c r="B127" s="647" t="s">
        <v>2743</v>
      </c>
      <c r="C127" s="648">
        <v>6.1180000000000002E-4</v>
      </c>
      <c r="D127" s="648">
        <v>6.4479999999999995E-4</v>
      </c>
      <c r="E127" s="649">
        <v>222681.43</v>
      </c>
      <c r="F127" s="649">
        <v>289382</v>
      </c>
      <c r="G127" s="649">
        <v>1298445</v>
      </c>
      <c r="H127" s="649"/>
      <c r="I127" s="650">
        <v>24396</v>
      </c>
      <c r="J127" s="650">
        <v>1137851</v>
      </c>
      <c r="K127" s="650">
        <v>88932</v>
      </c>
      <c r="L127" s="649">
        <v>10702</v>
      </c>
      <c r="M127" s="649"/>
      <c r="N127" s="650">
        <v>45499</v>
      </c>
      <c r="O127" s="650">
        <v>419975</v>
      </c>
      <c r="P127" s="650">
        <v>0</v>
      </c>
      <c r="Q127" s="649">
        <v>50740</v>
      </c>
      <c r="R127" s="649"/>
      <c r="S127" s="650">
        <v>347055</v>
      </c>
      <c r="T127" s="651">
        <v>-11759</v>
      </c>
      <c r="U127" s="651">
        <v>335296</v>
      </c>
    </row>
    <row r="128" spans="1:21" x14ac:dyDescent="0.25">
      <c r="A128" s="646">
        <v>91154</v>
      </c>
      <c r="B128" s="647" t="s">
        <v>2744</v>
      </c>
      <c r="C128" s="648">
        <v>1.9599999999999999E-5</v>
      </c>
      <c r="D128" s="648">
        <v>1.59E-5</v>
      </c>
      <c r="E128" s="649">
        <v>8048.64</v>
      </c>
      <c r="F128" s="649">
        <v>7136</v>
      </c>
      <c r="G128" s="649">
        <v>41598</v>
      </c>
      <c r="H128" s="649"/>
      <c r="I128" s="650">
        <v>781.55</v>
      </c>
      <c r="J128" s="650">
        <v>36453</v>
      </c>
      <c r="K128" s="650">
        <v>2849</v>
      </c>
      <c r="L128" s="649">
        <v>5846</v>
      </c>
      <c r="M128" s="649"/>
      <c r="N128" s="650">
        <v>1458</v>
      </c>
      <c r="O128" s="650">
        <v>13455</v>
      </c>
      <c r="P128" s="650">
        <v>0</v>
      </c>
      <c r="Q128" s="649">
        <v>0</v>
      </c>
      <c r="R128" s="649"/>
      <c r="S128" s="650">
        <v>11118</v>
      </c>
      <c r="T128" s="651">
        <v>2074</v>
      </c>
      <c r="U128" s="651">
        <v>13192</v>
      </c>
    </row>
    <row r="129" spans="1:21" x14ac:dyDescent="0.25">
      <c r="A129" s="646">
        <v>91161</v>
      </c>
      <c r="B129" s="647" t="s">
        <v>2745</v>
      </c>
      <c r="C129" s="648">
        <v>9.4599999999999996E-5</v>
      </c>
      <c r="D129" s="648">
        <v>1.0670000000000001E-4</v>
      </c>
      <c r="E129" s="649">
        <v>44114</v>
      </c>
      <c r="F129" s="649">
        <v>47886</v>
      </c>
      <c r="G129" s="649">
        <v>200773</v>
      </c>
      <c r="H129" s="649"/>
      <c r="I129" s="650">
        <v>3772</v>
      </c>
      <c r="J129" s="650">
        <v>175941</v>
      </c>
      <c r="K129" s="650">
        <v>13751</v>
      </c>
      <c r="L129" s="649">
        <v>7920</v>
      </c>
      <c r="M129" s="649"/>
      <c r="N129" s="650">
        <v>7035</v>
      </c>
      <c r="O129" s="650">
        <v>64939</v>
      </c>
      <c r="P129" s="650">
        <v>0</v>
      </c>
      <c r="Q129" s="649">
        <v>5006</v>
      </c>
      <c r="R129" s="649"/>
      <c r="S129" s="650">
        <v>53664</v>
      </c>
      <c r="T129" s="651">
        <v>881</v>
      </c>
      <c r="U129" s="651">
        <v>54545</v>
      </c>
    </row>
    <row r="130" spans="1:21" x14ac:dyDescent="0.25">
      <c r="A130" s="646">
        <v>91171</v>
      </c>
      <c r="B130" s="647" t="s">
        <v>2746</v>
      </c>
      <c r="C130" s="648">
        <v>2.5589999999999999E-4</v>
      </c>
      <c r="D130" s="648">
        <v>2.5240000000000001E-4</v>
      </c>
      <c r="E130" s="649">
        <v>90093.88</v>
      </c>
      <c r="F130" s="649">
        <v>113276</v>
      </c>
      <c r="G130" s="649">
        <v>543106</v>
      </c>
      <c r="H130" s="649"/>
      <c r="I130" s="650">
        <v>10204</v>
      </c>
      <c r="J130" s="650">
        <v>475934</v>
      </c>
      <c r="K130" s="650">
        <v>37198</v>
      </c>
      <c r="L130" s="649">
        <v>0</v>
      </c>
      <c r="M130" s="649"/>
      <c r="N130" s="650">
        <v>19031</v>
      </c>
      <c r="O130" s="650">
        <v>175665</v>
      </c>
      <c r="P130" s="650">
        <v>0</v>
      </c>
      <c r="Q130" s="649">
        <v>32510</v>
      </c>
      <c r="R130" s="649"/>
      <c r="S130" s="650">
        <v>145164</v>
      </c>
      <c r="T130" s="651">
        <v>-12018</v>
      </c>
      <c r="U130" s="651">
        <v>133146</v>
      </c>
    </row>
    <row r="131" spans="1:21" x14ac:dyDescent="0.25">
      <c r="A131" s="646">
        <v>91201</v>
      </c>
      <c r="B131" s="647" t="s">
        <v>2747</v>
      </c>
      <c r="C131" s="648">
        <v>2.3127999999999998E-3</v>
      </c>
      <c r="D131" s="648">
        <v>2.2309000000000001E-3</v>
      </c>
      <c r="E131" s="649">
        <v>868644</v>
      </c>
      <c r="F131" s="649">
        <v>1001215</v>
      </c>
      <c r="G131" s="649">
        <v>4908536</v>
      </c>
      <c r="H131" s="649"/>
      <c r="I131" s="650">
        <v>92222.9</v>
      </c>
      <c r="J131" s="650">
        <v>4301443</v>
      </c>
      <c r="K131" s="650">
        <v>336191</v>
      </c>
      <c r="L131" s="649">
        <v>65448</v>
      </c>
      <c r="M131" s="649"/>
      <c r="N131" s="650">
        <v>172001</v>
      </c>
      <c r="O131" s="650">
        <v>1587640</v>
      </c>
      <c r="P131" s="650">
        <v>0</v>
      </c>
      <c r="Q131" s="649">
        <v>21142</v>
      </c>
      <c r="R131" s="649"/>
      <c r="S131" s="650">
        <v>1311980</v>
      </c>
      <c r="T131" s="651">
        <v>19623</v>
      </c>
      <c r="U131" s="651">
        <v>1331603</v>
      </c>
    </row>
    <row r="132" spans="1:21" x14ac:dyDescent="0.25">
      <c r="A132" s="646">
        <v>91202</v>
      </c>
      <c r="B132" s="647" t="s">
        <v>2748</v>
      </c>
      <c r="C132" s="648">
        <v>1.897E-4</v>
      </c>
      <c r="D132" s="648">
        <v>1.7560000000000001E-4</v>
      </c>
      <c r="E132" s="649">
        <v>85259.9</v>
      </c>
      <c r="F132" s="649">
        <v>78808</v>
      </c>
      <c r="G132" s="649">
        <v>402607</v>
      </c>
      <c r="H132" s="649"/>
      <c r="I132" s="650">
        <v>7564</v>
      </c>
      <c r="J132" s="650">
        <v>352812</v>
      </c>
      <c r="K132" s="650">
        <v>27575</v>
      </c>
      <c r="L132" s="649">
        <v>29505</v>
      </c>
      <c r="M132" s="649"/>
      <c r="N132" s="650">
        <v>14108</v>
      </c>
      <c r="O132" s="650">
        <v>130221</v>
      </c>
      <c r="P132" s="650">
        <v>0</v>
      </c>
      <c r="Q132" s="649">
        <v>0</v>
      </c>
      <c r="R132" s="649"/>
      <c r="S132" s="650">
        <v>107611</v>
      </c>
      <c r="T132" s="651">
        <v>10216</v>
      </c>
      <c r="U132" s="651">
        <v>117827</v>
      </c>
    </row>
    <row r="133" spans="1:21" x14ac:dyDescent="0.25">
      <c r="A133" s="646">
        <v>91203</v>
      </c>
      <c r="B133" s="647" t="s">
        <v>2749</v>
      </c>
      <c r="C133" s="648">
        <v>2.4479999999999999E-4</v>
      </c>
      <c r="D133" s="648">
        <v>2.4909999999999998E-4</v>
      </c>
      <c r="E133" s="649">
        <v>123805</v>
      </c>
      <c r="F133" s="649">
        <v>111795</v>
      </c>
      <c r="G133" s="649">
        <v>519548</v>
      </c>
      <c r="H133" s="649"/>
      <c r="I133" s="650">
        <v>9761.4</v>
      </c>
      <c r="J133" s="650">
        <v>455289</v>
      </c>
      <c r="K133" s="650">
        <v>35584</v>
      </c>
      <c r="L133" s="649">
        <v>32505</v>
      </c>
      <c r="M133" s="649"/>
      <c r="N133" s="650">
        <v>18206</v>
      </c>
      <c r="O133" s="650">
        <v>168045</v>
      </c>
      <c r="P133" s="650">
        <v>0</v>
      </c>
      <c r="Q133" s="649">
        <v>0</v>
      </c>
      <c r="R133" s="649"/>
      <c r="S133" s="650">
        <v>138867</v>
      </c>
      <c r="T133" s="651">
        <v>11460</v>
      </c>
      <c r="U133" s="651">
        <v>150327</v>
      </c>
    </row>
    <row r="134" spans="1:21" x14ac:dyDescent="0.25">
      <c r="A134" s="646">
        <v>91206</v>
      </c>
      <c r="B134" s="647" t="s">
        <v>2750</v>
      </c>
      <c r="C134" s="648">
        <v>8.2129999999999996E-4</v>
      </c>
      <c r="D134" s="648">
        <v>8.1959999999999997E-4</v>
      </c>
      <c r="E134" s="649">
        <v>334673.01</v>
      </c>
      <c r="F134" s="649">
        <v>367832</v>
      </c>
      <c r="G134" s="649">
        <v>1743074</v>
      </c>
      <c r="H134" s="649"/>
      <c r="I134" s="650">
        <v>32749</v>
      </c>
      <c r="J134" s="650">
        <v>1527488</v>
      </c>
      <c r="K134" s="650">
        <v>119385</v>
      </c>
      <c r="L134" s="649">
        <v>21519</v>
      </c>
      <c r="M134" s="649"/>
      <c r="N134" s="650">
        <v>61079</v>
      </c>
      <c r="O134" s="650">
        <v>563788</v>
      </c>
      <c r="P134" s="650">
        <v>0</v>
      </c>
      <c r="Q134" s="649">
        <v>1526</v>
      </c>
      <c r="R134" s="649"/>
      <c r="S134" s="650">
        <v>465898</v>
      </c>
      <c r="T134" s="651">
        <v>10203</v>
      </c>
      <c r="U134" s="651">
        <v>476101</v>
      </c>
    </row>
    <row r="135" spans="1:21" x14ac:dyDescent="0.25">
      <c r="A135" s="646">
        <v>91208</v>
      </c>
      <c r="B135" s="647" t="s">
        <v>2751</v>
      </c>
      <c r="C135" s="648">
        <v>1.3699999999999999E-5</v>
      </c>
      <c r="D135" s="648">
        <v>1.2999999999999999E-5</v>
      </c>
      <c r="E135" s="649">
        <v>5593</v>
      </c>
      <c r="F135" s="649">
        <v>5834</v>
      </c>
      <c r="G135" s="649">
        <v>29076</v>
      </c>
      <c r="H135" s="649"/>
      <c r="I135" s="650">
        <v>546.28750000000002</v>
      </c>
      <c r="J135" s="650">
        <v>25480</v>
      </c>
      <c r="K135" s="650">
        <v>1991</v>
      </c>
      <c r="L135" s="649">
        <v>7123</v>
      </c>
      <c r="M135" s="649"/>
      <c r="N135" s="650">
        <v>1019</v>
      </c>
      <c r="O135" s="650">
        <v>9404</v>
      </c>
      <c r="P135" s="650">
        <v>0</v>
      </c>
      <c r="Q135" s="649">
        <v>0</v>
      </c>
      <c r="R135" s="649"/>
      <c r="S135" s="650">
        <v>7772</v>
      </c>
      <c r="T135" s="651">
        <v>3401</v>
      </c>
      <c r="U135" s="651">
        <v>11172</v>
      </c>
    </row>
    <row r="136" spans="1:21" x14ac:dyDescent="0.25">
      <c r="A136" s="646">
        <v>91211</v>
      </c>
      <c r="B136" s="647" t="s">
        <v>2752</v>
      </c>
      <c r="C136" s="648">
        <v>4.6789999999999999E-4</v>
      </c>
      <c r="D136" s="648">
        <v>4.6260000000000002E-4</v>
      </c>
      <c r="E136" s="649">
        <v>192012</v>
      </c>
      <c r="F136" s="649">
        <v>207612</v>
      </c>
      <c r="G136" s="649">
        <v>993041</v>
      </c>
      <c r="H136" s="649"/>
      <c r="I136" s="650">
        <v>18658</v>
      </c>
      <c r="J136" s="650">
        <v>870220</v>
      </c>
      <c r="K136" s="650">
        <v>68014</v>
      </c>
      <c r="L136" s="649">
        <v>5989</v>
      </c>
      <c r="M136" s="649"/>
      <c r="N136" s="650">
        <v>34797</v>
      </c>
      <c r="O136" s="650">
        <v>321194</v>
      </c>
      <c r="P136" s="650">
        <v>0</v>
      </c>
      <c r="Q136" s="649">
        <v>5137</v>
      </c>
      <c r="R136" s="649"/>
      <c r="S136" s="650">
        <v>265425</v>
      </c>
      <c r="T136" s="651">
        <v>568</v>
      </c>
      <c r="U136" s="651">
        <v>265993</v>
      </c>
    </row>
    <row r="137" spans="1:21" x14ac:dyDescent="0.25">
      <c r="A137" s="646">
        <v>91213</v>
      </c>
      <c r="B137" s="647" t="s">
        <v>2753</v>
      </c>
      <c r="C137" s="648">
        <v>3.57E-5</v>
      </c>
      <c r="D137" s="648">
        <v>3.5500000000000002E-5</v>
      </c>
      <c r="E137" s="649">
        <v>11312</v>
      </c>
      <c r="F137" s="649">
        <v>15932</v>
      </c>
      <c r="G137" s="649">
        <v>75767</v>
      </c>
      <c r="H137" s="649"/>
      <c r="I137" s="650">
        <v>1424</v>
      </c>
      <c r="J137" s="650">
        <v>66396</v>
      </c>
      <c r="K137" s="650">
        <v>5189</v>
      </c>
      <c r="L137" s="649">
        <v>0</v>
      </c>
      <c r="M137" s="649"/>
      <c r="N137" s="650">
        <v>2655</v>
      </c>
      <c r="O137" s="650">
        <v>24507</v>
      </c>
      <c r="P137" s="650">
        <v>0</v>
      </c>
      <c r="Q137" s="649">
        <v>4828</v>
      </c>
      <c r="R137" s="649"/>
      <c r="S137" s="650">
        <v>20252</v>
      </c>
      <c r="T137" s="651">
        <v>-1558</v>
      </c>
      <c r="U137" s="651">
        <v>18694</v>
      </c>
    </row>
    <row r="138" spans="1:21" x14ac:dyDescent="0.25">
      <c r="A138" s="646">
        <v>91214</v>
      </c>
      <c r="B138" s="647" t="s">
        <v>2754</v>
      </c>
      <c r="C138" s="648">
        <v>2.8200000000000001E-5</v>
      </c>
      <c r="D138" s="648">
        <v>2.6800000000000001E-5</v>
      </c>
      <c r="E138" s="649">
        <v>8297</v>
      </c>
      <c r="F138" s="649">
        <v>12028</v>
      </c>
      <c r="G138" s="649">
        <v>59850</v>
      </c>
      <c r="H138" s="649"/>
      <c r="I138" s="650">
        <v>1124</v>
      </c>
      <c r="J138" s="650">
        <v>52448</v>
      </c>
      <c r="K138" s="650">
        <v>4099</v>
      </c>
      <c r="L138" s="649">
        <v>2071</v>
      </c>
      <c r="M138" s="649"/>
      <c r="N138" s="650">
        <v>2097</v>
      </c>
      <c r="O138" s="650">
        <v>19358</v>
      </c>
      <c r="P138" s="650">
        <v>0</v>
      </c>
      <c r="Q138" s="649">
        <v>1863</v>
      </c>
      <c r="R138" s="649"/>
      <c r="S138" s="650">
        <v>15997</v>
      </c>
      <c r="T138" s="651">
        <v>289</v>
      </c>
      <c r="U138" s="651">
        <v>16286</v>
      </c>
    </row>
    <row r="139" spans="1:21" x14ac:dyDescent="0.25">
      <c r="A139" s="646">
        <v>91217</v>
      </c>
      <c r="B139" s="647" t="s">
        <v>2755</v>
      </c>
      <c r="C139" s="648">
        <v>2.6699999999999998E-5</v>
      </c>
      <c r="D139" s="648">
        <v>1.8700000000000001E-5</v>
      </c>
      <c r="E139" s="649">
        <v>15053.92</v>
      </c>
      <c r="F139" s="649">
        <v>8392</v>
      </c>
      <c r="G139" s="649">
        <v>56666</v>
      </c>
      <c r="H139" s="649"/>
      <c r="I139" s="650">
        <v>1065</v>
      </c>
      <c r="J139" s="650">
        <v>49658</v>
      </c>
      <c r="K139" s="650">
        <v>3881</v>
      </c>
      <c r="L139" s="649">
        <v>11622</v>
      </c>
      <c r="M139" s="649"/>
      <c r="N139" s="650">
        <v>1986</v>
      </c>
      <c r="O139" s="650">
        <v>18328</v>
      </c>
      <c r="P139" s="650">
        <v>0</v>
      </c>
      <c r="Q139" s="649">
        <v>0</v>
      </c>
      <c r="R139" s="649"/>
      <c r="S139" s="650">
        <v>15146</v>
      </c>
      <c r="T139" s="651">
        <v>3617</v>
      </c>
      <c r="U139" s="651">
        <v>18763</v>
      </c>
    </row>
    <row r="140" spans="1:21" x14ac:dyDescent="0.25">
      <c r="A140" s="646">
        <v>91221</v>
      </c>
      <c r="B140" s="647" t="s">
        <v>2756</v>
      </c>
      <c r="C140" s="648">
        <v>1.294E-4</v>
      </c>
      <c r="D140" s="648">
        <v>1.404E-4</v>
      </c>
      <c r="E140" s="649">
        <v>50416</v>
      </c>
      <c r="F140" s="649">
        <v>63011</v>
      </c>
      <c r="G140" s="649">
        <v>274630</v>
      </c>
      <c r="H140" s="649"/>
      <c r="I140" s="650">
        <v>5160</v>
      </c>
      <c r="J140" s="650">
        <v>240664</v>
      </c>
      <c r="K140" s="650">
        <v>18810</v>
      </c>
      <c r="L140" s="649">
        <v>7496</v>
      </c>
      <c r="M140" s="649"/>
      <c r="N140" s="650">
        <v>9623</v>
      </c>
      <c r="O140" s="650">
        <v>88828</v>
      </c>
      <c r="P140" s="650">
        <v>0</v>
      </c>
      <c r="Q140" s="649">
        <v>9810</v>
      </c>
      <c r="R140" s="649"/>
      <c r="S140" s="650">
        <v>73405</v>
      </c>
      <c r="T140" s="651">
        <v>1070</v>
      </c>
      <c r="U140" s="651">
        <v>74475</v>
      </c>
    </row>
    <row r="141" spans="1:21" x14ac:dyDescent="0.25">
      <c r="A141" s="646">
        <v>91231</v>
      </c>
      <c r="B141" s="647" t="s">
        <v>2757</v>
      </c>
      <c r="C141" s="648">
        <v>1.9957E-3</v>
      </c>
      <c r="D141" s="648">
        <v>2.0203999999999999E-3</v>
      </c>
      <c r="E141" s="649">
        <v>763104.33</v>
      </c>
      <c r="F141" s="649">
        <v>906743</v>
      </c>
      <c r="G141" s="649">
        <v>4235544</v>
      </c>
      <c r="H141" s="649"/>
      <c r="I141" s="650">
        <v>79579</v>
      </c>
      <c r="J141" s="650">
        <v>3711687</v>
      </c>
      <c r="K141" s="650">
        <v>290097</v>
      </c>
      <c r="L141" s="649">
        <v>21281.06</v>
      </c>
      <c r="M141" s="649"/>
      <c r="N141" s="650">
        <v>148418</v>
      </c>
      <c r="O141" s="650">
        <v>1369964</v>
      </c>
      <c r="P141" s="650">
        <v>0</v>
      </c>
      <c r="Q141" s="649">
        <v>85796</v>
      </c>
      <c r="R141" s="649"/>
      <c r="S141" s="650">
        <v>1132099</v>
      </c>
      <c r="T141" s="651">
        <v>-14080</v>
      </c>
      <c r="U141" s="651">
        <v>1118019</v>
      </c>
    </row>
    <row r="142" spans="1:21" x14ac:dyDescent="0.25">
      <c r="A142" s="646">
        <v>91233</v>
      </c>
      <c r="B142" s="647" t="s">
        <v>2758</v>
      </c>
      <c r="C142" s="648">
        <v>4.5599999999999997E-5</v>
      </c>
      <c r="D142" s="648">
        <v>4.3399999999999998E-5</v>
      </c>
      <c r="E142" s="649">
        <v>17053</v>
      </c>
      <c r="F142" s="649">
        <v>19478</v>
      </c>
      <c r="G142" s="649">
        <v>96778</v>
      </c>
      <c r="H142" s="649"/>
      <c r="I142" s="650">
        <v>1818.3</v>
      </c>
      <c r="J142" s="650">
        <v>84809</v>
      </c>
      <c r="K142" s="650">
        <v>6628</v>
      </c>
      <c r="L142" s="649">
        <v>8243</v>
      </c>
      <c r="M142" s="649"/>
      <c r="N142" s="650">
        <v>3391</v>
      </c>
      <c r="O142" s="650">
        <v>31302</v>
      </c>
      <c r="P142" s="650">
        <v>0</v>
      </c>
      <c r="Q142" s="649">
        <v>159</v>
      </c>
      <c r="R142" s="649"/>
      <c r="S142" s="650">
        <v>25867</v>
      </c>
      <c r="T142" s="651">
        <v>3163</v>
      </c>
      <c r="U142" s="651">
        <v>29031</v>
      </c>
    </row>
    <row r="143" spans="1:21" x14ac:dyDescent="0.25">
      <c r="A143" s="646">
        <v>91241</v>
      </c>
      <c r="B143" s="647" t="s">
        <v>2759</v>
      </c>
      <c r="C143" s="648">
        <v>3.68E-5</v>
      </c>
      <c r="D143" s="648">
        <v>4.0800000000000002E-5</v>
      </c>
      <c r="E143" s="649">
        <v>13967</v>
      </c>
      <c r="F143" s="649">
        <v>18311</v>
      </c>
      <c r="G143" s="649">
        <v>78102</v>
      </c>
      <c r="H143" s="649"/>
      <c r="I143" s="650">
        <v>1467.4</v>
      </c>
      <c r="J143" s="650">
        <v>68442</v>
      </c>
      <c r="K143" s="650">
        <v>5349</v>
      </c>
      <c r="L143" s="649">
        <v>0</v>
      </c>
      <c r="M143" s="649"/>
      <c r="N143" s="650">
        <v>2737</v>
      </c>
      <c r="O143" s="650">
        <v>25262</v>
      </c>
      <c r="P143" s="650">
        <v>0</v>
      </c>
      <c r="Q143" s="649">
        <v>6784</v>
      </c>
      <c r="R143" s="649"/>
      <c r="S143" s="650">
        <v>20875</v>
      </c>
      <c r="T143" s="651">
        <v>-2529</v>
      </c>
      <c r="U143" s="651">
        <v>18346</v>
      </c>
    </row>
    <row r="144" spans="1:21" x14ac:dyDescent="0.25">
      <c r="A144" s="646">
        <v>91251</v>
      </c>
      <c r="B144" s="647" t="s">
        <v>2760</v>
      </c>
      <c r="C144" s="648">
        <v>2.65E-5</v>
      </c>
      <c r="D144" s="648">
        <v>2.6699999999999998E-5</v>
      </c>
      <c r="E144" s="649">
        <v>9989</v>
      </c>
      <c r="F144" s="649">
        <v>11983</v>
      </c>
      <c r="G144" s="649">
        <v>56242</v>
      </c>
      <c r="H144" s="649"/>
      <c r="I144" s="650">
        <v>1056.6875</v>
      </c>
      <c r="J144" s="650">
        <v>49286</v>
      </c>
      <c r="K144" s="650">
        <v>3852</v>
      </c>
      <c r="L144" s="649">
        <v>4706</v>
      </c>
      <c r="M144" s="649"/>
      <c r="N144" s="650">
        <v>1971</v>
      </c>
      <c r="O144" s="650">
        <v>18191</v>
      </c>
      <c r="P144" s="650">
        <v>0</v>
      </c>
      <c r="Q144" s="649">
        <v>1236</v>
      </c>
      <c r="R144" s="649"/>
      <c r="S144" s="650">
        <v>15033</v>
      </c>
      <c r="T144" s="651">
        <v>2006</v>
      </c>
      <c r="U144" s="651">
        <v>17039</v>
      </c>
    </row>
    <row r="145" spans="1:21" x14ac:dyDescent="0.25">
      <c r="A145" s="646">
        <v>91261</v>
      </c>
      <c r="B145" s="647" t="s">
        <v>2761</v>
      </c>
      <c r="C145" s="648">
        <v>9.5000000000000005E-6</v>
      </c>
      <c r="D145" s="648">
        <v>8.8000000000000004E-6</v>
      </c>
      <c r="E145" s="649">
        <v>4130</v>
      </c>
      <c r="F145" s="649">
        <v>3949</v>
      </c>
      <c r="G145" s="649">
        <v>20162</v>
      </c>
      <c r="H145" s="649"/>
      <c r="I145" s="650">
        <v>378.8125</v>
      </c>
      <c r="J145" s="650">
        <v>17668</v>
      </c>
      <c r="K145" s="650">
        <v>1381</v>
      </c>
      <c r="L145" s="649">
        <v>2027</v>
      </c>
      <c r="M145" s="649"/>
      <c r="N145" s="650">
        <v>707</v>
      </c>
      <c r="O145" s="650">
        <v>6521</v>
      </c>
      <c r="P145" s="650">
        <v>0</v>
      </c>
      <c r="Q145" s="649">
        <v>0</v>
      </c>
      <c r="R145" s="649"/>
      <c r="S145" s="650">
        <v>5389</v>
      </c>
      <c r="T145" s="651">
        <v>729</v>
      </c>
      <c r="U145" s="651">
        <v>6118</v>
      </c>
    </row>
    <row r="146" spans="1:21" x14ac:dyDescent="0.25">
      <c r="A146" s="646">
        <v>91301</v>
      </c>
      <c r="B146" s="647" t="s">
        <v>2762</v>
      </c>
      <c r="C146" s="648">
        <v>7.7765000000000004E-3</v>
      </c>
      <c r="D146" s="648">
        <v>7.2360999999999997E-3</v>
      </c>
      <c r="E146" s="649">
        <v>2863288</v>
      </c>
      <c r="F146" s="649">
        <v>3247518</v>
      </c>
      <c r="G146" s="649">
        <v>16504338</v>
      </c>
      <c r="H146" s="649"/>
      <c r="I146" s="650">
        <v>310088</v>
      </c>
      <c r="J146" s="650">
        <v>14463061</v>
      </c>
      <c r="K146" s="650">
        <v>1130400</v>
      </c>
      <c r="L146" s="649">
        <v>26878</v>
      </c>
      <c r="M146" s="649"/>
      <c r="N146" s="650">
        <v>578331</v>
      </c>
      <c r="O146" s="650">
        <v>5338241</v>
      </c>
      <c r="P146" s="650">
        <v>0</v>
      </c>
      <c r="Q146" s="649">
        <v>184573</v>
      </c>
      <c r="R146" s="649"/>
      <c r="S146" s="650">
        <v>4411367</v>
      </c>
      <c r="T146" s="651">
        <v>-64544</v>
      </c>
      <c r="U146" s="651">
        <v>4346824</v>
      </c>
    </row>
    <row r="147" spans="1:21" x14ac:dyDescent="0.25">
      <c r="A147" s="646">
        <v>91302</v>
      </c>
      <c r="B147" s="647" t="s">
        <v>2763</v>
      </c>
      <c r="C147" s="648">
        <v>5.9190000000000002E-4</v>
      </c>
      <c r="D147" s="648">
        <v>5.8169999999999999E-4</v>
      </c>
      <c r="E147" s="649">
        <v>242052.32</v>
      </c>
      <c r="F147" s="649">
        <v>261063</v>
      </c>
      <c r="G147" s="649">
        <v>1256210</v>
      </c>
      <c r="H147" s="649"/>
      <c r="I147" s="650">
        <v>23602</v>
      </c>
      <c r="J147" s="650">
        <v>1100840</v>
      </c>
      <c r="K147" s="650">
        <v>86039</v>
      </c>
      <c r="L147" s="649">
        <v>53000</v>
      </c>
      <c r="M147" s="649"/>
      <c r="N147" s="650">
        <v>44019</v>
      </c>
      <c r="O147" s="650">
        <v>406314</v>
      </c>
      <c r="P147" s="650">
        <v>0</v>
      </c>
      <c r="Q147" s="649">
        <v>0</v>
      </c>
      <c r="R147" s="649"/>
      <c r="S147" s="650">
        <v>335767</v>
      </c>
      <c r="T147" s="651">
        <v>20102</v>
      </c>
      <c r="U147" s="651">
        <v>355869</v>
      </c>
    </row>
    <row r="148" spans="1:21" x14ac:dyDescent="0.25">
      <c r="A148" s="646">
        <v>91306</v>
      </c>
      <c r="B148" s="647" t="s">
        <v>2764</v>
      </c>
      <c r="C148" s="648">
        <v>1.6676E-3</v>
      </c>
      <c r="D148" s="648">
        <v>1.5539E-3</v>
      </c>
      <c r="E148" s="649">
        <v>693271</v>
      </c>
      <c r="F148" s="649">
        <v>697381</v>
      </c>
      <c r="G148" s="649">
        <v>3539206</v>
      </c>
      <c r="H148" s="649"/>
      <c r="I148" s="650">
        <v>66495.55</v>
      </c>
      <c r="J148" s="650">
        <v>3101473</v>
      </c>
      <c r="K148" s="650">
        <v>242404</v>
      </c>
      <c r="L148" s="649">
        <v>174697</v>
      </c>
      <c r="M148" s="649"/>
      <c r="N148" s="650">
        <v>124018</v>
      </c>
      <c r="O148" s="650">
        <v>1144737</v>
      </c>
      <c r="P148" s="650">
        <v>0</v>
      </c>
      <c r="Q148" s="649">
        <v>0</v>
      </c>
      <c r="R148" s="649"/>
      <c r="S148" s="650">
        <v>945978</v>
      </c>
      <c r="T148" s="651">
        <v>60990</v>
      </c>
      <c r="U148" s="651">
        <v>1006968</v>
      </c>
    </row>
    <row r="149" spans="1:21" x14ac:dyDescent="0.25">
      <c r="A149" s="646">
        <v>91308</v>
      </c>
      <c r="B149" s="647" t="s">
        <v>2765</v>
      </c>
      <c r="C149" s="648">
        <v>2.05E-4</v>
      </c>
      <c r="D149" s="648">
        <v>1.8650000000000001E-4</v>
      </c>
      <c r="E149" s="649">
        <v>71992.33</v>
      </c>
      <c r="F149" s="649">
        <v>83700</v>
      </c>
      <c r="G149" s="649">
        <v>435079</v>
      </c>
      <c r="H149" s="649"/>
      <c r="I149" s="650">
        <v>8174.375</v>
      </c>
      <c r="J149" s="650">
        <v>381267.61</v>
      </c>
      <c r="K149" s="650">
        <v>29799</v>
      </c>
      <c r="L149" s="649">
        <v>4790</v>
      </c>
      <c r="M149" s="649"/>
      <c r="N149" s="650">
        <v>15246</v>
      </c>
      <c r="O149" s="650">
        <v>140724</v>
      </c>
      <c r="P149" s="650">
        <v>0</v>
      </c>
      <c r="Q149" s="649">
        <v>3858</v>
      </c>
      <c r="R149" s="649"/>
      <c r="S149" s="650">
        <v>116290</v>
      </c>
      <c r="T149" s="651">
        <v>980</v>
      </c>
      <c r="U149" s="651">
        <v>117270</v>
      </c>
    </row>
    <row r="150" spans="1:21" x14ac:dyDescent="0.25">
      <c r="A150" s="646">
        <v>91311</v>
      </c>
      <c r="B150" s="647" t="s">
        <v>2766</v>
      </c>
      <c r="C150" s="648">
        <v>7.6649999999999999E-3</v>
      </c>
      <c r="D150" s="648">
        <v>7.9313999999999999E-3</v>
      </c>
      <c r="E150" s="649">
        <v>2915494</v>
      </c>
      <c r="F150" s="649">
        <v>3559565</v>
      </c>
      <c r="G150" s="649">
        <v>16267698</v>
      </c>
      <c r="H150" s="649"/>
      <c r="I150" s="650">
        <v>305642</v>
      </c>
      <c r="J150" s="650">
        <v>14255689</v>
      </c>
      <c r="K150" s="650">
        <v>1114192</v>
      </c>
      <c r="L150" s="649">
        <v>121391</v>
      </c>
      <c r="M150" s="649"/>
      <c r="N150" s="650">
        <v>570038</v>
      </c>
      <c r="O150" s="650">
        <v>5261700.57</v>
      </c>
      <c r="P150" s="650">
        <v>0</v>
      </c>
      <c r="Q150" s="649">
        <v>535505</v>
      </c>
      <c r="R150" s="649"/>
      <c r="S150" s="650">
        <v>4348117</v>
      </c>
      <c r="T150" s="651">
        <v>-145156</v>
      </c>
      <c r="U150" s="651">
        <v>4202961</v>
      </c>
    </row>
    <row r="151" spans="1:21" x14ac:dyDescent="0.25">
      <c r="A151" s="646">
        <v>91317</v>
      </c>
      <c r="B151" s="647" t="s">
        <v>2767</v>
      </c>
      <c r="C151" s="648">
        <v>9.0500000000000004E-5</v>
      </c>
      <c r="D151" s="648">
        <v>9.59E-5</v>
      </c>
      <c r="E151" s="649">
        <v>39328.85</v>
      </c>
      <c r="F151" s="649">
        <v>43039</v>
      </c>
      <c r="G151" s="649">
        <v>192071</v>
      </c>
      <c r="H151" s="649"/>
      <c r="I151" s="650">
        <v>3608.6875</v>
      </c>
      <c r="J151" s="650">
        <v>168316</v>
      </c>
      <c r="K151" s="650">
        <v>13155</v>
      </c>
      <c r="L151" s="649">
        <v>3623</v>
      </c>
      <c r="M151" s="649"/>
      <c r="N151" s="650">
        <v>6730</v>
      </c>
      <c r="O151" s="650">
        <v>62124</v>
      </c>
      <c r="P151" s="650">
        <v>0</v>
      </c>
      <c r="Q151" s="649">
        <v>2926</v>
      </c>
      <c r="R151" s="649"/>
      <c r="S151" s="650">
        <v>51338</v>
      </c>
      <c r="T151" s="651">
        <v>118</v>
      </c>
      <c r="U151" s="651">
        <v>51456</v>
      </c>
    </row>
    <row r="152" spans="1:21" x14ac:dyDescent="0.25">
      <c r="A152" s="646">
        <v>91321</v>
      </c>
      <c r="B152" s="647" t="s">
        <v>2768</v>
      </c>
      <c r="C152" s="648">
        <v>4.1999999999999998E-5</v>
      </c>
      <c r="D152" s="648">
        <v>3.1999999999999999E-5</v>
      </c>
      <c r="E152" s="649">
        <v>17123</v>
      </c>
      <c r="F152" s="649">
        <v>14361</v>
      </c>
      <c r="G152" s="649">
        <v>89138</v>
      </c>
      <c r="H152" s="649"/>
      <c r="I152" s="650">
        <v>1674.75</v>
      </c>
      <c r="J152" s="650">
        <v>78113</v>
      </c>
      <c r="K152" s="650">
        <v>6105</v>
      </c>
      <c r="L152" s="649">
        <v>6260</v>
      </c>
      <c r="M152" s="649"/>
      <c r="N152" s="650">
        <v>3123</v>
      </c>
      <c r="O152" s="650">
        <v>28831</v>
      </c>
      <c r="P152" s="650">
        <v>0</v>
      </c>
      <c r="Q152" s="649">
        <v>5826</v>
      </c>
      <c r="R152" s="649"/>
      <c r="S152" s="650">
        <v>23825</v>
      </c>
      <c r="T152" s="651">
        <v>-210</v>
      </c>
      <c r="U152" s="651">
        <v>23615</v>
      </c>
    </row>
    <row r="153" spans="1:21" x14ac:dyDescent="0.25">
      <c r="A153" s="646">
        <v>91327</v>
      </c>
      <c r="B153" s="647" t="s">
        <v>2769</v>
      </c>
      <c r="C153" s="648">
        <v>1.03E-5</v>
      </c>
      <c r="D153" s="648">
        <v>1.13E-5</v>
      </c>
      <c r="E153" s="649">
        <v>4112</v>
      </c>
      <c r="F153" s="649">
        <v>5071</v>
      </c>
      <c r="G153" s="649">
        <v>21860</v>
      </c>
      <c r="H153" s="649"/>
      <c r="I153" s="650">
        <v>410.71249999999998</v>
      </c>
      <c r="J153" s="650">
        <v>19156</v>
      </c>
      <c r="K153" s="650">
        <v>1497</v>
      </c>
      <c r="L153" s="649">
        <v>72</v>
      </c>
      <c r="M153" s="649"/>
      <c r="N153" s="650">
        <v>766</v>
      </c>
      <c r="O153" s="650">
        <v>7071</v>
      </c>
      <c r="P153" s="650">
        <v>0</v>
      </c>
      <c r="Q153" s="649">
        <v>1050</v>
      </c>
      <c r="R153" s="649"/>
      <c r="S153" s="650">
        <v>5843</v>
      </c>
      <c r="T153" s="651">
        <v>-275</v>
      </c>
      <c r="U153" s="651">
        <v>5568</v>
      </c>
    </row>
    <row r="154" spans="1:21" x14ac:dyDescent="0.25">
      <c r="A154" s="646">
        <v>91331</v>
      </c>
      <c r="B154" s="647" t="s">
        <v>2770</v>
      </c>
      <c r="C154" s="648">
        <v>2.8509999999999998E-3</v>
      </c>
      <c r="D154" s="648">
        <v>3.0317E-3</v>
      </c>
      <c r="E154" s="649">
        <v>1040695.76</v>
      </c>
      <c r="F154" s="649">
        <v>1360609</v>
      </c>
      <c r="G154" s="649">
        <v>6050777</v>
      </c>
      <c r="H154" s="649"/>
      <c r="I154" s="650">
        <v>113684</v>
      </c>
      <c r="J154" s="650">
        <v>5302410</v>
      </c>
      <c r="K154" s="650">
        <v>414424</v>
      </c>
      <c r="L154" s="649">
        <v>0</v>
      </c>
      <c r="M154" s="649"/>
      <c r="N154" s="650">
        <v>212026</v>
      </c>
      <c r="O154" s="650">
        <v>1957092</v>
      </c>
      <c r="P154" s="650">
        <v>0</v>
      </c>
      <c r="Q154" s="649">
        <v>459221</v>
      </c>
      <c r="R154" s="649"/>
      <c r="S154" s="650">
        <v>1617284</v>
      </c>
      <c r="T154" s="651">
        <v>-164462</v>
      </c>
      <c r="U154" s="651">
        <v>1452822</v>
      </c>
    </row>
    <row r="155" spans="1:21" x14ac:dyDescent="0.25">
      <c r="A155" s="646">
        <v>91341</v>
      </c>
      <c r="B155" s="647" t="s">
        <v>2771</v>
      </c>
      <c r="C155" s="648">
        <v>1.4399999999999999E-5</v>
      </c>
      <c r="D155" s="648">
        <v>2.1299999999999999E-5</v>
      </c>
      <c r="E155" s="649">
        <v>7639.09</v>
      </c>
      <c r="F155" s="649">
        <v>9559</v>
      </c>
      <c r="G155" s="649">
        <v>30562</v>
      </c>
      <c r="H155" s="649"/>
      <c r="I155" s="650">
        <v>574</v>
      </c>
      <c r="J155" s="650">
        <v>26782</v>
      </c>
      <c r="K155" s="650">
        <v>2093</v>
      </c>
      <c r="L155" s="649">
        <v>514</v>
      </c>
      <c r="M155" s="649"/>
      <c r="N155" s="650">
        <v>1071</v>
      </c>
      <c r="O155" s="650">
        <v>9885</v>
      </c>
      <c r="P155" s="650">
        <v>0</v>
      </c>
      <c r="Q155" s="649">
        <v>2374</v>
      </c>
      <c r="R155" s="649"/>
      <c r="S155" s="650">
        <v>8169</v>
      </c>
      <c r="T155" s="651">
        <v>-382</v>
      </c>
      <c r="U155" s="651">
        <v>7786</v>
      </c>
    </row>
    <row r="156" spans="1:21" x14ac:dyDescent="0.25">
      <c r="A156" s="646">
        <v>91401</v>
      </c>
      <c r="B156" s="647" t="s">
        <v>2772</v>
      </c>
      <c r="C156" s="648">
        <v>3.6841E-3</v>
      </c>
      <c r="D156" s="648">
        <v>3.5414999999999999E-3</v>
      </c>
      <c r="E156" s="649">
        <v>1403464.74</v>
      </c>
      <c r="F156" s="649">
        <v>1589404</v>
      </c>
      <c r="G156" s="649">
        <v>7818894</v>
      </c>
      <c r="H156" s="649"/>
      <c r="I156" s="650">
        <v>146903</v>
      </c>
      <c r="J156" s="650">
        <v>6851844</v>
      </c>
      <c r="K156" s="650">
        <v>535524</v>
      </c>
      <c r="L156" s="649">
        <v>30858</v>
      </c>
      <c r="M156" s="649"/>
      <c r="N156" s="650">
        <v>273983</v>
      </c>
      <c r="O156" s="650">
        <v>2528980</v>
      </c>
      <c r="P156" s="650">
        <v>0</v>
      </c>
      <c r="Q156" s="649">
        <v>11385</v>
      </c>
      <c r="R156" s="649"/>
      <c r="S156" s="650">
        <v>2089876</v>
      </c>
      <c r="T156" s="651">
        <v>10463</v>
      </c>
      <c r="U156" s="651">
        <v>2100338</v>
      </c>
    </row>
    <row r="157" spans="1:21" x14ac:dyDescent="0.25">
      <c r="A157" s="646">
        <v>91411</v>
      </c>
      <c r="B157" s="647" t="s">
        <v>2773</v>
      </c>
      <c r="C157" s="648">
        <v>3.5379999999999998E-4</v>
      </c>
      <c r="D157" s="648">
        <v>3.1189999999999999E-4</v>
      </c>
      <c r="E157" s="649">
        <v>141435.49</v>
      </c>
      <c r="F157" s="649">
        <v>139979</v>
      </c>
      <c r="G157" s="649">
        <v>750882</v>
      </c>
      <c r="H157" s="649"/>
      <c r="I157" s="650">
        <v>14108</v>
      </c>
      <c r="J157" s="650">
        <v>658012</v>
      </c>
      <c r="K157" s="650">
        <v>51429</v>
      </c>
      <c r="L157" s="649">
        <v>22528</v>
      </c>
      <c r="M157" s="649"/>
      <c r="N157" s="650">
        <v>26312</v>
      </c>
      <c r="O157" s="650">
        <v>242869</v>
      </c>
      <c r="P157" s="650">
        <v>0</v>
      </c>
      <c r="Q157" s="649">
        <v>2801.92</v>
      </c>
      <c r="R157" s="649"/>
      <c r="S157" s="650">
        <v>200700</v>
      </c>
      <c r="T157" s="651">
        <v>4720</v>
      </c>
      <c r="U157" s="651">
        <v>205420</v>
      </c>
    </row>
    <row r="158" spans="1:21" x14ac:dyDescent="0.25">
      <c r="A158" s="646">
        <v>91417</v>
      </c>
      <c r="B158" s="647" t="s">
        <v>2774</v>
      </c>
      <c r="C158" s="648">
        <v>9.9000000000000001E-6</v>
      </c>
      <c r="D158" s="648">
        <v>1.04E-5</v>
      </c>
      <c r="E158" s="649">
        <v>4800</v>
      </c>
      <c r="F158" s="649">
        <v>4667</v>
      </c>
      <c r="G158" s="649">
        <v>21011</v>
      </c>
      <c r="H158" s="649"/>
      <c r="I158" s="650">
        <v>394.76249999999999</v>
      </c>
      <c r="J158" s="650">
        <v>18412</v>
      </c>
      <c r="K158" s="650">
        <v>1439</v>
      </c>
      <c r="L158" s="649">
        <v>3686</v>
      </c>
      <c r="M158" s="649"/>
      <c r="N158" s="650">
        <v>736</v>
      </c>
      <c r="O158" s="650">
        <v>6796</v>
      </c>
      <c r="P158" s="650">
        <v>0</v>
      </c>
      <c r="Q158" s="649">
        <v>0</v>
      </c>
      <c r="R158" s="649"/>
      <c r="S158" s="650">
        <v>5616</v>
      </c>
      <c r="T158" s="651">
        <v>1711</v>
      </c>
      <c r="U158" s="651">
        <v>7327</v>
      </c>
    </row>
    <row r="159" spans="1:21" x14ac:dyDescent="0.25">
      <c r="A159" s="646">
        <v>91421</v>
      </c>
      <c r="B159" s="647" t="s">
        <v>2775</v>
      </c>
      <c r="C159" s="648">
        <v>7.0400000000000004E-5</v>
      </c>
      <c r="D159" s="648">
        <v>7.3399999999999995E-5</v>
      </c>
      <c r="E159" s="649">
        <v>30683</v>
      </c>
      <c r="F159" s="649">
        <v>32941</v>
      </c>
      <c r="G159" s="649">
        <v>149412</v>
      </c>
      <c r="H159" s="649"/>
      <c r="I159" s="650">
        <v>2807</v>
      </c>
      <c r="J159" s="650">
        <v>130933</v>
      </c>
      <c r="K159" s="650">
        <v>10233</v>
      </c>
      <c r="L159" s="649">
        <v>2567</v>
      </c>
      <c r="M159" s="649"/>
      <c r="N159" s="650">
        <v>5236</v>
      </c>
      <c r="O159" s="650">
        <v>48327</v>
      </c>
      <c r="P159" s="650">
        <v>0</v>
      </c>
      <c r="Q159" s="649">
        <v>4833</v>
      </c>
      <c r="R159" s="649"/>
      <c r="S159" s="650">
        <v>39936</v>
      </c>
      <c r="T159" s="651">
        <v>-400</v>
      </c>
      <c r="U159" s="651">
        <v>39536</v>
      </c>
    </row>
    <row r="160" spans="1:21" x14ac:dyDescent="0.25">
      <c r="A160" s="646">
        <v>91423</v>
      </c>
      <c r="B160" s="647" t="s">
        <v>2776</v>
      </c>
      <c r="C160" s="648">
        <v>3.8699999999999999E-5</v>
      </c>
      <c r="D160" s="648">
        <v>3.9499999999999998E-5</v>
      </c>
      <c r="E160" s="649">
        <v>17177.96</v>
      </c>
      <c r="F160" s="649">
        <v>17727</v>
      </c>
      <c r="G160" s="649">
        <v>82134</v>
      </c>
      <c r="H160" s="649"/>
      <c r="I160" s="650">
        <v>1543</v>
      </c>
      <c r="J160" s="650">
        <v>71976</v>
      </c>
      <c r="K160" s="650">
        <v>5625</v>
      </c>
      <c r="L160" s="649">
        <v>10132</v>
      </c>
      <c r="M160" s="649"/>
      <c r="N160" s="650">
        <v>2878</v>
      </c>
      <c r="O160" s="650">
        <v>26566</v>
      </c>
      <c r="P160" s="650">
        <v>0</v>
      </c>
      <c r="Q160" s="649">
        <v>4072</v>
      </c>
      <c r="R160" s="649"/>
      <c r="S160" s="650">
        <v>21953</v>
      </c>
      <c r="T160" s="651">
        <v>1493</v>
      </c>
      <c r="U160" s="651">
        <v>23446</v>
      </c>
    </row>
    <row r="161" spans="1:21" x14ac:dyDescent="0.25">
      <c r="A161" s="646">
        <v>91431</v>
      </c>
      <c r="B161" s="647" t="s">
        <v>2777</v>
      </c>
      <c r="C161" s="648">
        <v>1.417E-4</v>
      </c>
      <c r="D161" s="648">
        <v>1.606E-4</v>
      </c>
      <c r="E161" s="649">
        <v>68459</v>
      </c>
      <c r="F161" s="649">
        <v>72076</v>
      </c>
      <c r="G161" s="649">
        <v>300735</v>
      </c>
      <c r="H161" s="649"/>
      <c r="I161" s="650">
        <v>5650</v>
      </c>
      <c r="J161" s="650">
        <v>263540</v>
      </c>
      <c r="K161" s="650">
        <v>20598</v>
      </c>
      <c r="L161" s="649">
        <v>1741</v>
      </c>
      <c r="M161" s="649"/>
      <c r="N161" s="650">
        <v>10538</v>
      </c>
      <c r="O161" s="650">
        <v>97271</v>
      </c>
      <c r="P161" s="650">
        <v>0</v>
      </c>
      <c r="Q161" s="649">
        <v>2500</v>
      </c>
      <c r="R161" s="649"/>
      <c r="S161" s="650">
        <v>80382</v>
      </c>
      <c r="T161" s="651">
        <v>-116</v>
      </c>
      <c r="U161" s="651">
        <v>80266</v>
      </c>
    </row>
    <row r="162" spans="1:21" x14ac:dyDescent="0.25">
      <c r="A162" s="646">
        <v>91441</v>
      </c>
      <c r="B162" s="647" t="s">
        <v>2778</v>
      </c>
      <c r="C162" s="648">
        <v>7.3800000000000005E-4</v>
      </c>
      <c r="D162" s="648">
        <v>8.0199999999999998E-4</v>
      </c>
      <c r="E162" s="649">
        <v>243177.92</v>
      </c>
      <c r="F162" s="649">
        <v>359933</v>
      </c>
      <c r="G162" s="649">
        <v>1566283</v>
      </c>
      <c r="H162" s="649"/>
      <c r="I162" s="650">
        <v>29428</v>
      </c>
      <c r="J162" s="650">
        <v>1372563</v>
      </c>
      <c r="K162" s="650">
        <v>107276</v>
      </c>
      <c r="L162" s="649">
        <v>0</v>
      </c>
      <c r="M162" s="649"/>
      <c r="N162" s="650">
        <v>54884</v>
      </c>
      <c r="O162" s="650">
        <v>506606</v>
      </c>
      <c r="P162" s="650">
        <v>0</v>
      </c>
      <c r="Q162" s="649">
        <v>154968</v>
      </c>
      <c r="R162" s="649"/>
      <c r="S162" s="650">
        <v>418645</v>
      </c>
      <c r="T162" s="651">
        <v>-51667</v>
      </c>
      <c r="U162" s="651">
        <v>366977</v>
      </c>
    </row>
    <row r="163" spans="1:21" x14ac:dyDescent="0.25">
      <c r="A163" s="646">
        <v>91451</v>
      </c>
      <c r="B163" s="647" t="s">
        <v>2779</v>
      </c>
      <c r="C163" s="648">
        <v>1.5629000000000001E-3</v>
      </c>
      <c r="D163" s="648">
        <v>1.7028E-3</v>
      </c>
      <c r="E163" s="649">
        <v>596685</v>
      </c>
      <c r="F163" s="649">
        <v>764206</v>
      </c>
      <c r="G163" s="649">
        <v>3316997</v>
      </c>
      <c r="H163" s="649"/>
      <c r="I163" s="650">
        <v>62321</v>
      </c>
      <c r="J163" s="650">
        <v>2906747</v>
      </c>
      <c r="K163" s="650">
        <v>227185</v>
      </c>
      <c r="L163" s="649">
        <v>0</v>
      </c>
      <c r="M163" s="649"/>
      <c r="N163" s="650">
        <v>116231</v>
      </c>
      <c r="O163" s="650">
        <v>1072865</v>
      </c>
      <c r="P163" s="650">
        <v>0</v>
      </c>
      <c r="Q163" s="649">
        <v>204791</v>
      </c>
      <c r="R163" s="649"/>
      <c r="S163" s="650">
        <v>886585</v>
      </c>
      <c r="T163" s="651">
        <v>-69029</v>
      </c>
      <c r="U163" s="651">
        <v>817556</v>
      </c>
    </row>
    <row r="164" spans="1:21" x14ac:dyDescent="0.25">
      <c r="A164" s="646">
        <v>91457</v>
      </c>
      <c r="B164" s="647" t="s">
        <v>2780</v>
      </c>
      <c r="C164" s="648">
        <v>2.58E-5</v>
      </c>
      <c r="D164" s="648">
        <v>2.7500000000000001E-5</v>
      </c>
      <c r="E164" s="649">
        <v>28421</v>
      </c>
      <c r="F164" s="649">
        <v>12342</v>
      </c>
      <c r="G164" s="649">
        <v>54756</v>
      </c>
      <c r="H164" s="649"/>
      <c r="I164" s="650">
        <v>1029</v>
      </c>
      <c r="J164" s="650">
        <v>47984</v>
      </c>
      <c r="K164" s="650">
        <v>3750</v>
      </c>
      <c r="L164" s="649">
        <v>24288</v>
      </c>
      <c r="M164" s="649"/>
      <c r="N164" s="650">
        <v>1919</v>
      </c>
      <c r="O164" s="650">
        <v>17711</v>
      </c>
      <c r="P164" s="650">
        <v>0</v>
      </c>
      <c r="Q164" s="649">
        <v>0</v>
      </c>
      <c r="R164" s="649"/>
      <c r="S164" s="650">
        <v>14636</v>
      </c>
      <c r="T164" s="651">
        <v>7429</v>
      </c>
      <c r="U164" s="651">
        <v>22065</v>
      </c>
    </row>
    <row r="165" spans="1:21" x14ac:dyDescent="0.25">
      <c r="A165" s="646">
        <v>91461</v>
      </c>
      <c r="B165" s="647" t="s">
        <v>2781</v>
      </c>
      <c r="C165" s="648">
        <v>8.6999999999999997E-6</v>
      </c>
      <c r="D165" s="648">
        <v>6.3999999999999997E-6</v>
      </c>
      <c r="E165" s="649">
        <v>2697</v>
      </c>
      <c r="F165" s="649">
        <v>2872</v>
      </c>
      <c r="G165" s="649">
        <v>18464</v>
      </c>
      <c r="H165" s="649"/>
      <c r="I165" s="650">
        <v>347</v>
      </c>
      <c r="J165" s="650">
        <v>16181</v>
      </c>
      <c r="K165" s="650">
        <v>1265</v>
      </c>
      <c r="L165" s="649">
        <v>3156</v>
      </c>
      <c r="M165" s="649"/>
      <c r="N165" s="650">
        <v>647</v>
      </c>
      <c r="O165" s="650">
        <v>5972</v>
      </c>
      <c r="P165" s="650">
        <v>0</v>
      </c>
      <c r="Q165" s="649">
        <v>0</v>
      </c>
      <c r="R165" s="649"/>
      <c r="S165" s="650">
        <v>4935</v>
      </c>
      <c r="T165" s="651">
        <v>1104</v>
      </c>
      <c r="U165" s="651">
        <v>6039</v>
      </c>
    </row>
    <row r="166" spans="1:21" x14ac:dyDescent="0.25">
      <c r="A166" s="646">
        <v>91501</v>
      </c>
      <c r="B166" s="647" t="s">
        <v>2782</v>
      </c>
      <c r="C166" s="648">
        <v>5.1099999999999995E-4</v>
      </c>
      <c r="D166" s="648">
        <v>4.8660000000000001E-4</v>
      </c>
      <c r="E166" s="649">
        <v>207396</v>
      </c>
      <c r="F166" s="649">
        <v>218383</v>
      </c>
      <c r="G166" s="649">
        <v>1084513</v>
      </c>
      <c r="H166" s="649"/>
      <c r="I166" s="650">
        <v>20376</v>
      </c>
      <c r="J166" s="650">
        <v>950379</v>
      </c>
      <c r="K166" s="650">
        <v>74279</v>
      </c>
      <c r="L166" s="649">
        <v>41752</v>
      </c>
      <c r="M166" s="649"/>
      <c r="N166" s="650">
        <v>38003</v>
      </c>
      <c r="O166" s="650">
        <v>350780</v>
      </c>
      <c r="P166" s="650">
        <v>0</v>
      </c>
      <c r="Q166" s="649">
        <v>0</v>
      </c>
      <c r="R166" s="649"/>
      <c r="S166" s="650">
        <v>289874</v>
      </c>
      <c r="T166" s="651">
        <v>17322</v>
      </c>
      <c r="U166" s="651">
        <v>307197</v>
      </c>
    </row>
    <row r="167" spans="1:21" x14ac:dyDescent="0.25">
      <c r="A167" s="646">
        <v>91504</v>
      </c>
      <c r="B167" s="647" t="s">
        <v>2783</v>
      </c>
      <c r="C167" s="648">
        <v>1.0200000000000001E-5</v>
      </c>
      <c r="D167" s="648">
        <v>9.7999999999999993E-6</v>
      </c>
      <c r="E167" s="649">
        <v>5951</v>
      </c>
      <c r="F167" s="649">
        <v>4398</v>
      </c>
      <c r="G167" s="649">
        <v>21648</v>
      </c>
      <c r="H167" s="649"/>
      <c r="I167" s="650">
        <v>406.72500000000002</v>
      </c>
      <c r="J167" s="650">
        <v>18970</v>
      </c>
      <c r="K167" s="650">
        <v>1483</v>
      </c>
      <c r="L167" s="649">
        <v>6563</v>
      </c>
      <c r="M167" s="649"/>
      <c r="N167" s="650">
        <v>759</v>
      </c>
      <c r="O167" s="650">
        <v>7002</v>
      </c>
      <c r="P167" s="650">
        <v>0</v>
      </c>
      <c r="Q167" s="649">
        <v>0</v>
      </c>
      <c r="R167" s="649"/>
      <c r="S167" s="650">
        <v>5786</v>
      </c>
      <c r="T167" s="651">
        <v>2270</v>
      </c>
      <c r="U167" s="651">
        <v>8056</v>
      </c>
    </row>
    <row r="168" spans="1:21" x14ac:dyDescent="0.25">
      <c r="A168" s="646">
        <v>91601</v>
      </c>
      <c r="B168" s="647" t="s">
        <v>2784</v>
      </c>
      <c r="C168" s="648">
        <v>2.9077999999999999E-3</v>
      </c>
      <c r="D168" s="648">
        <v>2.5893000000000001E-3</v>
      </c>
      <c r="E168" s="649">
        <v>1153048.76</v>
      </c>
      <c r="F168" s="649">
        <v>1162062</v>
      </c>
      <c r="G168" s="649">
        <v>6171326</v>
      </c>
      <c r="H168" s="649"/>
      <c r="I168" s="650">
        <v>115949</v>
      </c>
      <c r="J168" s="650">
        <v>5408049</v>
      </c>
      <c r="K168" s="650">
        <v>422681</v>
      </c>
      <c r="L168" s="649">
        <v>254754</v>
      </c>
      <c r="M168" s="649"/>
      <c r="N168" s="650">
        <v>216250</v>
      </c>
      <c r="O168" s="650">
        <v>1996083</v>
      </c>
      <c r="P168" s="650">
        <v>0</v>
      </c>
      <c r="Q168" s="649">
        <v>0</v>
      </c>
      <c r="R168" s="649"/>
      <c r="S168" s="650">
        <v>1649505</v>
      </c>
      <c r="T168" s="651">
        <v>86224</v>
      </c>
      <c r="U168" s="651">
        <v>1735729</v>
      </c>
    </row>
    <row r="169" spans="1:21" x14ac:dyDescent="0.25">
      <c r="A169" s="646">
        <v>91604</v>
      </c>
      <c r="B169" s="647" t="s">
        <v>2785</v>
      </c>
      <c r="C169" s="648">
        <v>8.6799999999999996E-5</v>
      </c>
      <c r="D169" s="648">
        <v>8.5000000000000006E-5</v>
      </c>
      <c r="E169" s="649">
        <v>47160</v>
      </c>
      <c r="F169" s="649">
        <v>38147</v>
      </c>
      <c r="G169" s="649">
        <v>184219</v>
      </c>
      <c r="H169" s="649"/>
      <c r="I169" s="650">
        <v>3461</v>
      </c>
      <c r="J169" s="650">
        <v>161434</v>
      </c>
      <c r="K169" s="650">
        <v>12617</v>
      </c>
      <c r="L169" s="649">
        <v>17354</v>
      </c>
      <c r="M169" s="649"/>
      <c r="N169" s="650">
        <v>6455</v>
      </c>
      <c r="O169" s="650">
        <v>59585</v>
      </c>
      <c r="P169" s="650">
        <v>0</v>
      </c>
      <c r="Q169" s="649">
        <v>0</v>
      </c>
      <c r="R169" s="649"/>
      <c r="S169" s="650">
        <v>49239</v>
      </c>
      <c r="T169" s="651">
        <v>5419</v>
      </c>
      <c r="U169" s="651">
        <v>54658</v>
      </c>
    </row>
    <row r="170" spans="1:21" x14ac:dyDescent="0.25">
      <c r="A170" s="646">
        <v>91608</v>
      </c>
      <c r="B170" s="647" t="s">
        <v>2786</v>
      </c>
      <c r="C170" s="648">
        <v>1.208E-4</v>
      </c>
      <c r="D170" s="648">
        <v>1.178E-4</v>
      </c>
      <c r="E170" s="649">
        <v>33634</v>
      </c>
      <c r="F170" s="649">
        <v>52868</v>
      </c>
      <c r="G170" s="649">
        <v>256378</v>
      </c>
      <c r="H170" s="649"/>
      <c r="I170" s="650">
        <v>4817</v>
      </c>
      <c r="J170" s="650">
        <v>224669</v>
      </c>
      <c r="K170" s="650">
        <v>17560</v>
      </c>
      <c r="L170" s="649">
        <v>1751</v>
      </c>
      <c r="M170" s="649"/>
      <c r="N170" s="650">
        <v>8984</v>
      </c>
      <c r="O170" s="650">
        <v>82924</v>
      </c>
      <c r="P170" s="650">
        <v>0</v>
      </c>
      <c r="Q170" s="649">
        <v>42921</v>
      </c>
      <c r="R170" s="649"/>
      <c r="S170" s="650">
        <v>68526</v>
      </c>
      <c r="T170" s="651">
        <v>-13278</v>
      </c>
      <c r="U170" s="651">
        <v>55248</v>
      </c>
    </row>
    <row r="171" spans="1:21" x14ac:dyDescent="0.25">
      <c r="A171" s="646">
        <v>91611</v>
      </c>
      <c r="B171" s="647" t="s">
        <v>2787</v>
      </c>
      <c r="C171" s="648">
        <v>1.4345E-3</v>
      </c>
      <c r="D171" s="648">
        <v>1.3361E-3</v>
      </c>
      <c r="E171" s="649">
        <v>495192</v>
      </c>
      <c r="F171" s="649">
        <v>599634</v>
      </c>
      <c r="G171" s="649">
        <v>3044490</v>
      </c>
      <c r="H171" s="649"/>
      <c r="I171" s="650">
        <v>57201</v>
      </c>
      <c r="J171" s="650">
        <v>2667943</v>
      </c>
      <c r="K171" s="650">
        <v>208520</v>
      </c>
      <c r="L171" s="649">
        <v>36769</v>
      </c>
      <c r="M171" s="649"/>
      <c r="N171" s="650">
        <v>106682</v>
      </c>
      <c r="O171" s="650">
        <v>984724</v>
      </c>
      <c r="P171" s="650">
        <v>0</v>
      </c>
      <c r="Q171" s="649">
        <v>21938</v>
      </c>
      <c r="R171" s="649"/>
      <c r="S171" s="650">
        <v>813747</v>
      </c>
      <c r="T171" s="651">
        <v>11752</v>
      </c>
      <c r="U171" s="651">
        <v>825500</v>
      </c>
    </row>
    <row r="172" spans="1:21" x14ac:dyDescent="0.25">
      <c r="A172" s="646">
        <v>91621</v>
      </c>
      <c r="B172" s="647" t="s">
        <v>2788</v>
      </c>
      <c r="C172" s="648">
        <v>2.5240000000000001E-4</v>
      </c>
      <c r="D172" s="648">
        <v>2.6200000000000003E-4</v>
      </c>
      <c r="E172" s="649">
        <v>102644</v>
      </c>
      <c r="F172" s="649">
        <v>117584</v>
      </c>
      <c r="G172" s="649">
        <v>535677</v>
      </c>
      <c r="H172" s="649"/>
      <c r="I172" s="650">
        <v>10064</v>
      </c>
      <c r="J172" s="650">
        <v>469424</v>
      </c>
      <c r="K172" s="650">
        <v>36689</v>
      </c>
      <c r="L172" s="649">
        <v>20545</v>
      </c>
      <c r="M172" s="649"/>
      <c r="N172" s="650">
        <v>18771</v>
      </c>
      <c r="O172" s="650">
        <v>173262</v>
      </c>
      <c r="P172" s="650">
        <v>0</v>
      </c>
      <c r="Q172" s="649">
        <v>25591</v>
      </c>
      <c r="R172" s="649"/>
      <c r="S172" s="650">
        <v>143179</v>
      </c>
      <c r="T172" s="651">
        <v>-4085</v>
      </c>
      <c r="U172" s="651">
        <v>139094</v>
      </c>
    </row>
    <row r="173" spans="1:21" x14ac:dyDescent="0.25">
      <c r="A173" s="646">
        <v>91631</v>
      </c>
      <c r="B173" s="647" t="s">
        <v>2789</v>
      </c>
      <c r="C173" s="648">
        <v>5.3870000000000003E-4</v>
      </c>
      <c r="D173" s="648">
        <v>5.4830000000000005E-4</v>
      </c>
      <c r="E173" s="649">
        <v>189554.94</v>
      </c>
      <c r="F173" s="649">
        <v>246074</v>
      </c>
      <c r="G173" s="649">
        <v>1143302</v>
      </c>
      <c r="H173" s="649"/>
      <c r="I173" s="650">
        <v>21481</v>
      </c>
      <c r="J173" s="650">
        <v>1001897</v>
      </c>
      <c r="K173" s="650">
        <v>78306</v>
      </c>
      <c r="L173" s="649">
        <v>0</v>
      </c>
      <c r="M173" s="649"/>
      <c r="N173" s="650">
        <v>40063</v>
      </c>
      <c r="O173" s="650">
        <v>369795</v>
      </c>
      <c r="P173" s="650">
        <v>0</v>
      </c>
      <c r="Q173" s="649">
        <v>35292</v>
      </c>
      <c r="R173" s="649"/>
      <c r="S173" s="650">
        <v>305588</v>
      </c>
      <c r="T173" s="651">
        <v>-10001</v>
      </c>
      <c r="U173" s="651">
        <v>295587</v>
      </c>
    </row>
    <row r="174" spans="1:21" x14ac:dyDescent="0.25">
      <c r="A174" s="646">
        <v>91633</v>
      </c>
      <c r="B174" s="647" t="s">
        <v>2790</v>
      </c>
      <c r="C174" s="648">
        <v>2.3799999999999999E-5</v>
      </c>
      <c r="D174" s="648">
        <v>2.3200000000000001E-5</v>
      </c>
      <c r="E174" s="649">
        <v>11149</v>
      </c>
      <c r="F174" s="649">
        <v>10412</v>
      </c>
      <c r="G174" s="649">
        <v>50512</v>
      </c>
      <c r="H174" s="649"/>
      <c r="I174" s="650">
        <v>949.02499999999998</v>
      </c>
      <c r="J174" s="650">
        <v>44264</v>
      </c>
      <c r="K174" s="650">
        <v>3460</v>
      </c>
      <c r="L174" s="649">
        <v>1407</v>
      </c>
      <c r="M174" s="649"/>
      <c r="N174" s="650">
        <v>1770</v>
      </c>
      <c r="O174" s="650">
        <v>16338</v>
      </c>
      <c r="P174" s="650">
        <v>0</v>
      </c>
      <c r="Q174" s="649">
        <v>5064</v>
      </c>
      <c r="R174" s="649"/>
      <c r="S174" s="650">
        <v>13501</v>
      </c>
      <c r="T174" s="651">
        <v>-1485</v>
      </c>
      <c r="U174" s="651">
        <v>12016</v>
      </c>
    </row>
    <row r="175" spans="1:21" x14ac:dyDescent="0.25">
      <c r="A175" s="646">
        <v>91641</v>
      </c>
      <c r="B175" s="647" t="s">
        <v>2791</v>
      </c>
      <c r="C175" s="648">
        <v>2.742E-4</v>
      </c>
      <c r="D175" s="648">
        <v>3.1080000000000002E-4</v>
      </c>
      <c r="E175" s="649">
        <v>90324.84</v>
      </c>
      <c r="F175" s="649">
        <v>139485</v>
      </c>
      <c r="G175" s="649">
        <v>581944</v>
      </c>
      <c r="H175" s="649"/>
      <c r="I175" s="650">
        <v>10934</v>
      </c>
      <c r="J175" s="650">
        <v>509969</v>
      </c>
      <c r="K175" s="650">
        <v>39858</v>
      </c>
      <c r="L175" s="649">
        <v>0</v>
      </c>
      <c r="M175" s="649"/>
      <c r="N175" s="650">
        <v>20392</v>
      </c>
      <c r="O175" s="650">
        <v>188227</v>
      </c>
      <c r="P175" s="650">
        <v>0</v>
      </c>
      <c r="Q175" s="649">
        <v>73613</v>
      </c>
      <c r="R175" s="649"/>
      <c r="S175" s="650">
        <v>155545</v>
      </c>
      <c r="T175" s="651">
        <v>-24397</v>
      </c>
      <c r="U175" s="651">
        <v>131148</v>
      </c>
    </row>
    <row r="176" spans="1:21" x14ac:dyDescent="0.25">
      <c r="A176" s="646">
        <v>91651</v>
      </c>
      <c r="B176" s="647" t="s">
        <v>2792</v>
      </c>
      <c r="C176" s="648">
        <v>4.6099999999999998E-4</v>
      </c>
      <c r="D176" s="648">
        <v>4.797E-4</v>
      </c>
      <c r="E176" s="649">
        <v>182169.7</v>
      </c>
      <c r="F176" s="649">
        <v>215286</v>
      </c>
      <c r="G176" s="649">
        <v>978396</v>
      </c>
      <c r="H176" s="649"/>
      <c r="I176" s="650">
        <v>18382.375</v>
      </c>
      <c r="J176" s="650">
        <v>857387</v>
      </c>
      <c r="K176" s="650">
        <v>67011</v>
      </c>
      <c r="L176" s="649">
        <v>0</v>
      </c>
      <c r="M176" s="649"/>
      <c r="N176" s="650">
        <v>34284</v>
      </c>
      <c r="O176" s="650">
        <v>316457</v>
      </c>
      <c r="P176" s="650">
        <v>0</v>
      </c>
      <c r="Q176" s="649">
        <v>30276</v>
      </c>
      <c r="R176" s="649"/>
      <c r="S176" s="650">
        <v>261511</v>
      </c>
      <c r="T176" s="651">
        <v>-9842</v>
      </c>
      <c r="U176" s="651">
        <v>251669</v>
      </c>
    </row>
    <row r="177" spans="1:21" x14ac:dyDescent="0.25">
      <c r="A177" s="646">
        <v>91661</v>
      </c>
      <c r="B177" s="647" t="s">
        <v>2793</v>
      </c>
      <c r="C177" s="648">
        <v>1.6750000000000001E-4</v>
      </c>
      <c r="D177" s="648">
        <v>1.9149999999999999E-4</v>
      </c>
      <c r="E177" s="649">
        <v>50933.13</v>
      </c>
      <c r="F177" s="649">
        <v>85944</v>
      </c>
      <c r="G177" s="649">
        <v>355491</v>
      </c>
      <c r="H177" s="649"/>
      <c r="I177" s="650">
        <v>6679.0625</v>
      </c>
      <c r="J177" s="650">
        <v>311524</v>
      </c>
      <c r="K177" s="650">
        <v>24348</v>
      </c>
      <c r="L177" s="649">
        <v>0</v>
      </c>
      <c r="M177" s="649"/>
      <c r="N177" s="650">
        <v>12457</v>
      </c>
      <c r="O177" s="650">
        <v>114982</v>
      </c>
      <c r="P177" s="650">
        <v>0</v>
      </c>
      <c r="Q177" s="649">
        <v>40976</v>
      </c>
      <c r="R177" s="649"/>
      <c r="S177" s="650">
        <v>95018</v>
      </c>
      <c r="T177" s="651">
        <v>-12042</v>
      </c>
      <c r="U177" s="651">
        <v>82975</v>
      </c>
    </row>
    <row r="178" spans="1:21" x14ac:dyDescent="0.25">
      <c r="A178" s="646">
        <v>91671</v>
      </c>
      <c r="B178" s="647" t="s">
        <v>2794</v>
      </c>
      <c r="C178" s="648">
        <v>9.7600000000000001E-5</v>
      </c>
      <c r="D178" s="648">
        <v>9.0000000000000006E-5</v>
      </c>
      <c r="E178" s="649">
        <v>40599.14</v>
      </c>
      <c r="F178" s="649">
        <v>40391.46</v>
      </c>
      <c r="G178" s="649">
        <v>207140</v>
      </c>
      <c r="H178" s="649"/>
      <c r="I178" s="650">
        <v>3891.8</v>
      </c>
      <c r="J178" s="650">
        <v>181521</v>
      </c>
      <c r="K178" s="650">
        <v>14187</v>
      </c>
      <c r="L178" s="649">
        <v>17521</v>
      </c>
      <c r="M178" s="649"/>
      <c r="N178" s="650">
        <v>7258</v>
      </c>
      <c r="O178" s="650">
        <v>66998</v>
      </c>
      <c r="P178" s="650">
        <v>0</v>
      </c>
      <c r="Q178" s="649">
        <v>0</v>
      </c>
      <c r="R178" s="649"/>
      <c r="S178" s="650">
        <v>55365</v>
      </c>
      <c r="T178" s="651">
        <v>6024</v>
      </c>
      <c r="U178" s="651">
        <v>61390</v>
      </c>
    </row>
    <row r="179" spans="1:21" x14ac:dyDescent="0.25">
      <c r="A179" s="646">
        <v>91681</v>
      </c>
      <c r="B179" s="647" t="s">
        <v>2795</v>
      </c>
      <c r="C179" s="648">
        <v>4.7130000000000002E-4</v>
      </c>
      <c r="D179" s="648">
        <v>5.2590000000000004E-4</v>
      </c>
      <c r="E179" s="649">
        <v>361073.65</v>
      </c>
      <c r="F179" s="649">
        <v>236021</v>
      </c>
      <c r="G179" s="649">
        <v>1000256</v>
      </c>
      <c r="H179" s="649"/>
      <c r="I179" s="650">
        <v>18793</v>
      </c>
      <c r="J179" s="650">
        <v>876544</v>
      </c>
      <c r="K179" s="650">
        <v>68509</v>
      </c>
      <c r="L179" s="649">
        <v>196447</v>
      </c>
      <c r="M179" s="649"/>
      <c r="N179" s="650">
        <v>35050</v>
      </c>
      <c r="O179" s="650">
        <v>323528</v>
      </c>
      <c r="P179" s="650">
        <v>0</v>
      </c>
      <c r="Q179" s="649">
        <v>9078</v>
      </c>
      <c r="R179" s="649"/>
      <c r="S179" s="650">
        <v>267354</v>
      </c>
      <c r="T179" s="651">
        <v>55234</v>
      </c>
      <c r="U179" s="651">
        <v>322588</v>
      </c>
    </row>
    <row r="180" spans="1:21" x14ac:dyDescent="0.25">
      <c r="A180" s="646">
        <v>91691</v>
      </c>
      <c r="B180" s="647" t="s">
        <v>2796</v>
      </c>
      <c r="C180" s="648">
        <v>2.4199999999999999E-5</v>
      </c>
      <c r="D180" s="648">
        <v>1.8700000000000001E-5</v>
      </c>
      <c r="E180" s="649">
        <v>9114</v>
      </c>
      <c r="F180" s="649">
        <v>8392</v>
      </c>
      <c r="G180" s="649">
        <v>51361</v>
      </c>
      <c r="H180" s="649"/>
      <c r="I180" s="650">
        <v>965</v>
      </c>
      <c r="J180" s="650">
        <v>45008</v>
      </c>
      <c r="K180" s="650">
        <v>3518</v>
      </c>
      <c r="L180" s="649">
        <v>2449</v>
      </c>
      <c r="M180" s="649"/>
      <c r="N180" s="650">
        <v>1800</v>
      </c>
      <c r="O180" s="650">
        <v>16612</v>
      </c>
      <c r="P180" s="650">
        <v>0</v>
      </c>
      <c r="Q180" s="649">
        <v>801</v>
      </c>
      <c r="R180" s="649"/>
      <c r="S180" s="650">
        <v>13728</v>
      </c>
      <c r="T180" s="651">
        <v>383</v>
      </c>
      <c r="U180" s="651">
        <v>14111</v>
      </c>
    </row>
    <row r="181" spans="1:21" x14ac:dyDescent="0.25">
      <c r="A181" s="646">
        <v>91701</v>
      </c>
      <c r="B181" s="647" t="s">
        <v>2797</v>
      </c>
      <c r="C181" s="648">
        <v>1.0897000000000001E-3</v>
      </c>
      <c r="D181" s="648">
        <v>1.0575999999999999E-3</v>
      </c>
      <c r="E181" s="649">
        <v>448773</v>
      </c>
      <c r="F181" s="649">
        <v>474645</v>
      </c>
      <c r="G181" s="649">
        <v>2312708</v>
      </c>
      <c r="H181" s="649"/>
      <c r="I181" s="650">
        <v>43452</v>
      </c>
      <c r="J181" s="650">
        <v>2026670</v>
      </c>
      <c r="K181" s="650">
        <v>158400</v>
      </c>
      <c r="L181" s="649">
        <v>20132</v>
      </c>
      <c r="M181" s="649"/>
      <c r="N181" s="650">
        <v>81040</v>
      </c>
      <c r="O181" s="650">
        <v>748033</v>
      </c>
      <c r="P181" s="650">
        <v>0</v>
      </c>
      <c r="Q181" s="649">
        <v>13968</v>
      </c>
      <c r="R181" s="649"/>
      <c r="S181" s="650">
        <v>618153</v>
      </c>
      <c r="T181" s="651">
        <v>-1590</v>
      </c>
      <c r="U181" s="651">
        <v>616563</v>
      </c>
    </row>
    <row r="182" spans="1:21" x14ac:dyDescent="0.25">
      <c r="A182" s="646">
        <v>91704</v>
      </c>
      <c r="B182" s="647" t="s">
        <v>2798</v>
      </c>
      <c r="C182" s="648">
        <v>1.6699999999999999E-5</v>
      </c>
      <c r="D182" s="648">
        <v>1.66E-5</v>
      </c>
      <c r="E182" s="649">
        <v>6924</v>
      </c>
      <c r="F182" s="649">
        <v>7450</v>
      </c>
      <c r="G182" s="649">
        <v>35443</v>
      </c>
      <c r="H182" s="649"/>
      <c r="I182" s="650">
        <v>665.91250000000002</v>
      </c>
      <c r="J182" s="650">
        <v>31059</v>
      </c>
      <c r="K182" s="650">
        <v>2428</v>
      </c>
      <c r="L182" s="649">
        <v>1658</v>
      </c>
      <c r="M182" s="649"/>
      <c r="N182" s="650">
        <v>1242</v>
      </c>
      <c r="O182" s="650">
        <v>11464</v>
      </c>
      <c r="P182" s="650">
        <v>0</v>
      </c>
      <c r="Q182" s="649">
        <v>0</v>
      </c>
      <c r="R182" s="649"/>
      <c r="S182" s="650">
        <v>9473</v>
      </c>
      <c r="T182" s="651">
        <v>628</v>
      </c>
      <c r="U182" s="651">
        <v>10101</v>
      </c>
    </row>
    <row r="183" spans="1:21" x14ac:dyDescent="0.25">
      <c r="A183" s="646">
        <v>91706</v>
      </c>
      <c r="B183" s="647" t="s">
        <v>2799</v>
      </c>
      <c r="C183" s="648">
        <v>2.4279999999999999E-4</v>
      </c>
      <c r="D183" s="648">
        <v>2.565E-4</v>
      </c>
      <c r="E183" s="649">
        <v>104554</v>
      </c>
      <c r="F183" s="649">
        <v>115116</v>
      </c>
      <c r="G183" s="649">
        <v>515303</v>
      </c>
      <c r="H183" s="649"/>
      <c r="I183" s="650">
        <v>9681.65</v>
      </c>
      <c r="J183" s="650">
        <v>451570</v>
      </c>
      <c r="K183" s="650">
        <v>35294</v>
      </c>
      <c r="L183" s="649">
        <v>807</v>
      </c>
      <c r="M183" s="649"/>
      <c r="N183" s="650">
        <v>18057</v>
      </c>
      <c r="O183" s="650">
        <v>166672</v>
      </c>
      <c r="P183" s="650">
        <v>0</v>
      </c>
      <c r="Q183" s="649">
        <v>14823</v>
      </c>
      <c r="R183" s="649"/>
      <c r="S183" s="650">
        <v>137733</v>
      </c>
      <c r="T183" s="651">
        <v>-6265</v>
      </c>
      <c r="U183" s="651">
        <v>131468</v>
      </c>
    </row>
    <row r="184" spans="1:21" x14ac:dyDescent="0.25">
      <c r="A184" s="646">
        <v>91719</v>
      </c>
      <c r="B184" s="647" t="s">
        <v>2800</v>
      </c>
      <c r="C184" s="648">
        <v>4.9299999999999999E-5</v>
      </c>
      <c r="D184" s="648">
        <v>4.4199999999999997E-5</v>
      </c>
      <c r="E184" s="649">
        <v>15848</v>
      </c>
      <c r="F184" s="649">
        <v>19837</v>
      </c>
      <c r="G184" s="649">
        <v>104631</v>
      </c>
      <c r="H184" s="649"/>
      <c r="I184" s="650">
        <v>1966</v>
      </c>
      <c r="J184" s="650">
        <v>91690</v>
      </c>
      <c r="K184" s="650">
        <v>7166</v>
      </c>
      <c r="L184" s="649">
        <v>6810</v>
      </c>
      <c r="M184" s="649"/>
      <c r="N184" s="650">
        <v>3666</v>
      </c>
      <c r="O184" s="650">
        <v>33842</v>
      </c>
      <c r="P184" s="650">
        <v>0</v>
      </c>
      <c r="Q184" s="649">
        <v>3972</v>
      </c>
      <c r="R184" s="649"/>
      <c r="S184" s="650">
        <v>27966</v>
      </c>
      <c r="T184" s="651">
        <v>602</v>
      </c>
      <c r="U184" s="651">
        <v>28568</v>
      </c>
    </row>
    <row r="185" spans="1:21" x14ac:dyDescent="0.25">
      <c r="A185" s="646">
        <v>91801</v>
      </c>
      <c r="B185" s="647" t="s">
        <v>2801</v>
      </c>
      <c r="C185" s="648">
        <v>8.3853999999999995E-3</v>
      </c>
      <c r="D185" s="648">
        <v>8.1784000000000006E-3</v>
      </c>
      <c r="E185" s="649">
        <v>3229080.93</v>
      </c>
      <c r="F185" s="649">
        <v>3670417</v>
      </c>
      <c r="G185" s="649">
        <v>17796628</v>
      </c>
      <c r="H185" s="649"/>
      <c r="I185" s="650">
        <v>334368</v>
      </c>
      <c r="J185" s="650">
        <v>15595519</v>
      </c>
      <c r="K185" s="650">
        <v>1218910</v>
      </c>
      <c r="L185" s="649">
        <v>0</v>
      </c>
      <c r="M185" s="649"/>
      <c r="N185" s="650">
        <v>623614</v>
      </c>
      <c r="O185" s="650">
        <v>5756225</v>
      </c>
      <c r="P185" s="650">
        <v>0</v>
      </c>
      <c r="Q185" s="649">
        <v>122778</v>
      </c>
      <c r="R185" s="649"/>
      <c r="S185" s="650">
        <v>4756777</v>
      </c>
      <c r="T185" s="651">
        <v>-45736</v>
      </c>
      <c r="U185" s="651">
        <v>4711042</v>
      </c>
    </row>
    <row r="186" spans="1:21" x14ac:dyDescent="0.25">
      <c r="A186" s="646">
        <v>91804</v>
      </c>
      <c r="B186" s="647" t="s">
        <v>2802</v>
      </c>
      <c r="C186" s="648">
        <v>1.462E-4</v>
      </c>
      <c r="D186" s="648">
        <v>1.4349999999999999E-4</v>
      </c>
      <c r="E186" s="649">
        <v>90420.56</v>
      </c>
      <c r="F186" s="649">
        <v>64402</v>
      </c>
      <c r="G186" s="649">
        <v>310285</v>
      </c>
      <c r="H186" s="649"/>
      <c r="I186" s="650">
        <v>5830</v>
      </c>
      <c r="J186" s="650">
        <v>271909</v>
      </c>
      <c r="K186" s="650">
        <v>21252</v>
      </c>
      <c r="L186" s="649">
        <v>55024</v>
      </c>
      <c r="M186" s="649"/>
      <c r="N186" s="650">
        <v>10873</v>
      </c>
      <c r="O186" s="650">
        <v>100360</v>
      </c>
      <c r="P186" s="650">
        <v>0</v>
      </c>
      <c r="Q186" s="649">
        <v>0</v>
      </c>
      <c r="R186" s="649"/>
      <c r="S186" s="650">
        <v>82935</v>
      </c>
      <c r="T186" s="651">
        <v>18762</v>
      </c>
      <c r="U186" s="651">
        <v>101697</v>
      </c>
    </row>
    <row r="187" spans="1:21" x14ac:dyDescent="0.25">
      <c r="A187" s="646">
        <v>91811</v>
      </c>
      <c r="B187" s="647" t="s">
        <v>2803</v>
      </c>
      <c r="C187" s="648">
        <v>4.6454000000000001E-3</v>
      </c>
      <c r="D187" s="648">
        <v>5.0266E-3</v>
      </c>
      <c r="E187" s="649">
        <v>1763088</v>
      </c>
      <c r="F187" s="649">
        <v>2255908</v>
      </c>
      <c r="G187" s="649">
        <v>9859095</v>
      </c>
      <c r="H187" s="649"/>
      <c r="I187" s="650">
        <v>185235</v>
      </c>
      <c r="J187" s="650">
        <v>8639710</v>
      </c>
      <c r="K187" s="650">
        <v>675260</v>
      </c>
      <c r="L187" s="649">
        <v>0</v>
      </c>
      <c r="M187" s="649"/>
      <c r="N187" s="650">
        <v>345474</v>
      </c>
      <c r="O187" s="650">
        <v>3188872</v>
      </c>
      <c r="P187" s="650">
        <v>0</v>
      </c>
      <c r="Q187" s="649">
        <v>514506</v>
      </c>
      <c r="R187" s="649"/>
      <c r="S187" s="650">
        <v>2635191</v>
      </c>
      <c r="T187" s="651">
        <v>-157089</v>
      </c>
      <c r="U187" s="651">
        <v>2478102</v>
      </c>
    </row>
    <row r="188" spans="1:21" x14ac:dyDescent="0.25">
      <c r="A188" s="646">
        <v>91812</v>
      </c>
      <c r="B188" s="647" t="s">
        <v>2804</v>
      </c>
      <c r="C188" s="648">
        <v>5.8199999999999998E-5</v>
      </c>
      <c r="D188" s="648">
        <v>4.1499999999999999E-5</v>
      </c>
      <c r="E188" s="649">
        <v>24707</v>
      </c>
      <c r="F188" s="649">
        <v>18625</v>
      </c>
      <c r="G188" s="649">
        <v>123520</v>
      </c>
      <c r="H188" s="649"/>
      <c r="I188" s="650">
        <v>2320.7249999999999</v>
      </c>
      <c r="J188" s="650">
        <v>108243</v>
      </c>
      <c r="K188" s="650">
        <v>8460</v>
      </c>
      <c r="L188" s="649">
        <v>16587</v>
      </c>
      <c r="M188" s="649"/>
      <c r="N188" s="650">
        <v>4328</v>
      </c>
      <c r="O188" s="650">
        <v>39952</v>
      </c>
      <c r="P188" s="650">
        <v>0</v>
      </c>
      <c r="Q188" s="649">
        <v>0</v>
      </c>
      <c r="R188" s="649"/>
      <c r="S188" s="650">
        <v>33015</v>
      </c>
      <c r="T188" s="651">
        <v>5261</v>
      </c>
      <c r="U188" s="651">
        <v>38276</v>
      </c>
    </row>
    <row r="189" spans="1:21" x14ac:dyDescent="0.25">
      <c r="A189" s="646">
        <v>91813</v>
      </c>
      <c r="B189" s="647" t="s">
        <v>2805</v>
      </c>
      <c r="C189" s="648">
        <v>1.083E-4</v>
      </c>
      <c r="D189" s="648">
        <v>9.6100000000000005E-5</v>
      </c>
      <c r="E189" s="649">
        <v>43088.72</v>
      </c>
      <c r="F189" s="649">
        <v>43129</v>
      </c>
      <c r="G189" s="649">
        <v>229849</v>
      </c>
      <c r="H189" s="649"/>
      <c r="I189" s="650">
        <v>4318</v>
      </c>
      <c r="J189" s="650">
        <v>201421</v>
      </c>
      <c r="K189" s="650">
        <v>15743</v>
      </c>
      <c r="L189" s="649">
        <v>16214</v>
      </c>
      <c r="M189" s="649"/>
      <c r="N189" s="650">
        <v>8054</v>
      </c>
      <c r="O189" s="650">
        <v>74343</v>
      </c>
      <c r="P189" s="650">
        <v>0</v>
      </c>
      <c r="Q189" s="649">
        <v>5268</v>
      </c>
      <c r="R189" s="649"/>
      <c r="S189" s="650">
        <v>61435</v>
      </c>
      <c r="T189" s="651">
        <v>2581</v>
      </c>
      <c r="U189" s="651">
        <v>64016</v>
      </c>
    </row>
    <row r="190" spans="1:21" x14ac:dyDescent="0.25">
      <c r="A190" s="646">
        <v>91818</v>
      </c>
      <c r="B190" s="647" t="s">
        <v>2806</v>
      </c>
      <c r="C190" s="648">
        <v>3.8559999999999999E-4</v>
      </c>
      <c r="D190" s="648">
        <v>3.8890000000000002E-4</v>
      </c>
      <c r="E190" s="649">
        <v>416376</v>
      </c>
      <c r="F190" s="649">
        <v>174536</v>
      </c>
      <c r="G190" s="649">
        <v>818372</v>
      </c>
      <c r="H190" s="649"/>
      <c r="I190" s="650">
        <v>15375.8</v>
      </c>
      <c r="J190" s="650">
        <v>717155</v>
      </c>
      <c r="K190" s="650">
        <v>56051</v>
      </c>
      <c r="L190" s="649">
        <v>347266</v>
      </c>
      <c r="M190" s="649"/>
      <c r="N190" s="650">
        <v>28677</v>
      </c>
      <c r="O190" s="650">
        <v>264698</v>
      </c>
      <c r="P190" s="650">
        <v>0</v>
      </c>
      <c r="Q190" s="649">
        <v>10099</v>
      </c>
      <c r="R190" s="649"/>
      <c r="S190" s="650">
        <v>218739</v>
      </c>
      <c r="T190" s="651">
        <v>98677</v>
      </c>
      <c r="U190" s="651">
        <v>317416</v>
      </c>
    </row>
    <row r="191" spans="1:21" x14ac:dyDescent="0.25">
      <c r="A191" s="646">
        <v>91819</v>
      </c>
      <c r="B191" s="647" t="s">
        <v>2807</v>
      </c>
      <c r="C191" s="648">
        <v>2.8200000000000002E-4</v>
      </c>
      <c r="D191" s="648">
        <v>2.9609999999999999E-4</v>
      </c>
      <c r="E191" s="649">
        <v>118267.02</v>
      </c>
      <c r="F191" s="649">
        <v>132888</v>
      </c>
      <c r="G191" s="649">
        <v>598498</v>
      </c>
      <c r="H191" s="649"/>
      <c r="I191" s="650">
        <v>11245</v>
      </c>
      <c r="J191" s="650">
        <v>524475</v>
      </c>
      <c r="K191" s="650">
        <v>40992</v>
      </c>
      <c r="L191" s="649">
        <v>13743</v>
      </c>
      <c r="M191" s="649"/>
      <c r="N191" s="650">
        <v>20972</v>
      </c>
      <c r="O191" s="650">
        <v>193581</v>
      </c>
      <c r="P191" s="650">
        <v>0</v>
      </c>
      <c r="Q191" s="649">
        <v>11963</v>
      </c>
      <c r="R191" s="649"/>
      <c r="S191" s="650">
        <v>159970</v>
      </c>
      <c r="T191" s="651">
        <v>3219</v>
      </c>
      <c r="U191" s="651">
        <v>163189</v>
      </c>
    </row>
    <row r="192" spans="1:21" x14ac:dyDescent="0.25">
      <c r="A192" s="646">
        <v>91821</v>
      </c>
      <c r="B192" s="647" t="s">
        <v>2808</v>
      </c>
      <c r="C192" s="648">
        <v>1.63E-4</v>
      </c>
      <c r="D192" s="648">
        <v>1.5799999999999999E-4</v>
      </c>
      <c r="E192" s="649">
        <v>61732.91</v>
      </c>
      <c r="F192" s="649">
        <v>70909</v>
      </c>
      <c r="G192" s="649">
        <v>345941</v>
      </c>
      <c r="H192" s="649"/>
      <c r="I192" s="650">
        <v>6499.625</v>
      </c>
      <c r="J192" s="650">
        <v>303154</v>
      </c>
      <c r="K192" s="650">
        <v>23694</v>
      </c>
      <c r="L192" s="649">
        <v>4196</v>
      </c>
      <c r="M192" s="649"/>
      <c r="N192" s="650">
        <v>12122</v>
      </c>
      <c r="O192" s="650">
        <v>111893</v>
      </c>
      <c r="P192" s="650">
        <v>0</v>
      </c>
      <c r="Q192" s="649">
        <v>1501</v>
      </c>
      <c r="R192" s="649"/>
      <c r="S192" s="650">
        <v>92465</v>
      </c>
      <c r="T192" s="651">
        <v>1532</v>
      </c>
      <c r="U192" s="651">
        <v>93997</v>
      </c>
    </row>
    <row r="193" spans="1:21" x14ac:dyDescent="0.25">
      <c r="A193" s="646">
        <v>91831</v>
      </c>
      <c r="B193" s="647" t="s">
        <v>2809</v>
      </c>
      <c r="C193" s="648">
        <v>3.414E-4</v>
      </c>
      <c r="D193" s="648">
        <v>3.344E-4</v>
      </c>
      <c r="E193" s="649">
        <v>124107.91</v>
      </c>
      <c r="F193" s="649">
        <v>150077</v>
      </c>
      <c r="G193" s="649">
        <v>724565</v>
      </c>
      <c r="H193" s="649"/>
      <c r="I193" s="650">
        <v>13613</v>
      </c>
      <c r="J193" s="650">
        <v>634950</v>
      </c>
      <c r="K193" s="650">
        <v>49626</v>
      </c>
      <c r="L193" s="649">
        <v>12411</v>
      </c>
      <c r="M193" s="649"/>
      <c r="N193" s="650">
        <v>25390</v>
      </c>
      <c r="O193" s="650">
        <v>234357</v>
      </c>
      <c r="P193" s="650">
        <v>0</v>
      </c>
      <c r="Q193" s="649">
        <v>9146</v>
      </c>
      <c r="R193" s="649"/>
      <c r="S193" s="650">
        <v>193666</v>
      </c>
      <c r="T193" s="651">
        <v>2194</v>
      </c>
      <c r="U193" s="651">
        <v>195860</v>
      </c>
    </row>
    <row r="194" spans="1:21" x14ac:dyDescent="0.25">
      <c r="A194" s="646">
        <v>91841</v>
      </c>
      <c r="B194" s="647" t="s">
        <v>2810</v>
      </c>
      <c r="C194" s="648">
        <v>2.63E-4</v>
      </c>
      <c r="D194" s="648">
        <v>2.7290000000000002E-4</v>
      </c>
      <c r="E194" s="649">
        <v>112188.05</v>
      </c>
      <c r="F194" s="649">
        <v>122476</v>
      </c>
      <c r="G194" s="649">
        <v>558174</v>
      </c>
      <c r="H194" s="649"/>
      <c r="I194" s="650">
        <v>10487.125</v>
      </c>
      <c r="J194" s="650">
        <v>489138</v>
      </c>
      <c r="K194" s="650">
        <v>38230</v>
      </c>
      <c r="L194" s="649">
        <v>0</v>
      </c>
      <c r="M194" s="649"/>
      <c r="N194" s="650">
        <v>19559</v>
      </c>
      <c r="O194" s="650">
        <v>180538</v>
      </c>
      <c r="P194" s="650">
        <v>0</v>
      </c>
      <c r="Q194" s="649">
        <v>24859</v>
      </c>
      <c r="R194" s="649"/>
      <c r="S194" s="650">
        <v>149192</v>
      </c>
      <c r="T194" s="651">
        <v>-10148</v>
      </c>
      <c r="U194" s="651">
        <v>139044</v>
      </c>
    </row>
    <row r="195" spans="1:21" x14ac:dyDescent="0.25">
      <c r="A195" s="646">
        <v>91851</v>
      </c>
      <c r="B195" s="647" t="s">
        <v>2811</v>
      </c>
      <c r="C195" s="648">
        <v>7.2059999999999995E-4</v>
      </c>
      <c r="D195" s="648">
        <v>7.8410000000000003E-4</v>
      </c>
      <c r="E195" s="649">
        <v>289167</v>
      </c>
      <c r="F195" s="649">
        <v>351899</v>
      </c>
      <c r="G195" s="649">
        <v>1529355</v>
      </c>
      <c r="H195" s="649"/>
      <c r="I195" s="650">
        <v>28734</v>
      </c>
      <c r="J195" s="650">
        <v>1340202</v>
      </c>
      <c r="K195" s="650">
        <v>104747</v>
      </c>
      <c r="L195" s="649">
        <v>7182</v>
      </c>
      <c r="M195" s="649"/>
      <c r="N195" s="650">
        <v>53590</v>
      </c>
      <c r="O195" s="650">
        <v>494662</v>
      </c>
      <c r="P195" s="650">
        <v>0</v>
      </c>
      <c r="Q195" s="649">
        <v>62684</v>
      </c>
      <c r="R195" s="649"/>
      <c r="S195" s="650">
        <v>408774</v>
      </c>
      <c r="T195" s="651">
        <v>-14788</v>
      </c>
      <c r="U195" s="651">
        <v>393986</v>
      </c>
    </row>
    <row r="196" spans="1:21" x14ac:dyDescent="0.25">
      <c r="A196" s="646">
        <v>91861</v>
      </c>
      <c r="B196" s="647" t="s">
        <v>2812</v>
      </c>
      <c r="C196" s="648">
        <v>1.9899999999999999E-5</v>
      </c>
      <c r="D196" s="648">
        <v>1.8499999999999999E-5</v>
      </c>
      <c r="E196" s="649">
        <v>7958</v>
      </c>
      <c r="F196" s="649">
        <v>8303</v>
      </c>
      <c r="G196" s="649">
        <v>42234</v>
      </c>
      <c r="H196" s="649"/>
      <c r="I196" s="650">
        <v>794</v>
      </c>
      <c r="J196" s="650">
        <v>37011</v>
      </c>
      <c r="K196" s="650">
        <v>2893</v>
      </c>
      <c r="L196" s="649">
        <v>3091</v>
      </c>
      <c r="M196" s="649"/>
      <c r="N196" s="650">
        <v>1480</v>
      </c>
      <c r="O196" s="650">
        <v>13661</v>
      </c>
      <c r="P196" s="650">
        <v>0</v>
      </c>
      <c r="Q196" s="649">
        <v>221</v>
      </c>
      <c r="R196" s="649"/>
      <c r="S196" s="650">
        <v>11289</v>
      </c>
      <c r="T196" s="651">
        <v>930</v>
      </c>
      <c r="U196" s="651">
        <v>12219</v>
      </c>
    </row>
    <row r="197" spans="1:21" x14ac:dyDescent="0.25">
      <c r="A197" s="646">
        <v>91871</v>
      </c>
      <c r="B197" s="647" t="s">
        <v>2813</v>
      </c>
      <c r="C197" s="648">
        <v>1.2712000000000001E-3</v>
      </c>
      <c r="D197" s="648">
        <v>1.3523000000000001E-3</v>
      </c>
      <c r="E197" s="649">
        <v>508749.63</v>
      </c>
      <c r="F197" s="649">
        <v>606904</v>
      </c>
      <c r="G197" s="649">
        <v>2697912</v>
      </c>
      <c r="H197" s="649"/>
      <c r="I197" s="650">
        <v>50689</v>
      </c>
      <c r="J197" s="650">
        <v>2364231</v>
      </c>
      <c r="K197" s="650">
        <v>184783</v>
      </c>
      <c r="L197" s="649">
        <v>0</v>
      </c>
      <c r="M197" s="649"/>
      <c r="N197" s="650">
        <v>94538</v>
      </c>
      <c r="O197" s="650">
        <v>872625</v>
      </c>
      <c r="P197" s="650">
        <v>0</v>
      </c>
      <c r="Q197" s="649">
        <v>108234</v>
      </c>
      <c r="R197" s="649"/>
      <c r="S197" s="650">
        <v>721112</v>
      </c>
      <c r="T197" s="651">
        <v>-34437</v>
      </c>
      <c r="U197" s="651">
        <v>686676</v>
      </c>
    </row>
    <row r="198" spans="1:21" x14ac:dyDescent="0.25">
      <c r="A198" s="646">
        <v>91881</v>
      </c>
      <c r="B198" s="647" t="s">
        <v>2814</v>
      </c>
      <c r="C198" s="648">
        <v>1.01E-5</v>
      </c>
      <c r="D198" s="648">
        <v>2.1399999999999998E-5</v>
      </c>
      <c r="E198" s="649">
        <v>5881.13</v>
      </c>
      <c r="F198" s="649">
        <v>9604</v>
      </c>
      <c r="G198" s="649">
        <v>21436</v>
      </c>
      <c r="H198" s="649"/>
      <c r="I198" s="650">
        <v>402.73750000000001</v>
      </c>
      <c r="J198" s="650">
        <v>18784</v>
      </c>
      <c r="K198" s="650">
        <v>1468</v>
      </c>
      <c r="L198" s="649">
        <v>0</v>
      </c>
      <c r="M198" s="649"/>
      <c r="N198" s="650">
        <v>751</v>
      </c>
      <c r="O198" s="650">
        <v>6933</v>
      </c>
      <c r="P198" s="650">
        <v>0</v>
      </c>
      <c r="Q198" s="649">
        <v>14714</v>
      </c>
      <c r="R198" s="649"/>
      <c r="S198" s="650">
        <v>5729</v>
      </c>
      <c r="T198" s="651">
        <v>-5904</v>
      </c>
      <c r="U198" s="651">
        <v>-175</v>
      </c>
    </row>
    <row r="199" spans="1:21" x14ac:dyDescent="0.25">
      <c r="A199" s="646">
        <v>91901</v>
      </c>
      <c r="B199" s="647" t="s">
        <v>2815</v>
      </c>
      <c r="C199" s="648">
        <v>3.6564000000000002E-3</v>
      </c>
      <c r="D199" s="648">
        <v>3.4198000000000002E-3</v>
      </c>
      <c r="E199" s="649">
        <v>1388384.1</v>
      </c>
      <c r="F199" s="649">
        <v>1534786</v>
      </c>
      <c r="G199" s="649">
        <v>7760106</v>
      </c>
      <c r="H199" s="649"/>
      <c r="I199" s="650">
        <v>145799</v>
      </c>
      <c r="J199" s="650">
        <v>6800326</v>
      </c>
      <c r="K199" s="650">
        <v>531498</v>
      </c>
      <c r="L199" s="649">
        <v>147570</v>
      </c>
      <c r="M199" s="649"/>
      <c r="N199" s="650">
        <v>271923</v>
      </c>
      <c r="O199" s="650">
        <v>2509965</v>
      </c>
      <c r="P199" s="650">
        <v>0</v>
      </c>
      <c r="Q199" s="649">
        <v>0</v>
      </c>
      <c r="R199" s="649"/>
      <c r="S199" s="650">
        <v>2074162</v>
      </c>
      <c r="T199" s="651">
        <v>57850</v>
      </c>
      <c r="U199" s="651">
        <v>2132013</v>
      </c>
    </row>
    <row r="200" spans="1:21" x14ac:dyDescent="0.25">
      <c r="A200" s="646">
        <v>91903</v>
      </c>
      <c r="B200" s="647" t="s">
        <v>2816</v>
      </c>
      <c r="C200" s="648">
        <v>8.3999999999999992E-6</v>
      </c>
      <c r="D200" s="648">
        <v>9.5000000000000005E-6</v>
      </c>
      <c r="E200" s="649">
        <v>4422</v>
      </c>
      <c r="F200" s="649">
        <v>4264</v>
      </c>
      <c r="G200" s="649">
        <v>17828</v>
      </c>
      <c r="H200" s="649"/>
      <c r="I200" s="650">
        <v>334.95</v>
      </c>
      <c r="J200" s="650">
        <v>15623</v>
      </c>
      <c r="K200" s="650">
        <v>1221</v>
      </c>
      <c r="L200" s="649">
        <v>656</v>
      </c>
      <c r="M200" s="649"/>
      <c r="N200" s="650">
        <v>625</v>
      </c>
      <c r="O200" s="650">
        <v>5766</v>
      </c>
      <c r="P200" s="650">
        <v>0</v>
      </c>
      <c r="Q200" s="649">
        <v>6052</v>
      </c>
      <c r="R200" s="649"/>
      <c r="S200" s="650">
        <v>4765</v>
      </c>
      <c r="T200" s="651">
        <v>-2825</v>
      </c>
      <c r="U200" s="651">
        <v>1940</v>
      </c>
    </row>
    <row r="201" spans="1:21" x14ac:dyDescent="0.25">
      <c r="A201" s="646">
        <v>91904</v>
      </c>
      <c r="B201" s="647" t="s">
        <v>2817</v>
      </c>
      <c r="C201" s="648">
        <v>2.3300000000000001E-5</v>
      </c>
      <c r="D201" s="648">
        <v>1.1600000000000001E-5</v>
      </c>
      <c r="E201" s="649">
        <v>9195</v>
      </c>
      <c r="F201" s="649">
        <v>5206</v>
      </c>
      <c r="G201" s="649">
        <v>49450</v>
      </c>
      <c r="H201" s="649"/>
      <c r="I201" s="650">
        <v>929.08749999999998</v>
      </c>
      <c r="J201" s="650">
        <v>43334</v>
      </c>
      <c r="K201" s="650">
        <v>3387</v>
      </c>
      <c r="L201" s="649">
        <v>9161</v>
      </c>
      <c r="M201" s="649"/>
      <c r="N201" s="650">
        <v>1733</v>
      </c>
      <c r="O201" s="650">
        <v>15994</v>
      </c>
      <c r="P201" s="650">
        <v>0</v>
      </c>
      <c r="Q201" s="649">
        <v>0</v>
      </c>
      <c r="R201" s="649"/>
      <c r="S201" s="650">
        <v>13217</v>
      </c>
      <c r="T201" s="651">
        <v>3062</v>
      </c>
      <c r="U201" s="651">
        <v>16279</v>
      </c>
    </row>
    <row r="202" spans="1:21" x14ac:dyDescent="0.25">
      <c r="A202" s="646">
        <v>91908</v>
      </c>
      <c r="B202" s="647" t="s">
        <v>2818</v>
      </c>
      <c r="C202" s="648">
        <v>1.3699999999999999E-5</v>
      </c>
      <c r="D202" s="648">
        <v>1.73E-5</v>
      </c>
      <c r="E202" s="649">
        <v>3751.2</v>
      </c>
      <c r="F202" s="649">
        <v>7764</v>
      </c>
      <c r="G202" s="649">
        <v>29076</v>
      </c>
      <c r="H202" s="649"/>
      <c r="I202" s="650">
        <v>546.28750000000002</v>
      </c>
      <c r="J202" s="650">
        <v>25480</v>
      </c>
      <c r="K202" s="650">
        <v>1991</v>
      </c>
      <c r="L202" s="649">
        <v>1638</v>
      </c>
      <c r="M202" s="649"/>
      <c r="N202" s="650">
        <v>1019</v>
      </c>
      <c r="O202" s="650">
        <v>9404</v>
      </c>
      <c r="P202" s="650">
        <v>0</v>
      </c>
      <c r="Q202" s="649">
        <v>3446</v>
      </c>
      <c r="R202" s="649"/>
      <c r="S202" s="650">
        <v>7772</v>
      </c>
      <c r="T202" s="651">
        <v>-83</v>
      </c>
      <c r="U202" s="651">
        <v>7689</v>
      </c>
    </row>
    <row r="203" spans="1:21" x14ac:dyDescent="0.25">
      <c r="A203" s="646">
        <v>91911</v>
      </c>
      <c r="B203" s="647" t="s">
        <v>2819</v>
      </c>
      <c r="C203" s="648">
        <v>4.639E-4</v>
      </c>
      <c r="D203" s="648">
        <v>4.4079999999999998E-4</v>
      </c>
      <c r="E203" s="649">
        <v>186806.7</v>
      </c>
      <c r="F203" s="649">
        <v>197828</v>
      </c>
      <c r="G203" s="649">
        <v>984551</v>
      </c>
      <c r="H203" s="649"/>
      <c r="I203" s="650">
        <v>18498</v>
      </c>
      <c r="J203" s="650">
        <v>862781</v>
      </c>
      <c r="K203" s="650">
        <v>67433</v>
      </c>
      <c r="L203" s="649">
        <v>9361</v>
      </c>
      <c r="M203" s="649"/>
      <c r="N203" s="650">
        <v>34500</v>
      </c>
      <c r="O203" s="650">
        <v>318448</v>
      </c>
      <c r="P203" s="650">
        <v>0</v>
      </c>
      <c r="Q203" s="649">
        <v>8482</v>
      </c>
      <c r="R203" s="649"/>
      <c r="S203" s="650">
        <v>263156</v>
      </c>
      <c r="T203" s="651">
        <v>-1046</v>
      </c>
      <c r="U203" s="651">
        <v>262110</v>
      </c>
    </row>
    <row r="204" spans="1:21" x14ac:dyDescent="0.25">
      <c r="A204" s="646">
        <v>91917</v>
      </c>
      <c r="B204" s="647" t="s">
        <v>2820</v>
      </c>
      <c r="C204" s="648">
        <v>1.36E-5</v>
      </c>
      <c r="D204" s="648">
        <v>1.42E-5</v>
      </c>
      <c r="E204" s="649">
        <v>6743.42</v>
      </c>
      <c r="F204" s="649">
        <v>6373</v>
      </c>
      <c r="G204" s="649">
        <v>28864</v>
      </c>
      <c r="H204" s="649"/>
      <c r="I204" s="650">
        <v>542</v>
      </c>
      <c r="J204" s="650">
        <v>25294</v>
      </c>
      <c r="K204" s="650">
        <v>1977</v>
      </c>
      <c r="L204" s="649">
        <v>731</v>
      </c>
      <c r="M204" s="649"/>
      <c r="N204" s="650">
        <v>1011</v>
      </c>
      <c r="O204" s="650">
        <v>9336</v>
      </c>
      <c r="P204" s="650">
        <v>0</v>
      </c>
      <c r="Q204" s="649">
        <v>0</v>
      </c>
      <c r="R204" s="649"/>
      <c r="S204" s="650">
        <v>7715</v>
      </c>
      <c r="T204" s="651">
        <v>203</v>
      </c>
      <c r="U204" s="651">
        <v>7918</v>
      </c>
    </row>
    <row r="205" spans="1:21" x14ac:dyDescent="0.25">
      <c r="A205" s="646">
        <v>91921</v>
      </c>
      <c r="B205" s="647" t="s">
        <v>2821</v>
      </c>
      <c r="C205" s="648">
        <v>3.6600000000000001E-4</v>
      </c>
      <c r="D205" s="648">
        <v>3.4840000000000001E-4</v>
      </c>
      <c r="E205" s="649">
        <v>136994.49</v>
      </c>
      <c r="F205" s="649">
        <v>156360</v>
      </c>
      <c r="G205" s="649">
        <v>776774.61</v>
      </c>
      <c r="H205" s="649"/>
      <c r="I205" s="650">
        <v>14594.25</v>
      </c>
      <c r="J205" s="650">
        <v>680702</v>
      </c>
      <c r="K205" s="650">
        <v>53202</v>
      </c>
      <c r="L205" s="649">
        <v>0</v>
      </c>
      <c r="M205" s="649"/>
      <c r="N205" s="650">
        <v>27219</v>
      </c>
      <c r="O205" s="650">
        <v>251244</v>
      </c>
      <c r="P205" s="650">
        <v>0</v>
      </c>
      <c r="Q205" s="649">
        <v>12578</v>
      </c>
      <c r="R205" s="649"/>
      <c r="S205" s="650">
        <v>207620</v>
      </c>
      <c r="T205" s="651">
        <v>-4638</v>
      </c>
      <c r="U205" s="651">
        <v>202982</v>
      </c>
    </row>
    <row r="206" spans="1:21" x14ac:dyDescent="0.25">
      <c r="A206" s="646">
        <v>92001</v>
      </c>
      <c r="B206" s="647" t="s">
        <v>2822</v>
      </c>
      <c r="C206" s="648">
        <v>1.9604000000000002E-3</v>
      </c>
      <c r="D206" s="648">
        <v>1.7531000000000001E-3</v>
      </c>
      <c r="E206" s="649">
        <v>743048.49</v>
      </c>
      <c r="F206" s="649">
        <v>786781</v>
      </c>
      <c r="G206" s="649">
        <v>4160626</v>
      </c>
      <c r="H206" s="649"/>
      <c r="I206" s="650">
        <v>78171</v>
      </c>
      <c r="J206" s="650">
        <v>3646034</v>
      </c>
      <c r="K206" s="650">
        <v>284966</v>
      </c>
      <c r="L206" s="649">
        <v>65513</v>
      </c>
      <c r="M206" s="649"/>
      <c r="N206" s="650">
        <v>145793</v>
      </c>
      <c r="O206" s="650">
        <v>1345732</v>
      </c>
      <c r="P206" s="650">
        <v>0</v>
      </c>
      <c r="Q206" s="649">
        <v>52440.480000000003</v>
      </c>
      <c r="R206" s="649"/>
      <c r="S206" s="650">
        <v>1112074</v>
      </c>
      <c r="T206" s="651">
        <v>-9057</v>
      </c>
      <c r="U206" s="651">
        <v>1103017</v>
      </c>
    </row>
    <row r="207" spans="1:21" x14ac:dyDescent="0.25">
      <c r="A207" s="646">
        <v>92005</v>
      </c>
      <c r="B207" s="647" t="s">
        <v>2823</v>
      </c>
      <c r="C207" s="648">
        <v>4.6499999999999999E-5</v>
      </c>
      <c r="D207" s="648">
        <v>4.5800000000000002E-5</v>
      </c>
      <c r="E207" s="649">
        <v>20891.13</v>
      </c>
      <c r="F207" s="649">
        <v>20555</v>
      </c>
      <c r="G207" s="649">
        <v>98689</v>
      </c>
      <c r="H207" s="649"/>
      <c r="I207" s="650">
        <v>1854.1875</v>
      </c>
      <c r="J207" s="650">
        <v>86483</v>
      </c>
      <c r="K207" s="650">
        <v>6759</v>
      </c>
      <c r="L207" s="649">
        <v>2627</v>
      </c>
      <c r="M207" s="649"/>
      <c r="N207" s="650">
        <v>3458</v>
      </c>
      <c r="O207" s="650">
        <v>31920</v>
      </c>
      <c r="P207" s="650">
        <v>0</v>
      </c>
      <c r="Q207" s="649">
        <v>597</v>
      </c>
      <c r="R207" s="649"/>
      <c r="S207" s="650">
        <v>26378</v>
      </c>
      <c r="T207" s="651">
        <v>674</v>
      </c>
      <c r="U207" s="651">
        <v>27053</v>
      </c>
    </row>
    <row r="208" spans="1:21" x14ac:dyDescent="0.25">
      <c r="A208" s="646">
        <v>92011</v>
      </c>
      <c r="B208" s="647" t="s">
        <v>2824</v>
      </c>
      <c r="C208" s="648">
        <v>1.8660000000000001E-4</v>
      </c>
      <c r="D208" s="648">
        <v>1.8230000000000001E-4</v>
      </c>
      <c r="E208" s="649">
        <v>77716</v>
      </c>
      <c r="F208" s="649">
        <v>81815</v>
      </c>
      <c r="G208" s="649">
        <v>396028</v>
      </c>
      <c r="H208" s="649"/>
      <c r="I208" s="650">
        <v>7441</v>
      </c>
      <c r="J208" s="650">
        <v>347047</v>
      </c>
      <c r="K208" s="650">
        <v>27124</v>
      </c>
      <c r="L208" s="649">
        <v>17408</v>
      </c>
      <c r="M208" s="649"/>
      <c r="N208" s="650">
        <v>13877</v>
      </c>
      <c r="O208" s="650">
        <v>128093</v>
      </c>
      <c r="P208" s="650">
        <v>0</v>
      </c>
      <c r="Q208" s="649">
        <v>0</v>
      </c>
      <c r="R208" s="649"/>
      <c r="S208" s="650">
        <v>105852</v>
      </c>
      <c r="T208" s="651">
        <v>7783</v>
      </c>
      <c r="U208" s="651">
        <v>113635</v>
      </c>
    </row>
    <row r="209" spans="1:21" x14ac:dyDescent="0.25">
      <c r="A209" s="646">
        <v>92017</v>
      </c>
      <c r="B209" s="647" t="s">
        <v>2825</v>
      </c>
      <c r="C209" s="648">
        <v>3.5099999999999999E-5</v>
      </c>
      <c r="D209" s="648">
        <v>3.7100000000000001E-5</v>
      </c>
      <c r="E209" s="649">
        <v>14855.15</v>
      </c>
      <c r="F209" s="649">
        <v>16650</v>
      </c>
      <c r="G209" s="649">
        <v>74494</v>
      </c>
      <c r="H209" s="649"/>
      <c r="I209" s="650">
        <v>1400</v>
      </c>
      <c r="J209" s="650">
        <v>65280</v>
      </c>
      <c r="K209" s="650">
        <v>5102</v>
      </c>
      <c r="L209" s="649">
        <v>388</v>
      </c>
      <c r="M209" s="649"/>
      <c r="N209" s="650">
        <v>2610</v>
      </c>
      <c r="O209" s="650">
        <v>24095</v>
      </c>
      <c r="P209" s="650">
        <v>0</v>
      </c>
      <c r="Q209" s="649">
        <v>2160</v>
      </c>
      <c r="R209" s="649"/>
      <c r="S209" s="650">
        <v>19911</v>
      </c>
      <c r="T209" s="651">
        <v>-766</v>
      </c>
      <c r="U209" s="651">
        <v>19146</v>
      </c>
    </row>
    <row r="210" spans="1:21" x14ac:dyDescent="0.25">
      <c r="A210" s="646">
        <v>92021</v>
      </c>
      <c r="B210" s="647" t="s">
        <v>2826</v>
      </c>
      <c r="C210" s="648">
        <v>1.4249999999999999E-4</v>
      </c>
      <c r="D210" s="648">
        <v>9.8999999999999994E-5</v>
      </c>
      <c r="E210" s="649">
        <v>63077</v>
      </c>
      <c r="F210" s="649">
        <v>44431</v>
      </c>
      <c r="G210" s="649">
        <v>302433</v>
      </c>
      <c r="H210" s="649"/>
      <c r="I210" s="650">
        <v>5682.1875</v>
      </c>
      <c r="J210" s="650">
        <v>265027</v>
      </c>
      <c r="K210" s="650">
        <v>20714</v>
      </c>
      <c r="L210" s="649">
        <v>27119</v>
      </c>
      <c r="M210" s="649"/>
      <c r="N210" s="650">
        <v>10598</v>
      </c>
      <c r="O210" s="650">
        <v>97820</v>
      </c>
      <c r="P210" s="650">
        <v>0</v>
      </c>
      <c r="Q210" s="649">
        <v>18999</v>
      </c>
      <c r="R210" s="649"/>
      <c r="S210" s="650">
        <v>80836</v>
      </c>
      <c r="T210" s="651">
        <v>-831</v>
      </c>
      <c r="U210" s="651">
        <v>80004</v>
      </c>
    </row>
    <row r="211" spans="1:21" x14ac:dyDescent="0.25">
      <c r="A211" s="646">
        <v>92101</v>
      </c>
      <c r="B211" s="647" t="s">
        <v>2827</v>
      </c>
      <c r="C211" s="648">
        <v>8.6870000000000003E-4</v>
      </c>
      <c r="D211" s="648">
        <v>9.1750000000000002E-4</v>
      </c>
      <c r="E211" s="649">
        <v>332881</v>
      </c>
      <c r="F211" s="649">
        <v>411768</v>
      </c>
      <c r="G211" s="649">
        <v>1843672</v>
      </c>
      <c r="H211" s="649"/>
      <c r="I211" s="650">
        <v>34639</v>
      </c>
      <c r="J211" s="650">
        <v>1615645</v>
      </c>
      <c r="K211" s="650">
        <v>126275</v>
      </c>
      <c r="L211" s="649">
        <v>18519</v>
      </c>
      <c r="M211" s="649"/>
      <c r="N211" s="650">
        <v>64604</v>
      </c>
      <c r="O211" s="650">
        <v>596326</v>
      </c>
      <c r="P211" s="650">
        <v>0</v>
      </c>
      <c r="Q211" s="649">
        <v>45788</v>
      </c>
      <c r="R211" s="649"/>
      <c r="S211" s="650">
        <v>492787</v>
      </c>
      <c r="T211" s="651">
        <v>-2848</v>
      </c>
      <c r="U211" s="651">
        <v>489939</v>
      </c>
    </row>
    <row r="212" spans="1:21" x14ac:dyDescent="0.25">
      <c r="A212" s="646">
        <v>92104</v>
      </c>
      <c r="B212" s="647" t="s">
        <v>2828</v>
      </c>
      <c r="C212" s="648">
        <v>8.8000000000000004E-6</v>
      </c>
      <c r="D212" s="648">
        <v>8.1000000000000004E-6</v>
      </c>
      <c r="E212" s="649">
        <v>4596</v>
      </c>
      <c r="F212" s="649">
        <v>3635</v>
      </c>
      <c r="G212" s="649">
        <v>18677</v>
      </c>
      <c r="H212" s="649"/>
      <c r="I212" s="650">
        <v>351</v>
      </c>
      <c r="J212" s="650">
        <v>16367</v>
      </c>
      <c r="K212" s="650">
        <v>1279</v>
      </c>
      <c r="L212" s="649">
        <v>4163</v>
      </c>
      <c r="M212" s="649"/>
      <c r="N212" s="650">
        <v>654</v>
      </c>
      <c r="O212" s="650">
        <v>6041</v>
      </c>
      <c r="P212" s="650">
        <v>0</v>
      </c>
      <c r="Q212" s="649">
        <v>0</v>
      </c>
      <c r="R212" s="649"/>
      <c r="S212" s="650">
        <v>4992</v>
      </c>
      <c r="T212" s="651">
        <v>1637</v>
      </c>
      <c r="U212" s="651">
        <v>6629</v>
      </c>
    </row>
    <row r="213" spans="1:21" x14ac:dyDescent="0.25">
      <c r="A213" s="646">
        <v>92109</v>
      </c>
      <c r="B213" s="647" t="s">
        <v>2829</v>
      </c>
      <c r="C213" s="648">
        <v>1.7909999999999999E-4</v>
      </c>
      <c r="D213" s="648">
        <v>1.7310000000000001E-4</v>
      </c>
      <c r="E213" s="649">
        <v>70342</v>
      </c>
      <c r="F213" s="649">
        <v>77686</v>
      </c>
      <c r="G213" s="649">
        <v>380110</v>
      </c>
      <c r="H213" s="649"/>
      <c r="I213" s="650">
        <v>7142</v>
      </c>
      <c r="J213" s="650">
        <v>333098</v>
      </c>
      <c r="K213" s="650">
        <v>26034</v>
      </c>
      <c r="L213" s="649">
        <v>3189</v>
      </c>
      <c r="M213" s="649"/>
      <c r="N213" s="650">
        <v>13319</v>
      </c>
      <c r="O213" s="650">
        <v>122945</v>
      </c>
      <c r="P213" s="650">
        <v>0</v>
      </c>
      <c r="Q213" s="649">
        <v>19542</v>
      </c>
      <c r="R213" s="649"/>
      <c r="S213" s="650">
        <v>101598</v>
      </c>
      <c r="T213" s="651">
        <v>-5478</v>
      </c>
      <c r="U213" s="651">
        <v>96120</v>
      </c>
    </row>
    <row r="214" spans="1:21" x14ac:dyDescent="0.25">
      <c r="A214" s="646">
        <v>92111</v>
      </c>
      <c r="B214" s="647" t="s">
        <v>2830</v>
      </c>
      <c r="C214" s="648">
        <v>5.0009999999999996E-4</v>
      </c>
      <c r="D214" s="648">
        <v>5.3319999999999995E-4</v>
      </c>
      <c r="E214" s="649">
        <v>205690.42</v>
      </c>
      <c r="F214" s="649">
        <v>239297</v>
      </c>
      <c r="G214" s="649">
        <v>1061380</v>
      </c>
      <c r="H214" s="649"/>
      <c r="I214" s="650">
        <v>19941</v>
      </c>
      <c r="J214" s="650">
        <v>930107</v>
      </c>
      <c r="K214" s="650">
        <v>72695</v>
      </c>
      <c r="L214" s="649">
        <v>14524</v>
      </c>
      <c r="M214" s="649"/>
      <c r="N214" s="650">
        <v>37192</v>
      </c>
      <c r="O214" s="650">
        <v>343298</v>
      </c>
      <c r="P214" s="650">
        <v>0</v>
      </c>
      <c r="Q214" s="649">
        <v>17909</v>
      </c>
      <c r="R214" s="649"/>
      <c r="S214" s="650">
        <v>283691</v>
      </c>
      <c r="T214" s="651">
        <v>1816</v>
      </c>
      <c r="U214" s="651">
        <v>285507</v>
      </c>
    </row>
    <row r="215" spans="1:21" x14ac:dyDescent="0.25">
      <c r="A215" s="646">
        <v>92113</v>
      </c>
      <c r="B215" s="647" t="s">
        <v>2831</v>
      </c>
      <c r="C215" s="648">
        <v>2.2099999999999998E-5</v>
      </c>
      <c r="D215" s="648">
        <v>2.2900000000000001E-5</v>
      </c>
      <c r="E215" s="649">
        <v>27800</v>
      </c>
      <c r="F215" s="649">
        <v>10277</v>
      </c>
      <c r="G215" s="649">
        <v>46904</v>
      </c>
      <c r="H215" s="649"/>
      <c r="I215" s="650">
        <v>881.23749999999995</v>
      </c>
      <c r="J215" s="650">
        <v>41103</v>
      </c>
      <c r="K215" s="650">
        <v>3212</v>
      </c>
      <c r="L215" s="649">
        <v>25322</v>
      </c>
      <c r="M215" s="649"/>
      <c r="N215" s="650">
        <v>1644</v>
      </c>
      <c r="O215" s="650">
        <v>15171</v>
      </c>
      <c r="P215" s="650">
        <v>0</v>
      </c>
      <c r="Q215" s="649">
        <v>0</v>
      </c>
      <c r="R215" s="649"/>
      <c r="S215" s="650">
        <v>12537</v>
      </c>
      <c r="T215" s="651">
        <v>7718</v>
      </c>
      <c r="U215" s="651">
        <v>20255</v>
      </c>
    </row>
    <row r="216" spans="1:21" x14ac:dyDescent="0.25">
      <c r="A216" s="646">
        <v>92201</v>
      </c>
      <c r="B216" s="647" t="s">
        <v>2832</v>
      </c>
      <c r="C216" s="648">
        <v>1.0267E-3</v>
      </c>
      <c r="D216" s="648">
        <v>9.8930000000000003E-4</v>
      </c>
      <c r="E216" s="649">
        <v>411545</v>
      </c>
      <c r="F216" s="649">
        <v>443992</v>
      </c>
      <c r="G216" s="649">
        <v>2179001</v>
      </c>
      <c r="H216" s="649"/>
      <c r="I216" s="650">
        <v>40940</v>
      </c>
      <c r="J216" s="650">
        <v>1909500</v>
      </c>
      <c r="K216" s="650">
        <v>149242</v>
      </c>
      <c r="L216" s="649">
        <v>60698</v>
      </c>
      <c r="M216" s="649"/>
      <c r="N216" s="650">
        <v>76355</v>
      </c>
      <c r="O216" s="650">
        <v>704786</v>
      </c>
      <c r="P216" s="650">
        <v>0</v>
      </c>
      <c r="Q216" s="649">
        <v>0</v>
      </c>
      <c r="R216" s="649"/>
      <c r="S216" s="650">
        <v>582415</v>
      </c>
      <c r="T216" s="651">
        <v>23895</v>
      </c>
      <c r="U216" s="651">
        <v>606310</v>
      </c>
    </row>
    <row r="217" spans="1:21" x14ac:dyDescent="0.25">
      <c r="A217" s="646">
        <v>92301</v>
      </c>
      <c r="B217" s="647" t="s">
        <v>2833</v>
      </c>
      <c r="C217" s="648">
        <v>5.2411000000000003E-3</v>
      </c>
      <c r="D217" s="648">
        <v>5.0804999999999999E-3</v>
      </c>
      <c r="E217" s="649">
        <v>2094643.33</v>
      </c>
      <c r="F217" s="649">
        <v>2280098</v>
      </c>
      <c r="G217" s="649">
        <v>11123370</v>
      </c>
      <c r="H217" s="649"/>
      <c r="I217" s="650">
        <v>208989</v>
      </c>
      <c r="J217" s="650">
        <v>9747618</v>
      </c>
      <c r="K217" s="650">
        <v>761852</v>
      </c>
      <c r="L217" s="649">
        <v>77417</v>
      </c>
      <c r="M217" s="649"/>
      <c r="N217" s="650">
        <v>389775</v>
      </c>
      <c r="O217" s="650">
        <v>3597795</v>
      </c>
      <c r="P217" s="650">
        <v>0</v>
      </c>
      <c r="Q217" s="649">
        <v>16658.29</v>
      </c>
      <c r="R217" s="649"/>
      <c r="S217" s="650">
        <v>2973114</v>
      </c>
      <c r="T217" s="651">
        <v>15378</v>
      </c>
      <c r="U217" s="651">
        <v>2988491</v>
      </c>
    </row>
    <row r="218" spans="1:21" x14ac:dyDescent="0.25">
      <c r="A218" s="646">
        <v>92302</v>
      </c>
      <c r="B218" s="647" t="s">
        <v>2834</v>
      </c>
      <c r="C218" s="648">
        <v>3.168E-4</v>
      </c>
      <c r="D218" s="648">
        <v>2.9910000000000001E-4</v>
      </c>
      <c r="E218" s="649">
        <v>116637</v>
      </c>
      <c r="F218" s="649">
        <v>134234</v>
      </c>
      <c r="G218" s="649">
        <v>672356</v>
      </c>
      <c r="H218" s="649"/>
      <c r="I218" s="650">
        <v>12632.4</v>
      </c>
      <c r="J218" s="650">
        <v>589198</v>
      </c>
      <c r="K218" s="650">
        <v>46050</v>
      </c>
      <c r="L218" s="649">
        <v>0</v>
      </c>
      <c r="M218" s="649"/>
      <c r="N218" s="650">
        <v>23560</v>
      </c>
      <c r="O218" s="650">
        <v>217470</v>
      </c>
      <c r="P218" s="650">
        <v>0</v>
      </c>
      <c r="Q218" s="649">
        <v>9658</v>
      </c>
      <c r="R218" s="649"/>
      <c r="S218" s="650">
        <v>179711</v>
      </c>
      <c r="T218" s="651">
        <v>-3995</v>
      </c>
      <c r="U218" s="651">
        <v>175716</v>
      </c>
    </row>
    <row r="219" spans="1:21" x14ac:dyDescent="0.25">
      <c r="A219" s="646">
        <v>92311</v>
      </c>
      <c r="B219" s="647" t="s">
        <v>2835</v>
      </c>
      <c r="C219" s="648">
        <v>2.1857000000000001E-3</v>
      </c>
      <c r="D219" s="648">
        <v>2.1316E-3</v>
      </c>
      <c r="E219" s="649">
        <v>841005.71</v>
      </c>
      <c r="F219" s="649">
        <v>956649</v>
      </c>
      <c r="G219" s="649">
        <v>4638788</v>
      </c>
      <c r="H219" s="649"/>
      <c r="I219" s="650">
        <v>87155</v>
      </c>
      <c r="J219" s="650">
        <v>4065057</v>
      </c>
      <c r="K219" s="650">
        <v>317716</v>
      </c>
      <c r="L219" s="649">
        <v>0</v>
      </c>
      <c r="M219" s="649"/>
      <c r="N219" s="650">
        <v>162548</v>
      </c>
      <c r="O219" s="650">
        <v>1500391</v>
      </c>
      <c r="P219" s="650">
        <v>0</v>
      </c>
      <c r="Q219" s="649">
        <v>92864</v>
      </c>
      <c r="R219" s="649"/>
      <c r="S219" s="650">
        <v>1239880</v>
      </c>
      <c r="T219" s="651">
        <v>-38618</v>
      </c>
      <c r="U219" s="651">
        <v>1201261</v>
      </c>
    </row>
    <row r="220" spans="1:21" x14ac:dyDescent="0.25">
      <c r="A220" s="646">
        <v>92317</v>
      </c>
      <c r="B220" s="647" t="s">
        <v>2836</v>
      </c>
      <c r="C220" s="648">
        <v>2.9600000000000001E-5</v>
      </c>
      <c r="D220" s="648">
        <v>3.3300000000000003E-5</v>
      </c>
      <c r="E220" s="649">
        <v>20482</v>
      </c>
      <c r="F220" s="649">
        <v>14945</v>
      </c>
      <c r="G220" s="649">
        <v>62821</v>
      </c>
      <c r="H220" s="649"/>
      <c r="I220" s="650">
        <v>1180.3</v>
      </c>
      <c r="J220" s="650">
        <v>55051</v>
      </c>
      <c r="K220" s="650">
        <v>4303</v>
      </c>
      <c r="L220" s="649">
        <v>12749</v>
      </c>
      <c r="M220" s="649"/>
      <c r="N220" s="650">
        <v>2201</v>
      </c>
      <c r="O220" s="650">
        <v>20319</v>
      </c>
      <c r="P220" s="650">
        <v>0</v>
      </c>
      <c r="Q220" s="649">
        <v>0</v>
      </c>
      <c r="R220" s="649"/>
      <c r="S220" s="650">
        <v>16791</v>
      </c>
      <c r="T220" s="651">
        <v>4401</v>
      </c>
      <c r="U220" s="651">
        <v>21192</v>
      </c>
    </row>
    <row r="221" spans="1:21" x14ac:dyDescent="0.25">
      <c r="A221" s="646">
        <v>92321</v>
      </c>
      <c r="B221" s="647" t="s">
        <v>2837</v>
      </c>
      <c r="C221" s="648">
        <v>1.2218999999999999E-3</v>
      </c>
      <c r="D221" s="648">
        <v>1.1936E-3</v>
      </c>
      <c r="E221" s="649">
        <v>481504.52</v>
      </c>
      <c r="F221" s="649">
        <v>535681</v>
      </c>
      <c r="G221" s="649">
        <v>2593281</v>
      </c>
      <c r="H221" s="649"/>
      <c r="I221" s="650">
        <v>48723</v>
      </c>
      <c r="J221" s="650">
        <v>2272541</v>
      </c>
      <c r="K221" s="650">
        <v>177617</v>
      </c>
      <c r="L221" s="649">
        <v>61228</v>
      </c>
      <c r="M221" s="649"/>
      <c r="N221" s="650">
        <v>90871</v>
      </c>
      <c r="O221" s="650">
        <v>838783</v>
      </c>
      <c r="P221" s="650">
        <v>0</v>
      </c>
      <c r="Q221" s="649">
        <v>1343</v>
      </c>
      <c r="R221" s="649"/>
      <c r="S221" s="650">
        <v>693146</v>
      </c>
      <c r="T221" s="651">
        <v>25416</v>
      </c>
      <c r="U221" s="651">
        <v>718562</v>
      </c>
    </row>
    <row r="222" spans="1:21" x14ac:dyDescent="0.25">
      <c r="A222" s="646">
        <v>92327</v>
      </c>
      <c r="B222" s="647" t="s">
        <v>2838</v>
      </c>
      <c r="C222" s="648">
        <v>7.6000000000000001E-6</v>
      </c>
      <c r="D222" s="648">
        <v>7.7999999999999999E-6</v>
      </c>
      <c r="E222" s="649">
        <v>5004.42</v>
      </c>
      <c r="F222" s="649">
        <v>3501</v>
      </c>
      <c r="G222" s="649">
        <v>16130</v>
      </c>
      <c r="H222" s="649"/>
      <c r="I222" s="650">
        <v>303.05</v>
      </c>
      <c r="J222" s="650">
        <v>14135</v>
      </c>
      <c r="K222" s="650">
        <v>1105</v>
      </c>
      <c r="L222" s="649">
        <v>2630</v>
      </c>
      <c r="M222" s="649"/>
      <c r="N222" s="650">
        <v>565</v>
      </c>
      <c r="O222" s="650">
        <v>5217</v>
      </c>
      <c r="P222" s="650">
        <v>0</v>
      </c>
      <c r="Q222" s="649">
        <v>0</v>
      </c>
      <c r="R222" s="649"/>
      <c r="S222" s="650">
        <v>4311</v>
      </c>
      <c r="T222" s="651">
        <v>853</v>
      </c>
      <c r="U222" s="651">
        <v>5165</v>
      </c>
    </row>
    <row r="223" spans="1:21" x14ac:dyDescent="0.25">
      <c r="A223" s="646">
        <v>92331</v>
      </c>
      <c r="B223" s="647" t="s">
        <v>2839</v>
      </c>
      <c r="C223" s="648">
        <v>1.393E-4</v>
      </c>
      <c r="D223" s="648">
        <v>1.4789999999999999E-4</v>
      </c>
      <c r="E223" s="649">
        <v>54278.720000000001</v>
      </c>
      <c r="F223" s="649">
        <v>66377</v>
      </c>
      <c r="G223" s="649">
        <v>295641</v>
      </c>
      <c r="H223" s="649"/>
      <c r="I223" s="650">
        <v>5555</v>
      </c>
      <c r="J223" s="650">
        <v>259076</v>
      </c>
      <c r="K223" s="650">
        <v>20249</v>
      </c>
      <c r="L223" s="649">
        <v>3725</v>
      </c>
      <c r="M223" s="649"/>
      <c r="N223" s="650">
        <v>10360</v>
      </c>
      <c r="O223" s="650">
        <v>95624</v>
      </c>
      <c r="P223" s="650">
        <v>0</v>
      </c>
      <c r="Q223" s="649">
        <v>7047</v>
      </c>
      <c r="R223" s="649"/>
      <c r="S223" s="650">
        <v>79021</v>
      </c>
      <c r="T223" s="651">
        <v>-171</v>
      </c>
      <c r="U223" s="651">
        <v>78850</v>
      </c>
    </row>
    <row r="224" spans="1:21" x14ac:dyDescent="0.25">
      <c r="A224" s="646">
        <v>92341</v>
      </c>
      <c r="B224" s="647" t="s">
        <v>2840</v>
      </c>
      <c r="C224" s="648">
        <v>7.9000000000000006E-6</v>
      </c>
      <c r="D224" s="648">
        <v>6.3999999999999997E-6</v>
      </c>
      <c r="E224" s="649">
        <v>2572</v>
      </c>
      <c r="F224" s="649">
        <v>2872</v>
      </c>
      <c r="G224" s="649">
        <v>16766</v>
      </c>
      <c r="H224" s="649"/>
      <c r="I224" s="650">
        <v>315</v>
      </c>
      <c r="J224" s="650">
        <v>14693</v>
      </c>
      <c r="K224" s="650">
        <v>1148</v>
      </c>
      <c r="L224" s="649">
        <v>478</v>
      </c>
      <c r="M224" s="649"/>
      <c r="N224" s="650">
        <v>588</v>
      </c>
      <c r="O224" s="650">
        <v>5423</v>
      </c>
      <c r="P224" s="650">
        <v>0</v>
      </c>
      <c r="Q224" s="649">
        <v>3063</v>
      </c>
      <c r="R224" s="649"/>
      <c r="S224" s="650">
        <v>4481</v>
      </c>
      <c r="T224" s="651">
        <v>-913</v>
      </c>
      <c r="U224" s="651">
        <v>3568</v>
      </c>
    </row>
    <row r="225" spans="1:21" x14ac:dyDescent="0.25">
      <c r="A225" s="646">
        <v>92351</v>
      </c>
      <c r="B225" s="647" t="s">
        <v>2841</v>
      </c>
      <c r="C225" s="648">
        <v>1.95E-5</v>
      </c>
      <c r="D225" s="648">
        <v>2.8399999999999999E-5</v>
      </c>
      <c r="E225" s="649">
        <v>8512</v>
      </c>
      <c r="F225" s="649">
        <v>12746</v>
      </c>
      <c r="G225" s="649">
        <v>41386</v>
      </c>
      <c r="H225" s="649"/>
      <c r="I225" s="650">
        <v>777.5625</v>
      </c>
      <c r="J225" s="650">
        <v>36267</v>
      </c>
      <c r="K225" s="650">
        <v>2835</v>
      </c>
      <c r="L225" s="649">
        <v>1156.19</v>
      </c>
      <c r="M225" s="649"/>
      <c r="N225" s="650">
        <v>1450</v>
      </c>
      <c r="O225" s="650">
        <v>13386</v>
      </c>
      <c r="P225" s="650">
        <v>0</v>
      </c>
      <c r="Q225" s="649">
        <v>5799</v>
      </c>
      <c r="R225" s="649"/>
      <c r="S225" s="650">
        <v>11062</v>
      </c>
      <c r="T225" s="651">
        <v>-1052</v>
      </c>
      <c r="U225" s="651">
        <v>10010</v>
      </c>
    </row>
    <row r="226" spans="1:21" x14ac:dyDescent="0.25">
      <c r="A226" s="646">
        <v>92401</v>
      </c>
      <c r="B226" s="647" t="s">
        <v>2842</v>
      </c>
      <c r="C226" s="648">
        <v>2.7449000000000002E-3</v>
      </c>
      <c r="D226" s="648">
        <v>2.7921999999999999E-3</v>
      </c>
      <c r="E226" s="649">
        <v>1162719</v>
      </c>
      <c r="F226" s="649">
        <v>1253123</v>
      </c>
      <c r="G226" s="649">
        <v>5825597</v>
      </c>
      <c r="H226" s="649"/>
      <c r="I226" s="650">
        <v>109453</v>
      </c>
      <c r="J226" s="650">
        <v>5105080</v>
      </c>
      <c r="K226" s="650">
        <v>399001</v>
      </c>
      <c r="L226" s="649">
        <v>33227</v>
      </c>
      <c r="M226" s="649"/>
      <c r="N226" s="650">
        <v>204135</v>
      </c>
      <c r="O226" s="650">
        <v>1884259</v>
      </c>
      <c r="P226" s="650">
        <v>0</v>
      </c>
      <c r="Q226" s="649">
        <v>5343</v>
      </c>
      <c r="R226" s="649"/>
      <c r="S226" s="650">
        <v>1557097</v>
      </c>
      <c r="T226" s="651">
        <v>14486</v>
      </c>
      <c r="U226" s="651">
        <v>1571583</v>
      </c>
    </row>
    <row r="227" spans="1:21" x14ac:dyDescent="0.25">
      <c r="A227" s="646">
        <v>92403</v>
      </c>
      <c r="B227" s="647" t="s">
        <v>2843</v>
      </c>
      <c r="C227" s="648">
        <v>9.7999999999999993E-6</v>
      </c>
      <c r="D227" s="648">
        <v>1.59E-5</v>
      </c>
      <c r="E227" s="649">
        <v>5969</v>
      </c>
      <c r="F227" s="649">
        <v>7136</v>
      </c>
      <c r="G227" s="649">
        <v>20799</v>
      </c>
      <c r="H227" s="649"/>
      <c r="I227" s="650">
        <v>390.77499999999998</v>
      </c>
      <c r="J227" s="650">
        <v>18226</v>
      </c>
      <c r="K227" s="650">
        <v>1425</v>
      </c>
      <c r="L227" s="649">
        <v>564</v>
      </c>
      <c r="M227" s="649"/>
      <c r="N227" s="650">
        <v>729</v>
      </c>
      <c r="O227" s="650">
        <v>6727</v>
      </c>
      <c r="P227" s="650">
        <v>0</v>
      </c>
      <c r="Q227" s="649">
        <v>1764</v>
      </c>
      <c r="R227" s="649"/>
      <c r="S227" s="650">
        <v>5559</v>
      </c>
      <c r="T227" s="651">
        <v>-243</v>
      </c>
      <c r="U227" s="651">
        <v>5317</v>
      </c>
    </row>
    <row r="228" spans="1:21" x14ac:dyDescent="0.25">
      <c r="A228" s="646">
        <v>92411</v>
      </c>
      <c r="B228" s="647" t="s">
        <v>2844</v>
      </c>
      <c r="C228" s="648">
        <v>4.8030000000000002E-4</v>
      </c>
      <c r="D228" s="648">
        <v>5.2820000000000005E-4</v>
      </c>
      <c r="E228" s="649">
        <v>173749.71</v>
      </c>
      <c r="F228" s="649">
        <v>237053</v>
      </c>
      <c r="G228" s="649">
        <v>1019358</v>
      </c>
      <c r="H228" s="649"/>
      <c r="I228" s="650">
        <v>19152</v>
      </c>
      <c r="J228" s="650">
        <v>893282</v>
      </c>
      <c r="K228" s="650">
        <v>69817</v>
      </c>
      <c r="L228" s="649">
        <v>572</v>
      </c>
      <c r="M228" s="649"/>
      <c r="N228" s="650">
        <v>35719</v>
      </c>
      <c r="O228" s="650">
        <v>329706</v>
      </c>
      <c r="P228" s="650">
        <v>0</v>
      </c>
      <c r="Q228" s="649">
        <v>54750</v>
      </c>
      <c r="R228" s="649"/>
      <c r="S228" s="650">
        <v>272459</v>
      </c>
      <c r="T228" s="651">
        <v>-16396</v>
      </c>
      <c r="U228" s="651">
        <v>256063</v>
      </c>
    </row>
    <row r="229" spans="1:21" x14ac:dyDescent="0.25">
      <c r="A229" s="646">
        <v>92414</v>
      </c>
      <c r="B229" s="647" t="s">
        <v>1370</v>
      </c>
      <c r="C229" s="648">
        <v>0</v>
      </c>
      <c r="D229" s="648">
        <v>9.7999999999999993E-6</v>
      </c>
      <c r="E229" s="649">
        <v>0</v>
      </c>
      <c r="F229" s="649">
        <v>4398</v>
      </c>
      <c r="G229" s="649">
        <v>0</v>
      </c>
      <c r="H229" s="649"/>
      <c r="I229" s="650">
        <v>0</v>
      </c>
      <c r="J229" s="650">
        <v>0</v>
      </c>
      <c r="K229" s="650">
        <v>0</v>
      </c>
      <c r="L229" s="649">
        <v>0</v>
      </c>
      <c r="M229" s="649"/>
      <c r="N229" s="650">
        <v>0</v>
      </c>
      <c r="O229" s="650">
        <v>0</v>
      </c>
      <c r="P229" s="650">
        <v>0</v>
      </c>
      <c r="Q229" s="649">
        <v>8157</v>
      </c>
      <c r="R229" s="649"/>
      <c r="S229" s="650">
        <v>0</v>
      </c>
      <c r="T229" s="651">
        <v>-2445</v>
      </c>
      <c r="U229" s="651">
        <v>-2445</v>
      </c>
    </row>
    <row r="230" spans="1:21" x14ac:dyDescent="0.25">
      <c r="A230" s="646">
        <v>92417</v>
      </c>
      <c r="B230" s="647" t="s">
        <v>2845</v>
      </c>
      <c r="C230" s="648">
        <v>1.77E-5</v>
      </c>
      <c r="D230" s="648">
        <v>1.6699999999999999E-5</v>
      </c>
      <c r="E230" s="649">
        <v>5354.85</v>
      </c>
      <c r="F230" s="649">
        <v>7495</v>
      </c>
      <c r="G230" s="649">
        <v>37565</v>
      </c>
      <c r="H230" s="649"/>
      <c r="I230" s="650">
        <v>705.78750000000002</v>
      </c>
      <c r="J230" s="650">
        <v>32919</v>
      </c>
      <c r="K230" s="650">
        <v>2573</v>
      </c>
      <c r="L230" s="649">
        <v>0</v>
      </c>
      <c r="M230" s="649"/>
      <c r="N230" s="650">
        <v>1316</v>
      </c>
      <c r="O230" s="650">
        <v>12150</v>
      </c>
      <c r="P230" s="650">
        <v>0</v>
      </c>
      <c r="Q230" s="649">
        <v>1694</v>
      </c>
      <c r="R230" s="649"/>
      <c r="S230" s="650">
        <v>10041</v>
      </c>
      <c r="T230" s="651">
        <v>-509</v>
      </c>
      <c r="U230" s="651">
        <v>9531</v>
      </c>
    </row>
    <row r="231" spans="1:21" x14ac:dyDescent="0.25">
      <c r="A231" s="646">
        <v>92421</v>
      </c>
      <c r="B231" s="647" t="s">
        <v>2846</v>
      </c>
      <c r="C231" s="648">
        <v>9.0000000000000002E-6</v>
      </c>
      <c r="D231" s="648">
        <v>1.98E-5</v>
      </c>
      <c r="E231" s="649">
        <v>9114.76</v>
      </c>
      <c r="F231" s="649">
        <v>8886</v>
      </c>
      <c r="G231" s="649">
        <v>19101</v>
      </c>
      <c r="H231" s="649"/>
      <c r="I231" s="650">
        <v>358.875</v>
      </c>
      <c r="J231" s="650">
        <v>16739</v>
      </c>
      <c r="K231" s="650">
        <v>1308</v>
      </c>
      <c r="L231" s="649">
        <v>1510</v>
      </c>
      <c r="M231" s="649"/>
      <c r="N231" s="650">
        <v>669</v>
      </c>
      <c r="O231" s="650">
        <v>6178</v>
      </c>
      <c r="P231" s="650">
        <v>0</v>
      </c>
      <c r="Q231" s="649">
        <v>1551</v>
      </c>
      <c r="R231" s="649"/>
      <c r="S231" s="650">
        <v>5105</v>
      </c>
      <c r="T231" s="651">
        <v>261</v>
      </c>
      <c r="U231" s="651">
        <v>5366</v>
      </c>
    </row>
    <row r="232" spans="1:21" x14ac:dyDescent="0.25">
      <c r="A232" s="646">
        <v>92427</v>
      </c>
      <c r="B232" s="647" t="s">
        <v>2847</v>
      </c>
      <c r="C232" s="648">
        <v>6.9999999999999997E-7</v>
      </c>
      <c r="D232" s="648">
        <v>8.9999999999999996E-7</v>
      </c>
      <c r="E232" s="649">
        <v>1425.53</v>
      </c>
      <c r="F232" s="649">
        <v>404</v>
      </c>
      <c r="G232" s="649">
        <v>1486</v>
      </c>
      <c r="H232" s="649"/>
      <c r="I232" s="650">
        <v>28</v>
      </c>
      <c r="J232" s="650">
        <v>1302</v>
      </c>
      <c r="K232" s="650">
        <v>102</v>
      </c>
      <c r="L232" s="649">
        <v>1812</v>
      </c>
      <c r="M232" s="649"/>
      <c r="N232" s="650">
        <v>52</v>
      </c>
      <c r="O232" s="650">
        <v>481</v>
      </c>
      <c r="P232" s="650">
        <v>0</v>
      </c>
      <c r="Q232" s="649">
        <v>0</v>
      </c>
      <c r="R232" s="649"/>
      <c r="S232" s="650">
        <v>397</v>
      </c>
      <c r="T232" s="651">
        <v>636</v>
      </c>
      <c r="U232" s="651">
        <v>1033</v>
      </c>
    </row>
    <row r="233" spans="1:21" x14ac:dyDescent="0.25">
      <c r="A233" s="646">
        <v>92431</v>
      </c>
      <c r="B233" s="647" t="s">
        <v>2848</v>
      </c>
      <c r="C233" s="648">
        <v>1.8499999999999999E-5</v>
      </c>
      <c r="D233" s="648">
        <v>4.0800000000000002E-5</v>
      </c>
      <c r="E233" s="649">
        <v>17502.95</v>
      </c>
      <c r="F233" s="649">
        <v>18311</v>
      </c>
      <c r="G233" s="649">
        <v>39263</v>
      </c>
      <c r="H233" s="649"/>
      <c r="I233" s="650">
        <v>737.6875</v>
      </c>
      <c r="J233" s="650">
        <v>34407</v>
      </c>
      <c r="K233" s="650">
        <v>2689</v>
      </c>
      <c r="L233" s="649">
        <v>6093</v>
      </c>
      <c r="M233" s="649"/>
      <c r="N233" s="650">
        <v>1376</v>
      </c>
      <c r="O233" s="650">
        <v>12699</v>
      </c>
      <c r="P233" s="650">
        <v>0</v>
      </c>
      <c r="Q233" s="649">
        <v>5505</v>
      </c>
      <c r="R233" s="649"/>
      <c r="S233" s="650">
        <v>10494</v>
      </c>
      <c r="T233" s="651">
        <v>422</v>
      </c>
      <c r="U233" s="651">
        <v>10917</v>
      </c>
    </row>
    <row r="234" spans="1:21" x14ac:dyDescent="0.25">
      <c r="A234" s="646">
        <v>92441</v>
      </c>
      <c r="B234" s="647" t="s">
        <v>2849</v>
      </c>
      <c r="C234" s="648">
        <v>9.2299999999999994E-5</v>
      </c>
      <c r="D234" s="648">
        <v>1.0170000000000001E-4</v>
      </c>
      <c r="E234" s="649">
        <v>38127.360000000001</v>
      </c>
      <c r="F234" s="649">
        <v>45642</v>
      </c>
      <c r="G234" s="649">
        <v>195892</v>
      </c>
      <c r="H234" s="649"/>
      <c r="I234" s="650">
        <v>3680</v>
      </c>
      <c r="J234" s="650">
        <v>171663</v>
      </c>
      <c r="K234" s="650">
        <v>13417</v>
      </c>
      <c r="L234" s="649">
        <v>0</v>
      </c>
      <c r="M234" s="649"/>
      <c r="N234" s="650">
        <v>6864</v>
      </c>
      <c r="O234" s="650">
        <v>63360</v>
      </c>
      <c r="P234" s="650">
        <v>0</v>
      </c>
      <c r="Q234" s="649">
        <v>12688</v>
      </c>
      <c r="R234" s="649"/>
      <c r="S234" s="650">
        <v>52359</v>
      </c>
      <c r="T234" s="651">
        <v>-5069</v>
      </c>
      <c r="U234" s="651">
        <v>47290</v>
      </c>
    </row>
    <row r="235" spans="1:21" x14ac:dyDescent="0.25">
      <c r="A235" s="646">
        <v>92444</v>
      </c>
      <c r="B235" s="647" t="s">
        <v>2850</v>
      </c>
      <c r="C235" s="648">
        <v>1.9999999999999999E-6</v>
      </c>
      <c r="D235" s="648">
        <v>1.7999999999999999E-6</v>
      </c>
      <c r="E235" s="649">
        <v>1966</v>
      </c>
      <c r="F235" s="649">
        <v>808</v>
      </c>
      <c r="G235" s="649">
        <v>4244.67</v>
      </c>
      <c r="H235" s="649"/>
      <c r="I235" s="650">
        <v>79.75</v>
      </c>
      <c r="J235" s="650">
        <v>3720</v>
      </c>
      <c r="K235" s="650">
        <v>291</v>
      </c>
      <c r="L235" s="649">
        <v>2653</v>
      </c>
      <c r="M235" s="649"/>
      <c r="N235" s="650">
        <v>149</v>
      </c>
      <c r="O235" s="650">
        <v>1373</v>
      </c>
      <c r="P235" s="650">
        <v>0</v>
      </c>
      <c r="Q235" s="649">
        <v>0</v>
      </c>
      <c r="R235" s="649"/>
      <c r="S235" s="650">
        <v>1135</v>
      </c>
      <c r="T235" s="651">
        <v>971</v>
      </c>
      <c r="U235" s="651">
        <v>2106</v>
      </c>
    </row>
    <row r="236" spans="1:21" x14ac:dyDescent="0.25">
      <c r="A236" s="646">
        <v>92451</v>
      </c>
      <c r="B236" s="647" t="s">
        <v>2851</v>
      </c>
      <c r="C236" s="648">
        <v>1.4559999999999999E-4</v>
      </c>
      <c r="D236" s="648">
        <v>1.132E-4</v>
      </c>
      <c r="E236" s="649">
        <v>67281</v>
      </c>
      <c r="F236" s="649">
        <v>50803</v>
      </c>
      <c r="G236" s="649">
        <v>309012</v>
      </c>
      <c r="H236" s="649"/>
      <c r="I236" s="650">
        <v>5806</v>
      </c>
      <c r="J236" s="650">
        <v>270793</v>
      </c>
      <c r="K236" s="650">
        <v>21165</v>
      </c>
      <c r="L236" s="649">
        <v>36170</v>
      </c>
      <c r="M236" s="649"/>
      <c r="N236" s="650">
        <v>10828</v>
      </c>
      <c r="O236" s="650">
        <v>99948</v>
      </c>
      <c r="P236" s="650">
        <v>0</v>
      </c>
      <c r="Q236" s="649">
        <v>0</v>
      </c>
      <c r="R236" s="649"/>
      <c r="S236" s="650">
        <v>82594</v>
      </c>
      <c r="T236" s="651">
        <v>11273</v>
      </c>
      <c r="U236" s="651">
        <v>93868</v>
      </c>
    </row>
    <row r="237" spans="1:21" x14ac:dyDescent="0.25">
      <c r="A237" s="646">
        <v>92461</v>
      </c>
      <c r="B237" s="647" t="s">
        <v>2852</v>
      </c>
      <c r="C237" s="648">
        <v>7.2999999999999999E-5</v>
      </c>
      <c r="D237" s="648">
        <v>6.3499999999999999E-5</v>
      </c>
      <c r="E237" s="649">
        <v>36576</v>
      </c>
      <c r="F237" s="649">
        <v>28498</v>
      </c>
      <c r="G237" s="649">
        <v>154930</v>
      </c>
      <c r="H237" s="649"/>
      <c r="I237" s="650">
        <v>2910.875</v>
      </c>
      <c r="J237" s="650">
        <v>135768</v>
      </c>
      <c r="K237" s="650">
        <v>10611</v>
      </c>
      <c r="L237" s="649">
        <v>10353</v>
      </c>
      <c r="M237" s="649"/>
      <c r="N237" s="650">
        <v>5429</v>
      </c>
      <c r="O237" s="650">
        <v>50111</v>
      </c>
      <c r="P237" s="650">
        <v>0</v>
      </c>
      <c r="Q237" s="649">
        <v>7817</v>
      </c>
      <c r="R237" s="649"/>
      <c r="S237" s="650">
        <v>41411</v>
      </c>
      <c r="T237" s="651">
        <v>-170</v>
      </c>
      <c r="U237" s="651">
        <v>41240</v>
      </c>
    </row>
    <row r="238" spans="1:21" x14ac:dyDescent="0.25">
      <c r="A238" s="646">
        <v>92501</v>
      </c>
      <c r="B238" s="647" t="s">
        <v>2853</v>
      </c>
      <c r="C238" s="648">
        <v>3.8141E-3</v>
      </c>
      <c r="D238" s="648">
        <v>3.8955999999999999E-3</v>
      </c>
      <c r="E238" s="649">
        <v>1660692.83</v>
      </c>
      <c r="F238" s="649">
        <v>1748322</v>
      </c>
      <c r="G238" s="649">
        <v>8094798</v>
      </c>
      <c r="H238" s="649"/>
      <c r="I238" s="650">
        <v>152087</v>
      </c>
      <c r="J238" s="650">
        <v>7093623</v>
      </c>
      <c r="K238" s="650">
        <v>554421</v>
      </c>
      <c r="L238" s="649">
        <v>65347</v>
      </c>
      <c r="M238" s="649"/>
      <c r="N238" s="650">
        <v>283651</v>
      </c>
      <c r="O238" s="650">
        <v>2618219</v>
      </c>
      <c r="P238" s="650">
        <v>0</v>
      </c>
      <c r="Q238" s="649">
        <v>13995</v>
      </c>
      <c r="R238" s="649"/>
      <c r="S238" s="650">
        <v>2163621</v>
      </c>
      <c r="T238" s="651">
        <v>20802</v>
      </c>
      <c r="U238" s="651">
        <v>2184422</v>
      </c>
    </row>
    <row r="239" spans="1:21" x14ac:dyDescent="0.25">
      <c r="A239" s="646">
        <v>92502</v>
      </c>
      <c r="B239" s="647" t="s">
        <v>2854</v>
      </c>
      <c r="C239" s="648">
        <v>2.8799999999999999E-5</v>
      </c>
      <c r="D239" s="648">
        <v>2.1399999999999998E-5</v>
      </c>
      <c r="E239" s="649">
        <v>12881</v>
      </c>
      <c r="F239" s="649">
        <v>9604</v>
      </c>
      <c r="G239" s="649">
        <v>61123</v>
      </c>
      <c r="H239" s="649"/>
      <c r="I239" s="650">
        <v>1148</v>
      </c>
      <c r="J239" s="650">
        <v>53563</v>
      </c>
      <c r="K239" s="650">
        <v>4186</v>
      </c>
      <c r="L239" s="649">
        <v>4833</v>
      </c>
      <c r="M239" s="649"/>
      <c r="N239" s="650">
        <v>2142</v>
      </c>
      <c r="O239" s="650">
        <v>19770</v>
      </c>
      <c r="P239" s="650">
        <v>0</v>
      </c>
      <c r="Q239" s="649">
        <v>3509</v>
      </c>
      <c r="R239" s="649"/>
      <c r="S239" s="650">
        <v>16337</v>
      </c>
      <c r="T239" s="651">
        <v>-103</v>
      </c>
      <c r="U239" s="651">
        <v>16234</v>
      </c>
    </row>
    <row r="240" spans="1:21" x14ac:dyDescent="0.25">
      <c r="A240" s="646">
        <v>92504</v>
      </c>
      <c r="B240" s="647" t="s">
        <v>2855</v>
      </c>
      <c r="C240" s="648">
        <v>7.2799999999999994E-5</v>
      </c>
      <c r="D240" s="648">
        <v>7.3499999999999998E-5</v>
      </c>
      <c r="E240" s="649">
        <v>38689</v>
      </c>
      <c r="F240" s="649">
        <v>32986</v>
      </c>
      <c r="G240" s="649">
        <v>154506</v>
      </c>
      <c r="H240" s="649"/>
      <c r="I240" s="650">
        <v>2903</v>
      </c>
      <c r="J240" s="650">
        <v>135396</v>
      </c>
      <c r="K240" s="650">
        <v>10582</v>
      </c>
      <c r="L240" s="649">
        <v>18501</v>
      </c>
      <c r="M240" s="649"/>
      <c r="N240" s="650">
        <v>5414</v>
      </c>
      <c r="O240" s="650">
        <v>49974</v>
      </c>
      <c r="P240" s="650">
        <v>0</v>
      </c>
      <c r="Q240" s="649">
        <v>54</v>
      </c>
      <c r="R240" s="649"/>
      <c r="S240" s="650">
        <v>41297</v>
      </c>
      <c r="T240" s="651">
        <v>5906</v>
      </c>
      <c r="U240" s="651">
        <v>47203</v>
      </c>
    </row>
    <row r="241" spans="1:21" x14ac:dyDescent="0.25">
      <c r="A241" s="646">
        <v>92505</v>
      </c>
      <c r="B241" s="647" t="s">
        <v>2856</v>
      </c>
      <c r="C241" s="648">
        <v>1.8709999999999999E-4</v>
      </c>
      <c r="D241" s="648">
        <v>1.9699999999999999E-4</v>
      </c>
      <c r="E241" s="649">
        <v>106739.73</v>
      </c>
      <c r="F241" s="649">
        <v>88412</v>
      </c>
      <c r="G241" s="649">
        <v>397089</v>
      </c>
      <c r="H241" s="649"/>
      <c r="I241" s="650">
        <v>7461</v>
      </c>
      <c r="J241" s="650">
        <v>347976</v>
      </c>
      <c r="K241" s="650">
        <v>27197</v>
      </c>
      <c r="L241" s="649">
        <v>47178</v>
      </c>
      <c r="M241" s="649"/>
      <c r="N241" s="650">
        <v>13914</v>
      </c>
      <c r="O241" s="650">
        <v>128436</v>
      </c>
      <c r="P241" s="650">
        <v>0</v>
      </c>
      <c r="Q241" s="649">
        <v>0</v>
      </c>
      <c r="R241" s="649"/>
      <c r="S241" s="650">
        <v>106136</v>
      </c>
      <c r="T241" s="651">
        <v>16270</v>
      </c>
      <c r="U241" s="651">
        <v>122406</v>
      </c>
    </row>
    <row r="242" spans="1:21" x14ac:dyDescent="0.25">
      <c r="A242" s="646">
        <v>92506</v>
      </c>
      <c r="B242" s="647" t="s">
        <v>2857</v>
      </c>
      <c r="C242" s="648">
        <v>4.3699999999999998E-5</v>
      </c>
      <c r="D242" s="648">
        <v>3.8999999999999999E-5</v>
      </c>
      <c r="E242" s="649">
        <v>23626</v>
      </c>
      <c r="F242" s="649">
        <v>17503</v>
      </c>
      <c r="G242" s="649">
        <v>92746</v>
      </c>
      <c r="H242" s="649"/>
      <c r="I242" s="650">
        <v>1743</v>
      </c>
      <c r="J242" s="650">
        <v>81275</v>
      </c>
      <c r="K242" s="650">
        <v>6352</v>
      </c>
      <c r="L242" s="649">
        <v>17344</v>
      </c>
      <c r="M242" s="649"/>
      <c r="N242" s="650">
        <v>3250</v>
      </c>
      <c r="O242" s="650">
        <v>29998</v>
      </c>
      <c r="P242" s="650">
        <v>0</v>
      </c>
      <c r="Q242" s="649">
        <v>0</v>
      </c>
      <c r="R242" s="649"/>
      <c r="S242" s="650">
        <v>24790</v>
      </c>
      <c r="T242" s="651">
        <v>5809</v>
      </c>
      <c r="U242" s="651">
        <v>30599</v>
      </c>
    </row>
    <row r="243" spans="1:21" x14ac:dyDescent="0.25">
      <c r="A243" s="646">
        <v>92507</v>
      </c>
      <c r="B243" s="647" t="s">
        <v>2858</v>
      </c>
      <c r="C243" s="648">
        <v>7.6799999999999997E-5</v>
      </c>
      <c r="D243" s="648">
        <v>1.032E-4</v>
      </c>
      <c r="E243" s="649">
        <v>33480.47</v>
      </c>
      <c r="F243" s="649">
        <v>46316</v>
      </c>
      <c r="G243" s="649">
        <v>162995</v>
      </c>
      <c r="H243" s="649"/>
      <c r="I243" s="650">
        <v>3062</v>
      </c>
      <c r="J243" s="650">
        <v>142836</v>
      </c>
      <c r="K243" s="650">
        <v>11164</v>
      </c>
      <c r="L243" s="649">
        <v>348</v>
      </c>
      <c r="M243" s="649"/>
      <c r="N243" s="650">
        <v>5712</v>
      </c>
      <c r="O243" s="650">
        <v>52720</v>
      </c>
      <c r="P243" s="650">
        <v>0</v>
      </c>
      <c r="Q243" s="649">
        <v>22450</v>
      </c>
      <c r="R243" s="649"/>
      <c r="S243" s="650">
        <v>43566</v>
      </c>
      <c r="T243" s="651">
        <v>-8043</v>
      </c>
      <c r="U243" s="651">
        <v>35523</v>
      </c>
    </row>
    <row r="244" spans="1:21" x14ac:dyDescent="0.25">
      <c r="A244" s="646">
        <v>92508</v>
      </c>
      <c r="B244" s="647" t="s">
        <v>2859</v>
      </c>
      <c r="C244" s="648">
        <v>3.1930000000000001E-4</v>
      </c>
      <c r="D244" s="648">
        <v>3.2959999999999999E-4</v>
      </c>
      <c r="E244" s="649">
        <v>135945</v>
      </c>
      <c r="F244" s="649">
        <v>147923</v>
      </c>
      <c r="G244" s="649">
        <v>677662</v>
      </c>
      <c r="H244" s="649"/>
      <c r="I244" s="650">
        <v>12732</v>
      </c>
      <c r="J244" s="650">
        <v>593848</v>
      </c>
      <c r="K244" s="650">
        <v>46414</v>
      </c>
      <c r="L244" s="649">
        <v>7876</v>
      </c>
      <c r="M244" s="649"/>
      <c r="N244" s="650">
        <v>23746</v>
      </c>
      <c r="O244" s="650">
        <v>219186</v>
      </c>
      <c r="P244" s="650">
        <v>0</v>
      </c>
      <c r="Q244" s="649">
        <v>1898</v>
      </c>
      <c r="R244" s="649"/>
      <c r="S244" s="650">
        <v>181129</v>
      </c>
      <c r="T244" s="651">
        <v>3029</v>
      </c>
      <c r="U244" s="651">
        <v>184158</v>
      </c>
    </row>
    <row r="245" spans="1:21" x14ac:dyDescent="0.25">
      <c r="A245" s="646">
        <v>92509</v>
      </c>
      <c r="B245" s="647" t="s">
        <v>2860</v>
      </c>
      <c r="C245" s="648">
        <v>0</v>
      </c>
      <c r="D245" s="648">
        <v>2.1614E-3</v>
      </c>
      <c r="E245" s="649">
        <v>0</v>
      </c>
      <c r="F245" s="649">
        <v>970023</v>
      </c>
      <c r="G245" s="649">
        <v>0</v>
      </c>
      <c r="H245" s="649"/>
      <c r="I245" s="650">
        <v>0</v>
      </c>
      <c r="J245" s="650">
        <v>0</v>
      </c>
      <c r="K245" s="650">
        <v>0</v>
      </c>
      <c r="L245" s="649">
        <v>166634</v>
      </c>
      <c r="M245" s="649"/>
      <c r="N245" s="650">
        <v>0</v>
      </c>
      <c r="O245" s="650">
        <v>0</v>
      </c>
      <c r="P245" s="650">
        <v>0</v>
      </c>
      <c r="Q245" s="649">
        <v>1170867</v>
      </c>
      <c r="R245" s="649"/>
      <c r="S245" s="650">
        <v>0</v>
      </c>
      <c r="T245" s="651">
        <v>-223763</v>
      </c>
      <c r="U245" s="651">
        <v>-223763</v>
      </c>
    </row>
    <row r="246" spans="1:21" x14ac:dyDescent="0.25">
      <c r="A246" s="646">
        <v>92511</v>
      </c>
      <c r="B246" s="647" t="s">
        <v>2861</v>
      </c>
      <c r="C246" s="648">
        <v>3.4164E-3</v>
      </c>
      <c r="D246" s="648">
        <v>3.6713000000000002E-3</v>
      </c>
      <c r="E246" s="649">
        <v>1353009</v>
      </c>
      <c r="F246" s="649">
        <v>1647657</v>
      </c>
      <c r="G246" s="649">
        <v>7250745</v>
      </c>
      <c r="H246" s="649"/>
      <c r="I246" s="650">
        <v>136229</v>
      </c>
      <c r="J246" s="650">
        <v>6353964</v>
      </c>
      <c r="K246" s="650">
        <v>496611</v>
      </c>
      <c r="L246" s="649">
        <v>24415.31</v>
      </c>
      <c r="M246" s="649"/>
      <c r="N246" s="650">
        <v>254074</v>
      </c>
      <c r="O246" s="650">
        <v>2345215</v>
      </c>
      <c r="P246" s="650">
        <v>0</v>
      </c>
      <c r="Q246" s="649">
        <v>243809</v>
      </c>
      <c r="R246" s="649"/>
      <c r="S246" s="650">
        <v>1938018</v>
      </c>
      <c r="T246" s="651">
        <v>-57052</v>
      </c>
      <c r="U246" s="651">
        <v>1880965</v>
      </c>
    </row>
    <row r="247" spans="1:21" x14ac:dyDescent="0.25">
      <c r="A247" s="646">
        <v>92513</v>
      </c>
      <c r="B247" s="647" t="s">
        <v>2862</v>
      </c>
      <c r="C247" s="648">
        <v>3.9753000000000002E-3</v>
      </c>
      <c r="D247" s="648">
        <v>0</v>
      </c>
      <c r="E247" s="649">
        <v>1441013</v>
      </c>
      <c r="F247" s="649">
        <v>0</v>
      </c>
      <c r="G247" s="649">
        <v>8436918</v>
      </c>
      <c r="H247" s="649"/>
      <c r="I247" s="650">
        <v>158515</v>
      </c>
      <c r="J247" s="650">
        <v>7393430</v>
      </c>
      <c r="K247" s="650">
        <v>577854</v>
      </c>
      <c r="L247" s="649">
        <v>1999562</v>
      </c>
      <c r="M247" s="649"/>
      <c r="N247" s="650">
        <v>295639</v>
      </c>
      <c r="O247" s="650">
        <v>2728876</v>
      </c>
      <c r="P247" s="650">
        <v>0</v>
      </c>
      <c r="Q247" s="649">
        <v>0</v>
      </c>
      <c r="R247" s="649"/>
      <c r="S247" s="650">
        <v>2255064</v>
      </c>
      <c r="T247" s="651">
        <v>518021</v>
      </c>
      <c r="U247" s="651">
        <v>2773086</v>
      </c>
    </row>
    <row r="248" spans="1:21" x14ac:dyDescent="0.25">
      <c r="A248" s="646">
        <v>92521</v>
      </c>
      <c r="B248" s="647" t="s">
        <v>2863</v>
      </c>
      <c r="C248" s="648">
        <v>8.9800000000000001E-5</v>
      </c>
      <c r="D248" s="648">
        <v>9.59E-5</v>
      </c>
      <c r="E248" s="649">
        <v>32294.23</v>
      </c>
      <c r="F248" s="649">
        <v>43039</v>
      </c>
      <c r="G248" s="649">
        <v>190586</v>
      </c>
      <c r="H248" s="649"/>
      <c r="I248" s="650">
        <v>3581</v>
      </c>
      <c r="J248" s="650">
        <v>167014</v>
      </c>
      <c r="K248" s="650">
        <v>13053</v>
      </c>
      <c r="L248" s="649">
        <v>4908</v>
      </c>
      <c r="M248" s="649"/>
      <c r="N248" s="650">
        <v>6678</v>
      </c>
      <c r="O248" s="650">
        <v>61644</v>
      </c>
      <c r="P248" s="650">
        <v>0</v>
      </c>
      <c r="Q248" s="649">
        <v>9965</v>
      </c>
      <c r="R248" s="649"/>
      <c r="S248" s="650">
        <v>50941</v>
      </c>
      <c r="T248" s="651">
        <v>-1566</v>
      </c>
      <c r="U248" s="651">
        <v>49374</v>
      </c>
    </row>
    <row r="249" spans="1:21" x14ac:dyDescent="0.25">
      <c r="A249" s="646">
        <v>92531</v>
      </c>
      <c r="B249" s="647" t="s">
        <v>2864</v>
      </c>
      <c r="C249" s="648">
        <v>8.3779999999999998E-4</v>
      </c>
      <c r="D249" s="648">
        <v>9.3610000000000004E-4</v>
      </c>
      <c r="E249" s="649">
        <v>310253</v>
      </c>
      <c r="F249" s="649">
        <v>420116</v>
      </c>
      <c r="G249" s="649">
        <v>1778092</v>
      </c>
      <c r="H249" s="649"/>
      <c r="I249" s="650">
        <v>33407</v>
      </c>
      <c r="J249" s="650">
        <v>1558176</v>
      </c>
      <c r="K249" s="650">
        <v>121783</v>
      </c>
      <c r="L249" s="649">
        <v>0</v>
      </c>
      <c r="M249" s="649"/>
      <c r="N249" s="650">
        <v>62306</v>
      </c>
      <c r="O249" s="650">
        <v>575115</v>
      </c>
      <c r="P249" s="650">
        <v>0</v>
      </c>
      <c r="Q249" s="649">
        <v>169554</v>
      </c>
      <c r="R249" s="649"/>
      <c r="S249" s="650">
        <v>475258</v>
      </c>
      <c r="T249" s="651">
        <v>-58220</v>
      </c>
      <c r="U249" s="651">
        <v>417038</v>
      </c>
    </row>
    <row r="250" spans="1:21" x14ac:dyDescent="0.25">
      <c r="A250" s="646">
        <v>92541</v>
      </c>
      <c r="B250" s="647" t="s">
        <v>2865</v>
      </c>
      <c r="C250" s="648">
        <v>1.4300000000000001E-4</v>
      </c>
      <c r="D250" s="648">
        <v>1.2679999999999999E-4</v>
      </c>
      <c r="E250" s="649">
        <v>54919</v>
      </c>
      <c r="F250" s="649">
        <v>56907</v>
      </c>
      <c r="G250" s="649">
        <v>303494</v>
      </c>
      <c r="H250" s="649"/>
      <c r="I250" s="650">
        <v>5702.125</v>
      </c>
      <c r="J250" s="650">
        <v>265957</v>
      </c>
      <c r="K250" s="650">
        <v>20787</v>
      </c>
      <c r="L250" s="649">
        <v>11874</v>
      </c>
      <c r="M250" s="649"/>
      <c r="N250" s="650">
        <v>10635</v>
      </c>
      <c r="O250" s="650">
        <v>98163</v>
      </c>
      <c r="P250" s="650">
        <v>0</v>
      </c>
      <c r="Q250" s="649">
        <v>3822</v>
      </c>
      <c r="R250" s="649"/>
      <c r="S250" s="650">
        <v>81119</v>
      </c>
      <c r="T250" s="651">
        <v>3227</v>
      </c>
      <c r="U250" s="651">
        <v>84346</v>
      </c>
    </row>
    <row r="251" spans="1:21" x14ac:dyDescent="0.25">
      <c r="A251" s="646">
        <v>92551</v>
      </c>
      <c r="B251" s="647" t="s">
        <v>2866</v>
      </c>
      <c r="C251" s="648">
        <v>4.18E-5</v>
      </c>
      <c r="D251" s="648">
        <v>5.4799999999999997E-5</v>
      </c>
      <c r="E251" s="649">
        <v>16805.93</v>
      </c>
      <c r="F251" s="649">
        <v>24594</v>
      </c>
      <c r="G251" s="649">
        <v>88714</v>
      </c>
      <c r="H251" s="649"/>
      <c r="I251" s="650">
        <v>1666.7750000000001</v>
      </c>
      <c r="J251" s="650">
        <v>77741</v>
      </c>
      <c r="K251" s="650">
        <v>6076</v>
      </c>
      <c r="L251" s="649">
        <v>6834</v>
      </c>
      <c r="M251" s="649"/>
      <c r="N251" s="650">
        <v>3109</v>
      </c>
      <c r="O251" s="650">
        <v>28694</v>
      </c>
      <c r="P251" s="650">
        <v>0</v>
      </c>
      <c r="Q251" s="649">
        <v>11864</v>
      </c>
      <c r="R251" s="649"/>
      <c r="S251" s="650">
        <v>23712</v>
      </c>
      <c r="T251" s="651">
        <v>-71</v>
      </c>
      <c r="U251" s="651">
        <v>23641</v>
      </c>
    </row>
    <row r="252" spans="1:21" x14ac:dyDescent="0.25">
      <c r="A252" s="646">
        <v>92561</v>
      </c>
      <c r="B252" s="647" t="s">
        <v>2867</v>
      </c>
      <c r="C252" s="648">
        <v>2.2900000000000001E-5</v>
      </c>
      <c r="D252" s="648">
        <v>2.1800000000000001E-5</v>
      </c>
      <c r="E252" s="649">
        <v>12865.05</v>
      </c>
      <c r="F252" s="649">
        <v>9784</v>
      </c>
      <c r="G252" s="649">
        <v>48601</v>
      </c>
      <c r="H252" s="649"/>
      <c r="I252" s="650">
        <v>913.13750000000005</v>
      </c>
      <c r="J252" s="650">
        <v>42590</v>
      </c>
      <c r="K252" s="650">
        <v>3329</v>
      </c>
      <c r="L252" s="649">
        <v>7071</v>
      </c>
      <c r="M252" s="649"/>
      <c r="N252" s="650">
        <v>1703</v>
      </c>
      <c r="O252" s="650">
        <v>15720</v>
      </c>
      <c r="P252" s="650">
        <v>0</v>
      </c>
      <c r="Q252" s="649">
        <v>0</v>
      </c>
      <c r="R252" s="649"/>
      <c r="S252" s="650">
        <v>12990</v>
      </c>
      <c r="T252" s="651">
        <v>2451</v>
      </c>
      <c r="U252" s="651">
        <v>15442</v>
      </c>
    </row>
    <row r="253" spans="1:21" x14ac:dyDescent="0.25">
      <c r="A253" s="646">
        <v>92571</v>
      </c>
      <c r="B253" s="647" t="s">
        <v>2868</v>
      </c>
      <c r="C253" s="648">
        <v>3.1E-6</v>
      </c>
      <c r="D253" s="648">
        <v>3.8E-6</v>
      </c>
      <c r="E253" s="649">
        <v>6093</v>
      </c>
      <c r="F253" s="649">
        <v>1705</v>
      </c>
      <c r="G253" s="649">
        <v>6579</v>
      </c>
      <c r="H253" s="649"/>
      <c r="I253" s="650">
        <v>123.6125</v>
      </c>
      <c r="J253" s="650">
        <v>5766</v>
      </c>
      <c r="K253" s="650">
        <v>451</v>
      </c>
      <c r="L253" s="649">
        <v>4439</v>
      </c>
      <c r="M253" s="649"/>
      <c r="N253" s="650">
        <v>231</v>
      </c>
      <c r="O253" s="650">
        <v>2128</v>
      </c>
      <c r="P253" s="650">
        <v>0</v>
      </c>
      <c r="Q253" s="649">
        <v>200.99</v>
      </c>
      <c r="R253" s="649"/>
      <c r="S253" s="650">
        <v>1759</v>
      </c>
      <c r="T253" s="651">
        <v>1144</v>
      </c>
      <c r="U253" s="651">
        <v>2902</v>
      </c>
    </row>
    <row r="254" spans="1:21" x14ac:dyDescent="0.25">
      <c r="A254" s="646">
        <v>92601</v>
      </c>
      <c r="B254" s="647" t="s">
        <v>2869</v>
      </c>
      <c r="C254" s="648">
        <v>1.54185E-2</v>
      </c>
      <c r="D254" s="648">
        <v>1.5052899999999999E-2</v>
      </c>
      <c r="E254" s="649">
        <v>6115436</v>
      </c>
      <c r="F254" s="649">
        <v>6755651</v>
      </c>
      <c r="G254" s="649">
        <v>32723222</v>
      </c>
      <c r="H254" s="649"/>
      <c r="I254" s="650">
        <v>614813</v>
      </c>
      <c r="J254" s="650">
        <v>28675974</v>
      </c>
      <c r="K254" s="650">
        <v>2241249</v>
      </c>
      <c r="L254" s="649">
        <v>258399</v>
      </c>
      <c r="M254" s="649"/>
      <c r="N254" s="650">
        <v>1146658</v>
      </c>
      <c r="O254" s="650">
        <v>10584153</v>
      </c>
      <c r="P254" s="650">
        <v>0</v>
      </c>
      <c r="Q254" s="649">
        <v>0</v>
      </c>
      <c r="R254" s="649"/>
      <c r="S254" s="650">
        <v>8746437</v>
      </c>
      <c r="T254" s="651">
        <v>123589</v>
      </c>
      <c r="U254" s="651">
        <v>8870026</v>
      </c>
    </row>
    <row r="255" spans="1:21" x14ac:dyDescent="0.25">
      <c r="A255" s="646">
        <v>92602</v>
      </c>
      <c r="B255" s="647" t="s">
        <v>2870</v>
      </c>
      <c r="C255" s="648">
        <v>8.1999999999999994E-6</v>
      </c>
      <c r="D255" s="648">
        <v>8.3999999999999992E-6</v>
      </c>
      <c r="E255" s="649">
        <v>3297.75</v>
      </c>
      <c r="F255" s="649">
        <v>3770</v>
      </c>
      <c r="G255" s="649">
        <v>17403</v>
      </c>
      <c r="H255" s="649"/>
      <c r="I255" s="650">
        <v>327</v>
      </c>
      <c r="J255" s="650">
        <v>15251</v>
      </c>
      <c r="K255" s="650">
        <v>1192</v>
      </c>
      <c r="L255" s="649">
        <v>708.44</v>
      </c>
      <c r="M255" s="649"/>
      <c r="N255" s="650">
        <v>610</v>
      </c>
      <c r="O255" s="650">
        <v>5629</v>
      </c>
      <c r="P255" s="650">
        <v>0</v>
      </c>
      <c r="Q255" s="649">
        <v>1260</v>
      </c>
      <c r="R255" s="649"/>
      <c r="S255" s="650">
        <v>4652</v>
      </c>
      <c r="T255" s="651">
        <v>-75</v>
      </c>
      <c r="U255" s="651">
        <v>4577</v>
      </c>
    </row>
    <row r="256" spans="1:21" x14ac:dyDescent="0.25">
      <c r="A256" s="646">
        <v>92604</v>
      </c>
      <c r="B256" s="647" t="s">
        <v>2871</v>
      </c>
      <c r="C256" s="648">
        <v>3.4380000000000001E-4</v>
      </c>
      <c r="D256" s="648">
        <v>3.2019999999999998E-4</v>
      </c>
      <c r="E256" s="649">
        <v>164086</v>
      </c>
      <c r="F256" s="649">
        <v>143704</v>
      </c>
      <c r="G256" s="649">
        <v>729659</v>
      </c>
      <c r="H256" s="649"/>
      <c r="I256" s="650">
        <v>13709</v>
      </c>
      <c r="J256" s="650">
        <v>639414</v>
      </c>
      <c r="K256" s="650">
        <v>49975</v>
      </c>
      <c r="L256" s="649">
        <v>56939</v>
      </c>
      <c r="M256" s="649"/>
      <c r="N256" s="650">
        <v>25568</v>
      </c>
      <c r="O256" s="650">
        <v>236004</v>
      </c>
      <c r="P256" s="650">
        <v>0</v>
      </c>
      <c r="Q256" s="649">
        <v>0</v>
      </c>
      <c r="R256" s="649"/>
      <c r="S256" s="650">
        <v>195027</v>
      </c>
      <c r="T256" s="651">
        <v>20016</v>
      </c>
      <c r="U256" s="651">
        <v>215043</v>
      </c>
    </row>
    <row r="257" spans="1:21" x14ac:dyDescent="0.25">
      <c r="A257" s="646">
        <v>92607</v>
      </c>
      <c r="B257" s="647" t="s">
        <v>2872</v>
      </c>
      <c r="C257" s="648">
        <v>7.0400000000000004E-5</v>
      </c>
      <c r="D257" s="648">
        <v>7.4099999999999999E-5</v>
      </c>
      <c r="E257" s="649">
        <v>34300</v>
      </c>
      <c r="F257" s="649">
        <v>33256</v>
      </c>
      <c r="G257" s="649">
        <v>149412</v>
      </c>
      <c r="H257" s="649"/>
      <c r="I257" s="650">
        <v>2807</v>
      </c>
      <c r="J257" s="650">
        <v>130933</v>
      </c>
      <c r="K257" s="650">
        <v>10233</v>
      </c>
      <c r="L257" s="649">
        <v>9606</v>
      </c>
      <c r="M257" s="649"/>
      <c r="N257" s="650">
        <v>5236</v>
      </c>
      <c r="O257" s="650">
        <v>48327</v>
      </c>
      <c r="P257" s="650">
        <v>0</v>
      </c>
      <c r="Q257" s="649">
        <v>0</v>
      </c>
      <c r="R257" s="649"/>
      <c r="S257" s="650">
        <v>39936</v>
      </c>
      <c r="T257" s="651">
        <v>3862</v>
      </c>
      <c r="U257" s="651">
        <v>43798</v>
      </c>
    </row>
    <row r="258" spans="1:21" x14ac:dyDescent="0.25">
      <c r="A258" s="646">
        <v>92608</v>
      </c>
      <c r="B258" s="647" t="s">
        <v>2873</v>
      </c>
      <c r="C258" s="648">
        <v>0</v>
      </c>
      <c r="D258" s="648">
        <v>0</v>
      </c>
      <c r="E258" s="649">
        <v>0</v>
      </c>
      <c r="F258" s="649">
        <v>0</v>
      </c>
      <c r="G258" s="649">
        <v>0</v>
      </c>
      <c r="H258" s="649"/>
      <c r="I258" s="650">
        <v>0</v>
      </c>
      <c r="J258" s="650">
        <v>0</v>
      </c>
      <c r="K258" s="650">
        <v>0</v>
      </c>
      <c r="L258" s="649">
        <v>0</v>
      </c>
      <c r="M258" s="649"/>
      <c r="N258" s="650">
        <v>0</v>
      </c>
      <c r="O258" s="650">
        <v>0</v>
      </c>
      <c r="P258" s="650">
        <v>0</v>
      </c>
      <c r="Q258" s="649">
        <v>139807</v>
      </c>
      <c r="R258" s="649"/>
      <c r="S258" s="650">
        <v>0</v>
      </c>
      <c r="T258" s="651">
        <v>-69872</v>
      </c>
      <c r="U258" s="651">
        <v>-69872</v>
      </c>
    </row>
    <row r="259" spans="1:21" x14ac:dyDescent="0.25">
      <c r="A259" s="646">
        <v>92611</v>
      </c>
      <c r="B259" s="647" t="s">
        <v>2874</v>
      </c>
      <c r="C259" s="648">
        <v>1.3650799999999999E-2</v>
      </c>
      <c r="D259" s="648">
        <v>1.3731999999999999E-2</v>
      </c>
      <c r="E259" s="649">
        <v>5062641</v>
      </c>
      <c r="F259" s="649">
        <v>6162839</v>
      </c>
      <c r="G259" s="649">
        <v>28971571</v>
      </c>
      <c r="H259" s="649"/>
      <c r="I259" s="650">
        <v>544325.65</v>
      </c>
      <c r="J259" s="650">
        <v>25388331</v>
      </c>
      <c r="K259" s="650">
        <v>1984294</v>
      </c>
      <c r="L259" s="649">
        <v>20320</v>
      </c>
      <c r="M259" s="649"/>
      <c r="N259" s="650">
        <v>1015196</v>
      </c>
      <c r="O259" s="650">
        <v>9370701</v>
      </c>
      <c r="P259" s="650">
        <v>0</v>
      </c>
      <c r="Q259" s="649">
        <v>707501</v>
      </c>
      <c r="R259" s="649"/>
      <c r="S259" s="650">
        <v>7743676</v>
      </c>
      <c r="T259" s="651">
        <v>-194650</v>
      </c>
      <c r="U259" s="651">
        <v>7549026</v>
      </c>
    </row>
    <row r="260" spans="1:21" x14ac:dyDescent="0.25">
      <c r="A260" s="646">
        <v>92613</v>
      </c>
      <c r="B260" s="647" t="s">
        <v>2875</v>
      </c>
      <c r="C260" s="648">
        <v>2.81E-4</v>
      </c>
      <c r="D260" s="648">
        <v>2.9250000000000001E-4</v>
      </c>
      <c r="E260" s="649">
        <v>141183</v>
      </c>
      <c r="F260" s="649">
        <v>131272</v>
      </c>
      <c r="G260" s="649">
        <v>596376</v>
      </c>
      <c r="H260" s="649"/>
      <c r="I260" s="650">
        <v>11204.875</v>
      </c>
      <c r="J260" s="650">
        <v>522616</v>
      </c>
      <c r="K260" s="650">
        <v>40846</v>
      </c>
      <c r="L260" s="649">
        <v>119119</v>
      </c>
      <c r="M260" s="649"/>
      <c r="N260" s="650">
        <v>20898</v>
      </c>
      <c r="O260" s="650">
        <v>192895</v>
      </c>
      <c r="P260" s="650">
        <v>0</v>
      </c>
      <c r="Q260" s="649">
        <v>1892</v>
      </c>
      <c r="R260" s="649"/>
      <c r="S260" s="650">
        <v>159403</v>
      </c>
      <c r="T260" s="651">
        <v>39940</v>
      </c>
      <c r="U260" s="651">
        <v>199343</v>
      </c>
    </row>
    <row r="261" spans="1:21" x14ac:dyDescent="0.25">
      <c r="A261" s="646">
        <v>92614</v>
      </c>
      <c r="B261" s="647" t="s">
        <v>2876</v>
      </c>
      <c r="C261" s="648">
        <v>5.6468000000000004E-3</v>
      </c>
      <c r="D261" s="648">
        <v>5.6173999999999998E-3</v>
      </c>
      <c r="E261" s="649">
        <v>4370417</v>
      </c>
      <c r="F261" s="649">
        <v>2521055</v>
      </c>
      <c r="G261" s="649">
        <v>11984401</v>
      </c>
      <c r="H261" s="649"/>
      <c r="I261" s="650">
        <v>225166</v>
      </c>
      <c r="J261" s="650">
        <v>10502156</v>
      </c>
      <c r="K261" s="650">
        <v>820824</v>
      </c>
      <c r="L261" s="649">
        <v>3097959</v>
      </c>
      <c r="M261" s="649"/>
      <c r="N261" s="650">
        <v>419947</v>
      </c>
      <c r="O261" s="650">
        <v>3876291</v>
      </c>
      <c r="P261" s="650">
        <v>0</v>
      </c>
      <c r="Q261" s="649">
        <v>0</v>
      </c>
      <c r="R261" s="649"/>
      <c r="S261" s="650">
        <v>3203255</v>
      </c>
      <c r="T261" s="651">
        <v>970834</v>
      </c>
      <c r="U261" s="651">
        <v>4174089</v>
      </c>
    </row>
    <row r="262" spans="1:21" x14ac:dyDescent="0.25">
      <c r="A262" s="646">
        <v>92621</v>
      </c>
      <c r="B262" s="647" t="s">
        <v>2877</v>
      </c>
      <c r="C262" s="648">
        <v>3.2799999999999998E-5</v>
      </c>
      <c r="D262" s="648">
        <v>3.3099999999999998E-5</v>
      </c>
      <c r="E262" s="649">
        <v>12384</v>
      </c>
      <c r="F262" s="649">
        <v>14855</v>
      </c>
      <c r="G262" s="649">
        <v>69613</v>
      </c>
      <c r="H262" s="649"/>
      <c r="I262" s="650">
        <v>1308</v>
      </c>
      <c r="J262" s="650">
        <v>61003</v>
      </c>
      <c r="K262" s="650">
        <v>4768</v>
      </c>
      <c r="L262" s="649">
        <v>1351</v>
      </c>
      <c r="M262" s="649"/>
      <c r="N262" s="650">
        <v>2439</v>
      </c>
      <c r="O262" s="650">
        <v>22516</v>
      </c>
      <c r="P262" s="650">
        <v>0</v>
      </c>
      <c r="Q262" s="649">
        <v>3050</v>
      </c>
      <c r="R262" s="649"/>
      <c r="S262" s="650">
        <v>18606</v>
      </c>
      <c r="T262" s="651">
        <v>-800</v>
      </c>
      <c r="U262" s="651">
        <v>17806</v>
      </c>
    </row>
    <row r="263" spans="1:21" x14ac:dyDescent="0.25">
      <c r="A263" s="646">
        <v>92631</v>
      </c>
      <c r="B263" s="647" t="s">
        <v>2878</v>
      </c>
      <c r="C263" s="648">
        <v>1.0068E-3</v>
      </c>
      <c r="D263" s="648">
        <v>1.0248E-3</v>
      </c>
      <c r="E263" s="649">
        <v>343817.77</v>
      </c>
      <c r="F263" s="649">
        <v>459924</v>
      </c>
      <c r="G263" s="649">
        <v>2136767</v>
      </c>
      <c r="H263" s="649"/>
      <c r="I263" s="650">
        <v>40146.15</v>
      </c>
      <c r="J263" s="650">
        <v>1872489</v>
      </c>
      <c r="K263" s="650">
        <v>146349</v>
      </c>
      <c r="L263" s="649">
        <v>0</v>
      </c>
      <c r="M263" s="649"/>
      <c r="N263" s="650">
        <v>74875</v>
      </c>
      <c r="O263" s="650">
        <v>691126</v>
      </c>
      <c r="P263" s="650">
        <v>0</v>
      </c>
      <c r="Q263" s="649">
        <v>101284</v>
      </c>
      <c r="R263" s="649"/>
      <c r="S263" s="650">
        <v>571126</v>
      </c>
      <c r="T263" s="651">
        <v>-30677</v>
      </c>
      <c r="U263" s="651">
        <v>540449</v>
      </c>
    </row>
    <row r="264" spans="1:21" x14ac:dyDescent="0.25">
      <c r="A264" s="646">
        <v>92641</v>
      </c>
      <c r="B264" s="647" t="s">
        <v>2879</v>
      </c>
      <c r="C264" s="648">
        <v>1.03E-5</v>
      </c>
      <c r="D264" s="648">
        <v>1.0699999999999999E-5</v>
      </c>
      <c r="E264" s="649">
        <v>4921.7</v>
      </c>
      <c r="F264" s="649">
        <v>4802</v>
      </c>
      <c r="G264" s="649">
        <v>21860</v>
      </c>
      <c r="H264" s="649"/>
      <c r="I264" s="650">
        <v>410.71249999999998</v>
      </c>
      <c r="J264" s="650">
        <v>19156</v>
      </c>
      <c r="K264" s="650">
        <v>1497</v>
      </c>
      <c r="L264" s="649">
        <v>2730</v>
      </c>
      <c r="M264" s="649"/>
      <c r="N264" s="650">
        <v>766</v>
      </c>
      <c r="O264" s="650">
        <v>7071</v>
      </c>
      <c r="P264" s="650">
        <v>0</v>
      </c>
      <c r="Q264" s="649">
        <v>1900</v>
      </c>
      <c r="R264" s="649"/>
      <c r="S264" s="650">
        <v>5843</v>
      </c>
      <c r="T264" s="651">
        <v>-18</v>
      </c>
      <c r="U264" s="651">
        <v>5825</v>
      </c>
    </row>
    <row r="265" spans="1:21" x14ac:dyDescent="0.25">
      <c r="A265" s="646">
        <v>92651</v>
      </c>
      <c r="B265" s="647" t="s">
        <v>2880</v>
      </c>
      <c r="C265" s="648">
        <v>2.6000000000000001E-6</v>
      </c>
      <c r="D265" s="648">
        <v>2.3999999999999999E-6</v>
      </c>
      <c r="E265" s="649">
        <v>2706.64</v>
      </c>
      <c r="F265" s="649">
        <v>1077</v>
      </c>
      <c r="G265" s="649">
        <v>5518</v>
      </c>
      <c r="H265" s="649"/>
      <c r="I265" s="650">
        <v>103.675</v>
      </c>
      <c r="J265" s="650">
        <v>4836</v>
      </c>
      <c r="K265" s="650">
        <v>378</v>
      </c>
      <c r="L265" s="649">
        <v>2819</v>
      </c>
      <c r="M265" s="649"/>
      <c r="N265" s="650">
        <v>193</v>
      </c>
      <c r="O265" s="650">
        <v>1785</v>
      </c>
      <c r="P265" s="650">
        <v>0</v>
      </c>
      <c r="Q265" s="649">
        <v>0</v>
      </c>
      <c r="R265" s="649"/>
      <c r="S265" s="650">
        <v>1475</v>
      </c>
      <c r="T265" s="651">
        <v>953</v>
      </c>
      <c r="U265" s="651">
        <v>2428</v>
      </c>
    </row>
    <row r="266" spans="1:21" x14ac:dyDescent="0.25">
      <c r="A266" s="646">
        <v>92661</v>
      </c>
      <c r="B266" s="647" t="s">
        <v>2881</v>
      </c>
      <c r="C266" s="648">
        <v>6.6299999999999996E-4</v>
      </c>
      <c r="D266" s="648">
        <v>6.7860000000000001E-4</v>
      </c>
      <c r="E266" s="649">
        <v>505438</v>
      </c>
      <c r="F266" s="649">
        <v>304552</v>
      </c>
      <c r="G266" s="649">
        <v>1407108</v>
      </c>
      <c r="H266" s="649"/>
      <c r="I266" s="650">
        <v>26437.125</v>
      </c>
      <c r="J266" s="650">
        <v>1233075</v>
      </c>
      <c r="K266" s="650">
        <v>96374</v>
      </c>
      <c r="L266" s="649">
        <v>293360</v>
      </c>
      <c r="M266" s="649"/>
      <c r="N266" s="650">
        <v>49307</v>
      </c>
      <c r="O266" s="650">
        <v>455122</v>
      </c>
      <c r="P266" s="650">
        <v>0</v>
      </c>
      <c r="Q266" s="649">
        <v>33924</v>
      </c>
      <c r="R266" s="649"/>
      <c r="S266" s="650">
        <v>376099</v>
      </c>
      <c r="T266" s="651">
        <v>70124</v>
      </c>
      <c r="U266" s="651">
        <v>446224</v>
      </c>
    </row>
    <row r="267" spans="1:21" x14ac:dyDescent="0.25">
      <c r="A267" s="646">
        <v>92671</v>
      </c>
      <c r="B267" s="647" t="s">
        <v>2882</v>
      </c>
      <c r="C267" s="648">
        <v>2.9000000000000002E-6</v>
      </c>
      <c r="D267" s="648">
        <v>3.4999999999999999E-6</v>
      </c>
      <c r="E267" s="649">
        <v>4773.75</v>
      </c>
      <c r="F267" s="649">
        <v>1571</v>
      </c>
      <c r="G267" s="649">
        <v>6155</v>
      </c>
      <c r="H267" s="649"/>
      <c r="I267" s="650">
        <v>115.6375</v>
      </c>
      <c r="J267" s="650">
        <v>5394</v>
      </c>
      <c r="K267" s="650">
        <v>422</v>
      </c>
      <c r="L267" s="649">
        <v>4608</v>
      </c>
      <c r="M267" s="649"/>
      <c r="N267" s="650">
        <v>216</v>
      </c>
      <c r="O267" s="650">
        <v>1991</v>
      </c>
      <c r="P267" s="650">
        <v>0</v>
      </c>
      <c r="Q267" s="649">
        <v>0</v>
      </c>
      <c r="R267" s="649"/>
      <c r="S267" s="650">
        <v>1645</v>
      </c>
      <c r="T267" s="651">
        <v>1438</v>
      </c>
      <c r="U267" s="651">
        <v>3083</v>
      </c>
    </row>
    <row r="268" spans="1:21" x14ac:dyDescent="0.25">
      <c r="A268" s="646">
        <v>92681</v>
      </c>
      <c r="B268" s="647" t="s">
        <v>2883</v>
      </c>
      <c r="C268" s="648">
        <v>1.01E-5</v>
      </c>
      <c r="D268" s="648">
        <v>5.4E-6</v>
      </c>
      <c r="E268" s="649">
        <v>9614</v>
      </c>
      <c r="F268" s="649">
        <v>2423</v>
      </c>
      <c r="G268" s="649">
        <v>21436</v>
      </c>
      <c r="H268" s="649"/>
      <c r="I268" s="650">
        <v>402.73750000000001</v>
      </c>
      <c r="J268" s="650">
        <v>18784</v>
      </c>
      <c r="K268" s="650">
        <v>1468</v>
      </c>
      <c r="L268" s="649">
        <v>11040</v>
      </c>
      <c r="M268" s="649"/>
      <c r="N268" s="650">
        <v>751</v>
      </c>
      <c r="O268" s="650">
        <v>6933</v>
      </c>
      <c r="P268" s="650">
        <v>0</v>
      </c>
      <c r="Q268" s="649">
        <v>0</v>
      </c>
      <c r="R268" s="649"/>
      <c r="S268" s="650">
        <v>5729</v>
      </c>
      <c r="T268" s="651">
        <v>3452</v>
      </c>
      <c r="U268" s="651">
        <v>9181</v>
      </c>
    </row>
    <row r="269" spans="1:21" x14ac:dyDescent="0.25">
      <c r="A269" s="646">
        <v>92701</v>
      </c>
      <c r="B269" s="647" t="s">
        <v>2884</v>
      </c>
      <c r="C269" s="648">
        <v>2.9588000000000001E-3</v>
      </c>
      <c r="D269" s="648">
        <v>2.8249999999999998E-3</v>
      </c>
      <c r="E269" s="649">
        <v>1147170.26</v>
      </c>
      <c r="F269" s="649">
        <v>1267843</v>
      </c>
      <c r="G269" s="649">
        <v>6279565</v>
      </c>
      <c r="H269" s="649"/>
      <c r="I269" s="650">
        <v>117982</v>
      </c>
      <c r="J269" s="650">
        <v>5502901</v>
      </c>
      <c r="K269" s="650">
        <v>430094</v>
      </c>
      <c r="L269" s="649">
        <v>17190</v>
      </c>
      <c r="M269" s="649"/>
      <c r="N269" s="650">
        <v>220043</v>
      </c>
      <c r="O269" s="650">
        <v>2031092</v>
      </c>
      <c r="P269" s="650">
        <v>0</v>
      </c>
      <c r="Q269" s="649">
        <v>81579</v>
      </c>
      <c r="R269" s="649"/>
      <c r="S269" s="650">
        <v>1678436</v>
      </c>
      <c r="T269" s="651">
        <v>-34202</v>
      </c>
      <c r="U269" s="651">
        <v>1644234</v>
      </c>
    </row>
    <row r="270" spans="1:21" x14ac:dyDescent="0.25">
      <c r="A270" s="646">
        <v>92704</v>
      </c>
      <c r="B270" s="647" t="s">
        <v>2885</v>
      </c>
      <c r="C270" s="648">
        <v>4.7700000000000001E-5</v>
      </c>
      <c r="D270" s="648">
        <v>4.8000000000000001E-5</v>
      </c>
      <c r="E270" s="649">
        <v>17416.48</v>
      </c>
      <c r="F270" s="649">
        <v>21542</v>
      </c>
      <c r="G270" s="649">
        <v>101235</v>
      </c>
      <c r="H270" s="649"/>
      <c r="I270" s="650">
        <v>1902</v>
      </c>
      <c r="J270" s="650">
        <v>88714</v>
      </c>
      <c r="K270" s="650">
        <v>6934</v>
      </c>
      <c r="L270" s="649">
        <v>2418</v>
      </c>
      <c r="M270" s="649"/>
      <c r="N270" s="650">
        <v>3547</v>
      </c>
      <c r="O270" s="650">
        <v>32744</v>
      </c>
      <c r="P270" s="650">
        <v>0</v>
      </c>
      <c r="Q270" s="649">
        <v>1922</v>
      </c>
      <c r="R270" s="649"/>
      <c r="S270" s="650">
        <v>27059</v>
      </c>
      <c r="T270" s="651">
        <v>357</v>
      </c>
      <c r="U270" s="651">
        <v>27415</v>
      </c>
    </row>
    <row r="271" spans="1:21" x14ac:dyDescent="0.25">
      <c r="A271" s="646">
        <v>92801</v>
      </c>
      <c r="B271" s="647" t="s">
        <v>2886</v>
      </c>
      <c r="C271" s="648">
        <v>5.1701000000000004E-3</v>
      </c>
      <c r="D271" s="648">
        <v>5.1633E-3</v>
      </c>
      <c r="E271" s="649">
        <v>2172949.21</v>
      </c>
      <c r="F271" s="649">
        <v>2317258</v>
      </c>
      <c r="G271" s="649">
        <v>10972684</v>
      </c>
      <c r="H271" s="649"/>
      <c r="I271" s="650">
        <v>206158</v>
      </c>
      <c r="J271" s="650">
        <v>9615569</v>
      </c>
      <c r="K271" s="650">
        <v>751531</v>
      </c>
      <c r="L271" s="649">
        <v>219271</v>
      </c>
      <c r="M271" s="649"/>
      <c r="N271" s="650">
        <v>384495</v>
      </c>
      <c r="O271" s="650">
        <v>3549057</v>
      </c>
      <c r="P271" s="650">
        <v>0</v>
      </c>
      <c r="Q271" s="649">
        <v>0</v>
      </c>
      <c r="R271" s="649"/>
      <c r="S271" s="650">
        <v>2932837</v>
      </c>
      <c r="T271" s="651">
        <v>78433</v>
      </c>
      <c r="U271" s="651">
        <v>3011270</v>
      </c>
    </row>
    <row r="272" spans="1:21" x14ac:dyDescent="0.25">
      <c r="A272" s="646">
        <v>92802</v>
      </c>
      <c r="B272" s="647" t="s">
        <v>2887</v>
      </c>
      <c r="C272" s="648">
        <v>1.3410000000000001E-4</v>
      </c>
      <c r="D272" s="648">
        <v>1.4359999999999999E-4</v>
      </c>
      <c r="E272" s="649">
        <v>49243.25</v>
      </c>
      <c r="F272" s="649">
        <v>64447</v>
      </c>
      <c r="G272" s="649">
        <v>284605</v>
      </c>
      <c r="H272" s="649"/>
      <c r="I272" s="650">
        <v>5347</v>
      </c>
      <c r="J272" s="650">
        <v>249405</v>
      </c>
      <c r="K272" s="650">
        <v>19493</v>
      </c>
      <c r="L272" s="649">
        <v>0</v>
      </c>
      <c r="M272" s="649"/>
      <c r="N272" s="650">
        <v>9973</v>
      </c>
      <c r="O272" s="650">
        <v>92054</v>
      </c>
      <c r="P272" s="650">
        <v>0</v>
      </c>
      <c r="Q272" s="649">
        <v>17052</v>
      </c>
      <c r="R272" s="649"/>
      <c r="S272" s="650">
        <v>76071</v>
      </c>
      <c r="T272" s="651">
        <v>-5458</v>
      </c>
      <c r="U272" s="651">
        <v>70613</v>
      </c>
    </row>
    <row r="273" spans="1:21" x14ac:dyDescent="0.25">
      <c r="A273" s="646">
        <v>92804</v>
      </c>
      <c r="B273" s="647" t="s">
        <v>2888</v>
      </c>
      <c r="C273" s="648">
        <v>1.47E-4</v>
      </c>
      <c r="D273" s="648">
        <v>1.217E-4</v>
      </c>
      <c r="E273" s="649">
        <v>50468.480000000003</v>
      </c>
      <c r="F273" s="649">
        <v>54618</v>
      </c>
      <c r="G273" s="649">
        <v>311983</v>
      </c>
      <c r="H273" s="649"/>
      <c r="I273" s="650">
        <v>5861.625</v>
      </c>
      <c r="J273" s="650">
        <v>273397</v>
      </c>
      <c r="K273" s="650">
        <v>21368</v>
      </c>
      <c r="L273" s="649">
        <v>12672</v>
      </c>
      <c r="M273" s="649"/>
      <c r="N273" s="650">
        <v>10932</v>
      </c>
      <c r="O273" s="650">
        <v>100909</v>
      </c>
      <c r="P273" s="650">
        <v>0</v>
      </c>
      <c r="Q273" s="649">
        <v>2663</v>
      </c>
      <c r="R273" s="649"/>
      <c r="S273" s="650">
        <v>83389</v>
      </c>
      <c r="T273" s="651">
        <v>2604</v>
      </c>
      <c r="U273" s="651">
        <v>85992</v>
      </c>
    </row>
    <row r="274" spans="1:21" x14ac:dyDescent="0.25">
      <c r="A274" s="646">
        <v>92811</v>
      </c>
      <c r="B274" s="647" t="s">
        <v>2889</v>
      </c>
      <c r="C274" s="648">
        <v>9.8569999999999994E-4</v>
      </c>
      <c r="D274" s="648">
        <v>1.1405E-3</v>
      </c>
      <c r="E274" s="649">
        <v>390969</v>
      </c>
      <c r="F274" s="649">
        <v>511850</v>
      </c>
      <c r="G274" s="649">
        <v>2091986</v>
      </c>
      <c r="H274" s="649"/>
      <c r="I274" s="650">
        <v>39305</v>
      </c>
      <c r="J274" s="650">
        <v>1833246</v>
      </c>
      <c r="K274" s="650">
        <v>143282</v>
      </c>
      <c r="L274" s="649">
        <v>0</v>
      </c>
      <c r="M274" s="649"/>
      <c r="N274" s="650">
        <v>73306</v>
      </c>
      <c r="O274" s="650">
        <v>676642</v>
      </c>
      <c r="P274" s="650">
        <v>0</v>
      </c>
      <c r="Q274" s="649">
        <v>118839</v>
      </c>
      <c r="R274" s="649"/>
      <c r="S274" s="650">
        <v>559157</v>
      </c>
      <c r="T274" s="651">
        <v>-36047</v>
      </c>
      <c r="U274" s="651">
        <v>523110</v>
      </c>
    </row>
    <row r="275" spans="1:21" x14ac:dyDescent="0.25">
      <c r="A275" s="646">
        <v>92821</v>
      </c>
      <c r="B275" s="647" t="s">
        <v>2890</v>
      </c>
      <c r="C275" s="648">
        <v>1.0139999999999999E-3</v>
      </c>
      <c r="D275" s="648">
        <v>9.8010000000000002E-4</v>
      </c>
      <c r="E275" s="649">
        <v>411903</v>
      </c>
      <c r="F275" s="649">
        <v>439863</v>
      </c>
      <c r="G275" s="649">
        <v>2152047.69</v>
      </c>
      <c r="H275" s="649"/>
      <c r="I275" s="650">
        <v>40433.25</v>
      </c>
      <c r="J275" s="650">
        <v>1885880</v>
      </c>
      <c r="K275" s="650">
        <v>147396</v>
      </c>
      <c r="L275" s="649">
        <v>27408</v>
      </c>
      <c r="M275" s="649"/>
      <c r="N275" s="650">
        <v>75410</v>
      </c>
      <c r="O275" s="650">
        <v>696068</v>
      </c>
      <c r="P275" s="650">
        <v>0</v>
      </c>
      <c r="Q275" s="649">
        <v>0</v>
      </c>
      <c r="R275" s="649"/>
      <c r="S275" s="650">
        <v>575211</v>
      </c>
      <c r="T275" s="651">
        <v>8904</v>
      </c>
      <c r="U275" s="651">
        <v>584115</v>
      </c>
    </row>
    <row r="276" spans="1:21" x14ac:dyDescent="0.25">
      <c r="A276" s="646">
        <v>92831</v>
      </c>
      <c r="B276" s="647" t="s">
        <v>2891</v>
      </c>
      <c r="C276" s="648">
        <v>2.476E-4</v>
      </c>
      <c r="D276" s="648">
        <v>2.4049999999999999E-4</v>
      </c>
      <c r="E276" s="649">
        <v>117070.46</v>
      </c>
      <c r="F276" s="649">
        <v>107935</v>
      </c>
      <c r="G276" s="649">
        <v>525490</v>
      </c>
      <c r="H276" s="649"/>
      <c r="I276" s="650">
        <v>9873</v>
      </c>
      <c r="J276" s="650">
        <v>460497</v>
      </c>
      <c r="K276" s="650">
        <v>35991</v>
      </c>
      <c r="L276" s="649">
        <v>29199</v>
      </c>
      <c r="M276" s="649"/>
      <c r="N276" s="650">
        <v>18414</v>
      </c>
      <c r="O276" s="650">
        <v>169967</v>
      </c>
      <c r="P276" s="650">
        <v>0</v>
      </c>
      <c r="Q276" s="649">
        <v>0</v>
      </c>
      <c r="R276" s="649"/>
      <c r="S276" s="650">
        <v>140456</v>
      </c>
      <c r="T276" s="651">
        <v>10043</v>
      </c>
      <c r="U276" s="651">
        <v>150499</v>
      </c>
    </row>
    <row r="277" spans="1:21" x14ac:dyDescent="0.25">
      <c r="A277" s="646">
        <v>92841</v>
      </c>
      <c r="B277" s="647" t="s">
        <v>2892</v>
      </c>
      <c r="C277" s="648">
        <v>2.8160000000000001E-4</v>
      </c>
      <c r="D277" s="648">
        <v>2.7070000000000002E-4</v>
      </c>
      <c r="E277" s="649">
        <v>105224</v>
      </c>
      <c r="F277" s="649">
        <v>121489</v>
      </c>
      <c r="G277" s="649">
        <v>597650</v>
      </c>
      <c r="H277" s="649"/>
      <c r="I277" s="650">
        <v>11229</v>
      </c>
      <c r="J277" s="650">
        <v>523732</v>
      </c>
      <c r="K277" s="650">
        <v>40934</v>
      </c>
      <c r="L277" s="649">
        <v>11701.2</v>
      </c>
      <c r="M277" s="649"/>
      <c r="N277" s="650">
        <v>20942</v>
      </c>
      <c r="O277" s="650">
        <v>193307</v>
      </c>
      <c r="P277" s="650">
        <v>0</v>
      </c>
      <c r="Q277" s="649">
        <v>3120</v>
      </c>
      <c r="R277" s="649"/>
      <c r="S277" s="650">
        <v>159743</v>
      </c>
      <c r="T277" s="651">
        <v>5013</v>
      </c>
      <c r="U277" s="651">
        <v>164756</v>
      </c>
    </row>
    <row r="278" spans="1:21" x14ac:dyDescent="0.25">
      <c r="A278" s="646">
        <v>92851</v>
      </c>
      <c r="B278" s="647" t="s">
        <v>2893</v>
      </c>
      <c r="C278" s="648">
        <v>4.3909999999999999E-4</v>
      </c>
      <c r="D278" s="648">
        <v>4.6690000000000002E-4</v>
      </c>
      <c r="E278" s="649">
        <v>157592</v>
      </c>
      <c r="F278" s="649">
        <v>209542</v>
      </c>
      <c r="G278" s="649">
        <v>931917</v>
      </c>
      <c r="H278" s="649"/>
      <c r="I278" s="650">
        <v>17509</v>
      </c>
      <c r="J278" s="650">
        <v>816657</v>
      </c>
      <c r="K278" s="650">
        <v>63828</v>
      </c>
      <c r="L278" s="649">
        <v>0</v>
      </c>
      <c r="M278" s="649"/>
      <c r="N278" s="650">
        <v>32655</v>
      </c>
      <c r="O278" s="650">
        <v>301424</v>
      </c>
      <c r="P278" s="650">
        <v>0</v>
      </c>
      <c r="Q278" s="649">
        <v>92000</v>
      </c>
      <c r="R278" s="649"/>
      <c r="S278" s="650">
        <v>249088</v>
      </c>
      <c r="T278" s="651">
        <v>-34292</v>
      </c>
      <c r="U278" s="651">
        <v>214796</v>
      </c>
    </row>
    <row r="279" spans="1:21" x14ac:dyDescent="0.25">
      <c r="A279" s="646">
        <v>92861</v>
      </c>
      <c r="B279" s="647" t="s">
        <v>2894</v>
      </c>
      <c r="C279" s="648">
        <v>3.3629999999999999E-4</v>
      </c>
      <c r="D279" s="648">
        <v>3.7750000000000001E-4</v>
      </c>
      <c r="E279" s="649">
        <v>101705</v>
      </c>
      <c r="F279" s="649">
        <v>169420</v>
      </c>
      <c r="G279" s="649">
        <v>713741</v>
      </c>
      <c r="H279" s="649"/>
      <c r="I279" s="650">
        <v>13410</v>
      </c>
      <c r="J279" s="650">
        <v>625465</v>
      </c>
      <c r="K279" s="650">
        <v>48885</v>
      </c>
      <c r="L279" s="649">
        <v>0</v>
      </c>
      <c r="M279" s="649"/>
      <c r="N279" s="650">
        <v>25010</v>
      </c>
      <c r="O279" s="650">
        <v>230856</v>
      </c>
      <c r="P279" s="650">
        <v>0</v>
      </c>
      <c r="Q279" s="649">
        <v>96581</v>
      </c>
      <c r="R279" s="649"/>
      <c r="S279" s="650">
        <v>190773</v>
      </c>
      <c r="T279" s="651">
        <v>-32224</v>
      </c>
      <c r="U279" s="651">
        <v>158549</v>
      </c>
    </row>
    <row r="280" spans="1:21" x14ac:dyDescent="0.25">
      <c r="A280" s="646">
        <v>92901</v>
      </c>
      <c r="B280" s="647" t="s">
        <v>2895</v>
      </c>
      <c r="C280" s="648">
        <v>5.7581000000000004E-3</v>
      </c>
      <c r="D280" s="648">
        <v>5.7428999999999996E-3</v>
      </c>
      <c r="E280" s="649">
        <v>2270581</v>
      </c>
      <c r="F280" s="649">
        <v>2577379</v>
      </c>
      <c r="G280" s="649">
        <v>12220617</v>
      </c>
      <c r="H280" s="649"/>
      <c r="I280" s="650">
        <v>229604</v>
      </c>
      <c r="J280" s="650">
        <v>10709156</v>
      </c>
      <c r="K280" s="650">
        <v>837003</v>
      </c>
      <c r="L280" s="649">
        <v>108561</v>
      </c>
      <c r="M280" s="649"/>
      <c r="N280" s="650">
        <v>428224</v>
      </c>
      <c r="O280" s="650">
        <v>3952694</v>
      </c>
      <c r="P280" s="650">
        <v>0</v>
      </c>
      <c r="Q280" s="649">
        <v>69123</v>
      </c>
      <c r="R280" s="649"/>
      <c r="S280" s="650">
        <v>3266392</v>
      </c>
      <c r="T280" s="651">
        <v>24956</v>
      </c>
      <c r="U280" s="651">
        <v>3291348</v>
      </c>
    </row>
    <row r="281" spans="1:21" x14ac:dyDescent="0.25">
      <c r="A281" s="646">
        <v>92911</v>
      </c>
      <c r="B281" s="647" t="s">
        <v>2896</v>
      </c>
      <c r="C281" s="648">
        <v>1.9442999999999999E-3</v>
      </c>
      <c r="D281" s="648">
        <v>2.0665000000000002E-3</v>
      </c>
      <c r="E281" s="649">
        <v>811710.22</v>
      </c>
      <c r="F281" s="649">
        <v>927433</v>
      </c>
      <c r="G281" s="649">
        <v>4126456</v>
      </c>
      <c r="H281" s="649"/>
      <c r="I281" s="650">
        <v>77529</v>
      </c>
      <c r="J281" s="650">
        <v>3616091</v>
      </c>
      <c r="K281" s="650">
        <v>282625</v>
      </c>
      <c r="L281" s="649">
        <v>0</v>
      </c>
      <c r="M281" s="649"/>
      <c r="N281" s="650">
        <v>144596</v>
      </c>
      <c r="O281" s="650">
        <v>1334680</v>
      </c>
      <c r="P281" s="650">
        <v>0</v>
      </c>
      <c r="Q281" s="649">
        <v>175676</v>
      </c>
      <c r="R281" s="649"/>
      <c r="S281" s="650">
        <v>1102941</v>
      </c>
      <c r="T281" s="651">
        <v>-62151</v>
      </c>
      <c r="U281" s="651">
        <v>1040790</v>
      </c>
    </row>
    <row r="282" spans="1:21" x14ac:dyDescent="0.25">
      <c r="A282" s="646">
        <v>92913</v>
      </c>
      <c r="B282" s="647" t="s">
        <v>2897</v>
      </c>
      <c r="C282" s="648">
        <v>2.37E-5</v>
      </c>
      <c r="D282" s="648">
        <v>2.97E-5</v>
      </c>
      <c r="E282" s="649">
        <v>56296.04</v>
      </c>
      <c r="F282" s="649">
        <v>13329</v>
      </c>
      <c r="G282" s="649">
        <v>50299</v>
      </c>
      <c r="H282" s="649"/>
      <c r="I282" s="650">
        <v>945.03750000000002</v>
      </c>
      <c r="J282" s="650">
        <v>44078</v>
      </c>
      <c r="K282" s="650">
        <v>3445</v>
      </c>
      <c r="L282" s="649">
        <v>60788</v>
      </c>
      <c r="M282" s="649"/>
      <c r="N282" s="650">
        <v>1763</v>
      </c>
      <c r="O282" s="650">
        <v>16269</v>
      </c>
      <c r="P282" s="650">
        <v>0</v>
      </c>
      <c r="Q282" s="649">
        <v>4115</v>
      </c>
      <c r="R282" s="649"/>
      <c r="S282" s="650">
        <v>13444</v>
      </c>
      <c r="T282" s="651">
        <v>16266</v>
      </c>
      <c r="U282" s="651">
        <v>29711</v>
      </c>
    </row>
    <row r="283" spans="1:21" x14ac:dyDescent="0.25">
      <c r="A283" s="646">
        <v>92917</v>
      </c>
      <c r="B283" s="647" t="s">
        <v>2898</v>
      </c>
      <c r="C283" s="648">
        <v>2.0000000000000002E-5</v>
      </c>
      <c r="D283" s="648">
        <v>1.9599999999999999E-5</v>
      </c>
      <c r="E283" s="649">
        <v>15742</v>
      </c>
      <c r="F283" s="649">
        <v>8796</v>
      </c>
      <c r="G283" s="649">
        <v>42447</v>
      </c>
      <c r="H283" s="649"/>
      <c r="I283" s="650">
        <v>798</v>
      </c>
      <c r="J283" s="650">
        <v>37197</v>
      </c>
      <c r="K283" s="650">
        <v>2907</v>
      </c>
      <c r="L283" s="649">
        <v>14645</v>
      </c>
      <c r="M283" s="649"/>
      <c r="N283" s="650">
        <v>1487.38</v>
      </c>
      <c r="O283" s="650">
        <v>13729</v>
      </c>
      <c r="P283" s="650">
        <v>0</v>
      </c>
      <c r="Q283" s="649">
        <v>0</v>
      </c>
      <c r="R283" s="649"/>
      <c r="S283" s="650">
        <v>11345</v>
      </c>
      <c r="T283" s="651">
        <v>5366</v>
      </c>
      <c r="U283" s="651">
        <v>16711</v>
      </c>
    </row>
    <row r="284" spans="1:21" x14ac:dyDescent="0.25">
      <c r="A284" s="646">
        <v>92921</v>
      </c>
      <c r="B284" s="647" t="s">
        <v>2899</v>
      </c>
      <c r="C284" s="648">
        <v>6.2899999999999997E-5</v>
      </c>
      <c r="D284" s="648">
        <v>8.1500000000000002E-5</v>
      </c>
      <c r="E284" s="649">
        <v>34231</v>
      </c>
      <c r="F284" s="649">
        <v>36577</v>
      </c>
      <c r="G284" s="649">
        <v>133495</v>
      </c>
      <c r="H284" s="649"/>
      <c r="I284" s="650">
        <v>2508</v>
      </c>
      <c r="J284" s="650">
        <v>116984</v>
      </c>
      <c r="K284" s="650">
        <v>9143</v>
      </c>
      <c r="L284" s="649">
        <v>0</v>
      </c>
      <c r="M284" s="649"/>
      <c r="N284" s="650">
        <v>4678</v>
      </c>
      <c r="O284" s="650">
        <v>43178</v>
      </c>
      <c r="P284" s="650">
        <v>0</v>
      </c>
      <c r="Q284" s="649">
        <v>14056</v>
      </c>
      <c r="R284" s="649"/>
      <c r="S284" s="650">
        <v>35681</v>
      </c>
      <c r="T284" s="651">
        <v>-6225</v>
      </c>
      <c r="U284" s="651">
        <v>29456</v>
      </c>
    </row>
    <row r="285" spans="1:21" x14ac:dyDescent="0.25">
      <c r="A285" s="646">
        <v>92931</v>
      </c>
      <c r="B285" s="647" t="s">
        <v>2900</v>
      </c>
      <c r="C285" s="648">
        <v>2.5048000000000002E-3</v>
      </c>
      <c r="D285" s="648">
        <v>2.5463E-3</v>
      </c>
      <c r="E285" s="649">
        <v>948741</v>
      </c>
      <c r="F285" s="649">
        <v>1142764</v>
      </c>
      <c r="G285" s="649">
        <v>5316025</v>
      </c>
      <c r="H285" s="649"/>
      <c r="I285" s="650">
        <v>99879</v>
      </c>
      <c r="J285" s="650">
        <v>4658532</v>
      </c>
      <c r="K285" s="650">
        <v>364100</v>
      </c>
      <c r="L285" s="649">
        <v>15520</v>
      </c>
      <c r="M285" s="649"/>
      <c r="N285" s="650">
        <v>186279</v>
      </c>
      <c r="O285" s="650">
        <v>1719440</v>
      </c>
      <c r="P285" s="650">
        <v>0</v>
      </c>
      <c r="Q285" s="649">
        <v>116480</v>
      </c>
      <c r="R285" s="649"/>
      <c r="S285" s="650">
        <v>1420895</v>
      </c>
      <c r="T285" s="651">
        <v>-25186</v>
      </c>
      <c r="U285" s="651">
        <v>1395710</v>
      </c>
    </row>
    <row r="286" spans="1:21" x14ac:dyDescent="0.25">
      <c r="A286" s="646">
        <v>92941</v>
      </c>
      <c r="B286" s="647" t="s">
        <v>1423</v>
      </c>
      <c r="C286" s="648">
        <v>1.84E-5</v>
      </c>
      <c r="D286" s="648">
        <v>1.5999999999999999E-5</v>
      </c>
      <c r="E286" s="649">
        <v>7190</v>
      </c>
      <c r="F286" s="649">
        <v>7181</v>
      </c>
      <c r="G286" s="649">
        <v>39051</v>
      </c>
      <c r="H286" s="649"/>
      <c r="I286" s="650">
        <v>733.7</v>
      </c>
      <c r="J286" s="650">
        <v>34221</v>
      </c>
      <c r="K286" s="650">
        <v>2675</v>
      </c>
      <c r="L286" s="649">
        <v>10216</v>
      </c>
      <c r="M286" s="649"/>
      <c r="N286" s="650">
        <v>1368</v>
      </c>
      <c r="O286" s="650">
        <v>12631</v>
      </c>
      <c r="P286" s="650">
        <v>0</v>
      </c>
      <c r="Q286" s="649">
        <v>0</v>
      </c>
      <c r="R286" s="649"/>
      <c r="S286" s="650">
        <v>10438</v>
      </c>
      <c r="T286" s="651">
        <v>3605</v>
      </c>
      <c r="U286" s="651">
        <v>14042</v>
      </c>
    </row>
    <row r="287" spans="1:21" x14ac:dyDescent="0.25">
      <c r="A287" s="646">
        <v>93001</v>
      </c>
      <c r="B287" s="647" t="s">
        <v>2901</v>
      </c>
      <c r="C287" s="648">
        <v>2.2739000000000001E-3</v>
      </c>
      <c r="D287" s="648">
        <v>2.2177999999999998E-3</v>
      </c>
      <c r="E287" s="649">
        <v>863907.18</v>
      </c>
      <c r="F287" s="649">
        <v>995335</v>
      </c>
      <c r="G287" s="649">
        <v>4825978</v>
      </c>
      <c r="H287" s="649"/>
      <c r="I287" s="650">
        <v>90672</v>
      </c>
      <c r="J287" s="650">
        <v>4229095</v>
      </c>
      <c r="K287" s="650">
        <v>330536</v>
      </c>
      <c r="L287" s="649">
        <v>13531</v>
      </c>
      <c r="M287" s="649"/>
      <c r="N287" s="650">
        <v>169108</v>
      </c>
      <c r="O287" s="650">
        <v>1560937</v>
      </c>
      <c r="P287" s="650">
        <v>0</v>
      </c>
      <c r="Q287" s="649">
        <v>103635</v>
      </c>
      <c r="R287" s="649"/>
      <c r="S287" s="650">
        <v>1289913</v>
      </c>
      <c r="T287" s="651">
        <v>-40908</v>
      </c>
      <c r="U287" s="651">
        <v>1249005</v>
      </c>
    </row>
    <row r="288" spans="1:21" x14ac:dyDescent="0.25">
      <c r="A288" s="646">
        <v>93009</v>
      </c>
      <c r="B288" s="647" t="s">
        <v>2902</v>
      </c>
      <c r="C288" s="648">
        <v>1.5400000000000002E-5</v>
      </c>
      <c r="D288" s="648">
        <v>1.6399999999999999E-5</v>
      </c>
      <c r="E288" s="649">
        <v>4865</v>
      </c>
      <c r="F288" s="649">
        <v>7360</v>
      </c>
      <c r="G288" s="649">
        <v>32684</v>
      </c>
      <c r="H288" s="649"/>
      <c r="I288" s="650">
        <v>614</v>
      </c>
      <c r="J288" s="650">
        <v>28642</v>
      </c>
      <c r="K288" s="650">
        <v>2239</v>
      </c>
      <c r="L288" s="649">
        <v>0</v>
      </c>
      <c r="M288" s="649"/>
      <c r="N288" s="650">
        <v>1145</v>
      </c>
      <c r="O288" s="650">
        <v>10571</v>
      </c>
      <c r="P288" s="650">
        <v>0</v>
      </c>
      <c r="Q288" s="649">
        <v>4210</v>
      </c>
      <c r="R288" s="649"/>
      <c r="S288" s="650">
        <v>8736</v>
      </c>
      <c r="T288" s="651">
        <v>-1521</v>
      </c>
      <c r="U288" s="651">
        <v>7215</v>
      </c>
    </row>
    <row r="289" spans="1:21" x14ac:dyDescent="0.25">
      <c r="A289" s="646">
        <v>93011</v>
      </c>
      <c r="B289" s="647" t="s">
        <v>2903</v>
      </c>
      <c r="C289" s="648">
        <v>2.6160000000000002E-4</v>
      </c>
      <c r="D289" s="648">
        <v>2.9179999999999999E-4</v>
      </c>
      <c r="E289" s="649">
        <v>124242</v>
      </c>
      <c r="F289" s="649">
        <v>130958</v>
      </c>
      <c r="G289" s="649">
        <v>555203</v>
      </c>
      <c r="H289" s="649"/>
      <c r="I289" s="650">
        <v>10431</v>
      </c>
      <c r="J289" s="650">
        <v>486535</v>
      </c>
      <c r="K289" s="650">
        <v>38026</v>
      </c>
      <c r="L289" s="649">
        <v>2390</v>
      </c>
      <c r="M289" s="649"/>
      <c r="N289" s="650">
        <v>19455</v>
      </c>
      <c r="O289" s="650">
        <v>179577</v>
      </c>
      <c r="P289" s="650">
        <v>0</v>
      </c>
      <c r="Q289" s="649">
        <v>5043</v>
      </c>
      <c r="R289" s="649"/>
      <c r="S289" s="650">
        <v>148398</v>
      </c>
      <c r="T289" s="651">
        <v>-926</v>
      </c>
      <c r="U289" s="651">
        <v>147472</v>
      </c>
    </row>
    <row r="290" spans="1:21" x14ac:dyDescent="0.25">
      <c r="A290" s="646">
        <v>93021</v>
      </c>
      <c r="B290" s="647" t="s">
        <v>2904</v>
      </c>
      <c r="C290" s="648">
        <v>2.8900000000000001E-5</v>
      </c>
      <c r="D290" s="648">
        <v>3.7200000000000003E-5</v>
      </c>
      <c r="E290" s="649">
        <v>9086</v>
      </c>
      <c r="F290" s="649">
        <v>16695</v>
      </c>
      <c r="G290" s="649">
        <v>61335</v>
      </c>
      <c r="H290" s="649"/>
      <c r="I290" s="650">
        <v>1152.3875</v>
      </c>
      <c r="J290" s="650">
        <v>53749</v>
      </c>
      <c r="K290" s="650">
        <v>4201</v>
      </c>
      <c r="L290" s="649">
        <v>4054</v>
      </c>
      <c r="M290" s="649"/>
      <c r="N290" s="650">
        <v>2149</v>
      </c>
      <c r="O290" s="650">
        <v>19839</v>
      </c>
      <c r="P290" s="650">
        <v>0</v>
      </c>
      <c r="Q290" s="649">
        <v>6719</v>
      </c>
      <c r="R290" s="649"/>
      <c r="S290" s="650">
        <v>16394</v>
      </c>
      <c r="T290" s="651">
        <v>-87</v>
      </c>
      <c r="U290" s="651">
        <v>16307</v>
      </c>
    </row>
    <row r="291" spans="1:21" x14ac:dyDescent="0.25">
      <c r="A291" s="646">
        <v>93027</v>
      </c>
      <c r="B291" s="647" t="s">
        <v>2905</v>
      </c>
      <c r="C291" s="648">
        <v>1.6699999999999999E-5</v>
      </c>
      <c r="D291" s="648">
        <v>1.49E-5</v>
      </c>
      <c r="E291" s="649">
        <v>6777</v>
      </c>
      <c r="F291" s="649">
        <v>6687</v>
      </c>
      <c r="G291" s="649">
        <v>35443</v>
      </c>
      <c r="H291" s="649"/>
      <c r="I291" s="650">
        <v>665.91250000000002</v>
      </c>
      <c r="J291" s="650">
        <v>31059</v>
      </c>
      <c r="K291" s="650">
        <v>2428</v>
      </c>
      <c r="L291" s="649">
        <v>903</v>
      </c>
      <c r="M291" s="649"/>
      <c r="N291" s="650">
        <v>1242</v>
      </c>
      <c r="O291" s="650">
        <v>11464</v>
      </c>
      <c r="P291" s="650">
        <v>0</v>
      </c>
      <c r="Q291" s="649">
        <v>1496</v>
      </c>
      <c r="R291" s="649"/>
      <c r="S291" s="650">
        <v>9473</v>
      </c>
      <c r="T291" s="651">
        <v>-429</v>
      </c>
      <c r="U291" s="651">
        <v>9045</v>
      </c>
    </row>
    <row r="292" spans="1:21" x14ac:dyDescent="0.25">
      <c r="A292" s="646">
        <v>93031</v>
      </c>
      <c r="B292" s="647" t="s">
        <v>2906</v>
      </c>
      <c r="C292" s="648">
        <v>2.2399999999999999E-5</v>
      </c>
      <c r="D292" s="648">
        <v>1.4399999999999999E-5</v>
      </c>
      <c r="E292" s="649">
        <v>20149</v>
      </c>
      <c r="F292" s="649">
        <v>6463</v>
      </c>
      <c r="G292" s="649">
        <v>47540</v>
      </c>
      <c r="H292" s="649"/>
      <c r="I292" s="650">
        <v>893</v>
      </c>
      <c r="J292" s="650">
        <v>41660</v>
      </c>
      <c r="K292" s="650">
        <v>3256</v>
      </c>
      <c r="L292" s="649">
        <v>15165</v>
      </c>
      <c r="M292" s="649"/>
      <c r="N292" s="650">
        <v>1666</v>
      </c>
      <c r="O292" s="650">
        <v>15377</v>
      </c>
      <c r="P292" s="650">
        <v>0</v>
      </c>
      <c r="Q292" s="649">
        <v>444</v>
      </c>
      <c r="R292" s="649"/>
      <c r="S292" s="650">
        <v>12707</v>
      </c>
      <c r="T292" s="651">
        <v>3911</v>
      </c>
      <c r="U292" s="651">
        <v>16617</v>
      </c>
    </row>
    <row r="293" spans="1:21" x14ac:dyDescent="0.25">
      <c r="A293" s="646">
        <v>93101</v>
      </c>
      <c r="B293" s="647" t="s">
        <v>2907</v>
      </c>
      <c r="C293" s="648">
        <v>3.5771000000000002E-3</v>
      </c>
      <c r="D293" s="648">
        <v>3.2972000000000001E-3</v>
      </c>
      <c r="E293" s="649">
        <v>1332692</v>
      </c>
      <c r="F293" s="649">
        <v>1479764</v>
      </c>
      <c r="G293" s="649">
        <v>7591805</v>
      </c>
      <c r="H293" s="649"/>
      <c r="I293" s="650">
        <v>142637</v>
      </c>
      <c r="J293" s="650">
        <v>6652841</v>
      </c>
      <c r="K293" s="650">
        <v>519971</v>
      </c>
      <c r="L293" s="649">
        <v>172542</v>
      </c>
      <c r="M293" s="649"/>
      <c r="N293" s="650">
        <v>266025</v>
      </c>
      <c r="O293" s="650">
        <v>2455529</v>
      </c>
      <c r="P293" s="650">
        <v>0</v>
      </c>
      <c r="Q293" s="649">
        <v>0</v>
      </c>
      <c r="R293" s="649"/>
      <c r="S293" s="650">
        <v>2029178</v>
      </c>
      <c r="T293" s="651">
        <v>68285</v>
      </c>
      <c r="U293" s="651">
        <v>2097463</v>
      </c>
    </row>
    <row r="294" spans="1:21" x14ac:dyDescent="0.25">
      <c r="A294" s="646">
        <v>93103</v>
      </c>
      <c r="B294" s="647" t="s">
        <v>2100</v>
      </c>
      <c r="C294" s="648">
        <v>1.7200000000000001E-5</v>
      </c>
      <c r="D294" s="648">
        <v>0</v>
      </c>
      <c r="E294" s="649">
        <v>5178.82</v>
      </c>
      <c r="F294" s="649">
        <v>0</v>
      </c>
      <c r="G294" s="649">
        <v>36504</v>
      </c>
      <c r="H294" s="649"/>
      <c r="I294" s="650">
        <v>685.85</v>
      </c>
      <c r="J294" s="650">
        <v>31989</v>
      </c>
      <c r="K294" s="650">
        <v>2500</v>
      </c>
      <c r="L294" s="649">
        <v>9253</v>
      </c>
      <c r="M294" s="649"/>
      <c r="N294" s="650">
        <v>1279</v>
      </c>
      <c r="O294" s="650">
        <v>11807</v>
      </c>
      <c r="P294" s="650">
        <v>0</v>
      </c>
      <c r="Q294" s="649">
        <v>0</v>
      </c>
      <c r="R294" s="649"/>
      <c r="S294" s="650">
        <v>9757</v>
      </c>
      <c r="T294" s="651">
        <v>2535</v>
      </c>
      <c r="U294" s="651">
        <v>12292</v>
      </c>
    </row>
    <row r="295" spans="1:21" x14ac:dyDescent="0.25">
      <c r="A295" s="646">
        <v>93108</v>
      </c>
      <c r="B295" s="647" t="s">
        <v>2908</v>
      </c>
      <c r="C295" s="648">
        <v>2.5661999999999998E-3</v>
      </c>
      <c r="D295" s="648">
        <v>2.4540999999999999E-3</v>
      </c>
      <c r="E295" s="649">
        <v>1060595</v>
      </c>
      <c r="F295" s="649">
        <v>1101385</v>
      </c>
      <c r="G295" s="649">
        <v>5446336</v>
      </c>
      <c r="H295" s="649"/>
      <c r="I295" s="650">
        <v>102327</v>
      </c>
      <c r="J295" s="650">
        <v>4772727</v>
      </c>
      <c r="K295" s="650">
        <v>373025</v>
      </c>
      <c r="L295" s="649">
        <v>417043</v>
      </c>
      <c r="M295" s="649"/>
      <c r="N295" s="650">
        <v>190846</v>
      </c>
      <c r="O295" s="650">
        <v>1761589</v>
      </c>
      <c r="P295" s="650">
        <v>0</v>
      </c>
      <c r="Q295" s="649">
        <v>0</v>
      </c>
      <c r="R295" s="649"/>
      <c r="S295" s="650">
        <v>1455726</v>
      </c>
      <c r="T295" s="651">
        <v>180256</v>
      </c>
      <c r="U295" s="651">
        <v>1635982</v>
      </c>
    </row>
    <row r="296" spans="1:21" x14ac:dyDescent="0.25">
      <c r="A296" s="646">
        <v>93111</v>
      </c>
      <c r="B296" s="647" t="s">
        <v>2909</v>
      </c>
      <c r="C296" s="648">
        <v>7.08E-5</v>
      </c>
      <c r="D296" s="648">
        <v>7.3700000000000002E-5</v>
      </c>
      <c r="E296" s="649">
        <v>24671.1</v>
      </c>
      <c r="F296" s="649">
        <v>33076</v>
      </c>
      <c r="G296" s="649">
        <v>150261</v>
      </c>
      <c r="H296" s="649"/>
      <c r="I296" s="650">
        <v>2823.15</v>
      </c>
      <c r="J296" s="650">
        <v>131677</v>
      </c>
      <c r="K296" s="650">
        <v>10292</v>
      </c>
      <c r="L296" s="649">
        <v>0</v>
      </c>
      <c r="M296" s="649"/>
      <c r="N296" s="650">
        <v>5265</v>
      </c>
      <c r="O296" s="650">
        <v>48601</v>
      </c>
      <c r="P296" s="650">
        <v>0</v>
      </c>
      <c r="Q296" s="649">
        <v>10981</v>
      </c>
      <c r="R296" s="649"/>
      <c r="S296" s="650">
        <v>40163</v>
      </c>
      <c r="T296" s="651">
        <v>-3536</v>
      </c>
      <c r="U296" s="651">
        <v>36626</v>
      </c>
    </row>
    <row r="297" spans="1:21" x14ac:dyDescent="0.25">
      <c r="A297" s="646">
        <v>93121</v>
      </c>
      <c r="B297" s="647" t="s">
        <v>2910</v>
      </c>
      <c r="C297" s="648">
        <v>5.8900000000000002E-5</v>
      </c>
      <c r="D297" s="648">
        <v>7.4900000000000005E-5</v>
      </c>
      <c r="E297" s="649">
        <v>22115</v>
      </c>
      <c r="F297" s="649">
        <v>33615</v>
      </c>
      <c r="G297" s="649">
        <v>125006</v>
      </c>
      <c r="H297" s="649"/>
      <c r="I297" s="650">
        <v>2349</v>
      </c>
      <c r="J297" s="650">
        <v>109545</v>
      </c>
      <c r="K297" s="650">
        <v>8562</v>
      </c>
      <c r="L297" s="649">
        <v>0</v>
      </c>
      <c r="M297" s="649"/>
      <c r="N297" s="650">
        <v>4380</v>
      </c>
      <c r="O297" s="650">
        <v>40432</v>
      </c>
      <c r="P297" s="650">
        <v>0</v>
      </c>
      <c r="Q297" s="649">
        <v>13122</v>
      </c>
      <c r="R297" s="649"/>
      <c r="S297" s="650">
        <v>33412</v>
      </c>
      <c r="T297" s="651">
        <v>-4063</v>
      </c>
      <c r="U297" s="651">
        <v>29349</v>
      </c>
    </row>
    <row r="298" spans="1:21" x14ac:dyDescent="0.25">
      <c r="A298" s="646">
        <v>93127</v>
      </c>
      <c r="B298" s="647" t="s">
        <v>2911</v>
      </c>
      <c r="C298" s="648">
        <v>6.8000000000000001E-6</v>
      </c>
      <c r="D298" s="648">
        <v>7.7999999999999999E-6</v>
      </c>
      <c r="E298" s="649">
        <v>2815</v>
      </c>
      <c r="F298" s="649">
        <v>3501</v>
      </c>
      <c r="G298" s="649">
        <v>14432</v>
      </c>
      <c r="H298" s="649"/>
      <c r="I298" s="650">
        <v>271</v>
      </c>
      <c r="J298" s="650">
        <v>12647</v>
      </c>
      <c r="K298" s="650">
        <v>988</v>
      </c>
      <c r="L298" s="649">
        <v>0</v>
      </c>
      <c r="M298" s="649"/>
      <c r="N298" s="650">
        <v>506</v>
      </c>
      <c r="O298" s="650">
        <v>4668</v>
      </c>
      <c r="P298" s="650">
        <v>0</v>
      </c>
      <c r="Q298" s="649">
        <v>1132</v>
      </c>
      <c r="R298" s="649"/>
      <c r="S298" s="650">
        <v>3857</v>
      </c>
      <c r="T298" s="651">
        <v>-400</v>
      </c>
      <c r="U298" s="651">
        <v>3457</v>
      </c>
    </row>
    <row r="299" spans="1:21" x14ac:dyDescent="0.25">
      <c r="A299" s="646">
        <v>93131</v>
      </c>
      <c r="B299" s="647" t="s">
        <v>2912</v>
      </c>
      <c r="C299" s="648">
        <v>2.3939999999999999E-4</v>
      </c>
      <c r="D299" s="648">
        <v>2.3680000000000001E-4</v>
      </c>
      <c r="E299" s="649">
        <v>88660</v>
      </c>
      <c r="F299" s="649">
        <v>106274</v>
      </c>
      <c r="G299" s="649">
        <v>508087</v>
      </c>
      <c r="H299" s="649"/>
      <c r="I299" s="650">
        <v>9546</v>
      </c>
      <c r="J299" s="650">
        <v>445246</v>
      </c>
      <c r="K299" s="650">
        <v>34799</v>
      </c>
      <c r="L299" s="649">
        <v>13305</v>
      </c>
      <c r="M299" s="649"/>
      <c r="N299" s="650">
        <v>17804</v>
      </c>
      <c r="O299" s="650">
        <v>164338</v>
      </c>
      <c r="P299" s="650">
        <v>0</v>
      </c>
      <c r="Q299" s="649">
        <v>6369</v>
      </c>
      <c r="R299" s="649"/>
      <c r="S299" s="650">
        <v>135804</v>
      </c>
      <c r="T299" s="651">
        <v>3767</v>
      </c>
      <c r="U299" s="651">
        <v>139571</v>
      </c>
    </row>
    <row r="300" spans="1:21" x14ac:dyDescent="0.25">
      <c r="A300" s="646">
        <v>93137</v>
      </c>
      <c r="B300" s="647" t="s">
        <v>2913</v>
      </c>
      <c r="C300" s="648">
        <v>1.9E-6</v>
      </c>
      <c r="D300" s="648">
        <v>2.0999999999999998E-6</v>
      </c>
      <c r="E300" s="649">
        <v>1987</v>
      </c>
      <c r="F300" s="649">
        <v>942</v>
      </c>
      <c r="G300" s="649">
        <v>4032</v>
      </c>
      <c r="H300" s="649"/>
      <c r="I300" s="650">
        <v>75.762500000000003</v>
      </c>
      <c r="J300" s="650">
        <v>3534</v>
      </c>
      <c r="K300" s="650">
        <v>276</v>
      </c>
      <c r="L300" s="649">
        <v>1359</v>
      </c>
      <c r="M300" s="649"/>
      <c r="N300" s="650">
        <v>141</v>
      </c>
      <c r="O300" s="650">
        <v>1304</v>
      </c>
      <c r="P300" s="650">
        <v>0</v>
      </c>
      <c r="Q300" s="649">
        <v>0</v>
      </c>
      <c r="R300" s="649"/>
      <c r="S300" s="650">
        <v>1078</v>
      </c>
      <c r="T300" s="651">
        <v>401</v>
      </c>
      <c r="U300" s="651">
        <v>1479</v>
      </c>
    </row>
    <row r="301" spans="1:21" x14ac:dyDescent="0.25">
      <c r="A301" s="646">
        <v>93141</v>
      </c>
      <c r="B301" s="647" t="s">
        <v>2914</v>
      </c>
      <c r="C301" s="648">
        <v>4.5500000000000001E-5</v>
      </c>
      <c r="D301" s="648">
        <v>4.3399999999999998E-5</v>
      </c>
      <c r="E301" s="649">
        <v>16495.23</v>
      </c>
      <c r="F301" s="649">
        <v>19478</v>
      </c>
      <c r="G301" s="649">
        <v>96566</v>
      </c>
      <c r="H301" s="649"/>
      <c r="I301" s="650">
        <v>1814.3125</v>
      </c>
      <c r="J301" s="650">
        <v>84623</v>
      </c>
      <c r="K301" s="650">
        <v>6614</v>
      </c>
      <c r="L301" s="649">
        <v>4186.96</v>
      </c>
      <c r="M301" s="649"/>
      <c r="N301" s="650">
        <v>3384</v>
      </c>
      <c r="O301" s="650">
        <v>31234</v>
      </c>
      <c r="P301" s="650">
        <v>0</v>
      </c>
      <c r="Q301" s="649">
        <v>3505</v>
      </c>
      <c r="R301" s="649"/>
      <c r="S301" s="650">
        <v>25811</v>
      </c>
      <c r="T301" s="651">
        <v>920</v>
      </c>
      <c r="U301" s="651">
        <v>26731</v>
      </c>
    </row>
    <row r="302" spans="1:21" x14ac:dyDescent="0.25">
      <c r="A302" s="646">
        <v>93151</v>
      </c>
      <c r="B302" s="647" t="s">
        <v>2915</v>
      </c>
      <c r="C302" s="648">
        <v>3.6539999999999999E-4</v>
      </c>
      <c r="D302" s="648">
        <v>3.524E-4</v>
      </c>
      <c r="E302" s="649">
        <v>137522.13</v>
      </c>
      <c r="F302" s="649">
        <v>158155</v>
      </c>
      <c r="G302" s="649">
        <v>775501</v>
      </c>
      <c r="H302" s="649"/>
      <c r="I302" s="650">
        <v>14570</v>
      </c>
      <c r="J302" s="650">
        <v>679586</v>
      </c>
      <c r="K302" s="650">
        <v>53115</v>
      </c>
      <c r="L302" s="649">
        <v>5881</v>
      </c>
      <c r="M302" s="649"/>
      <c r="N302" s="650">
        <v>27174</v>
      </c>
      <c r="O302" s="650">
        <v>250832</v>
      </c>
      <c r="P302" s="650">
        <v>0</v>
      </c>
      <c r="Q302" s="649">
        <v>6297</v>
      </c>
      <c r="R302" s="649"/>
      <c r="S302" s="650">
        <v>207280</v>
      </c>
      <c r="T302" s="651">
        <v>-329</v>
      </c>
      <c r="U302" s="651">
        <v>206951</v>
      </c>
    </row>
    <row r="303" spans="1:21" x14ac:dyDescent="0.25">
      <c r="A303" s="646">
        <v>93157</v>
      </c>
      <c r="B303" s="647" t="s">
        <v>2916</v>
      </c>
      <c r="C303" s="648">
        <v>3.8E-6</v>
      </c>
      <c r="D303" s="648">
        <v>2.3999999999999999E-6</v>
      </c>
      <c r="E303" s="649">
        <v>4368.87</v>
      </c>
      <c r="F303" s="649">
        <v>1077</v>
      </c>
      <c r="G303" s="649">
        <v>8065</v>
      </c>
      <c r="H303" s="649"/>
      <c r="I303" s="650">
        <v>151.52500000000001</v>
      </c>
      <c r="J303" s="650">
        <v>7067</v>
      </c>
      <c r="K303" s="650">
        <v>552</v>
      </c>
      <c r="L303" s="649">
        <v>5676</v>
      </c>
      <c r="M303" s="649"/>
      <c r="N303" s="650">
        <v>283</v>
      </c>
      <c r="O303" s="650">
        <v>2609</v>
      </c>
      <c r="P303" s="650">
        <v>0</v>
      </c>
      <c r="Q303" s="649">
        <v>526</v>
      </c>
      <c r="R303" s="649"/>
      <c r="S303" s="650">
        <v>2156</v>
      </c>
      <c r="T303" s="651">
        <v>1938</v>
      </c>
      <c r="U303" s="651">
        <v>4094</v>
      </c>
    </row>
    <row r="304" spans="1:21" x14ac:dyDescent="0.25">
      <c r="A304" s="646">
        <v>93161</v>
      </c>
      <c r="B304" s="647" t="s">
        <v>2917</v>
      </c>
      <c r="C304" s="648">
        <v>6.2500000000000001E-5</v>
      </c>
      <c r="D304" s="648">
        <v>7.4400000000000006E-5</v>
      </c>
      <c r="E304" s="649">
        <v>37835</v>
      </c>
      <c r="F304" s="649">
        <v>33390</v>
      </c>
      <c r="G304" s="649">
        <v>132646</v>
      </c>
      <c r="H304" s="649"/>
      <c r="I304" s="650">
        <v>2492.1875</v>
      </c>
      <c r="J304" s="650">
        <v>116240</v>
      </c>
      <c r="K304" s="650">
        <v>9085.0625</v>
      </c>
      <c r="L304" s="649">
        <v>14075</v>
      </c>
      <c r="M304" s="649"/>
      <c r="N304" s="650">
        <v>4648.0625</v>
      </c>
      <c r="O304" s="650">
        <v>42903.625</v>
      </c>
      <c r="P304" s="650">
        <v>0</v>
      </c>
      <c r="Q304" s="649">
        <v>0</v>
      </c>
      <c r="R304" s="649"/>
      <c r="S304" s="650">
        <v>35454</v>
      </c>
      <c r="T304" s="651">
        <v>6018</v>
      </c>
      <c r="U304" s="651">
        <v>41472</v>
      </c>
    </row>
    <row r="305" spans="1:21" x14ac:dyDescent="0.25">
      <c r="A305" s="646">
        <v>93171</v>
      </c>
      <c r="B305" s="647" t="s">
        <v>2918</v>
      </c>
      <c r="C305" s="648">
        <v>5.8000000000000004E-6</v>
      </c>
      <c r="D305" s="648">
        <v>6.1999999999999999E-6</v>
      </c>
      <c r="E305" s="649">
        <v>3824</v>
      </c>
      <c r="F305" s="649">
        <v>2783</v>
      </c>
      <c r="G305" s="649">
        <v>12310</v>
      </c>
      <c r="H305" s="649"/>
      <c r="I305" s="650">
        <v>231.27500000000001</v>
      </c>
      <c r="J305" s="650">
        <v>10787</v>
      </c>
      <c r="K305" s="650">
        <v>843</v>
      </c>
      <c r="L305" s="649">
        <v>1752</v>
      </c>
      <c r="M305" s="649"/>
      <c r="N305" s="650">
        <v>431</v>
      </c>
      <c r="O305" s="650">
        <v>3981</v>
      </c>
      <c r="P305" s="650">
        <v>0</v>
      </c>
      <c r="Q305" s="649">
        <v>0</v>
      </c>
      <c r="R305" s="649"/>
      <c r="S305" s="650">
        <v>3290</v>
      </c>
      <c r="T305" s="651">
        <v>591</v>
      </c>
      <c r="U305" s="651">
        <v>3881</v>
      </c>
    </row>
    <row r="306" spans="1:21" x14ac:dyDescent="0.25">
      <c r="A306" s="646">
        <v>93181</v>
      </c>
      <c r="B306" s="647" t="s">
        <v>2919</v>
      </c>
      <c r="C306" s="648">
        <v>1.1E-5</v>
      </c>
      <c r="D306" s="648">
        <v>1.0499999999999999E-5</v>
      </c>
      <c r="E306" s="649">
        <v>4374</v>
      </c>
      <c r="F306" s="649">
        <v>4712</v>
      </c>
      <c r="G306" s="649">
        <v>23346</v>
      </c>
      <c r="H306" s="649"/>
      <c r="I306" s="650">
        <v>438.625</v>
      </c>
      <c r="J306" s="650">
        <v>20458</v>
      </c>
      <c r="K306" s="650">
        <v>1599</v>
      </c>
      <c r="L306" s="649">
        <v>743</v>
      </c>
      <c r="M306" s="649"/>
      <c r="N306" s="650">
        <v>818</v>
      </c>
      <c r="O306" s="650">
        <v>7551</v>
      </c>
      <c r="P306" s="650">
        <v>0</v>
      </c>
      <c r="Q306" s="649">
        <v>44</v>
      </c>
      <c r="R306" s="649"/>
      <c r="S306" s="650">
        <v>6240</v>
      </c>
      <c r="T306" s="651">
        <v>321</v>
      </c>
      <c r="U306" s="651">
        <v>6561</v>
      </c>
    </row>
    <row r="307" spans="1:21" x14ac:dyDescent="0.25">
      <c r="A307" s="646">
        <v>93191</v>
      </c>
      <c r="B307" s="647" t="s">
        <v>2920</v>
      </c>
      <c r="C307" s="648">
        <v>3.3000000000000003E-5</v>
      </c>
      <c r="D307" s="648">
        <v>3.65E-5</v>
      </c>
      <c r="E307" s="649">
        <v>16020</v>
      </c>
      <c r="F307" s="649">
        <v>16381</v>
      </c>
      <c r="G307" s="649">
        <v>70037</v>
      </c>
      <c r="H307" s="649"/>
      <c r="I307" s="650">
        <v>1315.875</v>
      </c>
      <c r="J307" s="650">
        <v>61375</v>
      </c>
      <c r="K307" s="650">
        <v>4797</v>
      </c>
      <c r="L307" s="649">
        <v>2648</v>
      </c>
      <c r="M307" s="649"/>
      <c r="N307" s="650">
        <v>2454</v>
      </c>
      <c r="O307" s="650">
        <v>22653</v>
      </c>
      <c r="P307" s="650">
        <v>0</v>
      </c>
      <c r="Q307" s="649">
        <v>1301.46</v>
      </c>
      <c r="R307" s="649"/>
      <c r="S307" s="650">
        <v>18720</v>
      </c>
      <c r="T307" s="651">
        <v>280</v>
      </c>
      <c r="U307" s="651">
        <v>19000</v>
      </c>
    </row>
    <row r="308" spans="1:21" x14ac:dyDescent="0.25">
      <c r="A308" s="646">
        <v>93201</v>
      </c>
      <c r="B308" s="647" t="s">
        <v>2921</v>
      </c>
      <c r="C308" s="648">
        <v>1.5819699999999999E-2</v>
      </c>
      <c r="D308" s="648">
        <v>1.50364E-2</v>
      </c>
      <c r="E308" s="649">
        <v>6525567</v>
      </c>
      <c r="F308" s="649">
        <v>6748246</v>
      </c>
      <c r="G308" s="649">
        <v>33574703</v>
      </c>
      <c r="H308" s="649"/>
      <c r="I308" s="650">
        <v>630811</v>
      </c>
      <c r="J308" s="650">
        <v>29422142</v>
      </c>
      <c r="K308" s="650">
        <v>2299567</v>
      </c>
      <c r="L308" s="649">
        <v>1259115</v>
      </c>
      <c r="M308" s="649"/>
      <c r="N308" s="650">
        <v>1176495</v>
      </c>
      <c r="O308" s="650">
        <v>10859560</v>
      </c>
      <c r="P308" s="650">
        <v>0</v>
      </c>
      <c r="Q308" s="649">
        <v>0</v>
      </c>
      <c r="R308" s="649"/>
      <c r="S308" s="650">
        <v>8974025</v>
      </c>
      <c r="T308" s="651">
        <v>449569</v>
      </c>
      <c r="U308" s="651">
        <v>9423595</v>
      </c>
    </row>
    <row r="309" spans="1:21" x14ac:dyDescent="0.25">
      <c r="A309" s="646">
        <v>93202</v>
      </c>
      <c r="B309" s="647" t="s">
        <v>2922</v>
      </c>
      <c r="C309" s="648">
        <v>0</v>
      </c>
      <c r="D309" s="648">
        <v>2.076E-4</v>
      </c>
      <c r="E309" s="649">
        <v>0</v>
      </c>
      <c r="F309" s="649">
        <v>93170</v>
      </c>
      <c r="G309" s="649">
        <v>0</v>
      </c>
      <c r="H309" s="649"/>
      <c r="I309" s="650">
        <v>0</v>
      </c>
      <c r="J309" s="650">
        <v>0</v>
      </c>
      <c r="K309" s="650">
        <v>0</v>
      </c>
      <c r="L309" s="649">
        <v>0</v>
      </c>
      <c r="M309" s="649"/>
      <c r="N309" s="650">
        <v>0</v>
      </c>
      <c r="O309" s="650">
        <v>0</v>
      </c>
      <c r="P309" s="650">
        <v>0</v>
      </c>
      <c r="Q309" s="649">
        <v>322063</v>
      </c>
      <c r="R309" s="649"/>
      <c r="S309" s="650">
        <v>0</v>
      </c>
      <c r="T309" s="651">
        <v>-109544</v>
      </c>
      <c r="U309" s="651">
        <v>-109544</v>
      </c>
    </row>
    <row r="310" spans="1:21" x14ac:dyDescent="0.25">
      <c r="A310" s="646">
        <v>93204</v>
      </c>
      <c r="B310" s="647" t="s">
        <v>2923</v>
      </c>
      <c r="C310" s="648">
        <v>2.9480000000000001E-4</v>
      </c>
      <c r="D310" s="648">
        <v>3.168E-4</v>
      </c>
      <c r="E310" s="649">
        <v>128269</v>
      </c>
      <c r="F310" s="649">
        <v>142178</v>
      </c>
      <c r="G310" s="649">
        <v>625664</v>
      </c>
      <c r="H310" s="649"/>
      <c r="I310" s="650">
        <v>11755.15</v>
      </c>
      <c r="J310" s="650">
        <v>548281</v>
      </c>
      <c r="K310" s="650">
        <v>42852</v>
      </c>
      <c r="L310" s="649">
        <v>6159</v>
      </c>
      <c r="M310" s="649"/>
      <c r="N310" s="650">
        <v>21924</v>
      </c>
      <c r="O310" s="650">
        <v>202368</v>
      </c>
      <c r="P310" s="650">
        <v>0</v>
      </c>
      <c r="Q310" s="649">
        <v>15903</v>
      </c>
      <c r="R310" s="649"/>
      <c r="S310" s="650">
        <v>167231</v>
      </c>
      <c r="T310" s="651">
        <v>-4266</v>
      </c>
      <c r="U310" s="651">
        <v>162965</v>
      </c>
    </row>
    <row r="311" spans="1:21" x14ac:dyDescent="0.25">
      <c r="A311" s="646">
        <v>93209</v>
      </c>
      <c r="B311" s="647" t="s">
        <v>2924</v>
      </c>
      <c r="C311" s="648">
        <v>4.5113999999999996E-3</v>
      </c>
      <c r="D311" s="648">
        <v>3.4578999999999999E-3</v>
      </c>
      <c r="E311" s="649">
        <v>1625225.44</v>
      </c>
      <c r="F311" s="649">
        <v>1551885</v>
      </c>
      <c r="G311" s="649">
        <v>9574702</v>
      </c>
      <c r="H311" s="649"/>
      <c r="I311" s="650">
        <v>179892</v>
      </c>
      <c r="J311" s="650">
        <v>8390491</v>
      </c>
      <c r="K311" s="650">
        <v>655782</v>
      </c>
      <c r="L311" s="649">
        <v>1306118</v>
      </c>
      <c r="M311" s="649"/>
      <c r="N311" s="650">
        <v>335508</v>
      </c>
      <c r="O311" s="650">
        <v>3096887</v>
      </c>
      <c r="P311" s="650">
        <v>0</v>
      </c>
      <c r="Q311" s="649">
        <v>0</v>
      </c>
      <c r="R311" s="649"/>
      <c r="S311" s="650">
        <v>2559177</v>
      </c>
      <c r="T311" s="651">
        <v>534418</v>
      </c>
      <c r="U311" s="651">
        <v>3093596</v>
      </c>
    </row>
    <row r="312" spans="1:21" x14ac:dyDescent="0.25">
      <c r="A312" s="646">
        <v>93211</v>
      </c>
      <c r="B312" s="647" t="s">
        <v>2925</v>
      </c>
      <c r="C312" s="648">
        <v>2.0456800000000001E-2</v>
      </c>
      <c r="D312" s="648">
        <v>2.1372599999999999E-2</v>
      </c>
      <c r="E312" s="649">
        <v>8152807</v>
      </c>
      <c r="F312" s="649">
        <v>9591895</v>
      </c>
      <c r="G312" s="649">
        <v>43416183</v>
      </c>
      <c r="H312" s="649"/>
      <c r="I312" s="650">
        <v>815714.9</v>
      </c>
      <c r="J312" s="650">
        <v>38046416</v>
      </c>
      <c r="K312" s="650">
        <v>2973621</v>
      </c>
      <c r="L312" s="649">
        <v>0</v>
      </c>
      <c r="M312" s="649"/>
      <c r="N312" s="650">
        <v>1521352</v>
      </c>
      <c r="O312" s="650">
        <v>14042734</v>
      </c>
      <c r="P312" s="650">
        <v>0</v>
      </c>
      <c r="Q312" s="649">
        <v>1405603</v>
      </c>
      <c r="R312" s="649"/>
      <c r="S312" s="650">
        <v>11604508</v>
      </c>
      <c r="T312" s="651">
        <v>-488705</v>
      </c>
      <c r="U312" s="651">
        <v>11115804</v>
      </c>
    </row>
    <row r="313" spans="1:21" x14ac:dyDescent="0.25">
      <c r="A313" s="646">
        <v>93212</v>
      </c>
      <c r="B313" s="647" t="s">
        <v>2926</v>
      </c>
      <c r="C313" s="648">
        <v>2.052E-4</v>
      </c>
      <c r="D313" s="648">
        <v>2.129E-4</v>
      </c>
      <c r="E313" s="649">
        <v>169265.99</v>
      </c>
      <c r="F313" s="649">
        <v>95548</v>
      </c>
      <c r="G313" s="649">
        <v>435503</v>
      </c>
      <c r="H313" s="649"/>
      <c r="I313" s="650">
        <v>8182.35</v>
      </c>
      <c r="J313" s="650">
        <v>381640</v>
      </c>
      <c r="K313" s="650">
        <v>29828</v>
      </c>
      <c r="L313" s="649">
        <v>106395</v>
      </c>
      <c r="M313" s="649"/>
      <c r="N313" s="650">
        <v>15261</v>
      </c>
      <c r="O313" s="650">
        <v>140861</v>
      </c>
      <c r="P313" s="650">
        <v>0</v>
      </c>
      <c r="Q313" s="649">
        <v>0</v>
      </c>
      <c r="R313" s="649"/>
      <c r="S313" s="650">
        <v>116404</v>
      </c>
      <c r="T313" s="651">
        <v>32351</v>
      </c>
      <c r="U313" s="651">
        <v>148755</v>
      </c>
    </row>
    <row r="314" spans="1:21" x14ac:dyDescent="0.25">
      <c r="A314" s="646">
        <v>93219</v>
      </c>
      <c r="B314" s="647" t="s">
        <v>2927</v>
      </c>
      <c r="C314" s="648">
        <v>2.286E-4</v>
      </c>
      <c r="D314" s="648">
        <v>2.41E-4</v>
      </c>
      <c r="E314" s="649">
        <v>96646.59</v>
      </c>
      <c r="F314" s="649">
        <v>108159</v>
      </c>
      <c r="G314" s="649">
        <v>485166</v>
      </c>
      <c r="H314" s="649"/>
      <c r="I314" s="650">
        <v>9115</v>
      </c>
      <c r="J314" s="650">
        <v>425160</v>
      </c>
      <c r="K314" s="650">
        <v>33230</v>
      </c>
      <c r="L314" s="649">
        <v>243</v>
      </c>
      <c r="M314" s="649"/>
      <c r="N314" s="650">
        <v>17001</v>
      </c>
      <c r="O314" s="650">
        <v>156924</v>
      </c>
      <c r="P314" s="650">
        <v>0</v>
      </c>
      <c r="Q314" s="649">
        <v>13406</v>
      </c>
      <c r="R314" s="649"/>
      <c r="S314" s="650">
        <v>129678</v>
      </c>
      <c r="T314" s="651">
        <v>-4190</v>
      </c>
      <c r="U314" s="651">
        <v>125487</v>
      </c>
    </row>
    <row r="315" spans="1:21" x14ac:dyDescent="0.25">
      <c r="A315" s="646">
        <v>93301</v>
      </c>
      <c r="B315" s="647" t="s">
        <v>2928</v>
      </c>
      <c r="C315" s="648">
        <v>2.5330999999999999E-3</v>
      </c>
      <c r="D315" s="648">
        <v>2.4084000000000002E-3</v>
      </c>
      <c r="E315" s="649">
        <v>1037164.56</v>
      </c>
      <c r="F315" s="649">
        <v>1080875</v>
      </c>
      <c r="G315" s="649">
        <v>5376087</v>
      </c>
      <c r="H315" s="649"/>
      <c r="I315" s="650">
        <v>101007</v>
      </c>
      <c r="J315" s="650">
        <v>4711166</v>
      </c>
      <c r="K315" s="650">
        <v>368214</v>
      </c>
      <c r="L315" s="649">
        <v>63934</v>
      </c>
      <c r="M315" s="649"/>
      <c r="N315" s="650">
        <v>188384</v>
      </c>
      <c r="O315" s="650">
        <v>1738867</v>
      </c>
      <c r="P315" s="650">
        <v>0</v>
      </c>
      <c r="Q315" s="649">
        <v>85549</v>
      </c>
      <c r="R315" s="649"/>
      <c r="S315" s="650">
        <v>1436949</v>
      </c>
      <c r="T315" s="651">
        <v>-17290</v>
      </c>
      <c r="U315" s="651">
        <v>1419659</v>
      </c>
    </row>
    <row r="316" spans="1:21" x14ac:dyDescent="0.25">
      <c r="A316" s="646">
        <v>93304</v>
      </c>
      <c r="B316" s="647" t="s">
        <v>2929</v>
      </c>
      <c r="C316" s="648">
        <v>3.4400000000000003E-5</v>
      </c>
      <c r="D316" s="648">
        <v>3.3399999999999999E-5</v>
      </c>
      <c r="E316" s="649">
        <v>16339</v>
      </c>
      <c r="F316" s="649">
        <v>14990</v>
      </c>
      <c r="G316" s="649">
        <v>73008</v>
      </c>
      <c r="H316" s="649"/>
      <c r="I316" s="650">
        <v>1371.7</v>
      </c>
      <c r="J316" s="650">
        <v>63979</v>
      </c>
      <c r="K316" s="650">
        <v>5000</v>
      </c>
      <c r="L316" s="649">
        <v>13604</v>
      </c>
      <c r="M316" s="649"/>
      <c r="N316" s="650">
        <v>2558</v>
      </c>
      <c r="O316" s="650">
        <v>23614</v>
      </c>
      <c r="P316" s="650">
        <v>0</v>
      </c>
      <c r="Q316" s="649">
        <v>0</v>
      </c>
      <c r="R316" s="649"/>
      <c r="S316" s="650">
        <v>19514</v>
      </c>
      <c r="T316" s="651">
        <v>4940</v>
      </c>
      <c r="U316" s="651">
        <v>24454</v>
      </c>
    </row>
    <row r="317" spans="1:21" x14ac:dyDescent="0.25">
      <c r="A317" s="646">
        <v>93305</v>
      </c>
      <c r="B317" s="647" t="s">
        <v>2930</v>
      </c>
      <c r="C317" s="648">
        <v>4.9400000000000001E-5</v>
      </c>
      <c r="D317" s="648">
        <v>5.13E-5</v>
      </c>
      <c r="E317" s="649">
        <v>18489</v>
      </c>
      <c r="F317" s="649">
        <v>23023</v>
      </c>
      <c r="G317" s="649">
        <v>104843</v>
      </c>
      <c r="H317" s="649"/>
      <c r="I317" s="650">
        <v>1969.825</v>
      </c>
      <c r="J317" s="650">
        <v>91876</v>
      </c>
      <c r="K317" s="650">
        <v>7181</v>
      </c>
      <c r="L317" s="649">
        <v>0</v>
      </c>
      <c r="M317" s="649"/>
      <c r="N317" s="650">
        <v>3674</v>
      </c>
      <c r="O317" s="650">
        <v>33911</v>
      </c>
      <c r="P317" s="650">
        <v>0</v>
      </c>
      <c r="Q317" s="649">
        <v>3536</v>
      </c>
      <c r="R317" s="649"/>
      <c r="S317" s="650">
        <v>28023</v>
      </c>
      <c r="T317" s="651">
        <v>-1124</v>
      </c>
      <c r="U317" s="651">
        <v>26899</v>
      </c>
    </row>
    <row r="318" spans="1:21" x14ac:dyDescent="0.25">
      <c r="A318" s="646">
        <v>93309</v>
      </c>
      <c r="B318" s="647" t="s">
        <v>2931</v>
      </c>
      <c r="C318" s="648">
        <v>1.716E-4</v>
      </c>
      <c r="D318" s="648">
        <v>1.5359999999999999E-4</v>
      </c>
      <c r="E318" s="649">
        <v>79731.47</v>
      </c>
      <c r="F318" s="649">
        <v>68935</v>
      </c>
      <c r="G318" s="649">
        <v>364193</v>
      </c>
      <c r="H318" s="649"/>
      <c r="I318" s="650">
        <v>6842.55</v>
      </c>
      <c r="J318" s="650">
        <v>319149</v>
      </c>
      <c r="K318" s="650">
        <v>24944</v>
      </c>
      <c r="L318" s="649">
        <v>23583</v>
      </c>
      <c r="M318" s="649"/>
      <c r="N318" s="650">
        <v>12762</v>
      </c>
      <c r="O318" s="650">
        <v>117796</v>
      </c>
      <c r="P318" s="650">
        <v>0</v>
      </c>
      <c r="Q318" s="649">
        <v>1972</v>
      </c>
      <c r="R318" s="649"/>
      <c r="S318" s="650">
        <v>97343</v>
      </c>
      <c r="T318" s="651">
        <v>5745</v>
      </c>
      <c r="U318" s="651">
        <v>103088</v>
      </c>
    </row>
    <row r="319" spans="1:21" x14ac:dyDescent="0.25">
      <c r="A319" s="646">
        <v>93311</v>
      </c>
      <c r="B319" s="647" t="s">
        <v>2932</v>
      </c>
      <c r="C319" s="648">
        <v>1.1567000000000001E-3</v>
      </c>
      <c r="D319" s="648">
        <v>1.2727000000000001E-3</v>
      </c>
      <c r="E319" s="649">
        <v>452858.55</v>
      </c>
      <c r="F319" s="649">
        <v>571180</v>
      </c>
      <c r="G319" s="649">
        <v>2454905</v>
      </c>
      <c r="H319" s="649"/>
      <c r="I319" s="650">
        <v>46123</v>
      </c>
      <c r="J319" s="650">
        <v>2151279</v>
      </c>
      <c r="K319" s="650">
        <v>168139</v>
      </c>
      <c r="L319" s="649">
        <v>0</v>
      </c>
      <c r="M319" s="649"/>
      <c r="N319" s="650">
        <v>86023</v>
      </c>
      <c r="O319" s="650">
        <v>794026</v>
      </c>
      <c r="P319" s="650">
        <v>0</v>
      </c>
      <c r="Q319" s="649">
        <v>121847</v>
      </c>
      <c r="R319" s="649"/>
      <c r="S319" s="650">
        <v>656160</v>
      </c>
      <c r="T319" s="651">
        <v>-38102</v>
      </c>
      <c r="U319" s="651">
        <v>618058</v>
      </c>
    </row>
    <row r="320" spans="1:21" x14ac:dyDescent="0.25">
      <c r="A320" s="646">
        <v>93317</v>
      </c>
      <c r="B320" s="647" t="s">
        <v>2933</v>
      </c>
      <c r="C320" s="648">
        <v>4.8099999999999997E-5</v>
      </c>
      <c r="D320" s="648">
        <v>4.6600000000000001E-5</v>
      </c>
      <c r="E320" s="649">
        <v>19409</v>
      </c>
      <c r="F320" s="649">
        <v>20914</v>
      </c>
      <c r="G320" s="649">
        <v>102084</v>
      </c>
      <c r="H320" s="649"/>
      <c r="I320" s="650">
        <v>1918</v>
      </c>
      <c r="J320" s="650">
        <v>89458</v>
      </c>
      <c r="K320" s="650">
        <v>6992</v>
      </c>
      <c r="L320" s="649">
        <v>606</v>
      </c>
      <c r="M320" s="649"/>
      <c r="N320" s="650">
        <v>3577</v>
      </c>
      <c r="O320" s="650">
        <v>33019</v>
      </c>
      <c r="P320" s="650">
        <v>0</v>
      </c>
      <c r="Q320" s="649">
        <v>557</v>
      </c>
      <c r="R320" s="649"/>
      <c r="S320" s="650">
        <v>27286</v>
      </c>
      <c r="T320" s="651">
        <v>-115</v>
      </c>
      <c r="U320" s="651">
        <v>27171</v>
      </c>
    </row>
    <row r="321" spans="1:21" x14ac:dyDescent="0.25">
      <c r="A321" s="646">
        <v>93321</v>
      </c>
      <c r="B321" s="647" t="s">
        <v>2934</v>
      </c>
      <c r="C321" s="648">
        <v>7.4706E-3</v>
      </c>
      <c r="D321" s="648">
        <v>7.7070000000000003E-3</v>
      </c>
      <c r="E321" s="649">
        <v>2840093.51</v>
      </c>
      <c r="F321" s="649">
        <v>3458855</v>
      </c>
      <c r="G321" s="649">
        <v>15855116</v>
      </c>
      <c r="H321" s="649"/>
      <c r="I321" s="650">
        <v>297890</v>
      </c>
      <c r="J321" s="650">
        <v>13894136</v>
      </c>
      <c r="K321" s="650">
        <v>1085934</v>
      </c>
      <c r="L321" s="649">
        <v>0</v>
      </c>
      <c r="M321" s="649"/>
      <c r="N321" s="650">
        <v>555581</v>
      </c>
      <c r="O321" s="650">
        <v>5128253</v>
      </c>
      <c r="P321" s="650">
        <v>0</v>
      </c>
      <c r="Q321" s="649">
        <v>746070</v>
      </c>
      <c r="R321" s="649"/>
      <c r="S321" s="650">
        <v>4237840</v>
      </c>
      <c r="T321" s="651">
        <v>-276901</v>
      </c>
      <c r="U321" s="651">
        <v>3960939</v>
      </c>
    </row>
    <row r="322" spans="1:21" x14ac:dyDescent="0.25">
      <c r="A322" s="646">
        <v>93323</v>
      </c>
      <c r="B322" s="647" t="s">
        <v>2935</v>
      </c>
      <c r="C322" s="648">
        <v>1.0200000000000001E-5</v>
      </c>
      <c r="D322" s="648">
        <v>1.4600000000000001E-5</v>
      </c>
      <c r="E322" s="649">
        <v>5325.71</v>
      </c>
      <c r="F322" s="649">
        <v>6552</v>
      </c>
      <c r="G322" s="649">
        <v>21648</v>
      </c>
      <c r="H322" s="649"/>
      <c r="I322" s="650">
        <v>406.72500000000002</v>
      </c>
      <c r="J322" s="650">
        <v>18970</v>
      </c>
      <c r="K322" s="650">
        <v>1483</v>
      </c>
      <c r="L322" s="649">
        <v>2836</v>
      </c>
      <c r="M322" s="649"/>
      <c r="N322" s="650">
        <v>759</v>
      </c>
      <c r="O322" s="650">
        <v>7002</v>
      </c>
      <c r="P322" s="650">
        <v>0</v>
      </c>
      <c r="Q322" s="649">
        <v>1485</v>
      </c>
      <c r="R322" s="649"/>
      <c r="S322" s="650">
        <v>5786</v>
      </c>
      <c r="T322" s="651">
        <v>784</v>
      </c>
      <c r="U322" s="651">
        <v>6570</v>
      </c>
    </row>
    <row r="323" spans="1:21" x14ac:dyDescent="0.25">
      <c r="A323" s="646">
        <v>93331</v>
      </c>
      <c r="B323" s="647" t="s">
        <v>2936</v>
      </c>
      <c r="C323" s="648">
        <v>1.3090000000000001E-4</v>
      </c>
      <c r="D323" s="648">
        <v>1.1909999999999999E-4</v>
      </c>
      <c r="E323" s="649">
        <v>46762.55</v>
      </c>
      <c r="F323" s="649">
        <v>53451</v>
      </c>
      <c r="G323" s="649">
        <v>277814</v>
      </c>
      <c r="H323" s="649"/>
      <c r="I323" s="650">
        <v>5220</v>
      </c>
      <c r="J323" s="650">
        <v>243453</v>
      </c>
      <c r="K323" s="650">
        <v>19028</v>
      </c>
      <c r="L323" s="649">
        <v>4668</v>
      </c>
      <c r="M323" s="649"/>
      <c r="N323" s="650">
        <v>9735</v>
      </c>
      <c r="O323" s="650">
        <v>89857</v>
      </c>
      <c r="P323" s="650">
        <v>0</v>
      </c>
      <c r="Q323" s="649">
        <v>9208</v>
      </c>
      <c r="R323" s="649"/>
      <c r="S323" s="650">
        <v>74256</v>
      </c>
      <c r="T323" s="651">
        <v>-1109</v>
      </c>
      <c r="U323" s="651">
        <v>73147</v>
      </c>
    </row>
    <row r="324" spans="1:21" x14ac:dyDescent="0.25">
      <c r="A324" s="646">
        <v>93333</v>
      </c>
      <c r="B324" s="647" t="s">
        <v>2937</v>
      </c>
      <c r="C324" s="648">
        <v>1.9990000000000001E-4</v>
      </c>
      <c r="D324" s="648">
        <v>2.1479999999999999E-4</v>
      </c>
      <c r="E324" s="649">
        <v>201284.12</v>
      </c>
      <c r="F324" s="649">
        <v>96401</v>
      </c>
      <c r="G324" s="649">
        <v>424255</v>
      </c>
      <c r="H324" s="649"/>
      <c r="I324" s="650">
        <v>7971</v>
      </c>
      <c r="J324" s="650">
        <v>371782</v>
      </c>
      <c r="K324" s="650">
        <v>29058</v>
      </c>
      <c r="L324" s="649">
        <v>178353</v>
      </c>
      <c r="M324" s="649"/>
      <c r="N324" s="650">
        <v>14866</v>
      </c>
      <c r="O324" s="650">
        <v>137223</v>
      </c>
      <c r="P324" s="650">
        <v>0</v>
      </c>
      <c r="Q324" s="649">
        <v>0</v>
      </c>
      <c r="R324" s="649"/>
      <c r="S324" s="650">
        <v>113397</v>
      </c>
      <c r="T324" s="651">
        <v>56479</v>
      </c>
      <c r="U324" s="651">
        <v>169876</v>
      </c>
    </row>
    <row r="325" spans="1:21" x14ac:dyDescent="0.25">
      <c r="A325" s="646">
        <v>93341</v>
      </c>
      <c r="B325" s="647" t="s">
        <v>2938</v>
      </c>
      <c r="C325" s="648">
        <v>2.73E-5</v>
      </c>
      <c r="D325" s="648">
        <v>2.6699999999999998E-5</v>
      </c>
      <c r="E325" s="649">
        <v>12881</v>
      </c>
      <c r="F325" s="649">
        <v>11983</v>
      </c>
      <c r="G325" s="649">
        <v>57940</v>
      </c>
      <c r="H325" s="649"/>
      <c r="I325" s="650">
        <v>1089</v>
      </c>
      <c r="J325" s="650">
        <v>50774</v>
      </c>
      <c r="K325" s="650">
        <v>3968</v>
      </c>
      <c r="L325" s="649">
        <v>2789</v>
      </c>
      <c r="M325" s="649"/>
      <c r="N325" s="650">
        <v>2030</v>
      </c>
      <c r="O325" s="650">
        <v>18740</v>
      </c>
      <c r="P325" s="650">
        <v>0</v>
      </c>
      <c r="Q325" s="649">
        <v>0</v>
      </c>
      <c r="R325" s="649"/>
      <c r="S325" s="650">
        <v>15486</v>
      </c>
      <c r="T325" s="651">
        <v>923</v>
      </c>
      <c r="U325" s="651">
        <v>16410</v>
      </c>
    </row>
    <row r="326" spans="1:21" x14ac:dyDescent="0.25">
      <c r="A326" s="646">
        <v>93351</v>
      </c>
      <c r="B326" s="647" t="s">
        <v>2939</v>
      </c>
      <c r="C326" s="648">
        <v>1.5999999999999999E-5</v>
      </c>
      <c r="D326" s="648">
        <v>5.4999999999999999E-6</v>
      </c>
      <c r="E326" s="649">
        <v>10006.02</v>
      </c>
      <c r="F326" s="649">
        <v>2468</v>
      </c>
      <c r="G326" s="649">
        <v>33957.360000000001</v>
      </c>
      <c r="H326" s="649"/>
      <c r="I326" s="650">
        <v>638</v>
      </c>
      <c r="J326" s="650">
        <v>29757</v>
      </c>
      <c r="K326" s="650">
        <v>2326</v>
      </c>
      <c r="L326" s="649">
        <v>8409</v>
      </c>
      <c r="M326" s="649"/>
      <c r="N326" s="650">
        <v>1190</v>
      </c>
      <c r="O326" s="650">
        <v>10983</v>
      </c>
      <c r="P326" s="650">
        <v>0</v>
      </c>
      <c r="Q326" s="649">
        <v>6601</v>
      </c>
      <c r="R326" s="649"/>
      <c r="S326" s="650">
        <v>9076</v>
      </c>
      <c r="T326" s="651">
        <v>-253</v>
      </c>
      <c r="U326" s="651">
        <v>8823</v>
      </c>
    </row>
    <row r="327" spans="1:21" x14ac:dyDescent="0.25">
      <c r="A327" s="646">
        <v>93401</v>
      </c>
      <c r="B327" s="647" t="s">
        <v>2940</v>
      </c>
      <c r="C327" s="648">
        <v>1.37997E-2</v>
      </c>
      <c r="D327" s="648">
        <v>1.4001899999999999E-2</v>
      </c>
      <c r="E327" s="649">
        <v>5646375</v>
      </c>
      <c r="F327" s="649">
        <v>6283969</v>
      </c>
      <c r="G327" s="649">
        <v>29287586</v>
      </c>
      <c r="H327" s="649"/>
      <c r="I327" s="650">
        <v>550263</v>
      </c>
      <c r="J327" s="650">
        <v>25665262</v>
      </c>
      <c r="K327" s="650">
        <v>2005938</v>
      </c>
      <c r="L327" s="649">
        <v>111475</v>
      </c>
      <c r="M327" s="649"/>
      <c r="N327" s="650">
        <v>1026270</v>
      </c>
      <c r="O327" s="650">
        <v>9472914</v>
      </c>
      <c r="P327" s="650">
        <v>0</v>
      </c>
      <c r="Q327" s="649">
        <v>309143</v>
      </c>
      <c r="R327" s="649"/>
      <c r="S327" s="650">
        <v>7828142</v>
      </c>
      <c r="T327" s="651">
        <v>-83612</v>
      </c>
      <c r="U327" s="651">
        <v>7744530</v>
      </c>
    </row>
    <row r="328" spans="1:21" x14ac:dyDescent="0.25">
      <c r="A328" s="646">
        <v>93402</v>
      </c>
      <c r="B328" s="647" t="s">
        <v>2941</v>
      </c>
      <c r="C328" s="648">
        <v>9.2999999999999997E-5</v>
      </c>
      <c r="D328" s="648">
        <v>9.4400000000000004E-5</v>
      </c>
      <c r="E328" s="649">
        <v>35918</v>
      </c>
      <c r="F328" s="649">
        <v>42366</v>
      </c>
      <c r="G328" s="649">
        <v>197377</v>
      </c>
      <c r="H328" s="649"/>
      <c r="I328" s="650">
        <v>3708.375</v>
      </c>
      <c r="J328" s="650">
        <v>172965</v>
      </c>
      <c r="K328" s="650">
        <v>13519</v>
      </c>
      <c r="L328" s="649">
        <v>9628</v>
      </c>
      <c r="M328" s="649"/>
      <c r="N328" s="650">
        <v>6916</v>
      </c>
      <c r="O328" s="650">
        <v>63841</v>
      </c>
      <c r="P328" s="650">
        <v>0</v>
      </c>
      <c r="Q328" s="649">
        <v>2607</v>
      </c>
      <c r="R328" s="649"/>
      <c r="S328" s="650">
        <v>52756</v>
      </c>
      <c r="T328" s="651">
        <v>3407</v>
      </c>
      <c r="U328" s="651">
        <v>56163</v>
      </c>
    </row>
    <row r="329" spans="1:21" x14ac:dyDescent="0.25">
      <c r="A329" s="646">
        <v>93406</v>
      </c>
      <c r="B329" s="647" t="s">
        <v>2942</v>
      </c>
      <c r="C329" s="648">
        <v>7.1170000000000001E-4</v>
      </c>
      <c r="D329" s="648">
        <v>7.0850000000000004E-4</v>
      </c>
      <c r="E329" s="649">
        <v>298926.93</v>
      </c>
      <c r="F329" s="649">
        <v>317971</v>
      </c>
      <c r="G329" s="649">
        <v>1510466</v>
      </c>
      <c r="H329" s="649"/>
      <c r="I329" s="650">
        <v>28379</v>
      </c>
      <c r="J329" s="650">
        <v>1323650</v>
      </c>
      <c r="K329" s="650">
        <v>103453</v>
      </c>
      <c r="L329" s="649">
        <v>45100</v>
      </c>
      <c r="M329" s="649"/>
      <c r="N329" s="650">
        <v>52928</v>
      </c>
      <c r="O329" s="650">
        <v>488552</v>
      </c>
      <c r="P329" s="650">
        <v>0</v>
      </c>
      <c r="Q329" s="649">
        <v>0</v>
      </c>
      <c r="R329" s="649"/>
      <c r="S329" s="650">
        <v>403725</v>
      </c>
      <c r="T329" s="651">
        <v>19044</v>
      </c>
      <c r="U329" s="651">
        <v>422769</v>
      </c>
    </row>
    <row r="330" spans="1:21" x14ac:dyDescent="0.25">
      <c r="A330" s="646">
        <v>93408</v>
      </c>
      <c r="B330" s="647" t="s">
        <v>2943</v>
      </c>
      <c r="C330" s="648">
        <v>1.8967999999999999E-3</v>
      </c>
      <c r="D330" s="648">
        <v>1.7309000000000001E-3</v>
      </c>
      <c r="E330" s="649">
        <v>0</v>
      </c>
      <c r="F330" s="649">
        <v>776818</v>
      </c>
      <c r="G330" s="649">
        <v>4025645</v>
      </c>
      <c r="H330" s="649"/>
      <c r="I330" s="650">
        <v>75635</v>
      </c>
      <c r="J330" s="650">
        <v>3527748</v>
      </c>
      <c r="K330" s="650">
        <v>275721</v>
      </c>
      <c r="L330" s="649">
        <v>321789</v>
      </c>
      <c r="M330" s="649"/>
      <c r="N330" s="650">
        <v>141063</v>
      </c>
      <c r="O330" s="650">
        <v>1302074</v>
      </c>
      <c r="P330" s="650">
        <v>0</v>
      </c>
      <c r="Q330" s="649">
        <v>529672</v>
      </c>
      <c r="R330" s="649"/>
      <c r="S330" s="650">
        <v>1075996</v>
      </c>
      <c r="T330" s="651">
        <v>10994</v>
      </c>
      <c r="U330" s="651">
        <v>1086990</v>
      </c>
    </row>
    <row r="331" spans="1:21" x14ac:dyDescent="0.25">
      <c r="A331" s="646">
        <v>93411</v>
      </c>
      <c r="B331" s="647" t="s">
        <v>2944</v>
      </c>
      <c r="C331" s="648">
        <v>1.73309E-2</v>
      </c>
      <c r="D331" s="648">
        <v>1.8002500000000001E-2</v>
      </c>
      <c r="E331" s="649">
        <v>7066227</v>
      </c>
      <c r="F331" s="649">
        <v>8079414</v>
      </c>
      <c r="G331" s="649">
        <v>36781976</v>
      </c>
      <c r="H331" s="649"/>
      <c r="I331" s="650">
        <v>691070</v>
      </c>
      <c r="J331" s="650">
        <v>32232736</v>
      </c>
      <c r="K331" s="650">
        <v>2519237</v>
      </c>
      <c r="L331" s="649">
        <v>0</v>
      </c>
      <c r="M331" s="649"/>
      <c r="N331" s="650">
        <v>1288882</v>
      </c>
      <c r="O331" s="650">
        <v>11896935</v>
      </c>
      <c r="P331" s="650">
        <v>0</v>
      </c>
      <c r="Q331" s="649">
        <v>963900</v>
      </c>
      <c r="R331" s="649"/>
      <c r="S331" s="650">
        <v>9831282</v>
      </c>
      <c r="T331" s="651">
        <v>-369146</v>
      </c>
      <c r="U331" s="651">
        <v>9462137</v>
      </c>
    </row>
    <row r="332" spans="1:21" x14ac:dyDescent="0.25">
      <c r="A332" s="646">
        <v>93413</v>
      </c>
      <c r="B332" s="647" t="s">
        <v>2945</v>
      </c>
      <c r="C332" s="648">
        <v>8.0130000000000002E-4</v>
      </c>
      <c r="D332" s="648">
        <v>8.6039999999999999E-4</v>
      </c>
      <c r="E332" s="649">
        <v>344103.62</v>
      </c>
      <c r="F332" s="649">
        <v>386142</v>
      </c>
      <c r="G332" s="649">
        <v>1700627</v>
      </c>
      <c r="H332" s="649"/>
      <c r="I332" s="650">
        <v>31952</v>
      </c>
      <c r="J332" s="650">
        <v>1490291</v>
      </c>
      <c r="K332" s="650">
        <v>116478</v>
      </c>
      <c r="L332" s="649">
        <v>0</v>
      </c>
      <c r="M332" s="649"/>
      <c r="N332" s="650">
        <v>59592</v>
      </c>
      <c r="O332" s="650">
        <v>550059</v>
      </c>
      <c r="P332" s="650">
        <v>0</v>
      </c>
      <c r="Q332" s="649">
        <v>52213</v>
      </c>
      <c r="R332" s="649"/>
      <c r="S332" s="650">
        <v>454553</v>
      </c>
      <c r="T332" s="651">
        <v>-17374</v>
      </c>
      <c r="U332" s="651">
        <v>437179</v>
      </c>
    </row>
    <row r="333" spans="1:21" x14ac:dyDescent="0.25">
      <c r="A333" s="646">
        <v>93417</v>
      </c>
      <c r="B333" s="647" t="s">
        <v>2946</v>
      </c>
      <c r="C333" s="648">
        <v>4.1130000000000002E-4</v>
      </c>
      <c r="D333" s="648">
        <v>4.2470000000000002E-4</v>
      </c>
      <c r="E333" s="649">
        <v>180699</v>
      </c>
      <c r="F333" s="649">
        <v>190603</v>
      </c>
      <c r="G333" s="649">
        <v>872916</v>
      </c>
      <c r="H333" s="649"/>
      <c r="I333" s="650">
        <v>16401</v>
      </c>
      <c r="J333" s="650">
        <v>764953</v>
      </c>
      <c r="K333" s="650">
        <v>59787</v>
      </c>
      <c r="L333" s="649">
        <v>29582</v>
      </c>
      <c r="M333" s="649"/>
      <c r="N333" s="650">
        <v>30588</v>
      </c>
      <c r="O333" s="650">
        <v>282340</v>
      </c>
      <c r="P333" s="650">
        <v>0</v>
      </c>
      <c r="Q333" s="649">
        <v>0</v>
      </c>
      <c r="R333" s="649"/>
      <c r="S333" s="650">
        <v>233318</v>
      </c>
      <c r="T333" s="651">
        <v>14150</v>
      </c>
      <c r="U333" s="651">
        <v>247468</v>
      </c>
    </row>
    <row r="334" spans="1:21" x14ac:dyDescent="0.25">
      <c r="A334" s="646">
        <v>93421</v>
      </c>
      <c r="B334" s="647" t="s">
        <v>2947</v>
      </c>
      <c r="C334" s="648">
        <v>2.1646E-3</v>
      </c>
      <c r="D334" s="648">
        <v>2.2629E-3</v>
      </c>
      <c r="E334" s="649">
        <v>806586</v>
      </c>
      <c r="F334" s="649">
        <v>1015576</v>
      </c>
      <c r="G334" s="649">
        <v>4594006</v>
      </c>
      <c r="H334" s="649"/>
      <c r="I334" s="650">
        <v>86313</v>
      </c>
      <c r="J334" s="650">
        <v>4025814</v>
      </c>
      <c r="K334" s="650">
        <v>314648</v>
      </c>
      <c r="L334" s="649">
        <v>0</v>
      </c>
      <c r="M334" s="649"/>
      <c r="N334" s="650">
        <v>160979</v>
      </c>
      <c r="O334" s="650">
        <v>1485907</v>
      </c>
      <c r="P334" s="650">
        <v>0</v>
      </c>
      <c r="Q334" s="649">
        <v>286111</v>
      </c>
      <c r="R334" s="649"/>
      <c r="S334" s="650">
        <v>1227910</v>
      </c>
      <c r="T334" s="651">
        <v>-103829</v>
      </c>
      <c r="U334" s="651">
        <v>1124081</v>
      </c>
    </row>
    <row r="335" spans="1:21" x14ac:dyDescent="0.25">
      <c r="A335" s="646">
        <v>93431</v>
      </c>
      <c r="B335" s="647" t="s">
        <v>2948</v>
      </c>
      <c r="C335" s="648">
        <v>1.127E-4</v>
      </c>
      <c r="D335" s="648">
        <v>1.3469999999999999E-4</v>
      </c>
      <c r="E335" s="649">
        <v>53588</v>
      </c>
      <c r="F335" s="649">
        <v>60453</v>
      </c>
      <c r="G335" s="649">
        <v>239187</v>
      </c>
      <c r="H335" s="649"/>
      <c r="I335" s="650">
        <v>4494</v>
      </c>
      <c r="J335" s="650">
        <v>209604</v>
      </c>
      <c r="K335" s="650">
        <v>16382</v>
      </c>
      <c r="L335" s="649">
        <v>1676</v>
      </c>
      <c r="M335" s="649"/>
      <c r="N335" s="650">
        <v>8381</v>
      </c>
      <c r="O335" s="650">
        <v>77364</v>
      </c>
      <c r="P335" s="650">
        <v>0</v>
      </c>
      <c r="Q335" s="649">
        <v>7450</v>
      </c>
      <c r="R335" s="649"/>
      <c r="S335" s="650">
        <v>63931</v>
      </c>
      <c r="T335" s="651">
        <v>-1211</v>
      </c>
      <c r="U335" s="651">
        <v>62721</v>
      </c>
    </row>
    <row r="336" spans="1:21" x14ac:dyDescent="0.25">
      <c r="A336" s="646">
        <v>93441</v>
      </c>
      <c r="B336" s="647" t="s">
        <v>2949</v>
      </c>
      <c r="C336" s="648">
        <v>1.4970000000000001E-4</v>
      </c>
      <c r="D336" s="648">
        <v>1.3239999999999999E-4</v>
      </c>
      <c r="E336" s="649">
        <v>71653</v>
      </c>
      <c r="F336" s="649">
        <v>59420</v>
      </c>
      <c r="G336" s="649">
        <v>317714</v>
      </c>
      <c r="H336" s="649"/>
      <c r="I336" s="650">
        <v>5969</v>
      </c>
      <c r="J336" s="650">
        <v>278418</v>
      </c>
      <c r="K336" s="650">
        <v>21761</v>
      </c>
      <c r="L336" s="649">
        <v>34771</v>
      </c>
      <c r="M336" s="649"/>
      <c r="N336" s="650">
        <v>11133</v>
      </c>
      <c r="O336" s="650">
        <v>102763</v>
      </c>
      <c r="P336" s="650">
        <v>0</v>
      </c>
      <c r="Q336" s="649">
        <v>0</v>
      </c>
      <c r="R336" s="649"/>
      <c r="S336" s="650">
        <v>84920</v>
      </c>
      <c r="T336" s="651">
        <v>12654</v>
      </c>
      <c r="U336" s="651">
        <v>97574</v>
      </c>
    </row>
    <row r="337" spans="1:21" x14ac:dyDescent="0.25">
      <c r="A337" s="646">
        <v>93442</v>
      </c>
      <c r="B337" s="647" t="s">
        <v>2950</v>
      </c>
      <c r="C337" s="648">
        <v>1.3540000000000001E-4</v>
      </c>
      <c r="D337" s="648">
        <v>1.7799999999999999E-4</v>
      </c>
      <c r="E337" s="649">
        <v>53217.95</v>
      </c>
      <c r="F337" s="649">
        <v>79885</v>
      </c>
      <c r="G337" s="649">
        <v>287364</v>
      </c>
      <c r="H337" s="649"/>
      <c r="I337" s="650">
        <v>5399</v>
      </c>
      <c r="J337" s="650">
        <v>251823</v>
      </c>
      <c r="K337" s="650">
        <v>19682</v>
      </c>
      <c r="L337" s="649">
        <v>6718</v>
      </c>
      <c r="M337" s="649"/>
      <c r="N337" s="650">
        <v>10070</v>
      </c>
      <c r="O337" s="650">
        <v>92946</v>
      </c>
      <c r="P337" s="650">
        <v>0</v>
      </c>
      <c r="Q337" s="649">
        <v>29938</v>
      </c>
      <c r="R337" s="649"/>
      <c r="S337" s="650">
        <v>76808</v>
      </c>
      <c r="T337" s="651">
        <v>-6567</v>
      </c>
      <c r="U337" s="651">
        <v>70241</v>
      </c>
    </row>
    <row r="338" spans="1:21" x14ac:dyDescent="0.25">
      <c r="A338" s="646">
        <v>93451</v>
      </c>
      <c r="B338" s="647" t="s">
        <v>2951</v>
      </c>
      <c r="C338" s="648">
        <v>7.6899999999999999E-5</v>
      </c>
      <c r="D338" s="648">
        <v>7.6699999999999994E-5</v>
      </c>
      <c r="E338" s="649">
        <v>41952.18</v>
      </c>
      <c r="F338" s="649">
        <v>34422</v>
      </c>
      <c r="G338" s="649">
        <v>163208</v>
      </c>
      <c r="H338" s="649"/>
      <c r="I338" s="650">
        <v>3066</v>
      </c>
      <c r="J338" s="650">
        <v>143022</v>
      </c>
      <c r="K338" s="650">
        <v>11178</v>
      </c>
      <c r="L338" s="649">
        <v>18732</v>
      </c>
      <c r="M338" s="649"/>
      <c r="N338" s="650">
        <v>5719</v>
      </c>
      <c r="O338" s="650">
        <v>52789</v>
      </c>
      <c r="P338" s="650">
        <v>0</v>
      </c>
      <c r="Q338" s="649">
        <v>2999</v>
      </c>
      <c r="R338" s="649"/>
      <c r="S338" s="650">
        <v>43623</v>
      </c>
      <c r="T338" s="651">
        <v>4342</v>
      </c>
      <c r="U338" s="651">
        <v>47965</v>
      </c>
    </row>
    <row r="339" spans="1:21" x14ac:dyDescent="0.25">
      <c r="A339" s="646">
        <v>93461</v>
      </c>
      <c r="B339" s="647" t="s">
        <v>2952</v>
      </c>
      <c r="C339" s="648">
        <v>1.7200000000000001E-5</v>
      </c>
      <c r="D339" s="648">
        <v>1.7200000000000001E-5</v>
      </c>
      <c r="E339" s="649">
        <v>7471</v>
      </c>
      <c r="F339" s="649">
        <v>7719</v>
      </c>
      <c r="G339" s="649">
        <v>36504</v>
      </c>
      <c r="H339" s="649"/>
      <c r="I339" s="650">
        <v>685.85</v>
      </c>
      <c r="J339" s="650">
        <v>31989</v>
      </c>
      <c r="K339" s="650">
        <v>2500</v>
      </c>
      <c r="L339" s="649">
        <v>695</v>
      </c>
      <c r="M339" s="649"/>
      <c r="N339" s="650">
        <v>1279</v>
      </c>
      <c r="O339" s="650">
        <v>11807</v>
      </c>
      <c r="P339" s="650">
        <v>0</v>
      </c>
      <c r="Q339" s="649">
        <v>0</v>
      </c>
      <c r="R339" s="649"/>
      <c r="S339" s="650">
        <v>9757</v>
      </c>
      <c r="T339" s="651">
        <v>226</v>
      </c>
      <c r="U339" s="651">
        <v>9983</v>
      </c>
    </row>
    <row r="340" spans="1:21" x14ac:dyDescent="0.25">
      <c r="A340" s="646">
        <v>93471</v>
      </c>
      <c r="B340" s="647" t="s">
        <v>2953</v>
      </c>
      <c r="C340" s="648">
        <v>1.1800000000000001E-5</v>
      </c>
      <c r="D340" s="648">
        <v>1.34E-5</v>
      </c>
      <c r="E340" s="649">
        <v>7905</v>
      </c>
      <c r="F340" s="649">
        <v>6014</v>
      </c>
      <c r="G340" s="649">
        <v>25044</v>
      </c>
      <c r="H340" s="649"/>
      <c r="I340" s="650">
        <v>471</v>
      </c>
      <c r="J340" s="650">
        <v>21946</v>
      </c>
      <c r="K340" s="650">
        <v>1715</v>
      </c>
      <c r="L340" s="649">
        <v>2187</v>
      </c>
      <c r="M340" s="649"/>
      <c r="N340" s="650">
        <v>878</v>
      </c>
      <c r="O340" s="650">
        <v>8100</v>
      </c>
      <c r="P340" s="650">
        <v>0</v>
      </c>
      <c r="Q340" s="649">
        <v>127</v>
      </c>
      <c r="R340" s="649"/>
      <c r="S340" s="650">
        <v>6694</v>
      </c>
      <c r="T340" s="651">
        <v>563</v>
      </c>
      <c r="U340" s="651">
        <v>7256</v>
      </c>
    </row>
    <row r="341" spans="1:21" x14ac:dyDescent="0.25">
      <c r="A341" s="646">
        <v>93501</v>
      </c>
      <c r="B341" s="647" t="s">
        <v>2954</v>
      </c>
      <c r="C341" s="648">
        <v>3.4039000000000001E-3</v>
      </c>
      <c r="D341" s="648">
        <v>3.4708E-3</v>
      </c>
      <c r="E341" s="649">
        <v>1347598.72</v>
      </c>
      <c r="F341" s="649">
        <v>1557674</v>
      </c>
      <c r="G341" s="649">
        <v>7224216</v>
      </c>
      <c r="H341" s="649"/>
      <c r="I341" s="650">
        <v>135731</v>
      </c>
      <c r="J341" s="650">
        <v>6330716</v>
      </c>
      <c r="K341" s="650">
        <v>494794</v>
      </c>
      <c r="L341" s="649">
        <v>165283</v>
      </c>
      <c r="M341" s="649"/>
      <c r="N341" s="650">
        <v>253145</v>
      </c>
      <c r="O341" s="650">
        <v>2336634</v>
      </c>
      <c r="P341" s="650">
        <v>0</v>
      </c>
      <c r="Q341" s="649">
        <v>77725</v>
      </c>
      <c r="R341" s="649"/>
      <c r="S341" s="650">
        <v>1930927</v>
      </c>
      <c r="T341" s="651">
        <v>52932</v>
      </c>
      <c r="U341" s="651">
        <v>1983859</v>
      </c>
    </row>
    <row r="342" spans="1:21" x14ac:dyDescent="0.25">
      <c r="A342" s="646">
        <v>93511</v>
      </c>
      <c r="B342" s="647" t="s">
        <v>2955</v>
      </c>
      <c r="C342" s="648">
        <v>9.8999999999999994E-5</v>
      </c>
      <c r="D342" s="648">
        <v>1.142E-4</v>
      </c>
      <c r="E342" s="649">
        <v>40720.79</v>
      </c>
      <c r="F342" s="649">
        <v>51252</v>
      </c>
      <c r="G342" s="649">
        <v>210111</v>
      </c>
      <c r="H342" s="649"/>
      <c r="I342" s="650">
        <v>3948</v>
      </c>
      <c r="J342" s="650">
        <v>184124</v>
      </c>
      <c r="K342" s="650">
        <v>14391</v>
      </c>
      <c r="L342" s="649">
        <v>5204</v>
      </c>
      <c r="M342" s="649"/>
      <c r="N342" s="650">
        <v>7363</v>
      </c>
      <c r="O342" s="650">
        <v>67959</v>
      </c>
      <c r="P342" s="650">
        <v>0</v>
      </c>
      <c r="Q342" s="649">
        <v>14645</v>
      </c>
      <c r="R342" s="649"/>
      <c r="S342" s="650">
        <v>56160</v>
      </c>
      <c r="T342" s="651">
        <v>-1792</v>
      </c>
      <c r="U342" s="651">
        <v>54368</v>
      </c>
    </row>
    <row r="343" spans="1:21" x14ac:dyDescent="0.25">
      <c r="A343" s="646">
        <v>93517</v>
      </c>
      <c r="B343" s="647" t="s">
        <v>2956</v>
      </c>
      <c r="C343" s="648">
        <v>6.4999999999999996E-6</v>
      </c>
      <c r="D343" s="648">
        <v>6.6000000000000003E-6</v>
      </c>
      <c r="E343" s="649">
        <v>4035.72</v>
      </c>
      <c r="F343" s="649">
        <v>2962</v>
      </c>
      <c r="G343" s="649">
        <v>13795</v>
      </c>
      <c r="H343" s="649"/>
      <c r="I343" s="650">
        <v>259.1875</v>
      </c>
      <c r="J343" s="650">
        <v>12089</v>
      </c>
      <c r="K343" s="650">
        <v>945</v>
      </c>
      <c r="L343" s="649">
        <v>3198</v>
      </c>
      <c r="M343" s="649"/>
      <c r="N343" s="650">
        <v>483</v>
      </c>
      <c r="O343" s="650">
        <v>4462</v>
      </c>
      <c r="P343" s="650">
        <v>0</v>
      </c>
      <c r="Q343" s="649">
        <v>1011</v>
      </c>
      <c r="R343" s="649"/>
      <c r="S343" s="650">
        <v>3687</v>
      </c>
      <c r="T343" s="651">
        <v>528</v>
      </c>
      <c r="U343" s="651">
        <v>4215</v>
      </c>
    </row>
    <row r="344" spans="1:21" x14ac:dyDescent="0.25">
      <c r="A344" s="646">
        <v>93521</v>
      </c>
      <c r="B344" s="647" t="s">
        <v>2957</v>
      </c>
      <c r="C344" s="648">
        <v>5.6389999999999999E-4</v>
      </c>
      <c r="D344" s="648">
        <v>4.75E-4</v>
      </c>
      <c r="E344" s="649">
        <v>183431</v>
      </c>
      <c r="F344" s="649">
        <v>213177.15</v>
      </c>
      <c r="G344" s="649">
        <v>1196785</v>
      </c>
      <c r="H344" s="649"/>
      <c r="I344" s="650">
        <v>22486</v>
      </c>
      <c r="J344" s="650">
        <v>1048765</v>
      </c>
      <c r="K344" s="650">
        <v>81969</v>
      </c>
      <c r="L344" s="649">
        <v>9662</v>
      </c>
      <c r="M344" s="649"/>
      <c r="N344" s="650">
        <v>41937</v>
      </c>
      <c r="O344" s="650">
        <v>387094</v>
      </c>
      <c r="P344" s="650">
        <v>0</v>
      </c>
      <c r="Q344" s="649">
        <v>10656</v>
      </c>
      <c r="R344" s="649"/>
      <c r="S344" s="650">
        <v>319883</v>
      </c>
      <c r="T344" s="651">
        <v>-2591</v>
      </c>
      <c r="U344" s="651">
        <v>317292</v>
      </c>
    </row>
    <row r="345" spans="1:21" x14ac:dyDescent="0.25">
      <c r="A345" s="646">
        <v>93527</v>
      </c>
      <c r="B345" s="647" t="s">
        <v>2958</v>
      </c>
      <c r="C345" s="648">
        <v>5.4E-6</v>
      </c>
      <c r="D345" s="648">
        <v>5.4E-6</v>
      </c>
      <c r="E345" s="649">
        <v>8301</v>
      </c>
      <c r="F345" s="649">
        <v>2423</v>
      </c>
      <c r="G345" s="649">
        <v>11461</v>
      </c>
      <c r="H345" s="649"/>
      <c r="I345" s="650">
        <v>215.32499999999999</v>
      </c>
      <c r="J345" s="650">
        <v>10043</v>
      </c>
      <c r="K345" s="650">
        <v>785</v>
      </c>
      <c r="L345" s="649">
        <v>11237</v>
      </c>
      <c r="M345" s="649"/>
      <c r="N345" s="650">
        <v>402</v>
      </c>
      <c r="O345" s="650">
        <v>3707</v>
      </c>
      <c r="P345" s="650">
        <v>0</v>
      </c>
      <c r="Q345" s="649">
        <v>0</v>
      </c>
      <c r="R345" s="649"/>
      <c r="S345" s="650">
        <v>3063</v>
      </c>
      <c r="T345" s="651">
        <v>3941</v>
      </c>
      <c r="U345" s="651">
        <v>7005</v>
      </c>
    </row>
    <row r="346" spans="1:21" x14ac:dyDescent="0.25">
      <c r="A346" s="646">
        <v>93531</v>
      </c>
      <c r="B346" s="647" t="s">
        <v>2959</v>
      </c>
      <c r="C346" s="648">
        <v>2.4000000000000001E-5</v>
      </c>
      <c r="D346" s="648">
        <v>2.4700000000000001E-5</v>
      </c>
      <c r="E346" s="649">
        <v>11692.23</v>
      </c>
      <c r="F346" s="649">
        <v>11085</v>
      </c>
      <c r="G346" s="649">
        <v>50936.04</v>
      </c>
      <c r="H346" s="649"/>
      <c r="I346" s="650">
        <v>957</v>
      </c>
      <c r="J346" s="650">
        <v>44636</v>
      </c>
      <c r="K346" s="650">
        <v>3489</v>
      </c>
      <c r="L346" s="649">
        <v>1068</v>
      </c>
      <c r="M346" s="649"/>
      <c r="N346" s="650">
        <v>1785</v>
      </c>
      <c r="O346" s="650">
        <v>16475</v>
      </c>
      <c r="P346" s="650">
        <v>0</v>
      </c>
      <c r="Q346" s="649">
        <v>2182</v>
      </c>
      <c r="R346" s="649"/>
      <c r="S346" s="650">
        <v>13614</v>
      </c>
      <c r="T346" s="651">
        <v>-801</v>
      </c>
      <c r="U346" s="651">
        <v>12814</v>
      </c>
    </row>
    <row r="347" spans="1:21" x14ac:dyDescent="0.25">
      <c r="A347" s="646">
        <v>93537</v>
      </c>
      <c r="B347" s="647" t="s">
        <v>2960</v>
      </c>
      <c r="C347" s="648">
        <v>1.17E-5</v>
      </c>
      <c r="D347" s="648">
        <v>1.13E-5</v>
      </c>
      <c r="E347" s="649">
        <v>3539</v>
      </c>
      <c r="F347" s="649">
        <v>5071</v>
      </c>
      <c r="G347" s="649">
        <v>24831</v>
      </c>
      <c r="H347" s="649"/>
      <c r="I347" s="650">
        <v>467</v>
      </c>
      <c r="J347" s="650">
        <v>21760</v>
      </c>
      <c r="K347" s="650">
        <v>1701</v>
      </c>
      <c r="L347" s="649">
        <v>0</v>
      </c>
      <c r="M347" s="649"/>
      <c r="N347" s="650">
        <v>870</v>
      </c>
      <c r="O347" s="650">
        <v>8032</v>
      </c>
      <c r="P347" s="650">
        <v>0</v>
      </c>
      <c r="Q347" s="649">
        <v>976</v>
      </c>
      <c r="R347" s="649"/>
      <c r="S347" s="650">
        <v>6637</v>
      </c>
      <c r="T347" s="651">
        <v>-276</v>
      </c>
      <c r="U347" s="651">
        <v>6361</v>
      </c>
    </row>
    <row r="348" spans="1:21" x14ac:dyDescent="0.25">
      <c r="A348" s="646">
        <v>93541</v>
      </c>
      <c r="B348" s="647" t="s">
        <v>2961</v>
      </c>
      <c r="C348" s="648">
        <v>1.061E-4</v>
      </c>
      <c r="D348" s="648">
        <v>1.069E-4</v>
      </c>
      <c r="E348" s="649">
        <v>43706</v>
      </c>
      <c r="F348" s="649">
        <v>47976</v>
      </c>
      <c r="G348" s="649">
        <v>225180</v>
      </c>
      <c r="H348" s="649"/>
      <c r="I348" s="650">
        <v>4231</v>
      </c>
      <c r="J348" s="650">
        <v>197329</v>
      </c>
      <c r="K348" s="650">
        <v>15423</v>
      </c>
      <c r="L348" s="649">
        <v>8559</v>
      </c>
      <c r="M348" s="649"/>
      <c r="N348" s="650">
        <v>7891</v>
      </c>
      <c r="O348" s="650">
        <v>72833</v>
      </c>
      <c r="P348" s="650">
        <v>0</v>
      </c>
      <c r="Q348" s="649">
        <v>1155</v>
      </c>
      <c r="R348" s="649"/>
      <c r="S348" s="650">
        <v>60187</v>
      </c>
      <c r="T348" s="651">
        <v>3927</v>
      </c>
      <c r="U348" s="651">
        <v>64114</v>
      </c>
    </row>
    <row r="349" spans="1:21" x14ac:dyDescent="0.25">
      <c r="A349" s="646">
        <v>93601</v>
      </c>
      <c r="B349" s="647" t="s">
        <v>2962</v>
      </c>
      <c r="C349" s="648">
        <v>1.1139899999999999E-2</v>
      </c>
      <c r="D349" s="648">
        <v>1.09906E-2</v>
      </c>
      <c r="E349" s="649">
        <v>4591072.71</v>
      </c>
      <c r="F349" s="649">
        <v>4932515</v>
      </c>
      <c r="G349" s="649">
        <v>23642600</v>
      </c>
      <c r="H349" s="649"/>
      <c r="I349" s="650">
        <v>444204</v>
      </c>
      <c r="J349" s="650">
        <v>20718454</v>
      </c>
      <c r="K349" s="650">
        <v>1619307</v>
      </c>
      <c r="L349" s="649">
        <v>88715</v>
      </c>
      <c r="M349" s="649"/>
      <c r="N349" s="650">
        <v>828463</v>
      </c>
      <c r="O349" s="650">
        <v>7647073</v>
      </c>
      <c r="P349" s="650">
        <v>0</v>
      </c>
      <c r="Q349" s="649">
        <v>158818</v>
      </c>
      <c r="R349" s="649"/>
      <c r="S349" s="650">
        <v>6319320</v>
      </c>
      <c r="T349" s="651">
        <v>-40519</v>
      </c>
      <c r="U349" s="651">
        <v>6278801</v>
      </c>
    </row>
    <row r="350" spans="1:21" x14ac:dyDescent="0.25">
      <c r="A350" s="646">
        <v>93602</v>
      </c>
      <c r="B350" s="647" t="s">
        <v>2963</v>
      </c>
      <c r="C350" s="648">
        <v>1.7200000000000001E-4</v>
      </c>
      <c r="D350" s="648">
        <v>1.873E-4</v>
      </c>
      <c r="E350" s="649">
        <v>65294.78</v>
      </c>
      <c r="F350" s="649">
        <v>84059</v>
      </c>
      <c r="G350" s="649">
        <v>365041.62</v>
      </c>
      <c r="H350" s="649"/>
      <c r="I350" s="650">
        <v>6858.5</v>
      </c>
      <c r="J350" s="650">
        <v>319893</v>
      </c>
      <c r="K350" s="650">
        <v>25002</v>
      </c>
      <c r="L350" s="649">
        <v>1192</v>
      </c>
      <c r="M350" s="649"/>
      <c r="N350" s="650">
        <v>12791</v>
      </c>
      <c r="O350" s="650">
        <v>118071</v>
      </c>
      <c r="P350" s="650">
        <v>0</v>
      </c>
      <c r="Q350" s="649">
        <v>14459</v>
      </c>
      <c r="R350" s="649"/>
      <c r="S350" s="650">
        <v>97570</v>
      </c>
      <c r="T350" s="651">
        <v>-3774</v>
      </c>
      <c r="U350" s="651">
        <v>93797</v>
      </c>
    </row>
    <row r="351" spans="1:21" x14ac:dyDescent="0.25">
      <c r="A351" s="646">
        <v>93609</v>
      </c>
      <c r="B351" s="647" t="s">
        <v>2964</v>
      </c>
      <c r="C351" s="648">
        <v>3.0569E-3</v>
      </c>
      <c r="D351" s="648">
        <v>2.777E-3</v>
      </c>
      <c r="E351" s="649">
        <v>1250738</v>
      </c>
      <c r="F351" s="649">
        <v>1246301</v>
      </c>
      <c r="G351" s="649">
        <v>6487766</v>
      </c>
      <c r="H351" s="649"/>
      <c r="I351" s="650">
        <v>121894</v>
      </c>
      <c r="J351" s="650">
        <v>5685351</v>
      </c>
      <c r="K351" s="650">
        <v>444354</v>
      </c>
      <c r="L351" s="649">
        <v>575194</v>
      </c>
      <c r="M351" s="649"/>
      <c r="N351" s="650">
        <v>227339</v>
      </c>
      <c r="O351" s="650">
        <v>2098433</v>
      </c>
      <c r="P351" s="650">
        <v>0</v>
      </c>
      <c r="Q351" s="649">
        <v>0</v>
      </c>
      <c r="R351" s="649"/>
      <c r="S351" s="650">
        <v>1734085</v>
      </c>
      <c r="T351" s="651">
        <v>238417</v>
      </c>
      <c r="U351" s="651">
        <v>1972502</v>
      </c>
    </row>
    <row r="352" spans="1:21" x14ac:dyDescent="0.25">
      <c r="A352" s="646">
        <v>93610</v>
      </c>
      <c r="B352" s="647" t="s">
        <v>2965</v>
      </c>
      <c r="C352" s="648">
        <v>6.4999999999999996E-6</v>
      </c>
      <c r="D352" s="648">
        <v>1.84E-5</v>
      </c>
      <c r="E352" s="649">
        <v>5057</v>
      </c>
      <c r="F352" s="649">
        <v>8258</v>
      </c>
      <c r="G352" s="649">
        <v>13795</v>
      </c>
      <c r="H352" s="649"/>
      <c r="I352" s="650">
        <v>259.1875</v>
      </c>
      <c r="J352" s="650">
        <v>12089</v>
      </c>
      <c r="K352" s="650">
        <v>945</v>
      </c>
      <c r="L352" s="649">
        <v>3285</v>
      </c>
      <c r="M352" s="649"/>
      <c r="N352" s="650">
        <v>483</v>
      </c>
      <c r="O352" s="650">
        <v>4462</v>
      </c>
      <c r="P352" s="650">
        <v>0</v>
      </c>
      <c r="Q352" s="649">
        <v>4553</v>
      </c>
      <c r="R352" s="649"/>
      <c r="S352" s="650">
        <v>3687</v>
      </c>
      <c r="T352" s="651">
        <v>154</v>
      </c>
      <c r="U352" s="651">
        <v>3842</v>
      </c>
    </row>
    <row r="353" spans="1:21" x14ac:dyDescent="0.25">
      <c r="A353" s="646">
        <v>93611</v>
      </c>
      <c r="B353" s="647" t="s">
        <v>2966</v>
      </c>
      <c r="C353" s="648">
        <v>6.9325000000000003E-3</v>
      </c>
      <c r="D353" s="648">
        <v>6.9034999999999999E-3</v>
      </c>
      <c r="E353" s="649">
        <v>2795516.27</v>
      </c>
      <c r="F353" s="649">
        <v>3098249</v>
      </c>
      <c r="G353" s="649">
        <v>14713087</v>
      </c>
      <c r="H353" s="649"/>
      <c r="I353" s="650">
        <v>276433</v>
      </c>
      <c r="J353" s="650">
        <v>12893355</v>
      </c>
      <c r="K353" s="650">
        <v>1007715</v>
      </c>
      <c r="L353" s="649">
        <v>0</v>
      </c>
      <c r="M353" s="649"/>
      <c r="N353" s="650">
        <v>515563</v>
      </c>
      <c r="O353" s="650">
        <v>4758870</v>
      </c>
      <c r="P353" s="650">
        <v>0</v>
      </c>
      <c r="Q353" s="649">
        <v>266414</v>
      </c>
      <c r="R353" s="649"/>
      <c r="S353" s="650">
        <v>3932592</v>
      </c>
      <c r="T353" s="651">
        <v>-113352</v>
      </c>
      <c r="U353" s="651">
        <v>3819240</v>
      </c>
    </row>
    <row r="354" spans="1:21" x14ac:dyDescent="0.25">
      <c r="A354" s="646">
        <v>93617</v>
      </c>
      <c r="B354" s="647" t="s">
        <v>2967</v>
      </c>
      <c r="C354" s="648">
        <v>9.5000000000000005E-5</v>
      </c>
      <c r="D354" s="648">
        <v>7.9200000000000001E-5</v>
      </c>
      <c r="E354" s="649">
        <v>46064</v>
      </c>
      <c r="F354" s="649">
        <v>35544</v>
      </c>
      <c r="G354" s="649">
        <v>201622</v>
      </c>
      <c r="H354" s="649"/>
      <c r="I354" s="650">
        <v>3788.125</v>
      </c>
      <c r="J354" s="650">
        <v>176685</v>
      </c>
      <c r="K354" s="650">
        <v>13809</v>
      </c>
      <c r="L354" s="649">
        <v>28939</v>
      </c>
      <c r="M354" s="649"/>
      <c r="N354" s="650">
        <v>7065</v>
      </c>
      <c r="O354" s="650">
        <v>65213.51</v>
      </c>
      <c r="P354" s="650">
        <v>0</v>
      </c>
      <c r="Q354" s="649">
        <v>0</v>
      </c>
      <c r="R354" s="649"/>
      <c r="S354" s="650">
        <v>53891</v>
      </c>
      <c r="T354" s="651">
        <v>10007</v>
      </c>
      <c r="U354" s="651">
        <v>63898</v>
      </c>
    </row>
    <row r="355" spans="1:21" x14ac:dyDescent="0.25">
      <c r="A355" s="646">
        <v>93618</v>
      </c>
      <c r="B355" s="647" t="s">
        <v>2968</v>
      </c>
      <c r="C355" s="648">
        <v>1.17E-5</v>
      </c>
      <c r="D355" s="648">
        <v>1.0200000000000001E-5</v>
      </c>
      <c r="E355" s="649">
        <v>22629</v>
      </c>
      <c r="F355" s="649">
        <v>4578</v>
      </c>
      <c r="G355" s="649">
        <v>24831</v>
      </c>
      <c r="H355" s="649"/>
      <c r="I355" s="650">
        <v>467</v>
      </c>
      <c r="J355" s="650">
        <v>21760</v>
      </c>
      <c r="K355" s="650">
        <v>1701</v>
      </c>
      <c r="L355" s="649">
        <v>27424</v>
      </c>
      <c r="M355" s="649"/>
      <c r="N355" s="650">
        <v>870</v>
      </c>
      <c r="O355" s="650">
        <v>8032</v>
      </c>
      <c r="P355" s="650">
        <v>0</v>
      </c>
      <c r="Q355" s="649">
        <v>0</v>
      </c>
      <c r="R355" s="649"/>
      <c r="S355" s="650">
        <v>6637</v>
      </c>
      <c r="T355" s="651">
        <v>8505</v>
      </c>
      <c r="U355" s="651">
        <v>15142</v>
      </c>
    </row>
    <row r="356" spans="1:21" x14ac:dyDescent="0.25">
      <c r="A356" s="646">
        <v>93621</v>
      </c>
      <c r="B356" s="647" t="s">
        <v>2969</v>
      </c>
      <c r="C356" s="648">
        <v>8.5320000000000003E-4</v>
      </c>
      <c r="D356" s="648">
        <v>9.5949999999999996E-4</v>
      </c>
      <c r="E356" s="649">
        <v>330203.31</v>
      </c>
      <c r="F356" s="649">
        <v>430618</v>
      </c>
      <c r="G356" s="649">
        <v>1810776</v>
      </c>
      <c r="H356" s="649"/>
      <c r="I356" s="650">
        <v>34021.35</v>
      </c>
      <c r="J356" s="650">
        <v>1586817</v>
      </c>
      <c r="K356" s="650">
        <v>124022</v>
      </c>
      <c r="L356" s="649">
        <v>0</v>
      </c>
      <c r="M356" s="649"/>
      <c r="N356" s="650">
        <v>63452</v>
      </c>
      <c r="O356" s="650">
        <v>585686</v>
      </c>
      <c r="P356" s="650">
        <v>0</v>
      </c>
      <c r="Q356" s="649">
        <v>118410</v>
      </c>
      <c r="R356" s="649"/>
      <c r="S356" s="650">
        <v>483994</v>
      </c>
      <c r="T356" s="651">
        <v>-38643</v>
      </c>
      <c r="U356" s="651">
        <v>445351</v>
      </c>
    </row>
    <row r="357" spans="1:21" x14ac:dyDescent="0.25">
      <c r="A357" s="646">
        <v>93623</v>
      </c>
      <c r="B357" s="647" t="s">
        <v>2970</v>
      </c>
      <c r="C357" s="648">
        <v>1.2500000000000001E-5</v>
      </c>
      <c r="D357" s="648">
        <v>1.24E-5</v>
      </c>
      <c r="E357" s="649">
        <v>8241</v>
      </c>
      <c r="F357" s="649">
        <v>5565</v>
      </c>
      <c r="G357" s="649">
        <v>26529.1875</v>
      </c>
      <c r="H357" s="649"/>
      <c r="I357" s="650">
        <v>498.4375</v>
      </c>
      <c r="J357" s="650">
        <v>23248</v>
      </c>
      <c r="K357" s="650">
        <v>1817</v>
      </c>
      <c r="L357" s="649">
        <v>4315</v>
      </c>
      <c r="M357" s="649"/>
      <c r="N357" s="650">
        <v>930</v>
      </c>
      <c r="O357" s="650">
        <v>8581</v>
      </c>
      <c r="P357" s="650">
        <v>0</v>
      </c>
      <c r="Q357" s="649">
        <v>2</v>
      </c>
      <c r="R357" s="649"/>
      <c r="S357" s="650">
        <v>7091</v>
      </c>
      <c r="T357" s="651">
        <v>1289</v>
      </c>
      <c r="U357" s="651">
        <v>8380</v>
      </c>
    </row>
    <row r="358" spans="1:21" x14ac:dyDescent="0.25">
      <c r="A358" s="646">
        <v>93631</v>
      </c>
      <c r="B358" s="647" t="s">
        <v>2971</v>
      </c>
      <c r="C358" s="648">
        <v>2.3440000000000001E-4</v>
      </c>
      <c r="D358" s="648">
        <v>2.3680000000000001E-4</v>
      </c>
      <c r="E358" s="649">
        <v>87285</v>
      </c>
      <c r="F358" s="649">
        <v>106274</v>
      </c>
      <c r="G358" s="649">
        <v>497475</v>
      </c>
      <c r="H358" s="649"/>
      <c r="I358" s="650">
        <v>9347</v>
      </c>
      <c r="J358" s="650">
        <v>435947</v>
      </c>
      <c r="K358" s="650">
        <v>34073</v>
      </c>
      <c r="L358" s="649">
        <v>874</v>
      </c>
      <c r="M358" s="649"/>
      <c r="N358" s="650">
        <v>17432</v>
      </c>
      <c r="O358" s="650">
        <v>160906</v>
      </c>
      <c r="P358" s="650">
        <v>0</v>
      </c>
      <c r="Q358" s="649">
        <v>17303</v>
      </c>
      <c r="R358" s="649"/>
      <c r="S358" s="650">
        <v>132968</v>
      </c>
      <c r="T358" s="651">
        <v>-4881</v>
      </c>
      <c r="U358" s="651">
        <v>128086</v>
      </c>
    </row>
    <row r="359" spans="1:21" x14ac:dyDescent="0.25">
      <c r="A359" s="646">
        <v>93641</v>
      </c>
      <c r="B359" s="647" t="s">
        <v>2972</v>
      </c>
      <c r="C359" s="648">
        <v>4.3550000000000001E-4</v>
      </c>
      <c r="D359" s="648">
        <v>4.3100000000000001E-4</v>
      </c>
      <c r="E359" s="649">
        <v>182885.7</v>
      </c>
      <c r="F359" s="649">
        <v>193430</v>
      </c>
      <c r="G359" s="649">
        <v>924277</v>
      </c>
      <c r="H359" s="649"/>
      <c r="I359" s="650">
        <v>17365.5625</v>
      </c>
      <c r="J359" s="650">
        <v>809961</v>
      </c>
      <c r="K359" s="650">
        <v>63305</v>
      </c>
      <c r="L359" s="649">
        <v>21571</v>
      </c>
      <c r="M359" s="649"/>
      <c r="N359" s="650">
        <v>32388</v>
      </c>
      <c r="O359" s="650">
        <v>298952</v>
      </c>
      <c r="P359" s="650">
        <v>0</v>
      </c>
      <c r="Q359" s="649">
        <v>0</v>
      </c>
      <c r="R359" s="649"/>
      <c r="S359" s="650">
        <v>247046</v>
      </c>
      <c r="T359" s="651">
        <v>7537</v>
      </c>
      <c r="U359" s="651">
        <v>254583</v>
      </c>
    </row>
    <row r="360" spans="1:21" x14ac:dyDescent="0.25">
      <c r="A360" s="646">
        <v>93647</v>
      </c>
      <c r="B360" s="647" t="s">
        <v>2973</v>
      </c>
      <c r="C360" s="648">
        <v>6.1E-6</v>
      </c>
      <c r="D360" s="648">
        <v>6.0000000000000002E-6</v>
      </c>
      <c r="E360" s="649">
        <v>7779</v>
      </c>
      <c r="F360" s="649">
        <v>2693</v>
      </c>
      <c r="G360" s="649">
        <v>12946</v>
      </c>
      <c r="H360" s="649"/>
      <c r="I360" s="650">
        <v>243.23750000000001</v>
      </c>
      <c r="J360" s="650">
        <v>11345</v>
      </c>
      <c r="K360" s="650">
        <v>887</v>
      </c>
      <c r="L360" s="649">
        <v>10457</v>
      </c>
      <c r="M360" s="649"/>
      <c r="N360" s="650">
        <v>454</v>
      </c>
      <c r="O360" s="650">
        <v>4187</v>
      </c>
      <c r="P360" s="650">
        <v>0</v>
      </c>
      <c r="Q360" s="649">
        <v>0</v>
      </c>
      <c r="R360" s="649"/>
      <c r="S360" s="650">
        <v>3460</v>
      </c>
      <c r="T360" s="651">
        <v>3397</v>
      </c>
      <c r="U360" s="651">
        <v>6857</v>
      </c>
    </row>
    <row r="361" spans="1:21" x14ac:dyDescent="0.25">
      <c r="A361" s="646">
        <v>93651</v>
      </c>
      <c r="B361" s="647" t="s">
        <v>2974</v>
      </c>
      <c r="C361" s="648">
        <v>4.282E-4</v>
      </c>
      <c r="D361" s="648">
        <v>4.216E-4</v>
      </c>
      <c r="E361" s="649">
        <v>158412.88</v>
      </c>
      <c r="F361" s="649">
        <v>189212</v>
      </c>
      <c r="G361" s="649">
        <v>908784</v>
      </c>
      <c r="H361" s="649"/>
      <c r="I361" s="650">
        <v>17074</v>
      </c>
      <c r="J361" s="650">
        <v>796384</v>
      </c>
      <c r="K361" s="650">
        <v>62244</v>
      </c>
      <c r="L361" s="649">
        <v>9033</v>
      </c>
      <c r="M361" s="649"/>
      <c r="N361" s="650">
        <v>31845</v>
      </c>
      <c r="O361" s="650">
        <v>293941</v>
      </c>
      <c r="P361" s="650">
        <v>0</v>
      </c>
      <c r="Q361" s="649">
        <v>11722</v>
      </c>
      <c r="R361" s="649"/>
      <c r="S361" s="650">
        <v>242905</v>
      </c>
      <c r="T361" s="651">
        <v>-139</v>
      </c>
      <c r="U361" s="651">
        <v>242766</v>
      </c>
    </row>
    <row r="362" spans="1:21" x14ac:dyDescent="0.25">
      <c r="A362" s="646">
        <v>93661</v>
      </c>
      <c r="B362" s="647" t="s">
        <v>2975</v>
      </c>
      <c r="C362" s="648">
        <v>1.3420000000000001E-4</v>
      </c>
      <c r="D362" s="648">
        <v>1.2750000000000001E-4</v>
      </c>
      <c r="E362" s="649">
        <v>60285</v>
      </c>
      <c r="F362" s="649">
        <v>57221</v>
      </c>
      <c r="G362" s="649">
        <v>284817</v>
      </c>
      <c r="H362" s="649"/>
      <c r="I362" s="650">
        <v>5351</v>
      </c>
      <c r="J362" s="650">
        <v>249591</v>
      </c>
      <c r="K362" s="650">
        <v>19507</v>
      </c>
      <c r="L362" s="649">
        <v>12174</v>
      </c>
      <c r="M362" s="649"/>
      <c r="N362" s="650">
        <v>9980</v>
      </c>
      <c r="O362" s="650">
        <v>92123</v>
      </c>
      <c r="P362" s="650">
        <v>0</v>
      </c>
      <c r="Q362" s="649">
        <v>0</v>
      </c>
      <c r="R362" s="649"/>
      <c r="S362" s="650">
        <v>76127</v>
      </c>
      <c r="T362" s="651">
        <v>3955</v>
      </c>
      <c r="U362" s="651">
        <v>80082</v>
      </c>
    </row>
    <row r="363" spans="1:21" x14ac:dyDescent="0.25">
      <c r="A363" s="646">
        <v>93671</v>
      </c>
      <c r="B363" s="647" t="s">
        <v>2976</v>
      </c>
      <c r="C363" s="648">
        <v>3.6900000000000002E-4</v>
      </c>
      <c r="D363" s="648">
        <v>3.5710000000000001E-4</v>
      </c>
      <c r="E363" s="649">
        <v>141320.09</v>
      </c>
      <c r="F363" s="649">
        <v>160264</v>
      </c>
      <c r="G363" s="649">
        <v>783142</v>
      </c>
      <c r="H363" s="649"/>
      <c r="I363" s="650">
        <v>14714</v>
      </c>
      <c r="J363" s="650">
        <v>686282</v>
      </c>
      <c r="K363" s="650">
        <v>53638</v>
      </c>
      <c r="L363" s="649">
        <v>67993</v>
      </c>
      <c r="M363" s="649"/>
      <c r="N363" s="650">
        <v>27442</v>
      </c>
      <c r="O363" s="650">
        <v>253303</v>
      </c>
      <c r="P363" s="650">
        <v>0</v>
      </c>
      <c r="Q363" s="649">
        <v>1836</v>
      </c>
      <c r="R363" s="649"/>
      <c r="S363" s="650">
        <v>209322</v>
      </c>
      <c r="T363" s="651">
        <v>28852</v>
      </c>
      <c r="U363" s="651">
        <v>238174</v>
      </c>
    </row>
    <row r="364" spans="1:21" x14ac:dyDescent="0.25">
      <c r="A364" s="646">
        <v>93677</v>
      </c>
      <c r="B364" s="647" t="s">
        <v>1495</v>
      </c>
      <c r="C364" s="648">
        <v>0</v>
      </c>
      <c r="D364" s="648">
        <v>0</v>
      </c>
      <c r="E364" s="649">
        <v>0</v>
      </c>
      <c r="F364" s="649">
        <v>0</v>
      </c>
      <c r="G364" s="649">
        <v>0</v>
      </c>
      <c r="H364" s="649"/>
      <c r="I364" s="650">
        <v>0</v>
      </c>
      <c r="J364" s="650">
        <v>0</v>
      </c>
      <c r="K364" s="650">
        <v>0</v>
      </c>
      <c r="L364" s="649">
        <v>0</v>
      </c>
      <c r="M364" s="649"/>
      <c r="N364" s="650">
        <v>0</v>
      </c>
      <c r="O364" s="650">
        <v>0</v>
      </c>
      <c r="P364" s="650">
        <v>0</v>
      </c>
      <c r="Q364" s="649">
        <v>1443</v>
      </c>
      <c r="R364" s="649"/>
      <c r="S364" s="650">
        <v>0</v>
      </c>
      <c r="T364" s="651">
        <v>-725</v>
      </c>
      <c r="U364" s="651">
        <v>-725</v>
      </c>
    </row>
    <row r="365" spans="1:21" x14ac:dyDescent="0.25">
      <c r="A365" s="646">
        <v>93681</v>
      </c>
      <c r="B365" s="647" t="s">
        <v>2977</v>
      </c>
      <c r="C365" s="648">
        <v>1.1010000000000001E-4</v>
      </c>
      <c r="D365" s="648">
        <v>1.2769999999999999E-4</v>
      </c>
      <c r="E365" s="649">
        <v>44347.75</v>
      </c>
      <c r="F365" s="649">
        <v>57311</v>
      </c>
      <c r="G365" s="649">
        <v>233669</v>
      </c>
      <c r="H365" s="649"/>
      <c r="I365" s="650">
        <v>4390</v>
      </c>
      <c r="J365" s="650">
        <v>204769</v>
      </c>
      <c r="K365" s="650">
        <v>16004</v>
      </c>
      <c r="L365" s="649">
        <v>409</v>
      </c>
      <c r="M365" s="649"/>
      <c r="N365" s="650">
        <v>8188</v>
      </c>
      <c r="O365" s="650">
        <v>75579</v>
      </c>
      <c r="P365" s="650">
        <v>0</v>
      </c>
      <c r="Q365" s="649">
        <v>17487</v>
      </c>
      <c r="R365" s="649"/>
      <c r="S365" s="650">
        <v>62456</v>
      </c>
      <c r="T365" s="651">
        <v>-6141</v>
      </c>
      <c r="U365" s="651">
        <v>56315</v>
      </c>
    </row>
    <row r="366" spans="1:21" x14ac:dyDescent="0.25">
      <c r="A366" s="646">
        <v>93691</v>
      </c>
      <c r="B366" s="647" t="s">
        <v>2978</v>
      </c>
      <c r="C366" s="648">
        <v>1.1251E-3</v>
      </c>
      <c r="D366" s="648">
        <v>1.1314999999999999E-3</v>
      </c>
      <c r="E366" s="649">
        <v>407119.95</v>
      </c>
      <c r="F366" s="649">
        <v>507810</v>
      </c>
      <c r="G366" s="649">
        <v>2387839</v>
      </c>
      <c r="H366" s="649"/>
      <c r="I366" s="650">
        <v>44863</v>
      </c>
      <c r="J366" s="650">
        <v>2092508</v>
      </c>
      <c r="K366" s="650">
        <v>163546</v>
      </c>
      <c r="L366" s="649">
        <v>0</v>
      </c>
      <c r="M366" s="649"/>
      <c r="N366" s="650">
        <v>83673</v>
      </c>
      <c r="O366" s="650">
        <v>772334</v>
      </c>
      <c r="P366" s="650">
        <v>0</v>
      </c>
      <c r="Q366" s="649">
        <v>90621</v>
      </c>
      <c r="R366" s="649"/>
      <c r="S366" s="650">
        <v>638234</v>
      </c>
      <c r="T366" s="651">
        <v>-28965</v>
      </c>
      <c r="U366" s="651">
        <v>609269</v>
      </c>
    </row>
    <row r="367" spans="1:21" x14ac:dyDescent="0.25">
      <c r="A367" s="646">
        <v>93701</v>
      </c>
      <c r="B367" s="647" t="s">
        <v>2979</v>
      </c>
      <c r="C367" s="648">
        <v>4.6200000000000001E-4</v>
      </c>
      <c r="D367" s="648">
        <v>4.7169999999999997E-4</v>
      </c>
      <c r="E367" s="649">
        <v>182681.63</v>
      </c>
      <c r="F367" s="649">
        <v>211696</v>
      </c>
      <c r="G367" s="649">
        <v>980518.77</v>
      </c>
      <c r="H367" s="649"/>
      <c r="I367" s="650">
        <v>18422.25</v>
      </c>
      <c r="J367" s="650">
        <v>859247</v>
      </c>
      <c r="K367" s="650">
        <v>67157</v>
      </c>
      <c r="L367" s="649">
        <v>13714</v>
      </c>
      <c r="M367" s="649"/>
      <c r="N367" s="650">
        <v>34358</v>
      </c>
      <c r="O367" s="650">
        <v>317144</v>
      </c>
      <c r="P367" s="650">
        <v>0</v>
      </c>
      <c r="Q367" s="649">
        <v>11063</v>
      </c>
      <c r="R367" s="649"/>
      <c r="S367" s="650">
        <v>262078</v>
      </c>
      <c r="T367" s="651">
        <v>2925</v>
      </c>
      <c r="U367" s="651">
        <v>265003</v>
      </c>
    </row>
    <row r="368" spans="1:21" x14ac:dyDescent="0.25">
      <c r="A368" s="646">
        <v>93704</v>
      </c>
      <c r="B368" s="647" t="s">
        <v>2980</v>
      </c>
      <c r="C368" s="648">
        <v>3.3000000000000002E-6</v>
      </c>
      <c r="D368" s="648">
        <v>3.3000000000000002E-6</v>
      </c>
      <c r="E368" s="649">
        <v>1805</v>
      </c>
      <c r="F368" s="649">
        <v>1481</v>
      </c>
      <c r="G368" s="649">
        <v>7004</v>
      </c>
      <c r="H368" s="649"/>
      <c r="I368" s="650">
        <v>131.58750000000001</v>
      </c>
      <c r="J368" s="650">
        <v>6137</v>
      </c>
      <c r="K368" s="650">
        <v>480</v>
      </c>
      <c r="L368" s="649">
        <v>430</v>
      </c>
      <c r="M368" s="649"/>
      <c r="N368" s="650">
        <v>245</v>
      </c>
      <c r="O368" s="650">
        <v>2265</v>
      </c>
      <c r="P368" s="650">
        <v>0</v>
      </c>
      <c r="Q368" s="649">
        <v>97.51</v>
      </c>
      <c r="R368" s="649"/>
      <c r="S368" s="650">
        <v>1872</v>
      </c>
      <c r="T368" s="651">
        <v>69</v>
      </c>
      <c r="U368" s="651">
        <v>1941</v>
      </c>
    </row>
    <row r="369" spans="1:21" x14ac:dyDescent="0.25">
      <c r="A369" s="646">
        <v>93801</v>
      </c>
      <c r="B369" s="647" t="s">
        <v>2981</v>
      </c>
      <c r="C369" s="648">
        <v>5.4180000000000005E-4</v>
      </c>
      <c r="D369" s="648">
        <v>4.4959999999999998E-4</v>
      </c>
      <c r="E369" s="649">
        <v>326497.91999999998</v>
      </c>
      <c r="F369" s="649">
        <v>201778</v>
      </c>
      <c r="G369" s="649">
        <v>1149881</v>
      </c>
      <c r="H369" s="649"/>
      <c r="I369" s="650">
        <v>21604</v>
      </c>
      <c r="J369" s="650">
        <v>1007662</v>
      </c>
      <c r="K369" s="650">
        <v>78757</v>
      </c>
      <c r="L369" s="649">
        <v>156479</v>
      </c>
      <c r="M369" s="649"/>
      <c r="N369" s="650">
        <v>40293</v>
      </c>
      <c r="O369" s="650">
        <v>371923</v>
      </c>
      <c r="P369" s="650">
        <v>0</v>
      </c>
      <c r="Q369" s="649">
        <v>2943</v>
      </c>
      <c r="R369" s="649"/>
      <c r="S369" s="650">
        <v>307346</v>
      </c>
      <c r="T369" s="651">
        <v>41370</v>
      </c>
      <c r="U369" s="651">
        <v>348716</v>
      </c>
    </row>
    <row r="370" spans="1:21" x14ac:dyDescent="0.25">
      <c r="A370" s="646">
        <v>93803</v>
      </c>
      <c r="B370" s="647" t="s">
        <v>2982</v>
      </c>
      <c r="C370" s="648">
        <v>1.4469999999999999E-4</v>
      </c>
      <c r="D370" s="648">
        <v>1.582E-4</v>
      </c>
      <c r="E370" s="649">
        <v>49766</v>
      </c>
      <c r="F370" s="649">
        <v>70999</v>
      </c>
      <c r="G370" s="649">
        <v>307102</v>
      </c>
      <c r="H370" s="649"/>
      <c r="I370" s="650">
        <v>5770</v>
      </c>
      <c r="J370" s="650">
        <v>269119</v>
      </c>
      <c r="K370" s="650">
        <v>21034</v>
      </c>
      <c r="L370" s="649">
        <v>0</v>
      </c>
      <c r="M370" s="649"/>
      <c r="N370" s="650">
        <v>10761</v>
      </c>
      <c r="O370" s="650">
        <v>99330</v>
      </c>
      <c r="P370" s="650">
        <v>0</v>
      </c>
      <c r="Q370" s="649">
        <v>34507</v>
      </c>
      <c r="R370" s="649"/>
      <c r="S370" s="650">
        <v>82084</v>
      </c>
      <c r="T370" s="651">
        <v>-12391</v>
      </c>
      <c r="U370" s="651">
        <v>69693</v>
      </c>
    </row>
    <row r="371" spans="1:21" x14ac:dyDescent="0.25">
      <c r="A371" s="646">
        <v>93806</v>
      </c>
      <c r="B371" s="647" t="s">
        <v>2983</v>
      </c>
      <c r="C371" s="648">
        <v>7.3700000000000002E-5</v>
      </c>
      <c r="D371" s="648">
        <v>7.7899999999999996E-5</v>
      </c>
      <c r="E371" s="649">
        <v>32242.28</v>
      </c>
      <c r="F371" s="649">
        <v>34961</v>
      </c>
      <c r="G371" s="649">
        <v>156416</v>
      </c>
      <c r="H371" s="649"/>
      <c r="I371" s="650">
        <v>2939</v>
      </c>
      <c r="J371" s="650">
        <v>137070</v>
      </c>
      <c r="K371" s="650">
        <v>10713</v>
      </c>
      <c r="L371" s="649">
        <v>1793</v>
      </c>
      <c r="M371" s="649"/>
      <c r="N371" s="650">
        <v>5481</v>
      </c>
      <c r="O371" s="650">
        <v>50592</v>
      </c>
      <c r="P371" s="650">
        <v>0</v>
      </c>
      <c r="Q371" s="649">
        <v>19837</v>
      </c>
      <c r="R371" s="649"/>
      <c r="S371" s="650">
        <v>41808</v>
      </c>
      <c r="T371" s="651">
        <v>-9153</v>
      </c>
      <c r="U371" s="651">
        <v>32655</v>
      </c>
    </row>
    <row r="372" spans="1:21" x14ac:dyDescent="0.25">
      <c r="A372" s="646">
        <v>93821</v>
      </c>
      <c r="B372" s="647" t="s">
        <v>2984</v>
      </c>
      <c r="C372" s="648">
        <v>5.7200000000000001E-5</v>
      </c>
      <c r="D372" s="648">
        <v>5.2899999999999998E-5</v>
      </c>
      <c r="E372" s="649">
        <v>45354.71</v>
      </c>
      <c r="F372" s="649">
        <v>23741</v>
      </c>
      <c r="G372" s="649">
        <v>121398</v>
      </c>
      <c r="H372" s="649"/>
      <c r="I372" s="650">
        <v>2280.85</v>
      </c>
      <c r="J372" s="650">
        <v>106383</v>
      </c>
      <c r="K372" s="650">
        <v>8315</v>
      </c>
      <c r="L372" s="649">
        <v>26142</v>
      </c>
      <c r="M372" s="649"/>
      <c r="N372" s="650">
        <v>4254</v>
      </c>
      <c r="O372" s="650">
        <v>39265</v>
      </c>
      <c r="P372" s="650">
        <v>0</v>
      </c>
      <c r="Q372" s="649">
        <v>0</v>
      </c>
      <c r="R372" s="649"/>
      <c r="S372" s="650">
        <v>32448</v>
      </c>
      <c r="T372" s="651">
        <v>7718</v>
      </c>
      <c r="U372" s="651">
        <v>40166</v>
      </c>
    </row>
    <row r="373" spans="1:21" x14ac:dyDescent="0.25">
      <c r="A373" s="646">
        <v>93901</v>
      </c>
      <c r="B373" s="647" t="s">
        <v>2985</v>
      </c>
      <c r="C373" s="648">
        <v>1.8059E-3</v>
      </c>
      <c r="D373" s="648">
        <v>1.7983999999999999E-3</v>
      </c>
      <c r="E373" s="649">
        <v>780735.88</v>
      </c>
      <c r="F373" s="649">
        <v>807111</v>
      </c>
      <c r="G373" s="649">
        <v>3832725</v>
      </c>
      <c r="H373" s="649"/>
      <c r="I373" s="650">
        <v>72010</v>
      </c>
      <c r="J373" s="650">
        <v>3358689</v>
      </c>
      <c r="K373" s="650">
        <v>262507</v>
      </c>
      <c r="L373" s="649">
        <v>66837</v>
      </c>
      <c r="M373" s="649"/>
      <c r="N373" s="650">
        <v>134303</v>
      </c>
      <c r="O373" s="650">
        <v>1239675</v>
      </c>
      <c r="P373" s="650">
        <v>0</v>
      </c>
      <c r="Q373" s="649">
        <v>0</v>
      </c>
      <c r="R373" s="649"/>
      <c r="S373" s="650">
        <v>1024431</v>
      </c>
      <c r="T373" s="651">
        <v>21679</v>
      </c>
      <c r="U373" s="651">
        <v>1046110</v>
      </c>
    </row>
    <row r="374" spans="1:21" x14ac:dyDescent="0.25">
      <c r="A374" s="646">
        <v>93904</v>
      </c>
      <c r="B374" s="647" t="s">
        <v>2986</v>
      </c>
      <c r="C374" s="648">
        <v>2.4700000000000001E-5</v>
      </c>
      <c r="D374" s="648">
        <v>2.5700000000000001E-5</v>
      </c>
      <c r="E374" s="649">
        <v>12993.06</v>
      </c>
      <c r="F374" s="649">
        <v>11534</v>
      </c>
      <c r="G374" s="649">
        <v>52422</v>
      </c>
      <c r="H374" s="649"/>
      <c r="I374" s="650">
        <v>984.91250000000002</v>
      </c>
      <c r="J374" s="650">
        <v>45938</v>
      </c>
      <c r="K374" s="650">
        <v>3590</v>
      </c>
      <c r="L374" s="649">
        <v>4911</v>
      </c>
      <c r="M374" s="649"/>
      <c r="N374" s="650">
        <v>1837</v>
      </c>
      <c r="O374" s="650">
        <v>16956</v>
      </c>
      <c r="P374" s="650">
        <v>0</v>
      </c>
      <c r="Q374" s="649">
        <v>56</v>
      </c>
      <c r="R374" s="649"/>
      <c r="S374" s="650">
        <v>14012</v>
      </c>
      <c r="T374" s="651">
        <v>1550</v>
      </c>
      <c r="U374" s="651">
        <v>15562</v>
      </c>
    </row>
    <row r="375" spans="1:21" x14ac:dyDescent="0.25">
      <c r="A375" s="646">
        <v>93906</v>
      </c>
      <c r="B375" s="647" t="s">
        <v>2987</v>
      </c>
      <c r="C375" s="648">
        <v>3.4513E-3</v>
      </c>
      <c r="D375" s="648">
        <v>3.4020000000000001E-3</v>
      </c>
      <c r="E375" s="649">
        <v>1324474.51</v>
      </c>
      <c r="F375" s="649">
        <v>1526797</v>
      </c>
      <c r="G375" s="649">
        <v>7324815</v>
      </c>
      <c r="H375" s="649"/>
      <c r="I375" s="650">
        <v>137621</v>
      </c>
      <c r="J375" s="650">
        <v>6418873</v>
      </c>
      <c r="K375" s="650">
        <v>501684</v>
      </c>
      <c r="L375" s="649">
        <v>30117</v>
      </c>
      <c r="M375" s="649"/>
      <c r="N375" s="650">
        <v>256670</v>
      </c>
      <c r="O375" s="650">
        <v>2369172</v>
      </c>
      <c r="P375" s="650">
        <v>0</v>
      </c>
      <c r="Q375" s="649">
        <v>185682</v>
      </c>
      <c r="R375" s="649"/>
      <c r="S375" s="650">
        <v>1957815</v>
      </c>
      <c r="T375" s="651">
        <v>-46065</v>
      </c>
      <c r="U375" s="651">
        <v>1911751</v>
      </c>
    </row>
    <row r="376" spans="1:21" x14ac:dyDescent="0.25">
      <c r="A376" s="646">
        <v>93908</v>
      </c>
      <c r="B376" s="647" t="s">
        <v>2988</v>
      </c>
      <c r="C376" s="648">
        <v>5.0239999999999996E-4</v>
      </c>
      <c r="D376" s="648">
        <v>5.1309999999999995E-4</v>
      </c>
      <c r="E376" s="649">
        <v>209823</v>
      </c>
      <c r="F376" s="649">
        <v>230276</v>
      </c>
      <c r="G376" s="649">
        <v>1066261</v>
      </c>
      <c r="H376" s="649"/>
      <c r="I376" s="650">
        <v>20033</v>
      </c>
      <c r="J376" s="650">
        <v>934385</v>
      </c>
      <c r="K376" s="650">
        <v>73029</v>
      </c>
      <c r="L376" s="649">
        <v>8428</v>
      </c>
      <c r="M376" s="649"/>
      <c r="N376" s="650">
        <v>37363</v>
      </c>
      <c r="O376" s="650">
        <v>344876</v>
      </c>
      <c r="P376" s="650">
        <v>0</v>
      </c>
      <c r="Q376" s="649">
        <v>25053</v>
      </c>
      <c r="R376" s="649"/>
      <c r="S376" s="650">
        <v>284996</v>
      </c>
      <c r="T376" s="651">
        <v>-4339</v>
      </c>
      <c r="U376" s="651">
        <v>280657</v>
      </c>
    </row>
    <row r="377" spans="1:21" x14ac:dyDescent="0.25">
      <c r="A377" s="646">
        <v>93910</v>
      </c>
      <c r="B377" s="647" t="s">
        <v>2989</v>
      </c>
      <c r="C377" s="648">
        <v>2.9129999999999998E-4</v>
      </c>
      <c r="D377" s="648">
        <v>2.8830000000000001E-4</v>
      </c>
      <c r="E377" s="649">
        <v>105004</v>
      </c>
      <c r="F377" s="649">
        <v>129387</v>
      </c>
      <c r="G377" s="649">
        <v>618236</v>
      </c>
      <c r="H377" s="649"/>
      <c r="I377" s="650">
        <v>11616</v>
      </c>
      <c r="J377" s="650">
        <v>541772</v>
      </c>
      <c r="K377" s="650">
        <v>42344</v>
      </c>
      <c r="L377" s="649">
        <v>0</v>
      </c>
      <c r="M377" s="649"/>
      <c r="N377" s="650">
        <v>21664</v>
      </c>
      <c r="O377" s="650">
        <v>199965</v>
      </c>
      <c r="P377" s="650">
        <v>0</v>
      </c>
      <c r="Q377" s="649">
        <v>27549</v>
      </c>
      <c r="R377" s="649"/>
      <c r="S377" s="650">
        <v>165245</v>
      </c>
      <c r="T377" s="651">
        <v>-10320</v>
      </c>
      <c r="U377" s="651">
        <v>154925</v>
      </c>
    </row>
    <row r="378" spans="1:21" x14ac:dyDescent="0.25">
      <c r="A378" s="646">
        <v>93911</v>
      </c>
      <c r="B378" s="647" t="s">
        <v>2990</v>
      </c>
      <c r="C378" s="648">
        <v>6.9890000000000002E-4</v>
      </c>
      <c r="D378" s="648">
        <v>7.1869999999999996E-4</v>
      </c>
      <c r="E378" s="649">
        <v>267489</v>
      </c>
      <c r="F378" s="649">
        <v>322548</v>
      </c>
      <c r="G378" s="649">
        <v>1483300</v>
      </c>
      <c r="H378" s="649"/>
      <c r="I378" s="650">
        <v>27869</v>
      </c>
      <c r="J378" s="650">
        <v>1299844</v>
      </c>
      <c r="K378" s="650">
        <v>101593</v>
      </c>
      <c r="L378" s="649">
        <v>21802</v>
      </c>
      <c r="M378" s="649"/>
      <c r="N378" s="650">
        <v>51976</v>
      </c>
      <c r="O378" s="650">
        <v>479765</v>
      </c>
      <c r="P378" s="650">
        <v>0</v>
      </c>
      <c r="Q378" s="649">
        <v>26554</v>
      </c>
      <c r="R378" s="649"/>
      <c r="S378" s="650">
        <v>396464</v>
      </c>
      <c r="T378" s="651">
        <v>1748</v>
      </c>
      <c r="U378" s="651">
        <v>398212</v>
      </c>
    </row>
    <row r="379" spans="1:21" x14ac:dyDescent="0.25">
      <c r="A379" s="646">
        <v>93913</v>
      </c>
      <c r="B379" s="647" t="s">
        <v>2991</v>
      </c>
      <c r="C379" s="648">
        <v>6.2600000000000004E-5</v>
      </c>
      <c r="D379" s="648">
        <v>5.5699999999999999E-5</v>
      </c>
      <c r="E379" s="649">
        <v>25969.759999999998</v>
      </c>
      <c r="F379" s="649">
        <v>24998</v>
      </c>
      <c r="G379" s="649">
        <v>132858</v>
      </c>
      <c r="H379" s="649"/>
      <c r="I379" s="650">
        <v>2496</v>
      </c>
      <c r="J379" s="650">
        <v>116426</v>
      </c>
      <c r="K379" s="650">
        <v>9100</v>
      </c>
      <c r="L379" s="649">
        <v>3917</v>
      </c>
      <c r="M379" s="649"/>
      <c r="N379" s="650">
        <v>4655</v>
      </c>
      <c r="O379" s="650">
        <v>42972</v>
      </c>
      <c r="P379" s="650">
        <v>0</v>
      </c>
      <c r="Q379" s="649">
        <v>1335</v>
      </c>
      <c r="R379" s="649"/>
      <c r="S379" s="650">
        <v>35511</v>
      </c>
      <c r="T379" s="651">
        <v>530</v>
      </c>
      <c r="U379" s="651">
        <v>36041</v>
      </c>
    </row>
    <row r="380" spans="1:21" x14ac:dyDescent="0.25">
      <c r="A380" s="646">
        <v>93914</v>
      </c>
      <c r="B380" s="647" t="s">
        <v>2992</v>
      </c>
      <c r="C380" s="648">
        <v>9.0999999999999993E-6</v>
      </c>
      <c r="D380" s="648">
        <v>1.0000000000000001E-5</v>
      </c>
      <c r="E380" s="649">
        <v>5837.72</v>
      </c>
      <c r="F380" s="649">
        <v>4488</v>
      </c>
      <c r="G380" s="649">
        <v>19313</v>
      </c>
      <c r="H380" s="649"/>
      <c r="I380" s="650">
        <v>363</v>
      </c>
      <c r="J380" s="650">
        <v>16925</v>
      </c>
      <c r="K380" s="650">
        <v>1323</v>
      </c>
      <c r="L380" s="649">
        <v>3108</v>
      </c>
      <c r="M380" s="649"/>
      <c r="N380" s="650">
        <v>677</v>
      </c>
      <c r="O380" s="650">
        <v>6247</v>
      </c>
      <c r="P380" s="650">
        <v>0</v>
      </c>
      <c r="Q380" s="649">
        <v>0</v>
      </c>
      <c r="R380" s="649"/>
      <c r="S380" s="650">
        <v>5162</v>
      </c>
      <c r="T380" s="651">
        <v>1124</v>
      </c>
      <c r="U380" s="651">
        <v>6287</v>
      </c>
    </row>
    <row r="381" spans="1:21" x14ac:dyDescent="0.25">
      <c r="A381" s="646">
        <v>93921</v>
      </c>
      <c r="B381" s="647" t="s">
        <v>2993</v>
      </c>
      <c r="C381" s="648">
        <v>2.7139999999999998E-4</v>
      </c>
      <c r="D381" s="648">
        <v>2.8130000000000001E-4</v>
      </c>
      <c r="E381" s="649">
        <v>109806.1</v>
      </c>
      <c r="F381" s="649">
        <v>126246</v>
      </c>
      <c r="G381" s="649">
        <v>576002</v>
      </c>
      <c r="H381" s="649"/>
      <c r="I381" s="650">
        <v>10822</v>
      </c>
      <c r="J381" s="650">
        <v>504761</v>
      </c>
      <c r="K381" s="650">
        <v>39451</v>
      </c>
      <c r="L381" s="649">
        <v>14895</v>
      </c>
      <c r="M381" s="649"/>
      <c r="N381" s="650">
        <v>20184</v>
      </c>
      <c r="O381" s="650">
        <v>186305</v>
      </c>
      <c r="P381" s="650">
        <v>0</v>
      </c>
      <c r="Q381" s="649">
        <v>6797</v>
      </c>
      <c r="R381" s="649"/>
      <c r="S381" s="650">
        <v>153957</v>
      </c>
      <c r="T381" s="651">
        <v>4443</v>
      </c>
      <c r="U381" s="651">
        <v>158400</v>
      </c>
    </row>
    <row r="382" spans="1:21" x14ac:dyDescent="0.25">
      <c r="A382" s="646">
        <v>93931</v>
      </c>
      <c r="B382" s="647" t="s">
        <v>2994</v>
      </c>
      <c r="C382" s="648">
        <v>5.2260000000000002E-4</v>
      </c>
      <c r="D382" s="648">
        <v>5.1309999999999995E-4</v>
      </c>
      <c r="E382" s="649">
        <v>190729</v>
      </c>
      <c r="F382" s="649">
        <v>230276</v>
      </c>
      <c r="G382" s="649">
        <v>1109132</v>
      </c>
      <c r="H382" s="649"/>
      <c r="I382" s="650">
        <v>20839</v>
      </c>
      <c r="J382" s="650">
        <v>971953</v>
      </c>
      <c r="K382" s="650">
        <v>75966</v>
      </c>
      <c r="L382" s="649">
        <v>197494</v>
      </c>
      <c r="M382" s="649"/>
      <c r="N382" s="650">
        <v>38865</v>
      </c>
      <c r="O382" s="650">
        <v>358743</v>
      </c>
      <c r="P382" s="650">
        <v>0</v>
      </c>
      <c r="Q382" s="649">
        <v>14064</v>
      </c>
      <c r="R382" s="649"/>
      <c r="S382" s="650">
        <v>296455</v>
      </c>
      <c r="T382" s="651">
        <v>86279</v>
      </c>
      <c r="U382" s="651">
        <v>382733</v>
      </c>
    </row>
    <row r="383" spans="1:21" x14ac:dyDescent="0.25">
      <c r="A383" s="646">
        <v>94001</v>
      </c>
      <c r="B383" s="647" t="s">
        <v>2995</v>
      </c>
      <c r="C383" s="648">
        <v>9.0240000000000003E-4</v>
      </c>
      <c r="D383" s="648">
        <v>8.1820000000000005E-4</v>
      </c>
      <c r="E383" s="649">
        <v>359460</v>
      </c>
      <c r="F383" s="649">
        <v>367203</v>
      </c>
      <c r="G383" s="649">
        <v>1915195</v>
      </c>
      <c r="H383" s="649"/>
      <c r="I383" s="650">
        <v>35983</v>
      </c>
      <c r="J383" s="650">
        <v>1678321</v>
      </c>
      <c r="K383" s="650">
        <v>131174</v>
      </c>
      <c r="L383" s="649">
        <v>36363</v>
      </c>
      <c r="M383" s="649"/>
      <c r="N383" s="650">
        <v>67111</v>
      </c>
      <c r="O383" s="650">
        <v>619460</v>
      </c>
      <c r="P383" s="650">
        <v>0</v>
      </c>
      <c r="Q383" s="649">
        <v>53646</v>
      </c>
      <c r="R383" s="649"/>
      <c r="S383" s="650">
        <v>511904</v>
      </c>
      <c r="T383" s="651">
        <v>-17058</v>
      </c>
      <c r="U383" s="651">
        <v>494846</v>
      </c>
    </row>
    <row r="384" spans="1:21" x14ac:dyDescent="0.25">
      <c r="A384" s="646">
        <v>94002</v>
      </c>
      <c r="B384" s="647" t="s">
        <v>2996</v>
      </c>
      <c r="C384" s="648">
        <v>7.6000000000000001E-6</v>
      </c>
      <c r="D384" s="648">
        <v>8.3000000000000002E-6</v>
      </c>
      <c r="E384" s="649">
        <v>4360</v>
      </c>
      <c r="F384" s="649">
        <v>3725</v>
      </c>
      <c r="G384" s="649">
        <v>16130</v>
      </c>
      <c r="H384" s="649"/>
      <c r="I384" s="650">
        <v>303.05</v>
      </c>
      <c r="J384" s="650">
        <v>14135</v>
      </c>
      <c r="K384" s="650">
        <v>1105</v>
      </c>
      <c r="L384" s="649">
        <v>867</v>
      </c>
      <c r="M384" s="649"/>
      <c r="N384" s="650">
        <v>565</v>
      </c>
      <c r="O384" s="650">
        <v>5217</v>
      </c>
      <c r="P384" s="650">
        <v>0</v>
      </c>
      <c r="Q384" s="649">
        <v>430</v>
      </c>
      <c r="R384" s="649"/>
      <c r="S384" s="650">
        <v>4311</v>
      </c>
      <c r="T384" s="651">
        <v>34</v>
      </c>
      <c r="U384" s="651">
        <v>4345</v>
      </c>
    </row>
    <row r="385" spans="1:21" x14ac:dyDescent="0.25">
      <c r="A385" s="646">
        <v>94004</v>
      </c>
      <c r="B385" s="647" t="s">
        <v>2997</v>
      </c>
      <c r="C385" s="648">
        <v>2.7999999999999999E-6</v>
      </c>
      <c r="D385" s="648">
        <v>2.2000000000000001E-6</v>
      </c>
      <c r="E385" s="649">
        <v>2638.89</v>
      </c>
      <c r="F385" s="649">
        <v>987</v>
      </c>
      <c r="G385" s="649">
        <v>5943</v>
      </c>
      <c r="H385" s="649"/>
      <c r="I385" s="650">
        <v>112</v>
      </c>
      <c r="J385" s="650">
        <v>5208</v>
      </c>
      <c r="K385" s="650">
        <v>407</v>
      </c>
      <c r="L385" s="649">
        <v>1506</v>
      </c>
      <c r="M385" s="649"/>
      <c r="N385" s="650">
        <v>208</v>
      </c>
      <c r="O385" s="650">
        <v>1922</v>
      </c>
      <c r="P385" s="650">
        <v>0</v>
      </c>
      <c r="Q385" s="649">
        <v>1224</v>
      </c>
      <c r="R385" s="649"/>
      <c r="S385" s="650">
        <v>1588</v>
      </c>
      <c r="T385" s="651">
        <v>-207</v>
      </c>
      <c r="U385" s="651">
        <v>1381</v>
      </c>
    </row>
    <row r="386" spans="1:21" x14ac:dyDescent="0.25">
      <c r="A386" s="646">
        <v>94005</v>
      </c>
      <c r="B386" s="647" t="s">
        <v>2998</v>
      </c>
      <c r="C386" s="648">
        <v>5.4999999999999999E-6</v>
      </c>
      <c r="D386" s="648">
        <v>6.2999999999999998E-6</v>
      </c>
      <c r="E386" s="649">
        <v>0</v>
      </c>
      <c r="F386" s="649">
        <v>2827</v>
      </c>
      <c r="G386" s="649">
        <v>11673</v>
      </c>
      <c r="H386" s="649"/>
      <c r="I386" s="650">
        <v>219.3125</v>
      </c>
      <c r="J386" s="650">
        <v>10229</v>
      </c>
      <c r="K386" s="650">
        <v>799</v>
      </c>
      <c r="L386" s="649">
        <v>0</v>
      </c>
      <c r="M386" s="649"/>
      <c r="N386" s="650">
        <v>409</v>
      </c>
      <c r="O386" s="650">
        <v>3776</v>
      </c>
      <c r="P386" s="650">
        <v>0</v>
      </c>
      <c r="Q386" s="649">
        <v>3798</v>
      </c>
      <c r="R386" s="649"/>
      <c r="S386" s="650">
        <v>3120</v>
      </c>
      <c r="T386" s="651">
        <v>-1174</v>
      </c>
      <c r="U386" s="651">
        <v>1946</v>
      </c>
    </row>
    <row r="387" spans="1:21" x14ac:dyDescent="0.25">
      <c r="A387" s="646">
        <v>94011</v>
      </c>
      <c r="B387" s="647" t="s">
        <v>2999</v>
      </c>
      <c r="C387" s="648">
        <v>2.5599999999999999E-5</v>
      </c>
      <c r="D387" s="648">
        <v>1.3900000000000001E-5</v>
      </c>
      <c r="E387" s="649">
        <v>8013.12</v>
      </c>
      <c r="F387" s="649">
        <v>6238</v>
      </c>
      <c r="G387" s="649">
        <v>54332</v>
      </c>
      <c r="H387" s="649"/>
      <c r="I387" s="650">
        <v>1020.8</v>
      </c>
      <c r="J387" s="650">
        <v>47612</v>
      </c>
      <c r="K387" s="650">
        <v>3721</v>
      </c>
      <c r="L387" s="649">
        <v>4341</v>
      </c>
      <c r="M387" s="649"/>
      <c r="N387" s="650">
        <v>1904</v>
      </c>
      <c r="O387" s="650">
        <v>17573</v>
      </c>
      <c r="P387" s="650">
        <v>0</v>
      </c>
      <c r="Q387" s="649">
        <v>1019</v>
      </c>
      <c r="R387" s="649"/>
      <c r="S387" s="650">
        <v>14522</v>
      </c>
      <c r="T387" s="651">
        <v>639</v>
      </c>
      <c r="U387" s="651">
        <v>15161</v>
      </c>
    </row>
    <row r="388" spans="1:21" x14ac:dyDescent="0.25">
      <c r="A388" s="646">
        <v>94021</v>
      </c>
      <c r="B388" s="647" t="s">
        <v>3000</v>
      </c>
      <c r="C388" s="648">
        <v>8.1699999999999994E-5</v>
      </c>
      <c r="D388" s="648">
        <v>7.6899999999999999E-5</v>
      </c>
      <c r="E388" s="649">
        <v>34891</v>
      </c>
      <c r="F388" s="649">
        <v>34512</v>
      </c>
      <c r="G388" s="649">
        <v>173395</v>
      </c>
      <c r="H388" s="649"/>
      <c r="I388" s="650">
        <v>3258</v>
      </c>
      <c r="J388" s="650">
        <v>151949</v>
      </c>
      <c r="K388" s="650">
        <v>11876</v>
      </c>
      <c r="L388" s="649">
        <v>14318</v>
      </c>
      <c r="M388" s="649"/>
      <c r="N388" s="650">
        <v>6076</v>
      </c>
      <c r="O388" s="650">
        <v>56084</v>
      </c>
      <c r="P388" s="650">
        <v>0</v>
      </c>
      <c r="Q388" s="649">
        <v>0</v>
      </c>
      <c r="R388" s="649"/>
      <c r="S388" s="650">
        <v>46346</v>
      </c>
      <c r="T388" s="651">
        <v>5712</v>
      </c>
      <c r="U388" s="651">
        <v>52058</v>
      </c>
    </row>
    <row r="389" spans="1:21" x14ac:dyDescent="0.25">
      <c r="A389" s="646">
        <v>94031</v>
      </c>
      <c r="B389" s="647" t="s">
        <v>3001</v>
      </c>
      <c r="C389" s="648">
        <v>8.1000000000000004E-6</v>
      </c>
      <c r="D389" s="648">
        <v>6.9E-6</v>
      </c>
      <c r="E389" s="649">
        <v>7705.65</v>
      </c>
      <c r="F389" s="649">
        <v>3097</v>
      </c>
      <c r="G389" s="649">
        <v>17191</v>
      </c>
      <c r="H389" s="649"/>
      <c r="I389" s="650">
        <v>322.98750000000001</v>
      </c>
      <c r="J389" s="650">
        <v>15065</v>
      </c>
      <c r="K389" s="650">
        <v>1177</v>
      </c>
      <c r="L389" s="649">
        <v>8044</v>
      </c>
      <c r="M389" s="649"/>
      <c r="N389" s="650">
        <v>602</v>
      </c>
      <c r="O389" s="650">
        <v>5560</v>
      </c>
      <c r="P389" s="650">
        <v>0</v>
      </c>
      <c r="Q389" s="649">
        <v>81.59</v>
      </c>
      <c r="R389" s="649"/>
      <c r="S389" s="650">
        <v>4595</v>
      </c>
      <c r="T389" s="651">
        <v>2417</v>
      </c>
      <c r="U389" s="651">
        <v>7012</v>
      </c>
    </row>
    <row r="390" spans="1:21" x14ac:dyDescent="0.25">
      <c r="A390" s="646">
        <v>94101</v>
      </c>
      <c r="B390" s="647" t="s">
        <v>3002</v>
      </c>
      <c r="C390" s="648">
        <v>1.85028E-2</v>
      </c>
      <c r="D390" s="648">
        <v>1.9464599999999999E-2</v>
      </c>
      <c r="E390" s="649">
        <v>7542806</v>
      </c>
      <c r="F390" s="649">
        <v>8735596</v>
      </c>
      <c r="G390" s="649">
        <v>39269140</v>
      </c>
      <c r="H390" s="649"/>
      <c r="I390" s="650">
        <v>737799.15</v>
      </c>
      <c r="J390" s="650">
        <v>34412285</v>
      </c>
      <c r="K390" s="650">
        <v>2689586</v>
      </c>
      <c r="L390" s="649">
        <v>420795</v>
      </c>
      <c r="M390" s="649"/>
      <c r="N390" s="650">
        <v>1376035</v>
      </c>
      <c r="O390" s="650">
        <v>12701395</v>
      </c>
      <c r="P390" s="650">
        <v>0</v>
      </c>
      <c r="Q390" s="649">
        <v>1094802</v>
      </c>
      <c r="R390" s="649"/>
      <c r="S390" s="650">
        <v>10496065</v>
      </c>
      <c r="T390" s="651">
        <v>-261265</v>
      </c>
      <c r="U390" s="651">
        <v>10234799</v>
      </c>
    </row>
    <row r="391" spans="1:21" x14ac:dyDescent="0.25">
      <c r="A391" s="646">
        <v>94102</v>
      </c>
      <c r="B391" s="647" t="s">
        <v>3003</v>
      </c>
      <c r="C391" s="648">
        <v>2.7569999999999998E-4</v>
      </c>
      <c r="D391" s="648">
        <v>2.7809999999999998E-4</v>
      </c>
      <c r="E391" s="649">
        <v>89848.97</v>
      </c>
      <c r="F391" s="649">
        <v>124810</v>
      </c>
      <c r="G391" s="649">
        <v>585128</v>
      </c>
      <c r="H391" s="649"/>
      <c r="I391" s="650">
        <v>10994</v>
      </c>
      <c r="J391" s="650">
        <v>512758</v>
      </c>
      <c r="K391" s="650">
        <v>40076</v>
      </c>
      <c r="L391" s="649">
        <v>5166</v>
      </c>
      <c r="M391" s="649"/>
      <c r="N391" s="650">
        <v>20504</v>
      </c>
      <c r="O391" s="650">
        <v>189256</v>
      </c>
      <c r="P391" s="650">
        <v>0</v>
      </c>
      <c r="Q391" s="649">
        <v>36634</v>
      </c>
      <c r="R391" s="649"/>
      <c r="S391" s="650">
        <v>156396</v>
      </c>
      <c r="T391" s="651">
        <v>-8485</v>
      </c>
      <c r="U391" s="651">
        <v>147911</v>
      </c>
    </row>
    <row r="392" spans="1:21" x14ac:dyDescent="0.25">
      <c r="A392" s="646">
        <v>94108</v>
      </c>
      <c r="B392" s="647" t="s">
        <v>3004</v>
      </c>
      <c r="C392" s="648">
        <v>3.1809999999999998E-4</v>
      </c>
      <c r="D392" s="648">
        <v>3.991E-4</v>
      </c>
      <c r="E392" s="649">
        <v>100948</v>
      </c>
      <c r="F392" s="649">
        <v>179114</v>
      </c>
      <c r="G392" s="649">
        <v>675115</v>
      </c>
      <c r="H392" s="649"/>
      <c r="I392" s="650">
        <v>12684</v>
      </c>
      <c r="J392" s="650">
        <v>591616</v>
      </c>
      <c r="K392" s="650">
        <v>46239</v>
      </c>
      <c r="L392" s="649">
        <v>0</v>
      </c>
      <c r="M392" s="649"/>
      <c r="N392" s="650">
        <v>23657</v>
      </c>
      <c r="O392" s="650">
        <v>218362</v>
      </c>
      <c r="P392" s="650">
        <v>0</v>
      </c>
      <c r="Q392" s="649">
        <v>121376</v>
      </c>
      <c r="R392" s="649"/>
      <c r="S392" s="650">
        <v>180448</v>
      </c>
      <c r="T392" s="651">
        <v>-40521</v>
      </c>
      <c r="U392" s="651">
        <v>139927</v>
      </c>
    </row>
    <row r="393" spans="1:21" x14ac:dyDescent="0.25">
      <c r="A393" s="646">
        <v>94109</v>
      </c>
      <c r="B393" s="647" t="s">
        <v>3005</v>
      </c>
      <c r="C393" s="648">
        <v>1.0399999999999999E-4</v>
      </c>
      <c r="D393" s="648">
        <v>1.359E-4</v>
      </c>
      <c r="E393" s="649">
        <v>30807.5</v>
      </c>
      <c r="F393" s="649">
        <v>60991</v>
      </c>
      <c r="G393" s="649">
        <v>220722.84</v>
      </c>
      <c r="H393" s="649"/>
      <c r="I393" s="650">
        <v>4147</v>
      </c>
      <c r="J393" s="650">
        <v>193424</v>
      </c>
      <c r="K393" s="650">
        <v>15118</v>
      </c>
      <c r="L393" s="649">
        <v>1600</v>
      </c>
      <c r="M393" s="649"/>
      <c r="N393" s="650">
        <v>7734</v>
      </c>
      <c r="O393" s="650">
        <v>71392</v>
      </c>
      <c r="P393" s="650">
        <v>0</v>
      </c>
      <c r="Q393" s="649">
        <v>33989</v>
      </c>
      <c r="R393" s="649"/>
      <c r="S393" s="650">
        <v>58996</v>
      </c>
      <c r="T393" s="651">
        <v>-8690</v>
      </c>
      <c r="U393" s="651">
        <v>50306</v>
      </c>
    </row>
    <row r="394" spans="1:21" x14ac:dyDescent="0.25">
      <c r="A394" s="646">
        <v>94111</v>
      </c>
      <c r="B394" s="647" t="s">
        <v>3006</v>
      </c>
      <c r="C394" s="648">
        <v>2.5623300000000002E-2</v>
      </c>
      <c r="D394" s="648">
        <v>2.7054000000000002E-2</v>
      </c>
      <c r="E394" s="649">
        <v>10028319</v>
      </c>
      <c r="F394" s="649">
        <v>12141673</v>
      </c>
      <c r="G394" s="649">
        <v>54381226</v>
      </c>
      <c r="H394" s="649"/>
      <c r="I394" s="650">
        <v>1021729</v>
      </c>
      <c r="J394" s="650">
        <v>47655290</v>
      </c>
      <c r="K394" s="650">
        <v>3724629</v>
      </c>
      <c r="L394" s="649">
        <v>15132</v>
      </c>
      <c r="M394" s="649"/>
      <c r="N394" s="650">
        <v>1905579</v>
      </c>
      <c r="O394" s="650">
        <v>17589319</v>
      </c>
      <c r="P394" s="650">
        <v>0</v>
      </c>
      <c r="Q394" s="649">
        <v>1552982</v>
      </c>
      <c r="R394" s="649"/>
      <c r="S394" s="650">
        <v>14535304</v>
      </c>
      <c r="T394" s="651">
        <v>-430419</v>
      </c>
      <c r="U394" s="651">
        <v>14104885</v>
      </c>
    </row>
    <row r="395" spans="1:21" x14ac:dyDescent="0.25">
      <c r="A395" s="646">
        <v>94112</v>
      </c>
      <c r="B395" s="647" t="s">
        <v>3007</v>
      </c>
      <c r="C395" s="648">
        <v>1.6530000000000001E-4</v>
      </c>
      <c r="D395" s="648">
        <v>1.6909999999999999E-4</v>
      </c>
      <c r="E395" s="649">
        <v>58678.14</v>
      </c>
      <c r="F395" s="649">
        <v>75891</v>
      </c>
      <c r="G395" s="649">
        <v>350822</v>
      </c>
      <c r="H395" s="649"/>
      <c r="I395" s="650">
        <v>6591</v>
      </c>
      <c r="J395" s="650">
        <v>307432</v>
      </c>
      <c r="K395" s="650">
        <v>24028</v>
      </c>
      <c r="L395" s="649">
        <v>0</v>
      </c>
      <c r="M395" s="649"/>
      <c r="N395" s="650">
        <v>12293</v>
      </c>
      <c r="O395" s="650">
        <v>113472</v>
      </c>
      <c r="P395" s="650">
        <v>0</v>
      </c>
      <c r="Q395" s="649">
        <v>20904</v>
      </c>
      <c r="R395" s="649"/>
      <c r="S395" s="650">
        <v>93770</v>
      </c>
      <c r="T395" s="651">
        <v>-7213</v>
      </c>
      <c r="U395" s="651">
        <v>86557</v>
      </c>
    </row>
    <row r="396" spans="1:21" x14ac:dyDescent="0.25">
      <c r="A396" s="646">
        <v>94117</v>
      </c>
      <c r="B396" s="647" t="s">
        <v>3008</v>
      </c>
      <c r="C396" s="648">
        <v>4.0709999999999997E-4</v>
      </c>
      <c r="D396" s="648">
        <v>4.17E-4</v>
      </c>
      <c r="E396" s="649">
        <v>162038</v>
      </c>
      <c r="F396" s="649">
        <v>187147</v>
      </c>
      <c r="G396" s="649">
        <v>864003</v>
      </c>
      <c r="H396" s="649"/>
      <c r="I396" s="650">
        <v>16233</v>
      </c>
      <c r="J396" s="650">
        <v>757142</v>
      </c>
      <c r="K396" s="650">
        <v>59176</v>
      </c>
      <c r="L396" s="649">
        <v>12662</v>
      </c>
      <c r="M396" s="649"/>
      <c r="N396" s="650">
        <v>30276</v>
      </c>
      <c r="O396" s="650">
        <v>279457</v>
      </c>
      <c r="P396" s="650">
        <v>0</v>
      </c>
      <c r="Q396" s="649">
        <v>9635</v>
      </c>
      <c r="R396" s="649"/>
      <c r="S396" s="650">
        <v>230935</v>
      </c>
      <c r="T396" s="651">
        <v>2033</v>
      </c>
      <c r="U396" s="651">
        <v>232968</v>
      </c>
    </row>
    <row r="397" spans="1:21" x14ac:dyDescent="0.25">
      <c r="A397" s="646">
        <v>94118</v>
      </c>
      <c r="B397" s="647" t="s">
        <v>3009</v>
      </c>
      <c r="C397" s="648">
        <v>1.63E-4</v>
      </c>
      <c r="D397" s="648">
        <v>1.918E-4</v>
      </c>
      <c r="E397" s="649">
        <v>53076</v>
      </c>
      <c r="F397" s="649">
        <v>86079</v>
      </c>
      <c r="G397" s="649">
        <v>345941</v>
      </c>
      <c r="H397" s="649"/>
      <c r="I397" s="650">
        <v>6499.625</v>
      </c>
      <c r="J397" s="650">
        <v>303154</v>
      </c>
      <c r="K397" s="650">
        <v>23694</v>
      </c>
      <c r="L397" s="649">
        <v>0</v>
      </c>
      <c r="M397" s="649"/>
      <c r="N397" s="650">
        <v>12122</v>
      </c>
      <c r="O397" s="650">
        <v>111893</v>
      </c>
      <c r="P397" s="650">
        <v>0</v>
      </c>
      <c r="Q397" s="649">
        <v>58615</v>
      </c>
      <c r="R397" s="649"/>
      <c r="S397" s="650">
        <v>92465</v>
      </c>
      <c r="T397" s="651">
        <v>-20217</v>
      </c>
      <c r="U397" s="651">
        <v>72248</v>
      </c>
    </row>
    <row r="398" spans="1:21" x14ac:dyDescent="0.25">
      <c r="A398" s="646">
        <v>94121</v>
      </c>
      <c r="B398" s="647" t="s">
        <v>3010</v>
      </c>
      <c r="C398" s="648">
        <v>1.12823E-2</v>
      </c>
      <c r="D398" s="648">
        <v>1.20112E-2</v>
      </c>
      <c r="E398" s="649">
        <v>4810509.83</v>
      </c>
      <c r="F398" s="649">
        <v>5390554</v>
      </c>
      <c r="G398" s="649">
        <v>23944820</v>
      </c>
      <c r="H398" s="649"/>
      <c r="I398" s="650">
        <v>449882</v>
      </c>
      <c r="J398" s="650">
        <v>20983295</v>
      </c>
      <c r="K398" s="650">
        <v>1640006</v>
      </c>
      <c r="L398" s="649">
        <v>42878</v>
      </c>
      <c r="M398" s="649"/>
      <c r="N398" s="650">
        <v>839053</v>
      </c>
      <c r="O398" s="650">
        <v>7744825</v>
      </c>
      <c r="P398" s="650">
        <v>0</v>
      </c>
      <c r="Q398" s="649">
        <v>429585</v>
      </c>
      <c r="R398" s="649"/>
      <c r="S398" s="650">
        <v>6400099</v>
      </c>
      <c r="T398" s="651">
        <v>-137554</v>
      </c>
      <c r="U398" s="651">
        <v>6262545</v>
      </c>
    </row>
    <row r="399" spans="1:21" x14ac:dyDescent="0.25">
      <c r="A399" s="646">
        <v>94127</v>
      </c>
      <c r="B399" s="647" t="s">
        <v>3011</v>
      </c>
      <c r="C399" s="648">
        <v>1.528E-4</v>
      </c>
      <c r="D399" s="648">
        <v>1.4530000000000001E-4</v>
      </c>
      <c r="E399" s="649">
        <v>61108</v>
      </c>
      <c r="F399" s="649">
        <v>65210</v>
      </c>
      <c r="G399" s="649">
        <v>324293</v>
      </c>
      <c r="H399" s="649"/>
      <c r="I399" s="650">
        <v>6092.9</v>
      </c>
      <c r="J399" s="650">
        <v>284184</v>
      </c>
      <c r="K399" s="650">
        <v>22211</v>
      </c>
      <c r="L399" s="649">
        <v>3883</v>
      </c>
      <c r="M399" s="649"/>
      <c r="N399" s="650">
        <v>11364</v>
      </c>
      <c r="O399" s="650">
        <v>104891</v>
      </c>
      <c r="P399" s="650">
        <v>0</v>
      </c>
      <c r="Q399" s="649">
        <v>617</v>
      </c>
      <c r="R399" s="649"/>
      <c r="S399" s="650">
        <v>86679</v>
      </c>
      <c r="T399" s="651">
        <v>1078</v>
      </c>
      <c r="U399" s="651">
        <v>87756</v>
      </c>
    </row>
    <row r="400" spans="1:21" x14ac:dyDescent="0.25">
      <c r="A400" s="646">
        <v>94131</v>
      </c>
      <c r="B400" s="647" t="s">
        <v>3012</v>
      </c>
      <c r="C400" s="648">
        <v>2.0049999999999999E-4</v>
      </c>
      <c r="D400" s="648">
        <v>2.0120000000000001E-4</v>
      </c>
      <c r="E400" s="649">
        <v>83859.38</v>
      </c>
      <c r="F400" s="649">
        <v>90297</v>
      </c>
      <c r="G400" s="649">
        <v>425528</v>
      </c>
      <c r="H400" s="649"/>
      <c r="I400" s="650">
        <v>7994.9375</v>
      </c>
      <c r="J400" s="650">
        <v>372898</v>
      </c>
      <c r="K400" s="650">
        <v>29145</v>
      </c>
      <c r="L400" s="649">
        <v>4546</v>
      </c>
      <c r="M400" s="649"/>
      <c r="N400" s="650">
        <v>14911</v>
      </c>
      <c r="O400" s="650">
        <v>137635</v>
      </c>
      <c r="P400" s="650">
        <v>0</v>
      </c>
      <c r="Q400" s="649">
        <v>1120</v>
      </c>
      <c r="R400" s="649"/>
      <c r="S400" s="650">
        <v>113737</v>
      </c>
      <c r="T400" s="651">
        <v>979</v>
      </c>
      <c r="U400" s="651">
        <v>114716</v>
      </c>
    </row>
    <row r="401" spans="1:21" x14ac:dyDescent="0.25">
      <c r="A401" s="646">
        <v>94151</v>
      </c>
      <c r="B401" s="647" t="s">
        <v>3013</v>
      </c>
      <c r="C401" s="648">
        <v>4.2870000000000001E-4</v>
      </c>
      <c r="D401" s="648">
        <v>4.0200000000000001E-4</v>
      </c>
      <c r="E401" s="649">
        <v>148093.01</v>
      </c>
      <c r="F401" s="649">
        <v>180415</v>
      </c>
      <c r="G401" s="649">
        <v>909845</v>
      </c>
      <c r="H401" s="649"/>
      <c r="I401" s="650">
        <v>17094</v>
      </c>
      <c r="J401" s="650">
        <v>797314</v>
      </c>
      <c r="K401" s="650">
        <v>62316</v>
      </c>
      <c r="L401" s="649">
        <v>0</v>
      </c>
      <c r="M401" s="649"/>
      <c r="N401" s="650">
        <v>31882</v>
      </c>
      <c r="O401" s="650">
        <v>294285</v>
      </c>
      <c r="P401" s="650">
        <v>0</v>
      </c>
      <c r="Q401" s="649">
        <v>19133</v>
      </c>
      <c r="R401" s="649"/>
      <c r="S401" s="650">
        <v>243188</v>
      </c>
      <c r="T401" s="651">
        <v>-6795</v>
      </c>
      <c r="U401" s="651">
        <v>236393</v>
      </c>
    </row>
    <row r="402" spans="1:21" x14ac:dyDescent="0.25">
      <c r="A402" s="646">
        <v>94157</v>
      </c>
      <c r="B402" s="647" t="s">
        <v>3014</v>
      </c>
      <c r="C402" s="648">
        <v>9.3999999999999998E-6</v>
      </c>
      <c r="D402" s="648">
        <v>8.1999999999999994E-6</v>
      </c>
      <c r="E402" s="649">
        <v>4973</v>
      </c>
      <c r="F402" s="649">
        <v>3680</v>
      </c>
      <c r="G402" s="649">
        <v>19950</v>
      </c>
      <c r="H402" s="649"/>
      <c r="I402" s="650">
        <v>374.82499999999999</v>
      </c>
      <c r="J402" s="650">
        <v>17483</v>
      </c>
      <c r="K402" s="650">
        <v>1366</v>
      </c>
      <c r="L402" s="649">
        <v>5150</v>
      </c>
      <c r="M402" s="649"/>
      <c r="N402" s="650">
        <v>699</v>
      </c>
      <c r="O402" s="650">
        <v>6453</v>
      </c>
      <c r="P402" s="650">
        <v>0</v>
      </c>
      <c r="Q402" s="649">
        <v>0</v>
      </c>
      <c r="R402" s="649"/>
      <c r="S402" s="650">
        <v>5332</v>
      </c>
      <c r="T402" s="651">
        <v>1947</v>
      </c>
      <c r="U402" s="651">
        <v>7280</v>
      </c>
    </row>
    <row r="403" spans="1:21" x14ac:dyDescent="0.25">
      <c r="A403" s="646">
        <v>94161</v>
      </c>
      <c r="B403" s="647" t="s">
        <v>3015</v>
      </c>
      <c r="C403" s="648">
        <v>5.7899999999999998E-5</v>
      </c>
      <c r="D403" s="648">
        <v>5.3000000000000001E-5</v>
      </c>
      <c r="E403" s="649">
        <v>21890.33</v>
      </c>
      <c r="F403" s="649">
        <v>23786</v>
      </c>
      <c r="G403" s="649">
        <v>122883</v>
      </c>
      <c r="H403" s="649"/>
      <c r="I403" s="650">
        <v>2309</v>
      </c>
      <c r="J403" s="650">
        <v>107685</v>
      </c>
      <c r="K403" s="650">
        <v>8416</v>
      </c>
      <c r="L403" s="649">
        <v>8543</v>
      </c>
      <c r="M403" s="649"/>
      <c r="N403" s="650">
        <v>4306</v>
      </c>
      <c r="O403" s="650">
        <v>39746</v>
      </c>
      <c r="P403" s="650">
        <v>0</v>
      </c>
      <c r="Q403" s="649">
        <v>0</v>
      </c>
      <c r="R403" s="649"/>
      <c r="S403" s="650">
        <v>32845</v>
      </c>
      <c r="T403" s="651">
        <v>3088</v>
      </c>
      <c r="U403" s="651">
        <v>35933</v>
      </c>
    </row>
    <row r="404" spans="1:21" x14ac:dyDescent="0.25">
      <c r="A404" s="646">
        <v>94168</v>
      </c>
      <c r="B404" s="647" t="s">
        <v>3016</v>
      </c>
      <c r="C404" s="648">
        <v>3.4E-5</v>
      </c>
      <c r="D404" s="648">
        <v>4.18E-5</v>
      </c>
      <c r="E404" s="649">
        <v>12127.4</v>
      </c>
      <c r="F404" s="649">
        <v>18760</v>
      </c>
      <c r="G404" s="649">
        <v>72159.39</v>
      </c>
      <c r="H404" s="649"/>
      <c r="I404" s="650">
        <v>1355.75</v>
      </c>
      <c r="J404" s="650">
        <v>63235</v>
      </c>
      <c r="K404" s="650">
        <v>4942</v>
      </c>
      <c r="L404" s="649">
        <v>0</v>
      </c>
      <c r="M404" s="649"/>
      <c r="N404" s="650">
        <v>2529</v>
      </c>
      <c r="O404" s="650">
        <v>23340</v>
      </c>
      <c r="P404" s="650">
        <v>0</v>
      </c>
      <c r="Q404" s="649">
        <v>13113</v>
      </c>
      <c r="R404" s="649"/>
      <c r="S404" s="650">
        <v>19287</v>
      </c>
      <c r="T404" s="651">
        <v>-4643</v>
      </c>
      <c r="U404" s="651">
        <v>14644</v>
      </c>
    </row>
    <row r="405" spans="1:21" x14ac:dyDescent="0.25">
      <c r="A405" s="646">
        <v>94171</v>
      </c>
      <c r="B405" s="647" t="s">
        <v>3017</v>
      </c>
      <c r="C405" s="648">
        <v>5.5000000000000002E-5</v>
      </c>
      <c r="D405" s="648">
        <v>5.1100000000000002E-5</v>
      </c>
      <c r="E405" s="649">
        <v>21113.95</v>
      </c>
      <c r="F405" s="649">
        <v>22933</v>
      </c>
      <c r="G405" s="649">
        <v>116728</v>
      </c>
      <c r="H405" s="649"/>
      <c r="I405" s="650">
        <v>2193.125</v>
      </c>
      <c r="J405" s="650">
        <v>102291.31</v>
      </c>
      <c r="K405" s="650">
        <v>7995</v>
      </c>
      <c r="L405" s="649">
        <v>6490</v>
      </c>
      <c r="M405" s="649"/>
      <c r="N405" s="650">
        <v>4090</v>
      </c>
      <c r="O405" s="650">
        <v>37755.19</v>
      </c>
      <c r="P405" s="650">
        <v>0</v>
      </c>
      <c r="Q405" s="649">
        <v>1733</v>
      </c>
      <c r="R405" s="649"/>
      <c r="S405" s="650">
        <v>31200</v>
      </c>
      <c r="T405" s="651">
        <v>1343</v>
      </c>
      <c r="U405" s="651">
        <v>32542</v>
      </c>
    </row>
    <row r="406" spans="1:21" x14ac:dyDescent="0.25">
      <c r="A406" s="646">
        <v>94172</v>
      </c>
      <c r="B406" s="647" t="s">
        <v>3018</v>
      </c>
      <c r="C406" s="648">
        <v>2.6699999999999998E-4</v>
      </c>
      <c r="D406" s="648">
        <v>3.1379999999999998E-4</v>
      </c>
      <c r="E406" s="649">
        <v>80979</v>
      </c>
      <c r="F406" s="649">
        <v>140832</v>
      </c>
      <c r="G406" s="649">
        <v>566663</v>
      </c>
      <c r="H406" s="649"/>
      <c r="I406" s="650">
        <v>10646.625</v>
      </c>
      <c r="J406" s="650">
        <v>496578</v>
      </c>
      <c r="K406" s="650">
        <v>38811</v>
      </c>
      <c r="L406" s="649">
        <v>0</v>
      </c>
      <c r="M406" s="649"/>
      <c r="N406" s="650">
        <v>19857</v>
      </c>
      <c r="O406" s="650">
        <v>183284</v>
      </c>
      <c r="P406" s="650">
        <v>0</v>
      </c>
      <c r="Q406" s="649">
        <v>98660</v>
      </c>
      <c r="R406" s="649"/>
      <c r="S406" s="650">
        <v>151461</v>
      </c>
      <c r="T406" s="651">
        <v>-34663</v>
      </c>
      <c r="U406" s="651">
        <v>116798</v>
      </c>
    </row>
    <row r="407" spans="1:21" x14ac:dyDescent="0.25">
      <c r="A407" s="646">
        <v>94201</v>
      </c>
      <c r="B407" s="647" t="s">
        <v>3019</v>
      </c>
      <c r="C407" s="648">
        <v>3.4813000000000001E-3</v>
      </c>
      <c r="D407" s="648">
        <v>3.4115E-3</v>
      </c>
      <c r="E407" s="649">
        <v>1407554</v>
      </c>
      <c r="F407" s="649">
        <v>1531061</v>
      </c>
      <c r="G407" s="649">
        <v>7388485</v>
      </c>
      <c r="H407" s="649"/>
      <c r="I407" s="650">
        <v>138817</v>
      </c>
      <c r="J407" s="650">
        <v>6474668</v>
      </c>
      <c r="K407" s="650">
        <v>506045</v>
      </c>
      <c r="L407" s="649">
        <v>56033</v>
      </c>
      <c r="M407" s="649"/>
      <c r="N407" s="650">
        <v>258901</v>
      </c>
      <c r="O407" s="650">
        <v>2389766</v>
      </c>
      <c r="P407" s="650">
        <v>0</v>
      </c>
      <c r="Q407" s="649">
        <v>3701</v>
      </c>
      <c r="R407" s="649"/>
      <c r="S407" s="650">
        <v>1974834</v>
      </c>
      <c r="T407" s="651">
        <v>16227</v>
      </c>
      <c r="U407" s="651">
        <v>1991060</v>
      </c>
    </row>
    <row r="408" spans="1:21" x14ac:dyDescent="0.25">
      <c r="A408" s="646">
        <v>94204</v>
      </c>
      <c r="B408" s="647" t="s">
        <v>3020</v>
      </c>
      <c r="C408" s="648">
        <v>2.4899999999999999E-5</v>
      </c>
      <c r="D408" s="648">
        <v>2.41E-5</v>
      </c>
      <c r="E408" s="649">
        <v>15446</v>
      </c>
      <c r="F408" s="649">
        <v>10816</v>
      </c>
      <c r="G408" s="649">
        <v>52846</v>
      </c>
      <c r="H408" s="649"/>
      <c r="I408" s="650">
        <v>993</v>
      </c>
      <c r="J408" s="650">
        <v>46310</v>
      </c>
      <c r="K408" s="650">
        <v>3619</v>
      </c>
      <c r="L408" s="649">
        <v>10811</v>
      </c>
      <c r="M408" s="649"/>
      <c r="N408" s="650">
        <v>1852</v>
      </c>
      <c r="O408" s="650">
        <v>17093</v>
      </c>
      <c r="P408" s="650">
        <v>0</v>
      </c>
      <c r="Q408" s="649">
        <v>0</v>
      </c>
      <c r="R408" s="649"/>
      <c r="S408" s="650">
        <v>14125</v>
      </c>
      <c r="T408" s="651">
        <v>3721</v>
      </c>
      <c r="U408" s="651">
        <v>17846</v>
      </c>
    </row>
    <row r="409" spans="1:21" x14ac:dyDescent="0.25">
      <c r="A409" s="646">
        <v>94205</v>
      </c>
      <c r="B409" s="647" t="s">
        <v>3021</v>
      </c>
      <c r="C409" s="648">
        <v>2.6100000000000001E-5</v>
      </c>
      <c r="D409" s="648">
        <v>2.6999999999999999E-5</v>
      </c>
      <c r="E409" s="649">
        <v>12435.88</v>
      </c>
      <c r="F409" s="649">
        <v>12117</v>
      </c>
      <c r="G409" s="649">
        <v>55393</v>
      </c>
      <c r="H409" s="649"/>
      <c r="I409" s="650">
        <v>1040.7375</v>
      </c>
      <c r="J409" s="650">
        <v>48542</v>
      </c>
      <c r="K409" s="650">
        <v>3794</v>
      </c>
      <c r="L409" s="649">
        <v>2432</v>
      </c>
      <c r="M409" s="649"/>
      <c r="N409" s="650">
        <v>1941</v>
      </c>
      <c r="O409" s="650">
        <v>17917</v>
      </c>
      <c r="P409" s="650">
        <v>0</v>
      </c>
      <c r="Q409" s="649">
        <v>6726</v>
      </c>
      <c r="R409" s="649"/>
      <c r="S409" s="650">
        <v>14806</v>
      </c>
      <c r="T409" s="651">
        <v>-2600</v>
      </c>
      <c r="U409" s="651">
        <v>12205</v>
      </c>
    </row>
    <row r="410" spans="1:21" x14ac:dyDescent="0.25">
      <c r="A410" s="646">
        <v>94209</v>
      </c>
      <c r="B410" s="647" t="s">
        <v>3022</v>
      </c>
      <c r="C410" s="648">
        <v>3.2909999999999998E-4</v>
      </c>
      <c r="D410" s="648">
        <v>3.5540000000000002E-4</v>
      </c>
      <c r="E410" s="649">
        <v>141050</v>
      </c>
      <c r="F410" s="649">
        <v>159501</v>
      </c>
      <c r="G410" s="649">
        <v>698460</v>
      </c>
      <c r="H410" s="649"/>
      <c r="I410" s="650">
        <v>13123</v>
      </c>
      <c r="J410" s="650">
        <v>612074</v>
      </c>
      <c r="K410" s="650">
        <v>47838</v>
      </c>
      <c r="L410" s="649">
        <v>24306</v>
      </c>
      <c r="M410" s="649"/>
      <c r="N410" s="650">
        <v>24475</v>
      </c>
      <c r="O410" s="650">
        <v>225913</v>
      </c>
      <c r="P410" s="650">
        <v>0</v>
      </c>
      <c r="Q410" s="649">
        <v>9712</v>
      </c>
      <c r="R410" s="649"/>
      <c r="S410" s="650">
        <v>186688</v>
      </c>
      <c r="T410" s="651">
        <v>6974</v>
      </c>
      <c r="U410" s="651">
        <v>193663</v>
      </c>
    </row>
    <row r="411" spans="1:21" x14ac:dyDescent="0.25">
      <c r="A411" s="646">
        <v>94211</v>
      </c>
      <c r="B411" s="647" t="s">
        <v>3023</v>
      </c>
      <c r="C411" s="648">
        <v>1.2400000000000001E-4</v>
      </c>
      <c r="D411" s="648">
        <v>1.217E-4</v>
      </c>
      <c r="E411" s="649">
        <v>49845.440000000002</v>
      </c>
      <c r="F411" s="649">
        <v>54618</v>
      </c>
      <c r="G411" s="649">
        <v>263170</v>
      </c>
      <c r="H411" s="649"/>
      <c r="I411" s="650">
        <v>4944.5</v>
      </c>
      <c r="J411" s="650">
        <v>230620</v>
      </c>
      <c r="K411" s="650">
        <v>18025</v>
      </c>
      <c r="L411" s="649">
        <v>334</v>
      </c>
      <c r="M411" s="649"/>
      <c r="N411" s="650">
        <v>9222</v>
      </c>
      <c r="O411" s="650">
        <v>85121</v>
      </c>
      <c r="P411" s="650">
        <v>0</v>
      </c>
      <c r="Q411" s="649">
        <v>30868</v>
      </c>
      <c r="R411" s="649"/>
      <c r="S411" s="650">
        <v>70341</v>
      </c>
      <c r="T411" s="651">
        <v>-13456</v>
      </c>
      <c r="U411" s="651">
        <v>56885</v>
      </c>
    </row>
    <row r="412" spans="1:21" x14ac:dyDescent="0.25">
      <c r="A412" s="646">
        <v>94221</v>
      </c>
      <c r="B412" s="647" t="s">
        <v>3024</v>
      </c>
      <c r="C412" s="648">
        <v>1.0705999999999999E-3</v>
      </c>
      <c r="D412" s="648">
        <v>1.1294E-3</v>
      </c>
      <c r="E412" s="649">
        <v>386218.22</v>
      </c>
      <c r="F412" s="649">
        <v>506868</v>
      </c>
      <c r="G412" s="649">
        <v>2272172</v>
      </c>
      <c r="H412" s="649"/>
      <c r="I412" s="650">
        <v>42690</v>
      </c>
      <c r="J412" s="650">
        <v>1991147</v>
      </c>
      <c r="K412" s="650">
        <v>155623</v>
      </c>
      <c r="L412" s="649">
        <v>98739</v>
      </c>
      <c r="M412" s="649"/>
      <c r="N412" s="650">
        <v>79619</v>
      </c>
      <c r="O412" s="650">
        <v>734922</v>
      </c>
      <c r="P412" s="650">
        <v>0</v>
      </c>
      <c r="Q412" s="649">
        <v>138383</v>
      </c>
      <c r="R412" s="649"/>
      <c r="S412" s="650">
        <v>607318</v>
      </c>
      <c r="T412" s="651">
        <v>-16318</v>
      </c>
      <c r="U412" s="651">
        <v>591000</v>
      </c>
    </row>
    <row r="413" spans="1:21" x14ac:dyDescent="0.25">
      <c r="A413" s="646">
        <v>94231</v>
      </c>
      <c r="B413" s="647" t="s">
        <v>3025</v>
      </c>
      <c r="C413" s="648">
        <v>2.1269999999999999E-4</v>
      </c>
      <c r="D413" s="648">
        <v>1.9469999999999999E-4</v>
      </c>
      <c r="E413" s="649">
        <v>77695.47</v>
      </c>
      <c r="F413" s="649">
        <v>87380</v>
      </c>
      <c r="G413" s="649">
        <v>451421</v>
      </c>
      <c r="H413" s="649"/>
      <c r="I413" s="650">
        <v>8481</v>
      </c>
      <c r="J413" s="650">
        <v>395588</v>
      </c>
      <c r="K413" s="650">
        <v>30918</v>
      </c>
      <c r="L413" s="649">
        <v>1986</v>
      </c>
      <c r="M413" s="649"/>
      <c r="N413" s="650">
        <v>15818</v>
      </c>
      <c r="O413" s="650">
        <v>146010</v>
      </c>
      <c r="P413" s="650">
        <v>0</v>
      </c>
      <c r="Q413" s="649">
        <v>11747</v>
      </c>
      <c r="R413" s="649"/>
      <c r="S413" s="650">
        <v>120658</v>
      </c>
      <c r="T413" s="651">
        <v>-4519</v>
      </c>
      <c r="U413" s="651">
        <v>116139</v>
      </c>
    </row>
    <row r="414" spans="1:21" x14ac:dyDescent="0.25">
      <c r="A414" s="646">
        <v>94241</v>
      </c>
      <c r="B414" s="647" t="s">
        <v>3026</v>
      </c>
      <c r="C414" s="648">
        <v>8.4099999999999998E-5</v>
      </c>
      <c r="D414" s="648">
        <v>8.4800000000000001E-5</v>
      </c>
      <c r="E414" s="649">
        <v>37415.33</v>
      </c>
      <c r="F414" s="649">
        <v>38058</v>
      </c>
      <c r="G414" s="649">
        <v>178488</v>
      </c>
      <c r="H414" s="649"/>
      <c r="I414" s="650">
        <v>3353</v>
      </c>
      <c r="J414" s="650">
        <v>156413</v>
      </c>
      <c r="K414" s="650">
        <v>12225</v>
      </c>
      <c r="L414" s="649">
        <v>3164</v>
      </c>
      <c r="M414" s="649"/>
      <c r="N414" s="650">
        <v>6254</v>
      </c>
      <c r="O414" s="650">
        <v>57731</v>
      </c>
      <c r="P414" s="650">
        <v>0</v>
      </c>
      <c r="Q414" s="649">
        <v>1327</v>
      </c>
      <c r="R414" s="649"/>
      <c r="S414" s="650">
        <v>47707</v>
      </c>
      <c r="T414" s="651">
        <v>664</v>
      </c>
      <c r="U414" s="651">
        <v>48372</v>
      </c>
    </row>
    <row r="415" spans="1:21" x14ac:dyDescent="0.25">
      <c r="A415" s="646">
        <v>94251</v>
      </c>
      <c r="B415" s="647" t="s">
        <v>3027</v>
      </c>
      <c r="C415" s="648">
        <v>1.4E-5</v>
      </c>
      <c r="D415" s="648">
        <v>2.37E-5</v>
      </c>
      <c r="E415" s="649">
        <v>7105.57</v>
      </c>
      <c r="F415" s="649">
        <v>10636</v>
      </c>
      <c r="G415" s="649">
        <v>29712.69</v>
      </c>
      <c r="H415" s="649"/>
      <c r="I415" s="650">
        <v>558.25</v>
      </c>
      <c r="J415" s="650">
        <v>26038</v>
      </c>
      <c r="K415" s="650">
        <v>2035</v>
      </c>
      <c r="L415" s="649">
        <v>0</v>
      </c>
      <c r="M415" s="649"/>
      <c r="N415" s="650">
        <v>1041</v>
      </c>
      <c r="O415" s="650">
        <v>9610</v>
      </c>
      <c r="P415" s="650">
        <v>0</v>
      </c>
      <c r="Q415" s="649">
        <v>9627</v>
      </c>
      <c r="R415" s="649"/>
      <c r="S415" s="650">
        <v>7942</v>
      </c>
      <c r="T415" s="651">
        <v>-3119</v>
      </c>
      <c r="U415" s="651">
        <v>4823</v>
      </c>
    </row>
    <row r="416" spans="1:21" x14ac:dyDescent="0.25">
      <c r="A416" s="646">
        <v>94261</v>
      </c>
      <c r="B416" s="647" t="s">
        <v>3028</v>
      </c>
      <c r="C416" s="648">
        <v>2.9499999999999999E-5</v>
      </c>
      <c r="D416" s="648">
        <v>1.66E-5</v>
      </c>
      <c r="E416" s="649">
        <v>13527</v>
      </c>
      <c r="F416" s="649">
        <v>7450</v>
      </c>
      <c r="G416" s="649">
        <v>62609</v>
      </c>
      <c r="H416" s="649"/>
      <c r="I416" s="650">
        <v>1176.3125</v>
      </c>
      <c r="J416" s="650">
        <v>54865</v>
      </c>
      <c r="K416" s="650">
        <v>4288</v>
      </c>
      <c r="L416" s="649">
        <v>12167</v>
      </c>
      <c r="M416" s="649"/>
      <c r="N416" s="650">
        <v>2194</v>
      </c>
      <c r="O416" s="650">
        <v>20251</v>
      </c>
      <c r="P416" s="650">
        <v>0</v>
      </c>
      <c r="Q416" s="649">
        <v>0</v>
      </c>
      <c r="R416" s="649"/>
      <c r="S416" s="650">
        <v>16734</v>
      </c>
      <c r="T416" s="651">
        <v>3736</v>
      </c>
      <c r="U416" s="651">
        <v>20471</v>
      </c>
    </row>
    <row r="417" spans="1:21" x14ac:dyDescent="0.25">
      <c r="A417" s="646">
        <v>94301</v>
      </c>
      <c r="B417" s="647" t="s">
        <v>3029</v>
      </c>
      <c r="C417" s="648">
        <v>6.0746999999999997E-3</v>
      </c>
      <c r="D417" s="648">
        <v>6.0625999999999996E-3</v>
      </c>
      <c r="E417" s="649">
        <v>2375298</v>
      </c>
      <c r="F417" s="649">
        <v>2720859</v>
      </c>
      <c r="G417" s="649">
        <v>12892548</v>
      </c>
      <c r="H417" s="649"/>
      <c r="I417" s="650">
        <v>242229</v>
      </c>
      <c r="J417" s="650">
        <v>11297982</v>
      </c>
      <c r="K417" s="650">
        <v>883024</v>
      </c>
      <c r="L417" s="649">
        <v>18885</v>
      </c>
      <c r="M417" s="649"/>
      <c r="N417" s="650">
        <v>451769</v>
      </c>
      <c r="O417" s="650">
        <v>4170026</v>
      </c>
      <c r="P417" s="650">
        <v>0</v>
      </c>
      <c r="Q417" s="649">
        <v>169326</v>
      </c>
      <c r="R417" s="649"/>
      <c r="S417" s="650">
        <v>3445989</v>
      </c>
      <c r="T417" s="651">
        <v>-41856</v>
      </c>
      <c r="U417" s="651">
        <v>3404133</v>
      </c>
    </row>
    <row r="418" spans="1:21" x14ac:dyDescent="0.25">
      <c r="A418" s="646">
        <v>94311</v>
      </c>
      <c r="B418" s="647" t="s">
        <v>3030</v>
      </c>
      <c r="C418" s="648">
        <v>7.4399999999999998E-4</v>
      </c>
      <c r="D418" s="648">
        <v>8.4360000000000001E-4</v>
      </c>
      <c r="E418" s="649">
        <v>317608</v>
      </c>
      <c r="F418" s="649">
        <v>378603</v>
      </c>
      <c r="G418" s="649">
        <v>1579017.24</v>
      </c>
      <c r="H418" s="649"/>
      <c r="I418" s="650">
        <v>29667</v>
      </c>
      <c r="J418" s="650">
        <v>1383722</v>
      </c>
      <c r="K418" s="650">
        <v>108149</v>
      </c>
      <c r="L418" s="649">
        <v>5590</v>
      </c>
      <c r="M418" s="649"/>
      <c r="N418" s="650">
        <v>55331</v>
      </c>
      <c r="O418" s="650">
        <v>510725</v>
      </c>
      <c r="P418" s="650">
        <v>0</v>
      </c>
      <c r="Q418" s="649">
        <v>74131</v>
      </c>
      <c r="R418" s="649"/>
      <c r="S418" s="650">
        <v>422048</v>
      </c>
      <c r="T418" s="651">
        <v>-19207</v>
      </c>
      <c r="U418" s="651">
        <v>402841</v>
      </c>
    </row>
    <row r="419" spans="1:21" x14ac:dyDescent="0.25">
      <c r="A419" s="646">
        <v>94313</v>
      </c>
      <c r="B419" s="647" t="s">
        <v>3031</v>
      </c>
      <c r="C419" s="648">
        <v>2.0299999999999999E-5</v>
      </c>
      <c r="D419" s="648">
        <v>1.8099999999999999E-5</v>
      </c>
      <c r="E419" s="649">
        <v>12274.81</v>
      </c>
      <c r="F419" s="649">
        <v>8123</v>
      </c>
      <c r="G419" s="649">
        <v>43083</v>
      </c>
      <c r="H419" s="649"/>
      <c r="I419" s="650">
        <v>809.46249999999998</v>
      </c>
      <c r="J419" s="650">
        <v>37755</v>
      </c>
      <c r="K419" s="650">
        <v>2951</v>
      </c>
      <c r="L419" s="649">
        <v>7808</v>
      </c>
      <c r="M419" s="649"/>
      <c r="N419" s="650">
        <v>1510</v>
      </c>
      <c r="O419" s="650">
        <v>13935</v>
      </c>
      <c r="P419" s="650">
        <v>0</v>
      </c>
      <c r="Q419" s="649">
        <v>0</v>
      </c>
      <c r="R419" s="649"/>
      <c r="S419" s="650">
        <v>11516</v>
      </c>
      <c r="T419" s="651">
        <v>2576</v>
      </c>
      <c r="U419" s="651">
        <v>14092</v>
      </c>
    </row>
    <row r="420" spans="1:21" x14ac:dyDescent="0.25">
      <c r="A420" s="646">
        <v>94317</v>
      </c>
      <c r="B420" s="647" t="s">
        <v>3032</v>
      </c>
      <c r="C420" s="648">
        <v>1.2099999999999999E-5</v>
      </c>
      <c r="D420" s="648">
        <v>1.15E-5</v>
      </c>
      <c r="E420" s="649">
        <v>8376.6</v>
      </c>
      <c r="F420" s="649">
        <v>5161</v>
      </c>
      <c r="G420" s="649">
        <v>25680</v>
      </c>
      <c r="H420" s="649"/>
      <c r="I420" s="650">
        <v>482</v>
      </c>
      <c r="J420" s="650">
        <v>22504</v>
      </c>
      <c r="K420" s="650">
        <v>1759</v>
      </c>
      <c r="L420" s="649">
        <v>6768</v>
      </c>
      <c r="M420" s="649"/>
      <c r="N420" s="650">
        <v>900</v>
      </c>
      <c r="O420" s="650">
        <v>8306</v>
      </c>
      <c r="P420" s="650">
        <v>0</v>
      </c>
      <c r="Q420" s="649">
        <v>0</v>
      </c>
      <c r="R420" s="649"/>
      <c r="S420" s="650">
        <v>6864</v>
      </c>
      <c r="T420" s="651">
        <v>2325</v>
      </c>
      <c r="U420" s="651">
        <v>9189</v>
      </c>
    </row>
    <row r="421" spans="1:21" x14ac:dyDescent="0.25">
      <c r="A421" s="646">
        <v>94321</v>
      </c>
      <c r="B421" s="647" t="s">
        <v>3033</v>
      </c>
      <c r="C421" s="648">
        <v>2.7070000000000002E-4</v>
      </c>
      <c r="D421" s="648">
        <v>2.7270000000000001E-4</v>
      </c>
      <c r="E421" s="649">
        <v>94893.09</v>
      </c>
      <c r="F421" s="649">
        <v>122386</v>
      </c>
      <c r="G421" s="649">
        <v>574516</v>
      </c>
      <c r="H421" s="649"/>
      <c r="I421" s="650">
        <v>10794</v>
      </c>
      <c r="J421" s="650">
        <v>503459</v>
      </c>
      <c r="K421" s="650">
        <v>39349</v>
      </c>
      <c r="L421" s="649">
        <v>3401</v>
      </c>
      <c r="M421" s="649"/>
      <c r="N421" s="650">
        <v>20132</v>
      </c>
      <c r="O421" s="650">
        <v>185824</v>
      </c>
      <c r="P421" s="650">
        <v>0</v>
      </c>
      <c r="Q421" s="649">
        <v>21015</v>
      </c>
      <c r="R421" s="649"/>
      <c r="S421" s="650">
        <v>153560</v>
      </c>
      <c r="T421" s="651">
        <v>-4393</v>
      </c>
      <c r="U421" s="651">
        <v>149167</v>
      </c>
    </row>
    <row r="422" spans="1:21" x14ac:dyDescent="0.25">
      <c r="A422" s="646">
        <v>94331</v>
      </c>
      <c r="B422" s="647" t="s">
        <v>3034</v>
      </c>
      <c r="C422" s="648">
        <v>1.517E-4</v>
      </c>
      <c r="D422" s="648">
        <v>1.7420000000000001E-4</v>
      </c>
      <c r="E422" s="649">
        <v>69883.19</v>
      </c>
      <c r="F422" s="649">
        <v>78180</v>
      </c>
      <c r="G422" s="649">
        <v>321958</v>
      </c>
      <c r="H422" s="649"/>
      <c r="I422" s="650">
        <v>6049</v>
      </c>
      <c r="J422" s="650">
        <v>282138</v>
      </c>
      <c r="K422" s="650">
        <v>22051</v>
      </c>
      <c r="L422" s="649">
        <v>13796</v>
      </c>
      <c r="M422" s="649"/>
      <c r="N422" s="650">
        <v>11282</v>
      </c>
      <c r="O422" s="650">
        <v>104136</v>
      </c>
      <c r="P422" s="650">
        <v>0</v>
      </c>
      <c r="Q422" s="649">
        <v>6234</v>
      </c>
      <c r="R422" s="649"/>
      <c r="S422" s="650">
        <v>86055</v>
      </c>
      <c r="T422" s="651">
        <v>4466</v>
      </c>
      <c r="U422" s="651">
        <v>90520</v>
      </c>
    </row>
    <row r="423" spans="1:21" x14ac:dyDescent="0.25">
      <c r="A423" s="646">
        <v>94341</v>
      </c>
      <c r="B423" s="647" t="s">
        <v>3035</v>
      </c>
      <c r="C423" s="648">
        <v>8.1000000000000004E-5</v>
      </c>
      <c r="D423" s="648">
        <v>8.8399999999999994E-5</v>
      </c>
      <c r="E423" s="649">
        <v>31929.82</v>
      </c>
      <c r="F423" s="649">
        <v>39673</v>
      </c>
      <c r="G423" s="649">
        <v>171909</v>
      </c>
      <c r="H423" s="649"/>
      <c r="I423" s="650">
        <v>3229.875</v>
      </c>
      <c r="J423" s="650">
        <v>150647</v>
      </c>
      <c r="K423" s="650">
        <v>11774</v>
      </c>
      <c r="L423" s="649">
        <v>513</v>
      </c>
      <c r="M423" s="649"/>
      <c r="N423" s="650">
        <v>6024</v>
      </c>
      <c r="O423" s="650">
        <v>55603</v>
      </c>
      <c r="P423" s="650">
        <v>0</v>
      </c>
      <c r="Q423" s="649">
        <v>8986</v>
      </c>
      <c r="R423" s="649"/>
      <c r="S423" s="650">
        <v>45949</v>
      </c>
      <c r="T423" s="651">
        <v>-3091</v>
      </c>
      <c r="U423" s="651">
        <v>42858</v>
      </c>
    </row>
    <row r="424" spans="1:21" x14ac:dyDescent="0.25">
      <c r="A424" s="646">
        <v>94347</v>
      </c>
      <c r="B424" s="647" t="s">
        <v>3036</v>
      </c>
      <c r="C424" s="648">
        <v>1.2300000000000001E-5</v>
      </c>
      <c r="D424" s="648">
        <v>1.31E-5</v>
      </c>
      <c r="E424" s="649">
        <v>6975</v>
      </c>
      <c r="F424" s="649">
        <v>5879</v>
      </c>
      <c r="G424" s="649">
        <v>26105</v>
      </c>
      <c r="H424" s="649"/>
      <c r="I424" s="650">
        <v>490</v>
      </c>
      <c r="J424" s="650">
        <v>22876</v>
      </c>
      <c r="K424" s="650">
        <v>1788</v>
      </c>
      <c r="L424" s="649">
        <v>3157</v>
      </c>
      <c r="M424" s="649"/>
      <c r="N424" s="650">
        <v>915</v>
      </c>
      <c r="O424" s="650">
        <v>8443</v>
      </c>
      <c r="P424" s="650">
        <v>0</v>
      </c>
      <c r="Q424" s="649">
        <v>0</v>
      </c>
      <c r="R424" s="649"/>
      <c r="S424" s="650">
        <v>6977</v>
      </c>
      <c r="T424" s="651">
        <v>1291</v>
      </c>
      <c r="U424" s="651">
        <v>8268</v>
      </c>
    </row>
    <row r="425" spans="1:21" x14ac:dyDescent="0.25">
      <c r="A425" s="646">
        <v>94351</v>
      </c>
      <c r="B425" s="647" t="s">
        <v>3037</v>
      </c>
      <c r="C425" s="648">
        <v>2.377E-4</v>
      </c>
      <c r="D425" s="648">
        <v>2.3049999999999999E-4</v>
      </c>
      <c r="E425" s="649">
        <v>90845.03</v>
      </c>
      <c r="F425" s="649">
        <v>103447</v>
      </c>
      <c r="G425" s="649">
        <v>504479</v>
      </c>
      <c r="H425" s="649"/>
      <c r="I425" s="650">
        <v>9478</v>
      </c>
      <c r="J425" s="650">
        <v>442084</v>
      </c>
      <c r="K425" s="650">
        <v>34552</v>
      </c>
      <c r="L425" s="649">
        <v>2466</v>
      </c>
      <c r="M425" s="649"/>
      <c r="N425" s="650">
        <v>17678</v>
      </c>
      <c r="O425" s="650">
        <v>163171</v>
      </c>
      <c r="P425" s="650">
        <v>0</v>
      </c>
      <c r="Q425" s="649">
        <v>4917</v>
      </c>
      <c r="R425" s="649"/>
      <c r="S425" s="650">
        <v>134840</v>
      </c>
      <c r="T425" s="651">
        <v>-1210</v>
      </c>
      <c r="U425" s="651">
        <v>133630</v>
      </c>
    </row>
    <row r="426" spans="1:21" x14ac:dyDescent="0.25">
      <c r="A426" s="646">
        <v>94401</v>
      </c>
      <c r="B426" s="647" t="s">
        <v>2556</v>
      </c>
      <c r="C426" s="648">
        <v>3.4548999999999999E-3</v>
      </c>
      <c r="D426" s="648">
        <v>3.3264000000000002E-3</v>
      </c>
      <c r="E426" s="649">
        <v>1346130.7</v>
      </c>
      <c r="F426" s="649">
        <v>1492868</v>
      </c>
      <c r="G426" s="649">
        <v>7332455</v>
      </c>
      <c r="H426" s="649"/>
      <c r="I426" s="650">
        <v>137764</v>
      </c>
      <c r="J426" s="650">
        <v>6425568</v>
      </c>
      <c r="K426" s="650">
        <v>502208</v>
      </c>
      <c r="L426" s="649">
        <v>30696</v>
      </c>
      <c r="M426" s="649"/>
      <c r="N426" s="650">
        <v>256937</v>
      </c>
      <c r="O426" s="650">
        <v>2371644</v>
      </c>
      <c r="P426" s="650">
        <v>0</v>
      </c>
      <c r="Q426" s="649">
        <v>635</v>
      </c>
      <c r="R426" s="649"/>
      <c r="S426" s="650">
        <v>1959858</v>
      </c>
      <c r="T426" s="651">
        <v>9582</v>
      </c>
      <c r="U426" s="651">
        <v>1969439</v>
      </c>
    </row>
    <row r="427" spans="1:21" x14ac:dyDescent="0.25">
      <c r="A427" s="646">
        <v>94402</v>
      </c>
      <c r="B427" s="647" t="s">
        <v>3038</v>
      </c>
      <c r="C427" s="648">
        <v>0</v>
      </c>
      <c r="D427" s="648">
        <v>0</v>
      </c>
      <c r="E427" s="649">
        <v>0</v>
      </c>
      <c r="F427" s="649">
        <v>0</v>
      </c>
      <c r="G427" s="649">
        <v>0</v>
      </c>
      <c r="H427" s="649"/>
      <c r="I427" s="650">
        <v>0</v>
      </c>
      <c r="J427" s="650">
        <v>0</v>
      </c>
      <c r="K427" s="650">
        <v>0</v>
      </c>
      <c r="L427" s="649">
        <v>0</v>
      </c>
      <c r="M427" s="649"/>
      <c r="N427" s="650">
        <v>0</v>
      </c>
      <c r="O427" s="650">
        <v>0</v>
      </c>
      <c r="P427" s="650">
        <v>0</v>
      </c>
      <c r="Q427" s="649">
        <v>2781798</v>
      </c>
      <c r="R427" s="649"/>
      <c r="S427" s="650">
        <v>0</v>
      </c>
      <c r="T427" s="651">
        <v>-1007431</v>
      </c>
      <c r="U427" s="651">
        <v>-1007431</v>
      </c>
    </row>
    <row r="428" spans="1:21" x14ac:dyDescent="0.25">
      <c r="A428" s="646">
        <v>94408</v>
      </c>
      <c r="B428" s="647" t="s">
        <v>3039</v>
      </c>
      <c r="C428" s="648">
        <v>4.0099999999999999E-5</v>
      </c>
      <c r="D428" s="648">
        <v>1.9000000000000001E-5</v>
      </c>
      <c r="E428" s="649">
        <v>13760</v>
      </c>
      <c r="F428" s="649">
        <v>8527</v>
      </c>
      <c r="G428" s="649">
        <v>85106</v>
      </c>
      <c r="H428" s="649"/>
      <c r="I428" s="650">
        <v>1599</v>
      </c>
      <c r="J428" s="650">
        <v>74580</v>
      </c>
      <c r="K428" s="650">
        <v>5829</v>
      </c>
      <c r="L428" s="649">
        <v>10369</v>
      </c>
      <c r="M428" s="649"/>
      <c r="N428" s="650">
        <v>2982</v>
      </c>
      <c r="O428" s="650">
        <v>27527</v>
      </c>
      <c r="P428" s="650">
        <v>0</v>
      </c>
      <c r="Q428" s="649">
        <v>3687</v>
      </c>
      <c r="R428" s="649"/>
      <c r="S428" s="650">
        <v>22747</v>
      </c>
      <c r="T428" s="651">
        <v>939</v>
      </c>
      <c r="U428" s="651">
        <v>23687</v>
      </c>
    </row>
    <row r="429" spans="1:21" x14ac:dyDescent="0.25">
      <c r="A429" s="646">
        <v>94411</v>
      </c>
      <c r="B429" s="647" t="s">
        <v>3040</v>
      </c>
      <c r="C429" s="648">
        <v>1.1592E-3</v>
      </c>
      <c r="D429" s="648">
        <v>1.1820999999999999E-3</v>
      </c>
      <c r="E429" s="649">
        <v>485425</v>
      </c>
      <c r="F429" s="649">
        <v>530519</v>
      </c>
      <c r="G429" s="649">
        <v>2460211</v>
      </c>
      <c r="H429" s="649"/>
      <c r="I429" s="650">
        <v>46223.1</v>
      </c>
      <c r="J429" s="650">
        <v>2155929</v>
      </c>
      <c r="K429" s="650">
        <v>168502</v>
      </c>
      <c r="L429" s="649">
        <v>19239</v>
      </c>
      <c r="M429" s="649"/>
      <c r="N429" s="650">
        <v>86209</v>
      </c>
      <c r="O429" s="650">
        <v>795742</v>
      </c>
      <c r="P429" s="650">
        <v>0</v>
      </c>
      <c r="Q429" s="649">
        <v>5607</v>
      </c>
      <c r="R429" s="649"/>
      <c r="S429" s="650">
        <v>657578</v>
      </c>
      <c r="T429" s="651">
        <v>5340</v>
      </c>
      <c r="U429" s="651">
        <v>662918</v>
      </c>
    </row>
    <row r="430" spans="1:21" x14ac:dyDescent="0.25">
      <c r="A430" s="646">
        <v>94412</v>
      </c>
      <c r="B430" s="647" t="s">
        <v>3041</v>
      </c>
      <c r="C430" s="648">
        <v>1.63E-5</v>
      </c>
      <c r="D430" s="648">
        <v>1.7200000000000001E-5</v>
      </c>
      <c r="E430" s="649">
        <v>13713</v>
      </c>
      <c r="F430" s="649">
        <v>7719</v>
      </c>
      <c r="G430" s="649">
        <v>34594</v>
      </c>
      <c r="H430" s="649"/>
      <c r="I430" s="650">
        <v>649.96249999999998</v>
      </c>
      <c r="J430" s="650">
        <v>30315</v>
      </c>
      <c r="K430" s="650">
        <v>2369</v>
      </c>
      <c r="L430" s="649">
        <v>13305</v>
      </c>
      <c r="M430" s="649"/>
      <c r="N430" s="650">
        <v>1212</v>
      </c>
      <c r="O430" s="650">
        <v>11189</v>
      </c>
      <c r="P430" s="650">
        <v>0</v>
      </c>
      <c r="Q430" s="649">
        <v>0</v>
      </c>
      <c r="R430" s="649"/>
      <c r="S430" s="650">
        <v>9246</v>
      </c>
      <c r="T430" s="651">
        <v>4869</v>
      </c>
      <c r="U430" s="651">
        <v>14116</v>
      </c>
    </row>
    <row r="431" spans="1:21" x14ac:dyDescent="0.25">
      <c r="A431" s="646">
        <v>94421</v>
      </c>
      <c r="B431" s="647" t="s">
        <v>3042</v>
      </c>
      <c r="C431" s="648">
        <v>1.6899999999999999E-4</v>
      </c>
      <c r="D431" s="648">
        <v>1.7149999999999999E-4</v>
      </c>
      <c r="E431" s="649">
        <v>68013</v>
      </c>
      <c r="F431" s="649">
        <v>76968</v>
      </c>
      <c r="G431" s="649">
        <v>358675</v>
      </c>
      <c r="H431" s="649"/>
      <c r="I431" s="650">
        <v>6739</v>
      </c>
      <c r="J431" s="650">
        <v>314313</v>
      </c>
      <c r="K431" s="650">
        <v>24566</v>
      </c>
      <c r="L431" s="649">
        <v>3528</v>
      </c>
      <c r="M431" s="649"/>
      <c r="N431" s="650">
        <v>12568</v>
      </c>
      <c r="O431" s="650">
        <v>116011</v>
      </c>
      <c r="P431" s="650">
        <v>0</v>
      </c>
      <c r="Q431" s="649">
        <v>12354</v>
      </c>
      <c r="R431" s="649"/>
      <c r="S431" s="650">
        <v>95868</v>
      </c>
      <c r="T431" s="651">
        <v>-4340</v>
      </c>
      <c r="U431" s="651">
        <v>91529</v>
      </c>
    </row>
    <row r="432" spans="1:21" x14ac:dyDescent="0.25">
      <c r="A432" s="646">
        <v>94427</v>
      </c>
      <c r="B432" s="647" t="s">
        <v>3043</v>
      </c>
      <c r="C432" s="648">
        <v>1.29E-5</v>
      </c>
      <c r="D432" s="648">
        <v>1.56E-5</v>
      </c>
      <c r="E432" s="649">
        <v>6501.51</v>
      </c>
      <c r="F432" s="649">
        <v>7001</v>
      </c>
      <c r="G432" s="649">
        <v>27378</v>
      </c>
      <c r="H432" s="649"/>
      <c r="I432" s="650">
        <v>514</v>
      </c>
      <c r="J432" s="650">
        <v>23992</v>
      </c>
      <c r="K432" s="650">
        <v>1875</v>
      </c>
      <c r="L432" s="649">
        <v>785</v>
      </c>
      <c r="M432" s="649"/>
      <c r="N432" s="650">
        <v>959</v>
      </c>
      <c r="O432" s="650">
        <v>8855</v>
      </c>
      <c r="P432" s="650">
        <v>0</v>
      </c>
      <c r="Q432" s="649">
        <v>709</v>
      </c>
      <c r="R432" s="649"/>
      <c r="S432" s="650">
        <v>7318</v>
      </c>
      <c r="T432" s="651">
        <v>47</v>
      </c>
      <c r="U432" s="651">
        <v>7365</v>
      </c>
    </row>
    <row r="433" spans="1:21" x14ac:dyDescent="0.25">
      <c r="A433" s="646">
        <v>94428</v>
      </c>
      <c r="B433" s="647" t="s">
        <v>3044</v>
      </c>
      <c r="C433" s="648">
        <v>7.4400000000000006E-5</v>
      </c>
      <c r="D433" s="648">
        <v>7.7799999999999994E-5</v>
      </c>
      <c r="E433" s="649">
        <v>33919</v>
      </c>
      <c r="F433" s="649">
        <v>34916</v>
      </c>
      <c r="G433" s="649">
        <v>157902</v>
      </c>
      <c r="H433" s="649"/>
      <c r="I433" s="650">
        <v>2967</v>
      </c>
      <c r="J433" s="650">
        <v>138372</v>
      </c>
      <c r="K433" s="650">
        <v>10815</v>
      </c>
      <c r="L433" s="649">
        <v>3518</v>
      </c>
      <c r="M433" s="649"/>
      <c r="N433" s="650">
        <v>5533</v>
      </c>
      <c r="O433" s="650">
        <v>51072</v>
      </c>
      <c r="P433" s="650">
        <v>0</v>
      </c>
      <c r="Q433" s="649">
        <v>0</v>
      </c>
      <c r="R433" s="649"/>
      <c r="S433" s="650">
        <v>42205</v>
      </c>
      <c r="T433" s="651">
        <v>1203</v>
      </c>
      <c r="U433" s="651">
        <v>43408</v>
      </c>
    </row>
    <row r="434" spans="1:21" x14ac:dyDescent="0.25">
      <c r="A434" s="646">
        <v>94431</v>
      </c>
      <c r="B434" s="647" t="s">
        <v>3045</v>
      </c>
      <c r="C434" s="648">
        <v>3.7589999999999998E-4</v>
      </c>
      <c r="D434" s="648">
        <v>3.6390000000000001E-4</v>
      </c>
      <c r="E434" s="649">
        <v>261746</v>
      </c>
      <c r="F434" s="649">
        <v>163316</v>
      </c>
      <c r="G434" s="649">
        <v>797786</v>
      </c>
      <c r="H434" s="649"/>
      <c r="I434" s="650">
        <v>14989</v>
      </c>
      <c r="J434" s="650">
        <v>699115</v>
      </c>
      <c r="K434" s="650">
        <v>54641</v>
      </c>
      <c r="L434" s="649">
        <v>140656</v>
      </c>
      <c r="M434" s="649"/>
      <c r="N434" s="650">
        <v>27955</v>
      </c>
      <c r="O434" s="650">
        <v>258040</v>
      </c>
      <c r="P434" s="650">
        <v>0</v>
      </c>
      <c r="Q434" s="649">
        <v>1228</v>
      </c>
      <c r="R434" s="649"/>
      <c r="S434" s="650">
        <v>213236</v>
      </c>
      <c r="T434" s="651">
        <v>40508</v>
      </c>
      <c r="U434" s="651">
        <v>253745</v>
      </c>
    </row>
    <row r="435" spans="1:21" x14ac:dyDescent="0.25">
      <c r="A435" s="646">
        <v>94437</v>
      </c>
      <c r="B435" s="647" t="s">
        <v>3046</v>
      </c>
      <c r="C435" s="648">
        <v>1.34E-5</v>
      </c>
      <c r="D435" s="648">
        <v>1.1600000000000001E-5</v>
      </c>
      <c r="E435" s="649">
        <v>11266</v>
      </c>
      <c r="F435" s="649">
        <v>5206</v>
      </c>
      <c r="G435" s="649">
        <v>28439</v>
      </c>
      <c r="H435" s="649"/>
      <c r="I435" s="650">
        <v>534</v>
      </c>
      <c r="J435" s="650">
        <v>24922</v>
      </c>
      <c r="K435" s="650">
        <v>1948</v>
      </c>
      <c r="L435" s="649">
        <v>12092</v>
      </c>
      <c r="M435" s="649"/>
      <c r="N435" s="650">
        <v>997</v>
      </c>
      <c r="O435" s="650">
        <v>9199</v>
      </c>
      <c r="P435" s="650">
        <v>0</v>
      </c>
      <c r="Q435" s="649">
        <v>0</v>
      </c>
      <c r="R435" s="649"/>
      <c r="S435" s="650">
        <v>7601</v>
      </c>
      <c r="T435" s="651">
        <v>4157</v>
      </c>
      <c r="U435" s="651">
        <v>11759</v>
      </c>
    </row>
    <row r="436" spans="1:21" x14ac:dyDescent="0.25">
      <c r="A436" s="646">
        <v>94501</v>
      </c>
      <c r="B436" s="647" t="s">
        <v>3047</v>
      </c>
      <c r="C436" s="648">
        <v>5.8474E-3</v>
      </c>
      <c r="D436" s="648">
        <v>5.5922999999999997E-3</v>
      </c>
      <c r="E436" s="649">
        <v>2261129.31</v>
      </c>
      <c r="F436" s="649">
        <v>2509791</v>
      </c>
      <c r="G436" s="649">
        <v>12410142</v>
      </c>
      <c r="H436" s="649"/>
      <c r="I436" s="650">
        <v>233165</v>
      </c>
      <c r="J436" s="650">
        <v>10875240</v>
      </c>
      <c r="K436" s="650">
        <v>849984</v>
      </c>
      <c r="L436" s="649">
        <v>248127</v>
      </c>
      <c r="M436" s="649"/>
      <c r="N436" s="650">
        <v>434865</v>
      </c>
      <c r="O436" s="650">
        <v>4013995</v>
      </c>
      <c r="P436" s="650">
        <v>0</v>
      </c>
      <c r="Q436" s="649">
        <v>0</v>
      </c>
      <c r="R436" s="649"/>
      <c r="S436" s="650">
        <v>3317049</v>
      </c>
      <c r="T436" s="651">
        <v>102688</v>
      </c>
      <c r="U436" s="651">
        <v>3419736</v>
      </c>
    </row>
    <row r="437" spans="1:21" x14ac:dyDescent="0.25">
      <c r="A437" s="646">
        <v>94511</v>
      </c>
      <c r="B437" s="647" t="s">
        <v>3048</v>
      </c>
      <c r="C437" s="648">
        <v>1.7432000000000001E-3</v>
      </c>
      <c r="D437" s="648">
        <v>1.7692999999999999E-3</v>
      </c>
      <c r="E437" s="649">
        <v>680925.99</v>
      </c>
      <c r="F437" s="649">
        <v>794051</v>
      </c>
      <c r="G437" s="649">
        <v>3699654</v>
      </c>
      <c r="H437" s="649"/>
      <c r="I437" s="650">
        <v>69510</v>
      </c>
      <c r="J437" s="650">
        <v>3242077</v>
      </c>
      <c r="K437" s="650">
        <v>253393</v>
      </c>
      <c r="L437" s="649">
        <v>224818</v>
      </c>
      <c r="M437" s="649"/>
      <c r="N437" s="650">
        <v>129640</v>
      </c>
      <c r="O437" s="650">
        <v>1196634</v>
      </c>
      <c r="P437" s="650">
        <v>0</v>
      </c>
      <c r="Q437" s="649">
        <v>42694</v>
      </c>
      <c r="R437" s="649"/>
      <c r="S437" s="650">
        <v>988863</v>
      </c>
      <c r="T437" s="651">
        <v>69976</v>
      </c>
      <c r="U437" s="651">
        <v>1058839</v>
      </c>
    </row>
    <row r="438" spans="1:21" x14ac:dyDescent="0.25">
      <c r="A438" s="646">
        <v>94512</v>
      </c>
      <c r="B438" s="647" t="s">
        <v>3049</v>
      </c>
      <c r="C438" s="648">
        <v>0</v>
      </c>
      <c r="D438" s="648">
        <v>0</v>
      </c>
      <c r="E438" s="649">
        <v>0</v>
      </c>
      <c r="F438" s="649">
        <v>0</v>
      </c>
      <c r="G438" s="649">
        <v>0</v>
      </c>
      <c r="H438" s="649"/>
      <c r="I438" s="650">
        <v>0</v>
      </c>
      <c r="J438" s="650">
        <v>0</v>
      </c>
      <c r="K438" s="650">
        <v>0</v>
      </c>
      <c r="L438" s="649">
        <v>0</v>
      </c>
      <c r="M438" s="649"/>
      <c r="N438" s="650">
        <v>0</v>
      </c>
      <c r="O438" s="650">
        <v>0</v>
      </c>
      <c r="P438" s="650">
        <v>0</v>
      </c>
      <c r="Q438" s="649">
        <v>217292</v>
      </c>
      <c r="R438" s="649"/>
      <c r="S438" s="650">
        <v>0</v>
      </c>
      <c r="T438" s="651">
        <v>-78713</v>
      </c>
      <c r="U438" s="651">
        <v>-78713</v>
      </c>
    </row>
    <row r="439" spans="1:21" x14ac:dyDescent="0.25">
      <c r="A439" s="646">
        <v>94517</v>
      </c>
      <c r="B439" s="647" t="s">
        <v>3050</v>
      </c>
      <c r="C439" s="648">
        <v>4.9599999999999999E-5</v>
      </c>
      <c r="D439" s="648">
        <v>4.9100000000000001E-5</v>
      </c>
      <c r="E439" s="649">
        <v>28272.959999999999</v>
      </c>
      <c r="F439" s="649">
        <v>22036</v>
      </c>
      <c r="G439" s="649">
        <v>105268</v>
      </c>
      <c r="H439" s="649"/>
      <c r="I439" s="650">
        <v>1977.8</v>
      </c>
      <c r="J439" s="650">
        <v>92248</v>
      </c>
      <c r="K439" s="650">
        <v>7210</v>
      </c>
      <c r="L439" s="649">
        <v>19501</v>
      </c>
      <c r="M439" s="649"/>
      <c r="N439" s="650">
        <v>3689</v>
      </c>
      <c r="O439" s="650">
        <v>34048</v>
      </c>
      <c r="P439" s="650">
        <v>0</v>
      </c>
      <c r="Q439" s="649">
        <v>0</v>
      </c>
      <c r="R439" s="649"/>
      <c r="S439" s="650">
        <v>28137</v>
      </c>
      <c r="T439" s="651">
        <v>7376</v>
      </c>
      <c r="U439" s="651">
        <v>35513</v>
      </c>
    </row>
    <row r="440" spans="1:21" x14ac:dyDescent="0.25">
      <c r="A440" s="646">
        <v>94521</v>
      </c>
      <c r="B440" s="647" t="s">
        <v>3051</v>
      </c>
      <c r="C440" s="648">
        <v>1.2410000000000001E-4</v>
      </c>
      <c r="D440" s="648">
        <v>1.6320000000000001E-4</v>
      </c>
      <c r="E440" s="649">
        <v>54157.59</v>
      </c>
      <c r="F440" s="649">
        <v>73243</v>
      </c>
      <c r="G440" s="649">
        <v>263382</v>
      </c>
      <c r="H440" s="649"/>
      <c r="I440" s="650">
        <v>4948</v>
      </c>
      <c r="J440" s="650">
        <v>230806</v>
      </c>
      <c r="K440" s="650">
        <v>18039</v>
      </c>
      <c r="L440" s="649">
        <v>5851</v>
      </c>
      <c r="M440" s="649"/>
      <c r="N440" s="650">
        <v>9229</v>
      </c>
      <c r="O440" s="650">
        <v>85189</v>
      </c>
      <c r="P440" s="650">
        <v>0</v>
      </c>
      <c r="Q440" s="649">
        <v>18701</v>
      </c>
      <c r="R440" s="649"/>
      <c r="S440" s="650">
        <v>70398</v>
      </c>
      <c r="T440" s="651">
        <v>-2526</v>
      </c>
      <c r="U440" s="651">
        <v>67872</v>
      </c>
    </row>
    <row r="441" spans="1:21" x14ac:dyDescent="0.25">
      <c r="A441" s="646">
        <v>94527</v>
      </c>
      <c r="B441" s="647" t="s">
        <v>3052</v>
      </c>
      <c r="C441" s="648">
        <v>6.3999999999999997E-6</v>
      </c>
      <c r="D441" s="648">
        <v>9.0000000000000002E-6</v>
      </c>
      <c r="E441" s="649">
        <v>0</v>
      </c>
      <c r="F441" s="649">
        <v>4039</v>
      </c>
      <c r="G441" s="649">
        <v>13583</v>
      </c>
      <c r="H441" s="649"/>
      <c r="I441" s="650">
        <v>255.2</v>
      </c>
      <c r="J441" s="650">
        <v>11903</v>
      </c>
      <c r="K441" s="650">
        <v>930</v>
      </c>
      <c r="L441" s="649">
        <v>477</v>
      </c>
      <c r="M441" s="649"/>
      <c r="N441" s="650">
        <v>476</v>
      </c>
      <c r="O441" s="650">
        <v>4393</v>
      </c>
      <c r="P441" s="650">
        <v>0</v>
      </c>
      <c r="Q441" s="649">
        <v>3557</v>
      </c>
      <c r="R441" s="649"/>
      <c r="S441" s="650">
        <v>3631</v>
      </c>
      <c r="T441" s="651">
        <v>-766</v>
      </c>
      <c r="U441" s="651">
        <v>2864</v>
      </c>
    </row>
    <row r="442" spans="1:21" x14ac:dyDescent="0.25">
      <c r="A442" s="646">
        <v>94531</v>
      </c>
      <c r="B442" s="647" t="s">
        <v>3053</v>
      </c>
      <c r="C442" s="648">
        <v>1.5500000000000001E-5</v>
      </c>
      <c r="D442" s="648">
        <v>1.66E-5</v>
      </c>
      <c r="E442" s="649">
        <v>9989</v>
      </c>
      <c r="F442" s="649">
        <v>7450</v>
      </c>
      <c r="G442" s="649">
        <v>32896</v>
      </c>
      <c r="H442" s="649"/>
      <c r="I442" s="650">
        <v>618.0625</v>
      </c>
      <c r="J442" s="650">
        <v>28828</v>
      </c>
      <c r="K442" s="650">
        <v>2253</v>
      </c>
      <c r="L442" s="649">
        <v>5256</v>
      </c>
      <c r="M442" s="649"/>
      <c r="N442" s="650">
        <v>1153</v>
      </c>
      <c r="O442" s="650">
        <v>10640</v>
      </c>
      <c r="P442" s="650">
        <v>0</v>
      </c>
      <c r="Q442" s="649">
        <v>0</v>
      </c>
      <c r="R442" s="649"/>
      <c r="S442" s="650">
        <v>8793</v>
      </c>
      <c r="T442" s="651">
        <v>1863</v>
      </c>
      <c r="U442" s="651">
        <v>10656</v>
      </c>
    </row>
    <row r="443" spans="1:21" x14ac:dyDescent="0.25">
      <c r="A443" s="646">
        <v>94532</v>
      </c>
      <c r="B443" s="647" t="s">
        <v>3054</v>
      </c>
      <c r="C443" s="648">
        <v>9.4099999999999997E-5</v>
      </c>
      <c r="D443" s="648">
        <v>1.155E-4</v>
      </c>
      <c r="E443" s="649">
        <v>41786.75</v>
      </c>
      <c r="F443" s="649">
        <v>51836</v>
      </c>
      <c r="G443" s="649">
        <v>199712</v>
      </c>
      <c r="H443" s="649"/>
      <c r="I443" s="650">
        <v>3752</v>
      </c>
      <c r="J443" s="650">
        <v>175011</v>
      </c>
      <c r="K443" s="650">
        <v>13678</v>
      </c>
      <c r="L443" s="649">
        <v>0</v>
      </c>
      <c r="M443" s="649"/>
      <c r="N443" s="650">
        <v>6998</v>
      </c>
      <c r="O443" s="650">
        <v>64596</v>
      </c>
      <c r="P443" s="650">
        <v>0</v>
      </c>
      <c r="Q443" s="649">
        <v>15319</v>
      </c>
      <c r="R443" s="649"/>
      <c r="S443" s="650">
        <v>53380</v>
      </c>
      <c r="T443" s="651">
        <v>-5410</v>
      </c>
      <c r="U443" s="651">
        <v>47970</v>
      </c>
    </row>
    <row r="444" spans="1:21" x14ac:dyDescent="0.25">
      <c r="A444" s="646">
        <v>94541</v>
      </c>
      <c r="B444" s="647" t="s">
        <v>3055</v>
      </c>
      <c r="C444" s="648">
        <v>2.9839999999999999E-4</v>
      </c>
      <c r="D444" s="648">
        <v>2.8739999999999999E-4</v>
      </c>
      <c r="E444" s="649">
        <v>104979.31</v>
      </c>
      <c r="F444" s="649">
        <v>128983</v>
      </c>
      <c r="G444" s="649">
        <v>633305</v>
      </c>
      <c r="H444" s="649"/>
      <c r="I444" s="650">
        <v>11899</v>
      </c>
      <c r="J444" s="650">
        <v>554977</v>
      </c>
      <c r="K444" s="650">
        <v>43376</v>
      </c>
      <c r="L444" s="649">
        <v>0</v>
      </c>
      <c r="M444" s="649"/>
      <c r="N444" s="650">
        <v>22192</v>
      </c>
      <c r="O444" s="650">
        <v>204839</v>
      </c>
      <c r="P444" s="650">
        <v>0</v>
      </c>
      <c r="Q444" s="649">
        <v>23573</v>
      </c>
      <c r="R444" s="649"/>
      <c r="S444" s="650">
        <v>169273</v>
      </c>
      <c r="T444" s="651">
        <v>-7692</v>
      </c>
      <c r="U444" s="651">
        <v>161581</v>
      </c>
    </row>
    <row r="445" spans="1:21" x14ac:dyDescent="0.25">
      <c r="A445" s="646">
        <v>94547</v>
      </c>
      <c r="B445" s="647" t="s">
        <v>3056</v>
      </c>
      <c r="C445" s="648">
        <v>1.24E-5</v>
      </c>
      <c r="D445" s="648">
        <v>1.3499999999999999E-5</v>
      </c>
      <c r="E445" s="649">
        <v>7369</v>
      </c>
      <c r="F445" s="649">
        <v>6059</v>
      </c>
      <c r="G445" s="649">
        <v>26317</v>
      </c>
      <c r="H445" s="649"/>
      <c r="I445" s="650">
        <v>494.45</v>
      </c>
      <c r="J445" s="650">
        <v>23062</v>
      </c>
      <c r="K445" s="650">
        <v>1802</v>
      </c>
      <c r="L445" s="649">
        <v>2133</v>
      </c>
      <c r="M445" s="649"/>
      <c r="N445" s="650">
        <v>922</v>
      </c>
      <c r="O445" s="650">
        <v>8512</v>
      </c>
      <c r="P445" s="650">
        <v>0</v>
      </c>
      <c r="Q445" s="649">
        <v>0</v>
      </c>
      <c r="R445" s="649"/>
      <c r="S445" s="650">
        <v>7034</v>
      </c>
      <c r="T445" s="651">
        <v>656</v>
      </c>
      <c r="U445" s="651">
        <v>7690</v>
      </c>
    </row>
    <row r="446" spans="1:21" x14ac:dyDescent="0.25">
      <c r="A446" s="646">
        <v>94551</v>
      </c>
      <c r="B446" s="647" t="s">
        <v>3057</v>
      </c>
      <c r="C446" s="648">
        <v>4.5899999999999998E-5</v>
      </c>
      <c r="D446" s="648">
        <v>3.0599999999999998E-5</v>
      </c>
      <c r="E446" s="649">
        <v>22107</v>
      </c>
      <c r="F446" s="649">
        <v>13733</v>
      </c>
      <c r="G446" s="649">
        <v>97415</v>
      </c>
      <c r="H446" s="649"/>
      <c r="I446" s="650">
        <v>1830</v>
      </c>
      <c r="J446" s="650">
        <v>85367</v>
      </c>
      <c r="K446" s="650">
        <v>6672</v>
      </c>
      <c r="L446" s="649">
        <v>14242</v>
      </c>
      <c r="M446" s="649"/>
      <c r="N446" s="650">
        <v>3414</v>
      </c>
      <c r="O446" s="650">
        <v>31508</v>
      </c>
      <c r="P446" s="650">
        <v>0</v>
      </c>
      <c r="Q446" s="649">
        <v>2442</v>
      </c>
      <c r="R446" s="649"/>
      <c r="S446" s="650">
        <v>26038</v>
      </c>
      <c r="T446" s="651">
        <v>3648</v>
      </c>
      <c r="U446" s="651">
        <v>29686</v>
      </c>
    </row>
    <row r="447" spans="1:21" x14ac:dyDescent="0.25">
      <c r="A447" s="646">
        <v>94601</v>
      </c>
      <c r="B447" s="647" t="s">
        <v>3058</v>
      </c>
      <c r="C447" s="648">
        <v>1.0011E-3</v>
      </c>
      <c r="D447" s="648">
        <v>9.7179999999999999E-4</v>
      </c>
      <c r="E447" s="649">
        <v>433754</v>
      </c>
      <c r="F447" s="649">
        <v>436138</v>
      </c>
      <c r="G447" s="649">
        <v>2124670</v>
      </c>
      <c r="H447" s="649"/>
      <c r="I447" s="650">
        <v>39919</v>
      </c>
      <c r="J447" s="650">
        <v>1861888</v>
      </c>
      <c r="K447" s="650">
        <v>145521</v>
      </c>
      <c r="L447" s="649">
        <v>36047</v>
      </c>
      <c r="M447" s="649"/>
      <c r="N447" s="650">
        <v>74451</v>
      </c>
      <c r="O447" s="650">
        <v>687213</v>
      </c>
      <c r="P447" s="650">
        <v>0</v>
      </c>
      <c r="Q447" s="649">
        <v>3381</v>
      </c>
      <c r="R447" s="649"/>
      <c r="S447" s="650">
        <v>567893</v>
      </c>
      <c r="T447" s="651">
        <v>8786</v>
      </c>
      <c r="U447" s="651">
        <v>576679</v>
      </c>
    </row>
    <row r="448" spans="1:21" x14ac:dyDescent="0.25">
      <c r="A448" s="646">
        <v>94604</v>
      </c>
      <c r="B448" s="647" t="s">
        <v>3059</v>
      </c>
      <c r="C448" s="648">
        <v>2.65E-5</v>
      </c>
      <c r="D448" s="648">
        <v>2.76E-5</v>
      </c>
      <c r="E448" s="649">
        <v>12705</v>
      </c>
      <c r="F448" s="649">
        <v>12387</v>
      </c>
      <c r="G448" s="649">
        <v>56242</v>
      </c>
      <c r="H448" s="649"/>
      <c r="I448" s="650">
        <v>1056.6875</v>
      </c>
      <c r="J448" s="650">
        <v>49286</v>
      </c>
      <c r="K448" s="650">
        <v>3852</v>
      </c>
      <c r="L448" s="649">
        <v>1065</v>
      </c>
      <c r="M448" s="649"/>
      <c r="N448" s="650">
        <v>1971</v>
      </c>
      <c r="O448" s="650">
        <v>18191</v>
      </c>
      <c r="P448" s="650">
        <v>0</v>
      </c>
      <c r="Q448" s="649">
        <v>52</v>
      </c>
      <c r="R448" s="649"/>
      <c r="S448" s="650">
        <v>15033</v>
      </c>
      <c r="T448" s="651">
        <v>272</v>
      </c>
      <c r="U448" s="651">
        <v>15304</v>
      </c>
    </row>
    <row r="449" spans="1:21" x14ac:dyDescent="0.25">
      <c r="A449" s="646">
        <v>94606</v>
      </c>
      <c r="B449" s="647" t="s">
        <v>3060</v>
      </c>
      <c r="C449" s="648">
        <v>2.6229999999999998E-4</v>
      </c>
      <c r="D449" s="648">
        <v>2.8610000000000002E-4</v>
      </c>
      <c r="E449" s="649">
        <v>101571</v>
      </c>
      <c r="F449" s="649">
        <v>128400</v>
      </c>
      <c r="G449" s="649">
        <v>556688</v>
      </c>
      <c r="H449" s="649"/>
      <c r="I449" s="650">
        <v>10459</v>
      </c>
      <c r="J449" s="650">
        <v>487837</v>
      </c>
      <c r="K449" s="650">
        <v>38128</v>
      </c>
      <c r="L449" s="649">
        <v>0</v>
      </c>
      <c r="M449" s="649"/>
      <c r="N449" s="650">
        <v>19507</v>
      </c>
      <c r="O449" s="650">
        <v>180058</v>
      </c>
      <c r="P449" s="650">
        <v>0</v>
      </c>
      <c r="Q449" s="649">
        <v>52213</v>
      </c>
      <c r="R449" s="649"/>
      <c r="S449" s="650">
        <v>148795</v>
      </c>
      <c r="T449" s="651">
        <v>-19437</v>
      </c>
      <c r="U449" s="651">
        <v>129358</v>
      </c>
    </row>
    <row r="450" spans="1:21" x14ac:dyDescent="0.25">
      <c r="A450" s="646">
        <v>94611</v>
      </c>
      <c r="B450" s="647" t="s">
        <v>3061</v>
      </c>
      <c r="C450" s="648">
        <v>4.4450000000000002E-4</v>
      </c>
      <c r="D450" s="648">
        <v>4.5360000000000002E-4</v>
      </c>
      <c r="E450" s="649">
        <v>189159.12</v>
      </c>
      <c r="F450" s="649">
        <v>203573</v>
      </c>
      <c r="G450" s="649">
        <v>943378</v>
      </c>
      <c r="H450" s="649"/>
      <c r="I450" s="650">
        <v>17724.4375</v>
      </c>
      <c r="J450" s="650">
        <v>826700</v>
      </c>
      <c r="K450" s="650">
        <v>64613</v>
      </c>
      <c r="L450" s="649">
        <v>3960</v>
      </c>
      <c r="M450" s="649"/>
      <c r="N450" s="650">
        <v>33057</v>
      </c>
      <c r="O450" s="650">
        <v>305131</v>
      </c>
      <c r="P450" s="650">
        <v>0</v>
      </c>
      <c r="Q450" s="649">
        <v>4915.3</v>
      </c>
      <c r="R450" s="649"/>
      <c r="S450" s="650">
        <v>252151</v>
      </c>
      <c r="T450" s="651">
        <v>-1078</v>
      </c>
      <c r="U450" s="651">
        <v>251074</v>
      </c>
    </row>
    <row r="451" spans="1:21" x14ac:dyDescent="0.25">
      <c r="A451" s="646">
        <v>94621</v>
      </c>
      <c r="B451" s="647" t="s">
        <v>3062</v>
      </c>
      <c r="C451" s="648">
        <v>1.3119999999999999E-4</v>
      </c>
      <c r="D451" s="648">
        <v>1.5200000000000001E-4</v>
      </c>
      <c r="E451" s="649">
        <v>64393.31</v>
      </c>
      <c r="F451" s="649">
        <v>68217</v>
      </c>
      <c r="G451" s="649">
        <v>278450</v>
      </c>
      <c r="H451" s="649"/>
      <c r="I451" s="650">
        <v>5232</v>
      </c>
      <c r="J451" s="650">
        <v>244011</v>
      </c>
      <c r="K451" s="650">
        <v>19071</v>
      </c>
      <c r="L451" s="649">
        <v>13237</v>
      </c>
      <c r="M451" s="649"/>
      <c r="N451" s="650">
        <v>9757</v>
      </c>
      <c r="O451" s="650">
        <v>90063</v>
      </c>
      <c r="P451" s="650">
        <v>0</v>
      </c>
      <c r="Q451" s="649">
        <v>19570</v>
      </c>
      <c r="R451" s="649"/>
      <c r="S451" s="650">
        <v>74426</v>
      </c>
      <c r="T451" s="651">
        <v>-3</v>
      </c>
      <c r="U451" s="651">
        <v>74422</v>
      </c>
    </row>
    <row r="452" spans="1:21" x14ac:dyDescent="0.25">
      <c r="A452" s="646">
        <v>94631</v>
      </c>
      <c r="B452" s="647" t="s">
        <v>3063</v>
      </c>
      <c r="C452" s="648">
        <v>3.9799999999999998E-5</v>
      </c>
      <c r="D452" s="648">
        <v>4.0299999999999997E-5</v>
      </c>
      <c r="E452" s="649">
        <v>19878.57</v>
      </c>
      <c r="F452" s="649">
        <v>18086</v>
      </c>
      <c r="G452" s="649">
        <v>84469</v>
      </c>
      <c r="H452" s="649"/>
      <c r="I452" s="650">
        <v>1587</v>
      </c>
      <c r="J452" s="650">
        <v>74022</v>
      </c>
      <c r="K452" s="650">
        <v>5785</v>
      </c>
      <c r="L452" s="649">
        <v>5170</v>
      </c>
      <c r="M452" s="649"/>
      <c r="N452" s="650">
        <v>2960</v>
      </c>
      <c r="O452" s="650">
        <v>27321</v>
      </c>
      <c r="P452" s="650">
        <v>0</v>
      </c>
      <c r="Q452" s="649">
        <v>0</v>
      </c>
      <c r="R452" s="649"/>
      <c r="S452" s="650">
        <v>22577</v>
      </c>
      <c r="T452" s="651">
        <v>1734</v>
      </c>
      <c r="U452" s="651">
        <v>24311</v>
      </c>
    </row>
    <row r="453" spans="1:21" x14ac:dyDescent="0.25">
      <c r="A453" s="646">
        <v>94641</v>
      </c>
      <c r="B453" s="647" t="s">
        <v>3064</v>
      </c>
      <c r="C453" s="648">
        <v>4.6999999999999999E-6</v>
      </c>
      <c r="D453" s="648">
        <v>4.6999999999999999E-6</v>
      </c>
      <c r="E453" s="649">
        <v>4524.25</v>
      </c>
      <c r="F453" s="649">
        <v>2109</v>
      </c>
      <c r="G453" s="649">
        <v>9975</v>
      </c>
      <c r="H453" s="649"/>
      <c r="I453" s="650">
        <v>187.41249999999999</v>
      </c>
      <c r="J453" s="650">
        <v>8741</v>
      </c>
      <c r="K453" s="650">
        <v>683</v>
      </c>
      <c r="L453" s="649">
        <v>4799</v>
      </c>
      <c r="M453" s="649"/>
      <c r="N453" s="650">
        <v>350</v>
      </c>
      <c r="O453" s="650">
        <v>3226</v>
      </c>
      <c r="P453" s="650">
        <v>0</v>
      </c>
      <c r="Q453" s="649">
        <v>0</v>
      </c>
      <c r="R453" s="649"/>
      <c r="S453" s="650">
        <v>2666</v>
      </c>
      <c r="T453" s="651">
        <v>1678</v>
      </c>
      <c r="U453" s="651">
        <v>4344</v>
      </c>
    </row>
    <row r="454" spans="1:21" x14ac:dyDescent="0.25">
      <c r="A454" s="646">
        <v>94701</v>
      </c>
      <c r="B454" s="647" t="s">
        <v>3065</v>
      </c>
      <c r="C454" s="648">
        <v>2.5636000000000001E-3</v>
      </c>
      <c r="D454" s="648">
        <v>2.6064999999999999E-3</v>
      </c>
      <c r="E454" s="649">
        <v>956457</v>
      </c>
      <c r="F454" s="649">
        <v>1169782</v>
      </c>
      <c r="G454" s="649">
        <v>5440818</v>
      </c>
      <c r="H454" s="649"/>
      <c r="I454" s="650">
        <v>102223.55</v>
      </c>
      <c r="J454" s="650">
        <v>4767891</v>
      </c>
      <c r="K454" s="650">
        <v>372647</v>
      </c>
      <c r="L454" s="649">
        <v>75767</v>
      </c>
      <c r="M454" s="649"/>
      <c r="N454" s="650">
        <v>190652</v>
      </c>
      <c r="O454" s="650">
        <v>1759804</v>
      </c>
      <c r="P454" s="650">
        <v>0</v>
      </c>
      <c r="Q454" s="649">
        <v>100921</v>
      </c>
      <c r="R454" s="649"/>
      <c r="S454" s="650">
        <v>1454251</v>
      </c>
      <c r="T454" s="651">
        <v>4371</v>
      </c>
      <c r="U454" s="651">
        <v>1458622</v>
      </c>
    </row>
    <row r="455" spans="1:21" x14ac:dyDescent="0.25">
      <c r="A455" s="646">
        <v>94704</v>
      </c>
      <c r="B455" s="647" t="s">
        <v>3066</v>
      </c>
      <c r="C455" s="648">
        <v>1.04E-5</v>
      </c>
      <c r="D455" s="648">
        <v>1.0900000000000001E-5</v>
      </c>
      <c r="E455" s="649">
        <v>4510</v>
      </c>
      <c r="F455" s="649">
        <v>4892</v>
      </c>
      <c r="G455" s="649">
        <v>22072</v>
      </c>
      <c r="H455" s="649"/>
      <c r="I455" s="650">
        <v>414.7</v>
      </c>
      <c r="J455" s="650">
        <v>19342</v>
      </c>
      <c r="K455" s="650">
        <v>1512</v>
      </c>
      <c r="L455" s="649">
        <v>147</v>
      </c>
      <c r="M455" s="649"/>
      <c r="N455" s="650">
        <v>773</v>
      </c>
      <c r="O455" s="650">
        <v>7139</v>
      </c>
      <c r="P455" s="650">
        <v>0</v>
      </c>
      <c r="Q455" s="649">
        <v>86</v>
      </c>
      <c r="R455" s="649"/>
      <c r="S455" s="650">
        <v>5900</v>
      </c>
      <c r="T455" s="651">
        <v>47</v>
      </c>
      <c r="U455" s="651">
        <v>5946</v>
      </c>
    </row>
    <row r="456" spans="1:21" x14ac:dyDescent="0.25">
      <c r="A456" s="646">
        <v>94711</v>
      </c>
      <c r="B456" s="647" t="s">
        <v>3067</v>
      </c>
      <c r="C456" s="648">
        <v>3.5110000000000002E-4</v>
      </c>
      <c r="D456" s="648">
        <v>3.5270000000000001E-4</v>
      </c>
      <c r="E456" s="649">
        <v>140447</v>
      </c>
      <c r="F456" s="649">
        <v>158290</v>
      </c>
      <c r="G456" s="649">
        <v>745152</v>
      </c>
      <c r="H456" s="649"/>
      <c r="I456" s="650">
        <v>14000</v>
      </c>
      <c r="J456" s="650">
        <v>652991</v>
      </c>
      <c r="K456" s="650">
        <v>51036</v>
      </c>
      <c r="L456" s="649">
        <v>14121</v>
      </c>
      <c r="M456" s="649"/>
      <c r="N456" s="650">
        <v>26111</v>
      </c>
      <c r="O456" s="650">
        <v>241015</v>
      </c>
      <c r="P456" s="650">
        <v>0</v>
      </c>
      <c r="Q456" s="649">
        <v>8957</v>
      </c>
      <c r="R456" s="649"/>
      <c r="S456" s="650">
        <v>199168</v>
      </c>
      <c r="T456" s="651">
        <v>1479</v>
      </c>
      <c r="U456" s="651">
        <v>200647</v>
      </c>
    </row>
    <row r="457" spans="1:21" x14ac:dyDescent="0.25">
      <c r="A457" s="646">
        <v>94801</v>
      </c>
      <c r="B457" s="647" t="s">
        <v>3068</v>
      </c>
      <c r="C457" s="648">
        <v>7.6539999999999996E-4</v>
      </c>
      <c r="D457" s="648">
        <v>7.425E-4</v>
      </c>
      <c r="E457" s="649">
        <v>315764</v>
      </c>
      <c r="F457" s="649">
        <v>333230</v>
      </c>
      <c r="G457" s="649">
        <v>1624435</v>
      </c>
      <c r="H457" s="649"/>
      <c r="I457" s="650">
        <v>30520</v>
      </c>
      <c r="J457" s="650">
        <v>1423523</v>
      </c>
      <c r="K457" s="650">
        <v>111259</v>
      </c>
      <c r="L457" s="649">
        <v>62992</v>
      </c>
      <c r="M457" s="649"/>
      <c r="N457" s="650">
        <v>56922</v>
      </c>
      <c r="O457" s="650">
        <v>525415</v>
      </c>
      <c r="P457" s="650">
        <v>0</v>
      </c>
      <c r="Q457" s="649">
        <v>0</v>
      </c>
      <c r="R457" s="649"/>
      <c r="S457" s="650">
        <v>434188</v>
      </c>
      <c r="T457" s="651">
        <v>22612</v>
      </c>
      <c r="U457" s="651">
        <v>456800</v>
      </c>
    </row>
    <row r="458" spans="1:21" x14ac:dyDescent="0.25">
      <c r="A458" s="646">
        <v>94804</v>
      </c>
      <c r="B458" s="647" t="s">
        <v>3069</v>
      </c>
      <c r="C458" s="648">
        <v>3.8E-6</v>
      </c>
      <c r="D458" s="648">
        <v>5.5999999999999997E-6</v>
      </c>
      <c r="E458" s="649">
        <v>2421</v>
      </c>
      <c r="F458" s="649">
        <v>2513</v>
      </c>
      <c r="G458" s="649">
        <v>8065</v>
      </c>
      <c r="H458" s="649"/>
      <c r="I458" s="650">
        <v>151.52500000000001</v>
      </c>
      <c r="J458" s="650">
        <v>7067</v>
      </c>
      <c r="K458" s="650">
        <v>552</v>
      </c>
      <c r="L458" s="649">
        <v>3516</v>
      </c>
      <c r="M458" s="649"/>
      <c r="N458" s="650">
        <v>283</v>
      </c>
      <c r="O458" s="650">
        <v>2609</v>
      </c>
      <c r="P458" s="650">
        <v>0</v>
      </c>
      <c r="Q458" s="649">
        <v>294</v>
      </c>
      <c r="R458" s="649"/>
      <c r="S458" s="650">
        <v>2156</v>
      </c>
      <c r="T458" s="651">
        <v>1680</v>
      </c>
      <c r="U458" s="651">
        <v>3836</v>
      </c>
    </row>
    <row r="459" spans="1:21" x14ac:dyDescent="0.25">
      <c r="A459" s="646">
        <v>94812</v>
      </c>
      <c r="B459" s="647" t="s">
        <v>3070</v>
      </c>
      <c r="C459" s="648">
        <v>3.3500000000000001E-5</v>
      </c>
      <c r="D459" s="648">
        <v>2.8200000000000001E-5</v>
      </c>
      <c r="E459" s="649">
        <v>17637</v>
      </c>
      <c r="F459" s="649">
        <v>12656</v>
      </c>
      <c r="G459" s="649">
        <v>71098</v>
      </c>
      <c r="H459" s="649"/>
      <c r="I459" s="650">
        <v>1335.8125</v>
      </c>
      <c r="J459" s="650">
        <v>62305</v>
      </c>
      <c r="K459" s="650">
        <v>4870</v>
      </c>
      <c r="L459" s="649">
        <v>10393</v>
      </c>
      <c r="M459" s="649"/>
      <c r="N459" s="650">
        <v>2491</v>
      </c>
      <c r="O459" s="650">
        <v>22996</v>
      </c>
      <c r="P459" s="650">
        <v>0</v>
      </c>
      <c r="Q459" s="649">
        <v>0</v>
      </c>
      <c r="R459" s="649"/>
      <c r="S459" s="650">
        <v>19004</v>
      </c>
      <c r="T459" s="651">
        <v>3222</v>
      </c>
      <c r="U459" s="651">
        <v>22225</v>
      </c>
    </row>
    <row r="460" spans="1:21" x14ac:dyDescent="0.25">
      <c r="A460" s="646">
        <v>94901</v>
      </c>
      <c r="B460" s="647" t="s">
        <v>3071</v>
      </c>
      <c r="C460" s="648">
        <v>7.0014999999999999E-3</v>
      </c>
      <c r="D460" s="648">
        <v>6.6921999999999997E-3</v>
      </c>
      <c r="E460" s="649">
        <v>2681224</v>
      </c>
      <c r="F460" s="649">
        <v>3003419</v>
      </c>
      <c r="G460" s="649">
        <v>14859529</v>
      </c>
      <c r="H460" s="649"/>
      <c r="I460" s="650">
        <v>279185</v>
      </c>
      <c r="J460" s="650">
        <v>13021684</v>
      </c>
      <c r="K460" s="650">
        <v>1017745</v>
      </c>
      <c r="L460" s="649">
        <v>28689</v>
      </c>
      <c r="M460" s="649"/>
      <c r="N460" s="650">
        <v>520695</v>
      </c>
      <c r="O460" s="650">
        <v>4806236</v>
      </c>
      <c r="P460" s="650">
        <v>0</v>
      </c>
      <c r="Q460" s="649">
        <v>82188</v>
      </c>
      <c r="R460" s="649"/>
      <c r="S460" s="650">
        <v>3971734</v>
      </c>
      <c r="T460" s="651">
        <v>-17216</v>
      </c>
      <c r="U460" s="651">
        <v>3954518</v>
      </c>
    </row>
    <row r="461" spans="1:21" x14ac:dyDescent="0.25">
      <c r="A461" s="646">
        <v>94908</v>
      </c>
      <c r="B461" s="647" t="s">
        <v>3072</v>
      </c>
      <c r="C461" s="648">
        <v>3.9799999999999998E-5</v>
      </c>
      <c r="D461" s="648">
        <v>4.2799999999999997E-5</v>
      </c>
      <c r="E461" s="649">
        <v>16384</v>
      </c>
      <c r="F461" s="649">
        <v>19208</v>
      </c>
      <c r="G461" s="649">
        <v>84469</v>
      </c>
      <c r="H461" s="649"/>
      <c r="I461" s="650">
        <v>1587</v>
      </c>
      <c r="J461" s="650">
        <v>74022</v>
      </c>
      <c r="K461" s="650">
        <v>5785</v>
      </c>
      <c r="L461" s="649">
        <v>0</v>
      </c>
      <c r="M461" s="649"/>
      <c r="N461" s="650">
        <v>2960</v>
      </c>
      <c r="O461" s="650">
        <v>27321</v>
      </c>
      <c r="P461" s="650">
        <v>0</v>
      </c>
      <c r="Q461" s="649">
        <v>5878</v>
      </c>
      <c r="R461" s="649"/>
      <c r="S461" s="650">
        <v>22577</v>
      </c>
      <c r="T461" s="651">
        <v>-2269</v>
      </c>
      <c r="U461" s="651">
        <v>20308</v>
      </c>
    </row>
    <row r="462" spans="1:21" x14ac:dyDescent="0.25">
      <c r="A462" s="646">
        <v>94911</v>
      </c>
      <c r="B462" s="647" t="s">
        <v>3073</v>
      </c>
      <c r="C462" s="648">
        <v>2.7745999999999999E-3</v>
      </c>
      <c r="D462" s="648">
        <v>2.8086000000000001E-3</v>
      </c>
      <c r="E462" s="649">
        <v>1108370.94</v>
      </c>
      <c r="F462" s="649">
        <v>1260483</v>
      </c>
      <c r="G462" s="649">
        <v>5888631</v>
      </c>
      <c r="H462" s="649"/>
      <c r="I462" s="650">
        <v>110637</v>
      </c>
      <c r="J462" s="650">
        <v>5160318</v>
      </c>
      <c r="K462" s="650">
        <v>403319</v>
      </c>
      <c r="L462" s="649">
        <v>7508</v>
      </c>
      <c r="M462" s="649"/>
      <c r="N462" s="650">
        <v>206344</v>
      </c>
      <c r="O462" s="650">
        <v>1904646</v>
      </c>
      <c r="P462" s="650">
        <v>0</v>
      </c>
      <c r="Q462" s="649">
        <v>58992</v>
      </c>
      <c r="R462" s="649"/>
      <c r="S462" s="650">
        <v>1573945</v>
      </c>
      <c r="T462" s="651">
        <v>-16182</v>
      </c>
      <c r="U462" s="651">
        <v>1557762</v>
      </c>
    </row>
    <row r="463" spans="1:21" x14ac:dyDescent="0.25">
      <c r="A463" s="646">
        <v>94917</v>
      </c>
      <c r="B463" s="647" t="s">
        <v>3074</v>
      </c>
      <c r="C463" s="648">
        <v>3.7400000000000001E-5</v>
      </c>
      <c r="D463" s="648">
        <v>4.0399999999999999E-5</v>
      </c>
      <c r="E463" s="649">
        <v>24113.03</v>
      </c>
      <c r="F463" s="649">
        <v>18131</v>
      </c>
      <c r="G463" s="649">
        <v>79375</v>
      </c>
      <c r="H463" s="649"/>
      <c r="I463" s="650">
        <v>1491.325</v>
      </c>
      <c r="J463" s="650">
        <v>69558</v>
      </c>
      <c r="K463" s="650">
        <v>5437</v>
      </c>
      <c r="L463" s="649">
        <v>14598</v>
      </c>
      <c r="M463" s="649"/>
      <c r="N463" s="650">
        <v>2781</v>
      </c>
      <c r="O463" s="650">
        <v>25674</v>
      </c>
      <c r="P463" s="650">
        <v>0</v>
      </c>
      <c r="Q463" s="649">
        <v>0</v>
      </c>
      <c r="R463" s="649"/>
      <c r="S463" s="650">
        <v>21216</v>
      </c>
      <c r="T463" s="651">
        <v>5296</v>
      </c>
      <c r="U463" s="651">
        <v>26512</v>
      </c>
    </row>
    <row r="464" spans="1:21" x14ac:dyDescent="0.25">
      <c r="A464" s="646">
        <v>94921</v>
      </c>
      <c r="B464" s="647" t="s">
        <v>3075</v>
      </c>
      <c r="C464" s="648">
        <v>3.7063E-3</v>
      </c>
      <c r="D464" s="648">
        <v>4.0699999999999998E-3</v>
      </c>
      <c r="E464" s="649">
        <v>1372917.85</v>
      </c>
      <c r="F464" s="649">
        <v>1826592</v>
      </c>
      <c r="G464" s="649">
        <v>7866010</v>
      </c>
      <c r="H464" s="649"/>
      <c r="I464" s="650">
        <v>147789</v>
      </c>
      <c r="J464" s="650">
        <v>6893132</v>
      </c>
      <c r="K464" s="650">
        <v>538751</v>
      </c>
      <c r="L464" s="649">
        <v>0</v>
      </c>
      <c r="M464" s="649"/>
      <c r="N464" s="650">
        <v>275634</v>
      </c>
      <c r="O464" s="650">
        <v>2544219</v>
      </c>
      <c r="P464" s="650">
        <v>0</v>
      </c>
      <c r="Q464" s="649">
        <v>505665</v>
      </c>
      <c r="R464" s="649"/>
      <c r="S464" s="650">
        <v>2102469</v>
      </c>
      <c r="T464" s="651">
        <v>-155426</v>
      </c>
      <c r="U464" s="651">
        <v>1947043</v>
      </c>
    </row>
    <row r="465" spans="1:21" x14ac:dyDescent="0.25">
      <c r="A465" s="646">
        <v>94923</v>
      </c>
      <c r="B465" s="647" t="s">
        <v>3076</v>
      </c>
      <c r="C465" s="648">
        <v>2.4499999999999999E-5</v>
      </c>
      <c r="D465" s="648">
        <v>2.9300000000000001E-5</v>
      </c>
      <c r="E465" s="649">
        <v>14094</v>
      </c>
      <c r="F465" s="649">
        <v>13150</v>
      </c>
      <c r="G465" s="649">
        <v>51997</v>
      </c>
      <c r="H465" s="649"/>
      <c r="I465" s="650">
        <v>976.9375</v>
      </c>
      <c r="J465" s="650">
        <v>45566</v>
      </c>
      <c r="K465" s="650">
        <v>3561</v>
      </c>
      <c r="L465" s="649">
        <v>1458</v>
      </c>
      <c r="M465" s="649"/>
      <c r="N465" s="650">
        <v>1822</v>
      </c>
      <c r="O465" s="650">
        <v>16818</v>
      </c>
      <c r="P465" s="650">
        <v>0</v>
      </c>
      <c r="Q465" s="649">
        <v>173</v>
      </c>
      <c r="R465" s="649"/>
      <c r="S465" s="650">
        <v>13898</v>
      </c>
      <c r="T465" s="651">
        <v>373</v>
      </c>
      <c r="U465" s="651">
        <v>14272</v>
      </c>
    </row>
    <row r="466" spans="1:21" x14ac:dyDescent="0.25">
      <c r="A466" s="646">
        <v>94927</v>
      </c>
      <c r="B466" s="647" t="s">
        <v>3077</v>
      </c>
      <c r="C466" s="648">
        <v>3.3899999999999997E-5</v>
      </c>
      <c r="D466" s="648">
        <v>3.2700000000000002E-5</v>
      </c>
      <c r="E466" s="649">
        <v>16597.12</v>
      </c>
      <c r="F466" s="649">
        <v>14676</v>
      </c>
      <c r="G466" s="649">
        <v>71947</v>
      </c>
      <c r="H466" s="649"/>
      <c r="I466" s="650">
        <v>1352</v>
      </c>
      <c r="J466" s="650">
        <v>63049</v>
      </c>
      <c r="K466" s="650">
        <v>4928</v>
      </c>
      <c r="L466" s="649">
        <v>3081</v>
      </c>
      <c r="M466" s="649"/>
      <c r="N466" s="650">
        <v>2521</v>
      </c>
      <c r="O466" s="650">
        <v>23271</v>
      </c>
      <c r="P466" s="650">
        <v>0</v>
      </c>
      <c r="Q466" s="649">
        <v>52</v>
      </c>
      <c r="R466" s="649"/>
      <c r="S466" s="650">
        <v>19230</v>
      </c>
      <c r="T466" s="651">
        <v>803</v>
      </c>
      <c r="U466" s="651">
        <v>20033</v>
      </c>
    </row>
    <row r="467" spans="1:21" x14ac:dyDescent="0.25">
      <c r="A467" s="646">
        <v>94931</v>
      </c>
      <c r="B467" s="647" t="s">
        <v>3078</v>
      </c>
      <c r="C467" s="648">
        <v>2.1130000000000001E-4</v>
      </c>
      <c r="D467" s="648">
        <v>2.4020000000000001E-4</v>
      </c>
      <c r="E467" s="649">
        <v>88195.43</v>
      </c>
      <c r="F467" s="649">
        <v>107800</v>
      </c>
      <c r="G467" s="649">
        <v>448449</v>
      </c>
      <c r="H467" s="649"/>
      <c r="I467" s="650">
        <v>8426</v>
      </c>
      <c r="J467" s="650">
        <v>392985</v>
      </c>
      <c r="K467" s="650">
        <v>30715</v>
      </c>
      <c r="L467" s="649">
        <v>0</v>
      </c>
      <c r="M467" s="649"/>
      <c r="N467" s="650">
        <v>15714</v>
      </c>
      <c r="O467" s="650">
        <v>145049</v>
      </c>
      <c r="P467" s="650">
        <v>0</v>
      </c>
      <c r="Q467" s="649">
        <v>23880</v>
      </c>
      <c r="R467" s="649"/>
      <c r="S467" s="650">
        <v>119864</v>
      </c>
      <c r="T467" s="651">
        <v>-8140</v>
      </c>
      <c r="U467" s="651">
        <v>111724</v>
      </c>
    </row>
    <row r="468" spans="1:21" x14ac:dyDescent="0.25">
      <c r="A468" s="646">
        <v>94941</v>
      </c>
      <c r="B468" s="647" t="s">
        <v>3079</v>
      </c>
      <c r="C468" s="648">
        <v>5.2959999999999997E-4</v>
      </c>
      <c r="D468" s="648">
        <v>5.0549999999999998E-4</v>
      </c>
      <c r="E468" s="649">
        <v>202001.05</v>
      </c>
      <c r="F468" s="649">
        <v>226865</v>
      </c>
      <c r="G468" s="649">
        <v>1123989</v>
      </c>
      <c r="H468" s="649"/>
      <c r="I468" s="650">
        <v>21117.8</v>
      </c>
      <c r="J468" s="650">
        <v>984972</v>
      </c>
      <c r="K468" s="650">
        <v>76983</v>
      </c>
      <c r="L468" s="649">
        <v>96457</v>
      </c>
      <c r="M468" s="649"/>
      <c r="N468" s="650">
        <v>39386</v>
      </c>
      <c r="O468" s="650">
        <v>363548</v>
      </c>
      <c r="P468" s="650">
        <v>0</v>
      </c>
      <c r="Q468" s="649">
        <v>0</v>
      </c>
      <c r="R468" s="649"/>
      <c r="S468" s="650">
        <v>300426</v>
      </c>
      <c r="T468" s="651">
        <v>42457</v>
      </c>
      <c r="U468" s="651">
        <v>342883</v>
      </c>
    </row>
    <row r="469" spans="1:21" x14ac:dyDescent="0.25">
      <c r="A469" s="646">
        <v>95001</v>
      </c>
      <c r="B469" s="647" t="s">
        <v>3080</v>
      </c>
      <c r="C469" s="648">
        <v>2.3779000000000001E-3</v>
      </c>
      <c r="D469" s="648">
        <v>2.3674E-3</v>
      </c>
      <c r="E469" s="649">
        <v>1026879.06</v>
      </c>
      <c r="F469" s="649">
        <v>1062475</v>
      </c>
      <c r="G469" s="649">
        <v>5046700</v>
      </c>
      <c r="H469" s="649"/>
      <c r="I469" s="650">
        <v>94819</v>
      </c>
      <c r="J469" s="650">
        <v>4422518</v>
      </c>
      <c r="K469" s="650">
        <v>345654</v>
      </c>
      <c r="L469" s="649">
        <v>86860</v>
      </c>
      <c r="M469" s="649"/>
      <c r="N469" s="650">
        <v>176842</v>
      </c>
      <c r="O469" s="650">
        <v>1632328</v>
      </c>
      <c r="P469" s="650">
        <v>0</v>
      </c>
      <c r="Q469" s="649">
        <v>8022</v>
      </c>
      <c r="R469" s="649"/>
      <c r="S469" s="650">
        <v>1348909</v>
      </c>
      <c r="T469" s="651">
        <v>22510</v>
      </c>
      <c r="U469" s="651">
        <v>1371419</v>
      </c>
    </row>
    <row r="470" spans="1:21" x14ac:dyDescent="0.25">
      <c r="A470" s="646">
        <v>95002</v>
      </c>
      <c r="B470" s="647" t="s">
        <v>3081</v>
      </c>
      <c r="C470" s="648">
        <v>2.0120000000000001E-4</v>
      </c>
      <c r="D470" s="648">
        <v>1.919E-4</v>
      </c>
      <c r="E470" s="649">
        <v>91760.39</v>
      </c>
      <c r="F470" s="649">
        <v>86124</v>
      </c>
      <c r="G470" s="649">
        <v>427014</v>
      </c>
      <c r="H470" s="649"/>
      <c r="I470" s="650">
        <v>8022.85</v>
      </c>
      <c r="J470" s="650">
        <v>374200</v>
      </c>
      <c r="K470" s="650">
        <v>29247</v>
      </c>
      <c r="L470" s="649">
        <v>17432</v>
      </c>
      <c r="M470" s="649"/>
      <c r="N470" s="650">
        <v>14963</v>
      </c>
      <c r="O470" s="650">
        <v>138115</v>
      </c>
      <c r="P470" s="650">
        <v>0</v>
      </c>
      <c r="Q470" s="649">
        <v>0</v>
      </c>
      <c r="R470" s="649"/>
      <c r="S470" s="650">
        <v>114135</v>
      </c>
      <c r="T470" s="651">
        <v>5391</v>
      </c>
      <c r="U470" s="651">
        <v>119526</v>
      </c>
    </row>
    <row r="471" spans="1:21" x14ac:dyDescent="0.25">
      <c r="A471" s="646">
        <v>95005</v>
      </c>
      <c r="B471" s="647" t="s">
        <v>3082</v>
      </c>
      <c r="C471" s="648">
        <v>2.3829999999999999E-4</v>
      </c>
      <c r="D471" s="648">
        <v>2.4499999999999999E-4</v>
      </c>
      <c r="E471" s="649">
        <v>102067</v>
      </c>
      <c r="F471" s="649">
        <v>109954.53</v>
      </c>
      <c r="G471" s="649">
        <v>505752</v>
      </c>
      <c r="H471" s="649"/>
      <c r="I471" s="650">
        <v>9502</v>
      </c>
      <c r="J471" s="650">
        <v>443200</v>
      </c>
      <c r="K471" s="650">
        <v>34640</v>
      </c>
      <c r="L471" s="649">
        <v>23207</v>
      </c>
      <c r="M471" s="649"/>
      <c r="N471" s="650">
        <v>17722</v>
      </c>
      <c r="O471" s="650">
        <v>163583</v>
      </c>
      <c r="P471" s="650">
        <v>0</v>
      </c>
      <c r="Q471" s="649">
        <v>399</v>
      </c>
      <c r="R471" s="649"/>
      <c r="S471" s="650">
        <v>135180</v>
      </c>
      <c r="T471" s="651">
        <v>9376</v>
      </c>
      <c r="U471" s="651">
        <v>144556</v>
      </c>
    </row>
    <row r="472" spans="1:21" x14ac:dyDescent="0.25">
      <c r="A472" s="646">
        <v>95008</v>
      </c>
      <c r="B472" s="647" t="s">
        <v>3083</v>
      </c>
      <c r="C472" s="648">
        <v>1.169E-4</v>
      </c>
      <c r="D472" s="648">
        <v>1.3669999999999999E-4</v>
      </c>
      <c r="E472" s="649">
        <v>50977.440000000002</v>
      </c>
      <c r="F472" s="649">
        <v>61350</v>
      </c>
      <c r="G472" s="649">
        <v>248101</v>
      </c>
      <c r="H472" s="649"/>
      <c r="I472" s="650">
        <v>4661</v>
      </c>
      <c r="J472" s="650">
        <v>217416</v>
      </c>
      <c r="K472" s="650">
        <v>16993</v>
      </c>
      <c r="L472" s="649">
        <v>21945</v>
      </c>
      <c r="M472" s="649"/>
      <c r="N472" s="650">
        <v>8694</v>
      </c>
      <c r="O472" s="650">
        <v>80247</v>
      </c>
      <c r="P472" s="650">
        <v>0</v>
      </c>
      <c r="Q472" s="649">
        <v>8420</v>
      </c>
      <c r="R472" s="649"/>
      <c r="S472" s="650">
        <v>66314</v>
      </c>
      <c r="T472" s="651">
        <v>7393</v>
      </c>
      <c r="U472" s="651">
        <v>73707</v>
      </c>
    </row>
    <row r="473" spans="1:21" x14ac:dyDescent="0.25">
      <c r="A473" s="646">
        <v>95009</v>
      </c>
      <c r="B473" s="647" t="s">
        <v>3084</v>
      </c>
      <c r="C473" s="648">
        <v>3.9902000000000002E-3</v>
      </c>
      <c r="D473" s="648">
        <v>3.614E-3</v>
      </c>
      <c r="E473" s="649">
        <v>1651705</v>
      </c>
      <c r="F473" s="649">
        <v>1621942</v>
      </c>
      <c r="G473" s="649">
        <v>8468541</v>
      </c>
      <c r="H473" s="649"/>
      <c r="I473" s="650">
        <v>159109</v>
      </c>
      <c r="J473" s="650">
        <v>7421142</v>
      </c>
      <c r="K473" s="650">
        <v>580019</v>
      </c>
      <c r="L473" s="649">
        <v>1306132</v>
      </c>
      <c r="M473" s="649"/>
      <c r="N473" s="650">
        <v>296747</v>
      </c>
      <c r="O473" s="650">
        <v>2739105</v>
      </c>
      <c r="P473" s="650">
        <v>0</v>
      </c>
      <c r="Q473" s="649">
        <v>0</v>
      </c>
      <c r="R473" s="649"/>
      <c r="S473" s="650">
        <v>2263517</v>
      </c>
      <c r="T473" s="651">
        <v>547444</v>
      </c>
      <c r="U473" s="651">
        <v>2810961</v>
      </c>
    </row>
    <row r="474" spans="1:21" x14ac:dyDescent="0.25">
      <c r="A474" s="646">
        <v>95011</v>
      </c>
      <c r="B474" s="647" t="s">
        <v>3085</v>
      </c>
      <c r="C474" s="648">
        <v>1.707E-4</v>
      </c>
      <c r="D474" s="648">
        <v>1.8760000000000001E-4</v>
      </c>
      <c r="E474" s="649">
        <v>71948</v>
      </c>
      <c r="F474" s="649">
        <v>84194</v>
      </c>
      <c r="G474" s="649">
        <v>362283</v>
      </c>
      <c r="H474" s="649"/>
      <c r="I474" s="650">
        <v>6807</v>
      </c>
      <c r="J474" s="650">
        <v>317475</v>
      </c>
      <c r="K474" s="650">
        <v>24813</v>
      </c>
      <c r="L474" s="649">
        <v>0</v>
      </c>
      <c r="M474" s="649"/>
      <c r="N474" s="650">
        <v>12695</v>
      </c>
      <c r="O474" s="650">
        <v>117178</v>
      </c>
      <c r="P474" s="650">
        <v>0</v>
      </c>
      <c r="Q474" s="649">
        <v>13568</v>
      </c>
      <c r="R474" s="649"/>
      <c r="S474" s="650">
        <v>96833</v>
      </c>
      <c r="T474" s="651">
        <v>-4659</v>
      </c>
      <c r="U474" s="651">
        <v>92174</v>
      </c>
    </row>
    <row r="475" spans="1:21" x14ac:dyDescent="0.25">
      <c r="A475" s="646">
        <v>95017</v>
      </c>
      <c r="B475" s="647" t="s">
        <v>3086</v>
      </c>
      <c r="C475" s="648">
        <v>3.5800000000000003E-5</v>
      </c>
      <c r="D475" s="648">
        <v>3.9900000000000001E-5</v>
      </c>
      <c r="E475" s="649">
        <v>21743.88</v>
      </c>
      <c r="F475" s="649">
        <v>17907</v>
      </c>
      <c r="G475" s="649">
        <v>75980</v>
      </c>
      <c r="H475" s="649"/>
      <c r="I475" s="650">
        <v>1427.5250000000001</v>
      </c>
      <c r="J475" s="650">
        <v>66582</v>
      </c>
      <c r="K475" s="650">
        <v>5204</v>
      </c>
      <c r="L475" s="649">
        <v>20942</v>
      </c>
      <c r="M475" s="649"/>
      <c r="N475" s="650">
        <v>2662</v>
      </c>
      <c r="O475" s="650">
        <v>24575</v>
      </c>
      <c r="P475" s="650">
        <v>0</v>
      </c>
      <c r="Q475" s="649">
        <v>0</v>
      </c>
      <c r="R475" s="649"/>
      <c r="S475" s="650">
        <v>20308</v>
      </c>
      <c r="T475" s="651">
        <v>7629</v>
      </c>
      <c r="U475" s="651">
        <v>27937</v>
      </c>
    </row>
    <row r="476" spans="1:21" x14ac:dyDescent="0.25">
      <c r="A476" s="646">
        <v>95101</v>
      </c>
      <c r="B476" s="647" t="s">
        <v>3087</v>
      </c>
      <c r="C476" s="648">
        <v>8.0955999999999997E-3</v>
      </c>
      <c r="D476" s="648">
        <v>7.8796000000000005E-3</v>
      </c>
      <c r="E476" s="649">
        <v>3063500.72</v>
      </c>
      <c r="F476" s="649">
        <v>3536317</v>
      </c>
      <c r="G476" s="649">
        <v>17181575</v>
      </c>
      <c r="H476" s="649"/>
      <c r="I476" s="650">
        <v>322812.05</v>
      </c>
      <c r="J476" s="650">
        <v>15056537</v>
      </c>
      <c r="K476" s="650">
        <v>1176785</v>
      </c>
      <c r="L476" s="649">
        <v>77016</v>
      </c>
      <c r="M476" s="649"/>
      <c r="N476" s="650">
        <v>602062</v>
      </c>
      <c r="O476" s="650">
        <v>5557289</v>
      </c>
      <c r="P476" s="650">
        <v>0</v>
      </c>
      <c r="Q476" s="649">
        <v>94065</v>
      </c>
      <c r="R476" s="649"/>
      <c r="S476" s="650">
        <v>4592383</v>
      </c>
      <c r="T476" s="651">
        <v>13084</v>
      </c>
      <c r="U476" s="651">
        <v>4605467</v>
      </c>
    </row>
    <row r="477" spans="1:21" x14ac:dyDescent="0.25">
      <c r="A477" s="646">
        <v>95103</v>
      </c>
      <c r="B477" s="647" t="s">
        <v>3088</v>
      </c>
      <c r="C477" s="648">
        <v>6.02E-5</v>
      </c>
      <c r="D477" s="648">
        <v>5.91E-5</v>
      </c>
      <c r="E477" s="649">
        <v>34084</v>
      </c>
      <c r="F477" s="649">
        <v>26524</v>
      </c>
      <c r="G477" s="649">
        <v>127765</v>
      </c>
      <c r="H477" s="649"/>
      <c r="I477" s="650">
        <v>2400.4749999999999</v>
      </c>
      <c r="J477" s="650">
        <v>111962</v>
      </c>
      <c r="K477" s="650">
        <v>8751</v>
      </c>
      <c r="L477" s="649">
        <v>41064</v>
      </c>
      <c r="M477" s="649"/>
      <c r="N477" s="650">
        <v>4477</v>
      </c>
      <c r="O477" s="650">
        <v>41325</v>
      </c>
      <c r="P477" s="650">
        <v>0</v>
      </c>
      <c r="Q477" s="649">
        <v>0</v>
      </c>
      <c r="R477" s="649"/>
      <c r="S477" s="650">
        <v>34150</v>
      </c>
      <c r="T477" s="651">
        <v>17815</v>
      </c>
      <c r="U477" s="651">
        <v>51965</v>
      </c>
    </row>
    <row r="478" spans="1:21" x14ac:dyDescent="0.25">
      <c r="A478" s="646">
        <v>95104</v>
      </c>
      <c r="B478" s="647" t="s">
        <v>3089</v>
      </c>
      <c r="C478" s="648">
        <v>1.011E-4</v>
      </c>
      <c r="D478" s="648">
        <v>1.022E-4</v>
      </c>
      <c r="E478" s="649">
        <v>48495.61</v>
      </c>
      <c r="F478" s="649">
        <v>45867</v>
      </c>
      <c r="G478" s="649">
        <v>214568</v>
      </c>
      <c r="H478" s="649"/>
      <c r="I478" s="650">
        <v>4031</v>
      </c>
      <c r="J478" s="650">
        <v>188030</v>
      </c>
      <c r="K478" s="650">
        <v>14696</v>
      </c>
      <c r="L478" s="649">
        <v>18344</v>
      </c>
      <c r="M478" s="649"/>
      <c r="N478" s="650">
        <v>7519</v>
      </c>
      <c r="O478" s="650">
        <v>69401</v>
      </c>
      <c r="P478" s="650">
        <v>0</v>
      </c>
      <c r="Q478" s="649">
        <v>0</v>
      </c>
      <c r="R478" s="649"/>
      <c r="S478" s="650">
        <v>57351</v>
      </c>
      <c r="T478" s="651">
        <v>6442</v>
      </c>
      <c r="U478" s="651">
        <v>63793</v>
      </c>
    </row>
    <row r="479" spans="1:21" x14ac:dyDescent="0.25">
      <c r="A479" s="646">
        <v>95105</v>
      </c>
      <c r="B479" s="647" t="s">
        <v>3090</v>
      </c>
      <c r="C479" s="648">
        <v>6.3700000000000003E-5</v>
      </c>
      <c r="D479" s="648">
        <v>6.2199999999999994E-5</v>
      </c>
      <c r="E479" s="649">
        <v>28734</v>
      </c>
      <c r="F479" s="649">
        <v>27915</v>
      </c>
      <c r="G479" s="649">
        <v>135193</v>
      </c>
      <c r="H479" s="649"/>
      <c r="I479" s="650">
        <v>2540</v>
      </c>
      <c r="J479" s="650">
        <v>118472</v>
      </c>
      <c r="K479" s="650">
        <v>9259</v>
      </c>
      <c r="L479" s="649">
        <v>9013</v>
      </c>
      <c r="M479" s="649"/>
      <c r="N479" s="650">
        <v>4737</v>
      </c>
      <c r="O479" s="650">
        <v>43727</v>
      </c>
      <c r="P479" s="650">
        <v>0</v>
      </c>
      <c r="Q479" s="649">
        <v>0</v>
      </c>
      <c r="R479" s="649"/>
      <c r="S479" s="650">
        <v>36135</v>
      </c>
      <c r="T479" s="651">
        <v>3391</v>
      </c>
      <c r="U479" s="651">
        <v>39526</v>
      </c>
    </row>
    <row r="480" spans="1:21" x14ac:dyDescent="0.25">
      <c r="A480" s="646">
        <v>95106</v>
      </c>
      <c r="B480" s="647" t="s">
        <v>3091</v>
      </c>
      <c r="C480" s="648">
        <v>1.3900000000000001E-5</v>
      </c>
      <c r="D480" s="648">
        <v>5.9000000000000003E-6</v>
      </c>
      <c r="E480" s="649">
        <v>4209.76</v>
      </c>
      <c r="F480" s="649">
        <v>2648</v>
      </c>
      <c r="G480" s="649">
        <v>29500</v>
      </c>
      <c r="H480" s="649"/>
      <c r="I480" s="650">
        <v>554</v>
      </c>
      <c r="J480" s="650">
        <v>25852</v>
      </c>
      <c r="K480" s="650">
        <v>2021</v>
      </c>
      <c r="L480" s="649">
        <v>7510</v>
      </c>
      <c r="M480" s="649"/>
      <c r="N480" s="650">
        <v>1034</v>
      </c>
      <c r="O480" s="650">
        <v>9542</v>
      </c>
      <c r="P480" s="650">
        <v>0</v>
      </c>
      <c r="Q480" s="649">
        <v>0</v>
      </c>
      <c r="R480" s="649"/>
      <c r="S480" s="650">
        <v>7885</v>
      </c>
      <c r="T480" s="651">
        <v>2593</v>
      </c>
      <c r="U480" s="651">
        <v>10478</v>
      </c>
    </row>
    <row r="481" spans="1:21" x14ac:dyDescent="0.25">
      <c r="A481" s="646">
        <v>95110</v>
      </c>
      <c r="B481" s="647" t="s">
        <v>3092</v>
      </c>
      <c r="C481" s="648">
        <v>4.4609000000000003E-3</v>
      </c>
      <c r="D481" s="648">
        <v>5.5170000000000002E-3</v>
      </c>
      <c r="E481" s="649">
        <v>1868606.24</v>
      </c>
      <c r="F481" s="649">
        <v>2475996</v>
      </c>
      <c r="G481" s="649">
        <v>9467524</v>
      </c>
      <c r="H481" s="649"/>
      <c r="I481" s="650">
        <v>177878</v>
      </c>
      <c r="J481" s="650">
        <v>8296569</v>
      </c>
      <c r="K481" s="650">
        <v>648441</v>
      </c>
      <c r="L481" s="649">
        <v>0</v>
      </c>
      <c r="M481" s="649"/>
      <c r="N481" s="650">
        <v>331753</v>
      </c>
      <c r="O481" s="650">
        <v>3062220</v>
      </c>
      <c r="P481" s="650">
        <v>0</v>
      </c>
      <c r="Q481" s="649">
        <v>1586204</v>
      </c>
      <c r="R481" s="649"/>
      <c r="S481" s="650">
        <v>2530530</v>
      </c>
      <c r="T481" s="651">
        <v>-606775</v>
      </c>
      <c r="U481" s="651">
        <v>1923756</v>
      </c>
    </row>
    <row r="482" spans="1:21" x14ac:dyDescent="0.25">
      <c r="A482" s="646">
        <v>95111</v>
      </c>
      <c r="B482" s="647" t="s">
        <v>3093</v>
      </c>
      <c r="C482" s="648">
        <v>1.0709000000000001E-3</v>
      </c>
      <c r="D482" s="648">
        <v>1.1418999999999999E-3</v>
      </c>
      <c r="E482" s="649">
        <v>392359.07</v>
      </c>
      <c r="F482" s="649">
        <v>512478</v>
      </c>
      <c r="G482" s="649">
        <v>2272809</v>
      </c>
      <c r="H482" s="649"/>
      <c r="I482" s="650">
        <v>42702</v>
      </c>
      <c r="J482" s="650">
        <v>1991705</v>
      </c>
      <c r="K482" s="650">
        <v>155667</v>
      </c>
      <c r="L482" s="649">
        <v>0</v>
      </c>
      <c r="M482" s="649"/>
      <c r="N482" s="650">
        <v>79642</v>
      </c>
      <c r="O482" s="650">
        <v>735128</v>
      </c>
      <c r="P482" s="650">
        <v>0</v>
      </c>
      <c r="Q482" s="649">
        <v>161003</v>
      </c>
      <c r="R482" s="649"/>
      <c r="S482" s="650">
        <v>607488</v>
      </c>
      <c r="T482" s="651">
        <v>-55722</v>
      </c>
      <c r="U482" s="651">
        <v>551766</v>
      </c>
    </row>
    <row r="483" spans="1:21" x14ac:dyDescent="0.25">
      <c r="A483" s="646">
        <v>95113</v>
      </c>
      <c r="B483" s="647" t="s">
        <v>3094</v>
      </c>
      <c r="C483" s="648">
        <v>4.7500000000000003E-5</v>
      </c>
      <c r="D483" s="648">
        <v>4.4299999999999999E-5</v>
      </c>
      <c r="E483" s="649">
        <v>62344</v>
      </c>
      <c r="F483" s="649">
        <v>19882</v>
      </c>
      <c r="G483" s="649">
        <v>100811</v>
      </c>
      <c r="H483" s="649"/>
      <c r="I483" s="650">
        <v>1894.0625</v>
      </c>
      <c r="J483" s="650">
        <v>88342</v>
      </c>
      <c r="K483" s="650">
        <v>6905</v>
      </c>
      <c r="L483" s="649">
        <v>69845</v>
      </c>
      <c r="M483" s="649"/>
      <c r="N483" s="650">
        <v>3533</v>
      </c>
      <c r="O483" s="650">
        <v>32607</v>
      </c>
      <c r="P483" s="650">
        <v>0</v>
      </c>
      <c r="Q483" s="649">
        <v>0</v>
      </c>
      <c r="R483" s="649"/>
      <c r="S483" s="650">
        <v>26945</v>
      </c>
      <c r="T483" s="651">
        <v>22543</v>
      </c>
      <c r="U483" s="651">
        <v>49489</v>
      </c>
    </row>
    <row r="484" spans="1:21" x14ac:dyDescent="0.25">
      <c r="A484" s="646">
        <v>95121</v>
      </c>
      <c r="B484" s="647" t="s">
        <v>3095</v>
      </c>
      <c r="C484" s="648">
        <v>4.9580000000000002E-4</v>
      </c>
      <c r="D484" s="648">
        <v>4.7540000000000001E-4</v>
      </c>
      <c r="E484" s="649">
        <v>201528.43</v>
      </c>
      <c r="F484" s="649">
        <v>213357</v>
      </c>
      <c r="G484" s="649">
        <v>1052254</v>
      </c>
      <c r="H484" s="649"/>
      <c r="I484" s="650">
        <v>19770</v>
      </c>
      <c r="J484" s="650">
        <v>922110</v>
      </c>
      <c r="K484" s="650">
        <v>72070</v>
      </c>
      <c r="L484" s="649">
        <v>18227</v>
      </c>
      <c r="M484" s="649"/>
      <c r="N484" s="650">
        <v>36872</v>
      </c>
      <c r="O484" s="650">
        <v>340346</v>
      </c>
      <c r="P484" s="650">
        <v>0</v>
      </c>
      <c r="Q484" s="649">
        <v>25446.13</v>
      </c>
      <c r="R484" s="649"/>
      <c r="S484" s="650">
        <v>281252</v>
      </c>
      <c r="T484" s="651">
        <v>-7200</v>
      </c>
      <c r="U484" s="651">
        <v>274052</v>
      </c>
    </row>
    <row r="485" spans="1:21" x14ac:dyDescent="0.25">
      <c r="A485" s="646">
        <v>95122</v>
      </c>
      <c r="B485" s="647" t="s">
        <v>3096</v>
      </c>
      <c r="C485" s="648">
        <v>2.7999999999999999E-6</v>
      </c>
      <c r="D485" s="648">
        <v>3.3000000000000002E-6</v>
      </c>
      <c r="E485" s="649">
        <v>2740.07</v>
      </c>
      <c r="F485" s="649">
        <v>1481</v>
      </c>
      <c r="G485" s="649">
        <v>5943</v>
      </c>
      <c r="H485" s="649"/>
      <c r="I485" s="650">
        <v>112</v>
      </c>
      <c r="J485" s="650">
        <v>5208</v>
      </c>
      <c r="K485" s="650">
        <v>407</v>
      </c>
      <c r="L485" s="649">
        <v>1558</v>
      </c>
      <c r="M485" s="649"/>
      <c r="N485" s="650">
        <v>208</v>
      </c>
      <c r="O485" s="650">
        <v>1922</v>
      </c>
      <c r="P485" s="650">
        <v>0</v>
      </c>
      <c r="Q485" s="649">
        <v>0</v>
      </c>
      <c r="R485" s="649"/>
      <c r="S485" s="650">
        <v>1588</v>
      </c>
      <c r="T485" s="651">
        <v>459</v>
      </c>
      <c r="U485" s="651">
        <v>2048</v>
      </c>
    </row>
    <row r="486" spans="1:21" x14ac:dyDescent="0.25">
      <c r="A486" s="646">
        <v>95123</v>
      </c>
      <c r="B486" s="647" t="s">
        <v>3097</v>
      </c>
      <c r="C486" s="648">
        <v>5.6700000000000003E-5</v>
      </c>
      <c r="D486" s="648">
        <v>5.1199999999999998E-5</v>
      </c>
      <c r="E486" s="649">
        <v>25666.18</v>
      </c>
      <c r="F486" s="649">
        <v>22978</v>
      </c>
      <c r="G486" s="649">
        <v>120336</v>
      </c>
      <c r="H486" s="649"/>
      <c r="I486" s="650">
        <v>2261</v>
      </c>
      <c r="J486" s="650">
        <v>105453</v>
      </c>
      <c r="K486" s="650">
        <v>8242</v>
      </c>
      <c r="L486" s="649">
        <v>8689</v>
      </c>
      <c r="M486" s="649"/>
      <c r="N486" s="650">
        <v>4217</v>
      </c>
      <c r="O486" s="650">
        <v>38922</v>
      </c>
      <c r="P486" s="650">
        <v>0</v>
      </c>
      <c r="Q486" s="649">
        <v>2933.26</v>
      </c>
      <c r="R486" s="649"/>
      <c r="S486" s="650">
        <v>32164</v>
      </c>
      <c r="T486" s="651">
        <v>1144</v>
      </c>
      <c r="U486" s="651">
        <v>33309</v>
      </c>
    </row>
    <row r="487" spans="1:21" x14ac:dyDescent="0.25">
      <c r="A487" s="646">
        <v>95131</v>
      </c>
      <c r="B487" s="647" t="s">
        <v>3098</v>
      </c>
      <c r="C487" s="648">
        <v>1.5451E-3</v>
      </c>
      <c r="D487" s="648">
        <v>1.4713E-3</v>
      </c>
      <c r="E487" s="649">
        <v>607661.46</v>
      </c>
      <c r="F487" s="649">
        <v>660311</v>
      </c>
      <c r="G487" s="649">
        <v>3279220</v>
      </c>
      <c r="H487" s="649"/>
      <c r="I487" s="650">
        <v>61611</v>
      </c>
      <c r="J487" s="650">
        <v>2873642</v>
      </c>
      <c r="K487" s="650">
        <v>224597</v>
      </c>
      <c r="L487" s="649">
        <v>53573</v>
      </c>
      <c r="M487" s="649"/>
      <c r="N487" s="650">
        <v>114908</v>
      </c>
      <c r="O487" s="650">
        <v>1060646</v>
      </c>
      <c r="P487" s="650">
        <v>0</v>
      </c>
      <c r="Q487" s="649">
        <v>1701</v>
      </c>
      <c r="R487" s="649"/>
      <c r="S487" s="650">
        <v>876487</v>
      </c>
      <c r="T487" s="651">
        <v>16429</v>
      </c>
      <c r="U487" s="651">
        <v>892916</v>
      </c>
    </row>
    <row r="488" spans="1:21" x14ac:dyDescent="0.25">
      <c r="A488" s="646">
        <v>95141</v>
      </c>
      <c r="B488" s="647" t="s">
        <v>3099</v>
      </c>
      <c r="C488" s="648">
        <v>3.1819999999999998E-4</v>
      </c>
      <c r="D488" s="648">
        <v>2.99E-4</v>
      </c>
      <c r="E488" s="649">
        <v>115455.16</v>
      </c>
      <c r="F488" s="649">
        <v>134189</v>
      </c>
      <c r="G488" s="649">
        <v>675327</v>
      </c>
      <c r="H488" s="649"/>
      <c r="I488" s="650">
        <v>12688</v>
      </c>
      <c r="J488" s="650">
        <v>591802</v>
      </c>
      <c r="K488" s="650">
        <v>46254</v>
      </c>
      <c r="L488" s="649">
        <v>2515.36</v>
      </c>
      <c r="M488" s="649"/>
      <c r="N488" s="650">
        <v>23664</v>
      </c>
      <c r="O488" s="650">
        <v>218431</v>
      </c>
      <c r="P488" s="650">
        <v>0</v>
      </c>
      <c r="Q488" s="649">
        <v>28114</v>
      </c>
      <c r="R488" s="649"/>
      <c r="S488" s="650">
        <v>180505</v>
      </c>
      <c r="T488" s="651">
        <v>-8530</v>
      </c>
      <c r="U488" s="651">
        <v>171975</v>
      </c>
    </row>
    <row r="489" spans="1:21" x14ac:dyDescent="0.25">
      <c r="A489" s="646">
        <v>95151</v>
      </c>
      <c r="B489" s="647" t="s">
        <v>3100</v>
      </c>
      <c r="C489" s="648">
        <v>1.158E-4</v>
      </c>
      <c r="D489" s="648">
        <v>1.05E-4</v>
      </c>
      <c r="E489" s="649">
        <v>39583.1</v>
      </c>
      <c r="F489" s="649">
        <v>47123.37</v>
      </c>
      <c r="G489" s="649">
        <v>245766</v>
      </c>
      <c r="H489" s="649"/>
      <c r="I489" s="650">
        <v>4618</v>
      </c>
      <c r="J489" s="650">
        <v>215370</v>
      </c>
      <c r="K489" s="650">
        <v>16833</v>
      </c>
      <c r="L489" s="649">
        <v>732.32</v>
      </c>
      <c r="M489" s="649"/>
      <c r="N489" s="650">
        <v>8612</v>
      </c>
      <c r="O489" s="650">
        <v>79492</v>
      </c>
      <c r="P489" s="650">
        <v>0</v>
      </c>
      <c r="Q489" s="649">
        <v>5502</v>
      </c>
      <c r="R489" s="649"/>
      <c r="S489" s="650">
        <v>65690</v>
      </c>
      <c r="T489" s="651">
        <v>-1532</v>
      </c>
      <c r="U489" s="651">
        <v>64158</v>
      </c>
    </row>
    <row r="490" spans="1:21" x14ac:dyDescent="0.25">
      <c r="A490" s="646">
        <v>95161</v>
      </c>
      <c r="B490" s="647" t="s">
        <v>3101</v>
      </c>
      <c r="C490" s="648">
        <v>7.4800000000000002E-5</v>
      </c>
      <c r="D490" s="648">
        <v>7.0599999999999995E-5</v>
      </c>
      <c r="E490" s="649">
        <v>34992</v>
      </c>
      <c r="F490" s="649">
        <v>31685</v>
      </c>
      <c r="G490" s="649">
        <v>158751</v>
      </c>
      <c r="H490" s="649"/>
      <c r="I490" s="650">
        <v>2982.65</v>
      </c>
      <c r="J490" s="650">
        <v>139116</v>
      </c>
      <c r="K490" s="650">
        <v>10873</v>
      </c>
      <c r="L490" s="649">
        <v>6290</v>
      </c>
      <c r="M490" s="649"/>
      <c r="N490" s="650">
        <v>5563</v>
      </c>
      <c r="O490" s="650">
        <v>51347</v>
      </c>
      <c r="P490" s="650">
        <v>0</v>
      </c>
      <c r="Q490" s="649">
        <v>2096</v>
      </c>
      <c r="R490" s="649"/>
      <c r="S490" s="650">
        <v>42432</v>
      </c>
      <c r="T490" s="651">
        <v>1046</v>
      </c>
      <c r="U490" s="651">
        <v>43477</v>
      </c>
    </row>
    <row r="491" spans="1:21" x14ac:dyDescent="0.25">
      <c r="A491" s="646">
        <v>95171</v>
      </c>
      <c r="B491" s="647" t="s">
        <v>3102</v>
      </c>
      <c r="C491" s="648">
        <v>1.2300000000000001E-4</v>
      </c>
      <c r="D491" s="648">
        <v>1.2740000000000001E-4</v>
      </c>
      <c r="E491" s="649">
        <v>48393.279999999999</v>
      </c>
      <c r="F491" s="649">
        <v>57176</v>
      </c>
      <c r="G491" s="649">
        <v>261047</v>
      </c>
      <c r="H491" s="649"/>
      <c r="I491" s="650">
        <v>4904.625</v>
      </c>
      <c r="J491" s="650">
        <v>228761</v>
      </c>
      <c r="K491" s="650">
        <v>17879</v>
      </c>
      <c r="L491" s="649">
        <v>10389</v>
      </c>
      <c r="M491" s="649"/>
      <c r="N491" s="650">
        <v>9147</v>
      </c>
      <c r="O491" s="650">
        <v>84434</v>
      </c>
      <c r="P491" s="650">
        <v>0</v>
      </c>
      <c r="Q491" s="649">
        <v>12793</v>
      </c>
      <c r="R491" s="649"/>
      <c r="S491" s="650">
        <v>69774</v>
      </c>
      <c r="T491" s="651">
        <v>-1741</v>
      </c>
      <c r="U491" s="651">
        <v>68033</v>
      </c>
    </row>
    <row r="492" spans="1:21" x14ac:dyDescent="0.25">
      <c r="A492" s="646">
        <v>95181</v>
      </c>
      <c r="B492" s="647" t="s">
        <v>3103</v>
      </c>
      <c r="C492" s="648">
        <v>7.7899999999999996E-5</v>
      </c>
      <c r="D492" s="648">
        <v>8.0400000000000003E-5</v>
      </c>
      <c r="E492" s="649">
        <v>26255</v>
      </c>
      <c r="F492" s="649">
        <v>36083</v>
      </c>
      <c r="G492" s="649">
        <v>165330</v>
      </c>
      <c r="H492" s="649"/>
      <c r="I492" s="650">
        <v>3106</v>
      </c>
      <c r="J492" s="650">
        <v>144882</v>
      </c>
      <c r="K492" s="650">
        <v>11324</v>
      </c>
      <c r="L492" s="649">
        <v>1657</v>
      </c>
      <c r="M492" s="649"/>
      <c r="N492" s="650">
        <v>5793</v>
      </c>
      <c r="O492" s="650">
        <v>53475</v>
      </c>
      <c r="P492" s="650">
        <v>0</v>
      </c>
      <c r="Q492" s="649">
        <v>6539</v>
      </c>
      <c r="R492" s="649"/>
      <c r="S492" s="650">
        <v>44190</v>
      </c>
      <c r="T492" s="651">
        <v>-1251</v>
      </c>
      <c r="U492" s="651">
        <v>42939</v>
      </c>
    </row>
    <row r="493" spans="1:21" x14ac:dyDescent="0.25">
      <c r="A493" s="646">
        <v>95191</v>
      </c>
      <c r="B493" s="647" t="s">
        <v>3104</v>
      </c>
      <c r="C493" s="648">
        <v>5.3999999999999998E-5</v>
      </c>
      <c r="D493" s="648">
        <v>7.9099999999999998E-5</v>
      </c>
      <c r="E493" s="649">
        <v>30331.53</v>
      </c>
      <c r="F493" s="649">
        <v>35500</v>
      </c>
      <c r="G493" s="649">
        <v>114606.09</v>
      </c>
      <c r="H493" s="649"/>
      <c r="I493" s="650">
        <v>2153.25</v>
      </c>
      <c r="J493" s="650">
        <v>100431</v>
      </c>
      <c r="K493" s="650">
        <v>7849</v>
      </c>
      <c r="L493" s="649">
        <v>12291</v>
      </c>
      <c r="M493" s="649"/>
      <c r="N493" s="650">
        <v>4016</v>
      </c>
      <c r="O493" s="650">
        <v>37069</v>
      </c>
      <c r="P493" s="650">
        <v>0</v>
      </c>
      <c r="Q493" s="649">
        <v>7144</v>
      </c>
      <c r="R493" s="649"/>
      <c r="S493" s="650">
        <v>30633</v>
      </c>
      <c r="T493" s="651">
        <v>3134</v>
      </c>
      <c r="U493" s="651">
        <v>33767</v>
      </c>
    </row>
    <row r="494" spans="1:21" x14ac:dyDescent="0.25">
      <c r="A494" s="646">
        <v>95201</v>
      </c>
      <c r="B494" s="647" t="s">
        <v>3105</v>
      </c>
      <c r="C494" s="648">
        <v>6.8329999999999997E-4</v>
      </c>
      <c r="D494" s="648">
        <v>6.3000000000000003E-4</v>
      </c>
      <c r="E494" s="649">
        <v>255294</v>
      </c>
      <c r="F494" s="649">
        <v>282740</v>
      </c>
      <c r="G494" s="649">
        <v>1450192</v>
      </c>
      <c r="H494" s="649"/>
      <c r="I494" s="650">
        <v>27247</v>
      </c>
      <c r="J494" s="650">
        <v>1270830</v>
      </c>
      <c r="K494" s="650">
        <v>99325</v>
      </c>
      <c r="L494" s="649">
        <v>8455</v>
      </c>
      <c r="M494" s="649"/>
      <c r="N494" s="650">
        <v>50816</v>
      </c>
      <c r="O494" s="650">
        <v>469057</v>
      </c>
      <c r="P494" s="650">
        <v>0</v>
      </c>
      <c r="Q494" s="649">
        <v>33064</v>
      </c>
      <c r="R494" s="649"/>
      <c r="S494" s="650">
        <v>387615</v>
      </c>
      <c r="T494" s="651">
        <v>-9716</v>
      </c>
      <c r="U494" s="651">
        <v>377899</v>
      </c>
    </row>
    <row r="495" spans="1:21" x14ac:dyDescent="0.25">
      <c r="A495" s="646">
        <v>95204</v>
      </c>
      <c r="B495" s="647" t="s">
        <v>3106</v>
      </c>
      <c r="C495" s="648">
        <v>1.1600000000000001E-5</v>
      </c>
      <c r="D495" s="648">
        <v>1.49E-5</v>
      </c>
      <c r="E495" s="649">
        <v>6020</v>
      </c>
      <c r="F495" s="649">
        <v>6687</v>
      </c>
      <c r="G495" s="649">
        <v>24619</v>
      </c>
      <c r="H495" s="649"/>
      <c r="I495" s="650">
        <v>462.55</v>
      </c>
      <c r="J495" s="650">
        <v>21574</v>
      </c>
      <c r="K495" s="650">
        <v>1686</v>
      </c>
      <c r="L495" s="649">
        <v>0</v>
      </c>
      <c r="M495" s="649"/>
      <c r="N495" s="650">
        <v>863</v>
      </c>
      <c r="O495" s="650">
        <v>7963</v>
      </c>
      <c r="P495" s="650">
        <v>0</v>
      </c>
      <c r="Q495" s="649">
        <v>1794</v>
      </c>
      <c r="R495" s="649"/>
      <c r="S495" s="650">
        <v>6580</v>
      </c>
      <c r="T495" s="651">
        <v>-651</v>
      </c>
      <c r="U495" s="651">
        <v>5930</v>
      </c>
    </row>
    <row r="496" spans="1:21" x14ac:dyDescent="0.25">
      <c r="A496" s="646">
        <v>95205</v>
      </c>
      <c r="B496" s="647" t="s">
        <v>3107</v>
      </c>
      <c r="C496" s="648">
        <v>4.7999999999999998E-6</v>
      </c>
      <c r="D496" s="648">
        <v>5.0000000000000004E-6</v>
      </c>
      <c r="E496" s="649">
        <v>2441</v>
      </c>
      <c r="F496" s="649">
        <v>2244</v>
      </c>
      <c r="G496" s="649">
        <v>10187</v>
      </c>
      <c r="H496" s="649"/>
      <c r="I496" s="650">
        <v>191</v>
      </c>
      <c r="J496" s="650">
        <v>8927</v>
      </c>
      <c r="K496" s="650">
        <v>698</v>
      </c>
      <c r="L496" s="649">
        <v>779</v>
      </c>
      <c r="M496" s="649"/>
      <c r="N496" s="650">
        <v>357</v>
      </c>
      <c r="O496" s="650">
        <v>3295</v>
      </c>
      <c r="P496" s="650">
        <v>0</v>
      </c>
      <c r="Q496" s="649">
        <v>0</v>
      </c>
      <c r="R496" s="649"/>
      <c r="S496" s="650">
        <v>2723</v>
      </c>
      <c r="T496" s="651">
        <v>284</v>
      </c>
      <c r="U496" s="651">
        <v>3007</v>
      </c>
    </row>
    <row r="497" spans="1:21" x14ac:dyDescent="0.25">
      <c r="A497" s="646">
        <v>95211</v>
      </c>
      <c r="B497" s="647" t="s">
        <v>3108</v>
      </c>
      <c r="C497" s="648">
        <v>9.2E-6</v>
      </c>
      <c r="D497" s="648">
        <v>5.9000000000000003E-6</v>
      </c>
      <c r="E497" s="649">
        <v>4005</v>
      </c>
      <c r="F497" s="649">
        <v>2648</v>
      </c>
      <c r="G497" s="649">
        <v>19525</v>
      </c>
      <c r="H497" s="649"/>
      <c r="I497" s="650">
        <v>366.85</v>
      </c>
      <c r="J497" s="650">
        <v>17111</v>
      </c>
      <c r="K497" s="650">
        <v>1337</v>
      </c>
      <c r="L497" s="649">
        <v>1964</v>
      </c>
      <c r="M497" s="649"/>
      <c r="N497" s="650">
        <v>684</v>
      </c>
      <c r="O497" s="650">
        <v>6315</v>
      </c>
      <c r="P497" s="650">
        <v>0</v>
      </c>
      <c r="Q497" s="649">
        <v>1957</v>
      </c>
      <c r="R497" s="649"/>
      <c r="S497" s="650">
        <v>5219</v>
      </c>
      <c r="T497" s="651">
        <v>-462</v>
      </c>
      <c r="U497" s="651">
        <v>4757</v>
      </c>
    </row>
    <row r="498" spans="1:21" x14ac:dyDescent="0.25">
      <c r="A498" s="646">
        <v>95221</v>
      </c>
      <c r="B498" s="647" t="s">
        <v>3109</v>
      </c>
      <c r="C498" s="648">
        <v>1.6900000000000001E-5</v>
      </c>
      <c r="D498" s="648">
        <v>4.5099999999999998E-5</v>
      </c>
      <c r="E498" s="649">
        <v>14058.05</v>
      </c>
      <c r="F498" s="649">
        <v>20241</v>
      </c>
      <c r="G498" s="649">
        <v>35867</v>
      </c>
      <c r="H498" s="649"/>
      <c r="I498" s="650">
        <v>673.88750000000005</v>
      </c>
      <c r="J498" s="650">
        <v>31431</v>
      </c>
      <c r="K498" s="650">
        <v>2457</v>
      </c>
      <c r="L498" s="649">
        <v>5443</v>
      </c>
      <c r="M498" s="649"/>
      <c r="N498" s="650">
        <v>1257</v>
      </c>
      <c r="O498" s="650">
        <v>11601</v>
      </c>
      <c r="P498" s="650">
        <v>0</v>
      </c>
      <c r="Q498" s="649">
        <v>16082</v>
      </c>
      <c r="R498" s="649"/>
      <c r="S498" s="650">
        <v>9587</v>
      </c>
      <c r="T498" s="651">
        <v>-2048</v>
      </c>
      <c r="U498" s="651">
        <v>7539</v>
      </c>
    </row>
    <row r="499" spans="1:21" x14ac:dyDescent="0.25">
      <c r="A499" s="646">
        <v>95301</v>
      </c>
      <c r="B499" s="647" t="s">
        <v>3110</v>
      </c>
      <c r="C499" s="648">
        <v>2.4063999999999999E-3</v>
      </c>
      <c r="D499" s="648">
        <v>2.3544E-3</v>
      </c>
      <c r="E499" s="649">
        <v>972446</v>
      </c>
      <c r="F499" s="649">
        <v>1056641</v>
      </c>
      <c r="G499" s="649">
        <v>5107187</v>
      </c>
      <c r="H499" s="649"/>
      <c r="I499" s="650">
        <v>95955.199999999997</v>
      </c>
      <c r="J499" s="650">
        <v>4475524</v>
      </c>
      <c r="K499" s="650">
        <v>349797</v>
      </c>
      <c r="L499" s="649">
        <v>72796</v>
      </c>
      <c r="M499" s="649"/>
      <c r="N499" s="650">
        <v>178962</v>
      </c>
      <c r="O499" s="650">
        <v>1651893</v>
      </c>
      <c r="P499" s="650">
        <v>0</v>
      </c>
      <c r="Q499" s="649">
        <v>22569</v>
      </c>
      <c r="R499" s="649"/>
      <c r="S499" s="650">
        <v>1365076</v>
      </c>
      <c r="T499" s="651">
        <v>13085</v>
      </c>
      <c r="U499" s="651">
        <v>1378161</v>
      </c>
    </row>
    <row r="500" spans="1:21" x14ac:dyDescent="0.25">
      <c r="A500" s="646">
        <v>95311</v>
      </c>
      <c r="B500" s="647" t="s">
        <v>3111</v>
      </c>
      <c r="C500" s="648">
        <v>2.6841999999999999E-3</v>
      </c>
      <c r="D500" s="648">
        <v>2.9946E-3</v>
      </c>
      <c r="E500" s="649">
        <v>1161820.17</v>
      </c>
      <c r="F500" s="649">
        <v>1343959</v>
      </c>
      <c r="G500" s="649">
        <v>5696772</v>
      </c>
      <c r="H500" s="649"/>
      <c r="I500" s="650">
        <v>107032</v>
      </c>
      <c r="J500" s="650">
        <v>4992188</v>
      </c>
      <c r="K500" s="650">
        <v>390178</v>
      </c>
      <c r="L500" s="649">
        <v>8404</v>
      </c>
      <c r="M500" s="649"/>
      <c r="N500" s="650">
        <v>199621</v>
      </c>
      <c r="O500" s="650">
        <v>1842591</v>
      </c>
      <c r="P500" s="650">
        <v>0</v>
      </c>
      <c r="Q500" s="649">
        <v>175770</v>
      </c>
      <c r="R500" s="649"/>
      <c r="S500" s="650">
        <v>1522663</v>
      </c>
      <c r="T500" s="651">
        <v>-55618</v>
      </c>
      <c r="U500" s="651">
        <v>1467045</v>
      </c>
    </row>
    <row r="501" spans="1:21" x14ac:dyDescent="0.25">
      <c r="A501" s="646">
        <v>95317</v>
      </c>
      <c r="B501" s="647" t="s">
        <v>3112</v>
      </c>
      <c r="C501" s="648">
        <v>5.1400000000000003E-5</v>
      </c>
      <c r="D501" s="648">
        <v>5.3900000000000002E-5</v>
      </c>
      <c r="E501" s="649">
        <v>25005</v>
      </c>
      <c r="F501" s="649">
        <v>24190</v>
      </c>
      <c r="G501" s="649">
        <v>109088</v>
      </c>
      <c r="H501" s="649"/>
      <c r="I501" s="650">
        <v>2050</v>
      </c>
      <c r="J501" s="650">
        <v>95596</v>
      </c>
      <c r="K501" s="650">
        <v>7472</v>
      </c>
      <c r="L501" s="649">
        <v>5874</v>
      </c>
      <c r="M501" s="649"/>
      <c r="N501" s="650">
        <v>3823</v>
      </c>
      <c r="O501" s="650">
        <v>35284</v>
      </c>
      <c r="P501" s="650">
        <v>0</v>
      </c>
      <c r="Q501" s="649">
        <v>75.62</v>
      </c>
      <c r="R501" s="649"/>
      <c r="S501" s="650">
        <v>29158</v>
      </c>
      <c r="T501" s="651">
        <v>1881</v>
      </c>
      <c r="U501" s="651">
        <v>31039</v>
      </c>
    </row>
    <row r="502" spans="1:21" x14ac:dyDescent="0.25">
      <c r="A502" s="646">
        <v>95321</v>
      </c>
      <c r="B502" s="647" t="s">
        <v>3113</v>
      </c>
      <c r="C502" s="648">
        <v>5.7000000000000003E-5</v>
      </c>
      <c r="D502" s="648">
        <v>5.6499999999999998E-5</v>
      </c>
      <c r="E502" s="649">
        <v>24286.95</v>
      </c>
      <c r="F502" s="649">
        <v>25357</v>
      </c>
      <c r="G502" s="649">
        <v>120973</v>
      </c>
      <c r="H502" s="649"/>
      <c r="I502" s="650">
        <v>2272.875</v>
      </c>
      <c r="J502" s="650">
        <v>106011</v>
      </c>
      <c r="K502" s="650">
        <v>8286</v>
      </c>
      <c r="L502" s="649">
        <v>4716</v>
      </c>
      <c r="M502" s="649"/>
      <c r="N502" s="650">
        <v>4239</v>
      </c>
      <c r="O502" s="650">
        <v>39128</v>
      </c>
      <c r="P502" s="650">
        <v>0</v>
      </c>
      <c r="Q502" s="649">
        <v>0</v>
      </c>
      <c r="R502" s="649"/>
      <c r="S502" s="650">
        <v>32334</v>
      </c>
      <c r="T502" s="651">
        <v>1628</v>
      </c>
      <c r="U502" s="651">
        <v>33963</v>
      </c>
    </row>
    <row r="503" spans="1:21" x14ac:dyDescent="0.25">
      <c r="A503" s="646">
        <v>95401</v>
      </c>
      <c r="B503" s="647" t="s">
        <v>3114</v>
      </c>
      <c r="C503" s="648">
        <v>2.9979999999999998E-3</v>
      </c>
      <c r="D503" s="648">
        <v>2.8663999999999999E-3</v>
      </c>
      <c r="E503" s="649">
        <v>1170186.01</v>
      </c>
      <c r="F503" s="649">
        <v>1286423</v>
      </c>
      <c r="G503" s="649">
        <v>6362760</v>
      </c>
      <c r="H503" s="649"/>
      <c r="I503" s="650">
        <v>119545</v>
      </c>
      <c r="J503" s="650">
        <v>5575806</v>
      </c>
      <c r="K503" s="650">
        <v>435792</v>
      </c>
      <c r="L503" s="649">
        <v>42759</v>
      </c>
      <c r="M503" s="649"/>
      <c r="N503" s="650">
        <v>222958</v>
      </c>
      <c r="O503" s="650">
        <v>2058001</v>
      </c>
      <c r="P503" s="650">
        <v>0</v>
      </c>
      <c r="Q503" s="649">
        <v>0</v>
      </c>
      <c r="R503" s="649"/>
      <c r="S503" s="650">
        <v>1700672</v>
      </c>
      <c r="T503" s="651">
        <v>15064</v>
      </c>
      <c r="U503" s="651">
        <v>1715737</v>
      </c>
    </row>
    <row r="504" spans="1:21" x14ac:dyDescent="0.25">
      <c r="A504" s="646">
        <v>95404</v>
      </c>
      <c r="B504" s="647" t="s">
        <v>3115</v>
      </c>
      <c r="C504" s="648">
        <v>4.9799999999999998E-5</v>
      </c>
      <c r="D504" s="648">
        <v>3.4999999999999997E-5</v>
      </c>
      <c r="E504" s="649">
        <v>17582</v>
      </c>
      <c r="F504" s="649">
        <v>15708</v>
      </c>
      <c r="G504" s="649">
        <v>105692</v>
      </c>
      <c r="H504" s="649"/>
      <c r="I504" s="650">
        <v>1986</v>
      </c>
      <c r="J504" s="650">
        <v>92620</v>
      </c>
      <c r="K504" s="650">
        <v>7239</v>
      </c>
      <c r="L504" s="649">
        <v>6596</v>
      </c>
      <c r="M504" s="649"/>
      <c r="N504" s="650">
        <v>3704</v>
      </c>
      <c r="O504" s="650">
        <v>34186</v>
      </c>
      <c r="P504" s="650">
        <v>0</v>
      </c>
      <c r="Q504" s="649">
        <v>0</v>
      </c>
      <c r="R504" s="649"/>
      <c r="S504" s="650">
        <v>28250</v>
      </c>
      <c r="T504" s="651">
        <v>1847</v>
      </c>
      <c r="U504" s="651">
        <v>30097</v>
      </c>
    </row>
    <row r="505" spans="1:21" x14ac:dyDescent="0.25">
      <c r="A505" s="646">
        <v>95405</v>
      </c>
      <c r="B505" s="647" t="s">
        <v>3116</v>
      </c>
      <c r="C505" s="648">
        <v>1.84E-5</v>
      </c>
      <c r="D505" s="648">
        <v>1.7E-5</v>
      </c>
      <c r="E505" s="649">
        <v>15271</v>
      </c>
      <c r="F505" s="649">
        <v>7629</v>
      </c>
      <c r="G505" s="649">
        <v>39051</v>
      </c>
      <c r="H505" s="649"/>
      <c r="I505" s="650">
        <v>733.7</v>
      </c>
      <c r="J505" s="650">
        <v>34221</v>
      </c>
      <c r="K505" s="650">
        <v>2675</v>
      </c>
      <c r="L505" s="649">
        <v>12414</v>
      </c>
      <c r="M505" s="649"/>
      <c r="N505" s="650">
        <v>1368</v>
      </c>
      <c r="O505" s="650">
        <v>12631</v>
      </c>
      <c r="P505" s="650">
        <v>0</v>
      </c>
      <c r="Q505" s="649">
        <v>0</v>
      </c>
      <c r="R505" s="649"/>
      <c r="S505" s="650">
        <v>10438</v>
      </c>
      <c r="T505" s="651">
        <v>3754</v>
      </c>
      <c r="U505" s="651">
        <v>14192</v>
      </c>
    </row>
    <row r="506" spans="1:21" x14ac:dyDescent="0.25">
      <c r="A506" s="646">
        <v>95411</v>
      </c>
      <c r="B506" s="647" t="s">
        <v>3117</v>
      </c>
      <c r="C506" s="648">
        <v>2.3272000000000002E-3</v>
      </c>
      <c r="D506" s="648">
        <v>2.3019E-3</v>
      </c>
      <c r="E506" s="649">
        <v>960134</v>
      </c>
      <c r="F506" s="649">
        <v>1033079</v>
      </c>
      <c r="G506" s="649">
        <v>4939098</v>
      </c>
      <c r="H506" s="649"/>
      <c r="I506" s="650">
        <v>92797.1</v>
      </c>
      <c r="J506" s="650">
        <v>4328224</v>
      </c>
      <c r="K506" s="650">
        <v>338284</v>
      </c>
      <c r="L506" s="649">
        <v>19324</v>
      </c>
      <c r="M506" s="649"/>
      <c r="N506" s="650">
        <v>173072</v>
      </c>
      <c r="O506" s="650">
        <v>1597525</v>
      </c>
      <c r="P506" s="650">
        <v>0</v>
      </c>
      <c r="Q506" s="649">
        <v>37438</v>
      </c>
      <c r="R506" s="649"/>
      <c r="S506" s="650">
        <v>1320148</v>
      </c>
      <c r="T506" s="651">
        <v>-13504</v>
      </c>
      <c r="U506" s="651">
        <v>1306644</v>
      </c>
    </row>
    <row r="507" spans="1:21" x14ac:dyDescent="0.25">
      <c r="A507" s="646">
        <v>95412</v>
      </c>
      <c r="B507" s="647" t="s">
        <v>3118</v>
      </c>
      <c r="C507" s="648">
        <v>0</v>
      </c>
      <c r="D507" s="648">
        <v>0</v>
      </c>
      <c r="E507" s="649">
        <v>0</v>
      </c>
      <c r="F507" s="649">
        <v>0</v>
      </c>
      <c r="G507" s="649">
        <v>0</v>
      </c>
      <c r="H507" s="649"/>
      <c r="I507" s="650">
        <v>0</v>
      </c>
      <c r="J507" s="650">
        <v>0</v>
      </c>
      <c r="K507" s="650">
        <v>0</v>
      </c>
      <c r="L507" s="649">
        <v>0</v>
      </c>
      <c r="M507" s="649"/>
      <c r="N507" s="650">
        <v>0</v>
      </c>
      <c r="O507" s="650">
        <v>0</v>
      </c>
      <c r="P507" s="650">
        <v>0</v>
      </c>
      <c r="Q507" s="649">
        <v>46349</v>
      </c>
      <c r="R507" s="649"/>
      <c r="S507" s="650">
        <v>0</v>
      </c>
      <c r="T507" s="651">
        <v>-18518</v>
      </c>
      <c r="U507" s="651">
        <v>-18518</v>
      </c>
    </row>
    <row r="508" spans="1:21" x14ac:dyDescent="0.25">
      <c r="A508" s="646">
        <v>95413</v>
      </c>
      <c r="B508" s="647" t="s">
        <v>3119</v>
      </c>
      <c r="C508" s="648">
        <v>2.945E-4</v>
      </c>
      <c r="D508" s="648">
        <v>2.9579999999999998E-4</v>
      </c>
      <c r="E508" s="649">
        <v>262975</v>
      </c>
      <c r="F508" s="649">
        <v>132753</v>
      </c>
      <c r="G508" s="649">
        <v>625028</v>
      </c>
      <c r="H508" s="649"/>
      <c r="I508" s="650">
        <v>11743.1875</v>
      </c>
      <c r="J508" s="650">
        <v>547723</v>
      </c>
      <c r="K508" s="650">
        <v>42809</v>
      </c>
      <c r="L508" s="649">
        <v>198118</v>
      </c>
      <c r="M508" s="649"/>
      <c r="N508" s="650">
        <v>21902</v>
      </c>
      <c r="O508" s="650">
        <v>202162</v>
      </c>
      <c r="P508" s="650">
        <v>0</v>
      </c>
      <c r="Q508" s="649">
        <v>18897.04</v>
      </c>
      <c r="R508" s="649"/>
      <c r="S508" s="650">
        <v>167061</v>
      </c>
      <c r="T508" s="651">
        <v>50061</v>
      </c>
      <c r="U508" s="651">
        <v>217122</v>
      </c>
    </row>
    <row r="509" spans="1:21" x14ac:dyDescent="0.25">
      <c r="A509" s="646">
        <v>95415</v>
      </c>
      <c r="B509" s="647" t="s">
        <v>3120</v>
      </c>
      <c r="C509" s="648">
        <v>7.9499999999999994E-5</v>
      </c>
      <c r="D509" s="648">
        <v>7.6600000000000005E-5</v>
      </c>
      <c r="E509" s="649">
        <v>28617</v>
      </c>
      <c r="F509" s="649">
        <v>34378</v>
      </c>
      <c r="G509" s="649">
        <v>168726</v>
      </c>
      <c r="H509" s="649"/>
      <c r="I509" s="650">
        <v>3170.0625</v>
      </c>
      <c r="J509" s="650">
        <v>147857</v>
      </c>
      <c r="K509" s="650">
        <v>11556</v>
      </c>
      <c r="L509" s="649">
        <v>10656.45</v>
      </c>
      <c r="M509" s="649"/>
      <c r="N509" s="650">
        <v>5912</v>
      </c>
      <c r="O509" s="650">
        <v>54573</v>
      </c>
      <c r="P509" s="650">
        <v>0</v>
      </c>
      <c r="Q509" s="649">
        <v>7763</v>
      </c>
      <c r="R509" s="649"/>
      <c r="S509" s="650">
        <v>45098</v>
      </c>
      <c r="T509" s="651">
        <v>2762</v>
      </c>
      <c r="U509" s="651">
        <v>47859</v>
      </c>
    </row>
    <row r="510" spans="1:21" x14ac:dyDescent="0.25">
      <c r="A510" s="646">
        <v>95421</v>
      </c>
      <c r="B510" s="647" t="s">
        <v>3121</v>
      </c>
      <c r="C510" s="648">
        <v>3.9100000000000002E-5</v>
      </c>
      <c r="D510" s="648">
        <v>5.1E-5</v>
      </c>
      <c r="E510" s="649">
        <v>15644</v>
      </c>
      <c r="F510" s="649">
        <v>22888</v>
      </c>
      <c r="G510" s="649">
        <v>82983</v>
      </c>
      <c r="H510" s="649"/>
      <c r="I510" s="650">
        <v>1559</v>
      </c>
      <c r="J510" s="650">
        <v>72720</v>
      </c>
      <c r="K510" s="650">
        <v>5684</v>
      </c>
      <c r="L510" s="649">
        <v>0</v>
      </c>
      <c r="M510" s="649"/>
      <c r="N510" s="650">
        <v>2908</v>
      </c>
      <c r="O510" s="650">
        <v>26841</v>
      </c>
      <c r="P510" s="650">
        <v>0</v>
      </c>
      <c r="Q510" s="649">
        <v>14322</v>
      </c>
      <c r="R510" s="649"/>
      <c r="S510" s="650">
        <v>22180</v>
      </c>
      <c r="T510" s="651">
        <v>-4969</v>
      </c>
      <c r="U510" s="651">
        <v>17211</v>
      </c>
    </row>
    <row r="511" spans="1:21" x14ac:dyDescent="0.25">
      <c r="A511" s="646">
        <v>95431</v>
      </c>
      <c r="B511" s="647" t="s">
        <v>3122</v>
      </c>
      <c r="C511" s="648">
        <v>1.8009999999999999E-4</v>
      </c>
      <c r="D511" s="648">
        <v>1.7249999999999999E-4</v>
      </c>
      <c r="E511" s="649">
        <v>59568.97</v>
      </c>
      <c r="F511" s="649">
        <v>77417</v>
      </c>
      <c r="G511" s="649">
        <v>382233</v>
      </c>
      <c r="H511" s="649"/>
      <c r="I511" s="650">
        <v>7181</v>
      </c>
      <c r="J511" s="650">
        <v>334958</v>
      </c>
      <c r="K511" s="650">
        <v>26180</v>
      </c>
      <c r="L511" s="649">
        <v>450</v>
      </c>
      <c r="M511" s="649"/>
      <c r="N511" s="650">
        <v>13394</v>
      </c>
      <c r="O511" s="650">
        <v>123631</v>
      </c>
      <c r="P511" s="650">
        <v>0</v>
      </c>
      <c r="Q511" s="649">
        <v>13081</v>
      </c>
      <c r="R511" s="649"/>
      <c r="S511" s="650">
        <v>102165</v>
      </c>
      <c r="T511" s="651">
        <v>-3706</v>
      </c>
      <c r="U511" s="651">
        <v>98459</v>
      </c>
    </row>
    <row r="512" spans="1:21" x14ac:dyDescent="0.25">
      <c r="A512" s="646">
        <v>95501</v>
      </c>
      <c r="B512" s="647" t="s">
        <v>3123</v>
      </c>
      <c r="C512" s="648">
        <v>4.7917999999999997E-3</v>
      </c>
      <c r="D512" s="648">
        <v>4.8338000000000001E-3</v>
      </c>
      <c r="E512" s="649">
        <v>1890954</v>
      </c>
      <c r="F512" s="649">
        <v>2169380</v>
      </c>
      <c r="G512" s="649">
        <v>10169805</v>
      </c>
      <c r="H512" s="649"/>
      <c r="I512" s="650">
        <v>191073</v>
      </c>
      <c r="J512" s="650">
        <v>8911991</v>
      </c>
      <c r="K512" s="650">
        <v>696541</v>
      </c>
      <c r="L512" s="649">
        <v>63710</v>
      </c>
      <c r="M512" s="649"/>
      <c r="N512" s="650">
        <v>356361</v>
      </c>
      <c r="O512" s="650">
        <v>3289369</v>
      </c>
      <c r="P512" s="650">
        <v>0</v>
      </c>
      <c r="Q512" s="649">
        <v>102347</v>
      </c>
      <c r="R512" s="649"/>
      <c r="S512" s="650">
        <v>2718240</v>
      </c>
      <c r="T512" s="651">
        <v>3939</v>
      </c>
      <c r="U512" s="651">
        <v>2722178</v>
      </c>
    </row>
    <row r="513" spans="1:21" x14ac:dyDescent="0.25">
      <c r="A513" s="646">
        <v>95504</v>
      </c>
      <c r="B513" s="647" t="s">
        <v>3124</v>
      </c>
      <c r="C513" s="648">
        <v>8.8999999999999995E-6</v>
      </c>
      <c r="D513" s="648">
        <v>1.2099999999999999E-5</v>
      </c>
      <c r="E513" s="649">
        <v>7171.2</v>
      </c>
      <c r="F513" s="649">
        <v>5430</v>
      </c>
      <c r="G513" s="649">
        <v>18889</v>
      </c>
      <c r="H513" s="649"/>
      <c r="I513" s="650">
        <v>354.88749999999999</v>
      </c>
      <c r="J513" s="650">
        <v>16553</v>
      </c>
      <c r="K513" s="650">
        <v>1294</v>
      </c>
      <c r="L513" s="649">
        <v>5463</v>
      </c>
      <c r="M513" s="649"/>
      <c r="N513" s="650">
        <v>662</v>
      </c>
      <c r="O513" s="650">
        <v>6109</v>
      </c>
      <c r="P513" s="650">
        <v>0</v>
      </c>
      <c r="Q513" s="649">
        <v>0</v>
      </c>
      <c r="R513" s="649"/>
      <c r="S513" s="650">
        <v>5049</v>
      </c>
      <c r="T513" s="651">
        <v>1872</v>
      </c>
      <c r="U513" s="651">
        <v>6921</v>
      </c>
    </row>
    <row r="514" spans="1:21" x14ac:dyDescent="0.25">
      <c r="A514" s="646">
        <v>95511</v>
      </c>
      <c r="B514" s="647" t="s">
        <v>3125</v>
      </c>
      <c r="C514" s="648">
        <v>9.6049999999999998E-4</v>
      </c>
      <c r="D514" s="648">
        <v>1.0989000000000001E-3</v>
      </c>
      <c r="E514" s="649">
        <v>413682.63</v>
      </c>
      <c r="F514" s="649">
        <v>493180</v>
      </c>
      <c r="G514" s="649">
        <v>2038503</v>
      </c>
      <c r="H514" s="649"/>
      <c r="I514" s="650">
        <v>38300</v>
      </c>
      <c r="J514" s="650">
        <v>1786378</v>
      </c>
      <c r="K514" s="650">
        <v>139619</v>
      </c>
      <c r="L514" s="649">
        <v>10807.69</v>
      </c>
      <c r="M514" s="649"/>
      <c r="N514" s="650">
        <v>71431</v>
      </c>
      <c r="O514" s="650">
        <v>659343</v>
      </c>
      <c r="P514" s="650">
        <v>0</v>
      </c>
      <c r="Q514" s="649">
        <v>71910</v>
      </c>
      <c r="R514" s="649"/>
      <c r="S514" s="650">
        <v>544862</v>
      </c>
      <c r="T514" s="651">
        <v>-14323</v>
      </c>
      <c r="U514" s="651">
        <v>530538</v>
      </c>
    </row>
    <row r="515" spans="1:21" x14ac:dyDescent="0.25">
      <c r="A515" s="646">
        <v>95513</v>
      </c>
      <c r="B515" s="647" t="s">
        <v>3126</v>
      </c>
      <c r="C515" s="648">
        <v>4.5500000000000001E-5</v>
      </c>
      <c r="D515" s="648">
        <v>4.4499999999999997E-5</v>
      </c>
      <c r="E515" s="649">
        <v>28270</v>
      </c>
      <c r="F515" s="649">
        <v>19971</v>
      </c>
      <c r="G515" s="649">
        <v>96566</v>
      </c>
      <c r="H515" s="649"/>
      <c r="I515" s="650">
        <v>1814.3125</v>
      </c>
      <c r="J515" s="650">
        <v>84623</v>
      </c>
      <c r="K515" s="650">
        <v>6614</v>
      </c>
      <c r="L515" s="649">
        <v>19516</v>
      </c>
      <c r="M515" s="649"/>
      <c r="N515" s="650">
        <v>3384</v>
      </c>
      <c r="O515" s="650">
        <v>31234</v>
      </c>
      <c r="P515" s="650">
        <v>0</v>
      </c>
      <c r="Q515" s="649">
        <v>0</v>
      </c>
      <c r="R515" s="649"/>
      <c r="S515" s="650">
        <v>25811</v>
      </c>
      <c r="T515" s="651">
        <v>6831</v>
      </c>
      <c r="U515" s="651">
        <v>32642</v>
      </c>
    </row>
    <row r="516" spans="1:21" x14ac:dyDescent="0.25">
      <c r="A516" s="646">
        <v>95517</v>
      </c>
      <c r="B516" s="647" t="s">
        <v>3127</v>
      </c>
      <c r="C516" s="648">
        <v>1.66E-5</v>
      </c>
      <c r="D516" s="648">
        <v>1.1399999999999999E-5</v>
      </c>
      <c r="E516" s="649">
        <v>13168.44</v>
      </c>
      <c r="F516" s="649">
        <v>5116</v>
      </c>
      <c r="G516" s="649">
        <v>35231</v>
      </c>
      <c r="H516" s="649"/>
      <c r="I516" s="650">
        <v>662</v>
      </c>
      <c r="J516" s="650">
        <v>30873</v>
      </c>
      <c r="K516" s="650">
        <v>2413</v>
      </c>
      <c r="L516" s="649">
        <v>13465</v>
      </c>
      <c r="M516" s="649"/>
      <c r="N516" s="650">
        <v>1235</v>
      </c>
      <c r="O516" s="650">
        <v>11395</v>
      </c>
      <c r="P516" s="650">
        <v>0</v>
      </c>
      <c r="Q516" s="649">
        <v>0</v>
      </c>
      <c r="R516" s="649"/>
      <c r="S516" s="650">
        <v>9417</v>
      </c>
      <c r="T516" s="651">
        <v>4330</v>
      </c>
      <c r="U516" s="651">
        <v>13747</v>
      </c>
    </row>
    <row r="517" spans="1:21" x14ac:dyDescent="0.25">
      <c r="A517" s="646">
        <v>95601</v>
      </c>
      <c r="B517" s="647" t="s">
        <v>3128</v>
      </c>
      <c r="C517" s="648">
        <v>2.6592999999999999E-3</v>
      </c>
      <c r="D517" s="648">
        <v>2.4567999999999999E-3</v>
      </c>
      <c r="E517" s="649">
        <v>1012937</v>
      </c>
      <c r="F517" s="649">
        <v>1102597</v>
      </c>
      <c r="G517" s="649">
        <v>5643925</v>
      </c>
      <c r="H517" s="649"/>
      <c r="I517" s="650">
        <v>106040</v>
      </c>
      <c r="J517" s="650">
        <v>4945878</v>
      </c>
      <c r="K517" s="650">
        <v>386559</v>
      </c>
      <c r="L517" s="649">
        <v>138057</v>
      </c>
      <c r="M517" s="649"/>
      <c r="N517" s="650">
        <v>197769</v>
      </c>
      <c r="O517" s="650">
        <v>1825498</v>
      </c>
      <c r="P517" s="650">
        <v>0</v>
      </c>
      <c r="Q517" s="649">
        <v>0</v>
      </c>
      <c r="R517" s="649"/>
      <c r="S517" s="650">
        <v>1508538</v>
      </c>
      <c r="T517" s="651">
        <v>52467</v>
      </c>
      <c r="U517" s="651">
        <v>1561006</v>
      </c>
    </row>
    <row r="518" spans="1:21" x14ac:dyDescent="0.25">
      <c r="A518" s="646">
        <v>95611</v>
      </c>
      <c r="B518" s="647" t="s">
        <v>3129</v>
      </c>
      <c r="C518" s="648">
        <v>3.9540000000000002E-4</v>
      </c>
      <c r="D518" s="648">
        <v>3.9500000000000001E-4</v>
      </c>
      <c r="E518" s="649">
        <v>162221</v>
      </c>
      <c r="F518" s="649">
        <v>177273.63</v>
      </c>
      <c r="G518" s="649">
        <v>839171</v>
      </c>
      <c r="H518" s="649"/>
      <c r="I518" s="650">
        <v>15767</v>
      </c>
      <c r="J518" s="650">
        <v>735382</v>
      </c>
      <c r="K518" s="650">
        <v>57476</v>
      </c>
      <c r="L518" s="649">
        <v>2750</v>
      </c>
      <c r="M518" s="649"/>
      <c r="N518" s="650">
        <v>29406</v>
      </c>
      <c r="O518" s="650">
        <v>271425</v>
      </c>
      <c r="P518" s="650">
        <v>0</v>
      </c>
      <c r="Q518" s="649">
        <v>5641</v>
      </c>
      <c r="R518" s="649"/>
      <c r="S518" s="650">
        <v>224298</v>
      </c>
      <c r="T518" s="651">
        <v>-610</v>
      </c>
      <c r="U518" s="651">
        <v>223688</v>
      </c>
    </row>
    <row r="519" spans="1:21" x14ac:dyDescent="0.25">
      <c r="A519" s="646">
        <v>95617</v>
      </c>
      <c r="B519" s="647" t="s">
        <v>3130</v>
      </c>
      <c r="C519" s="648">
        <v>1.6500000000000001E-5</v>
      </c>
      <c r="D519" s="648">
        <v>1.63E-5</v>
      </c>
      <c r="E519" s="649">
        <v>7075</v>
      </c>
      <c r="F519" s="649">
        <v>7315</v>
      </c>
      <c r="G519" s="649">
        <v>35019</v>
      </c>
      <c r="H519" s="649"/>
      <c r="I519" s="650">
        <v>657.9375</v>
      </c>
      <c r="J519" s="650">
        <v>30687</v>
      </c>
      <c r="K519" s="650">
        <v>2398</v>
      </c>
      <c r="L519" s="649">
        <v>338</v>
      </c>
      <c r="M519" s="649"/>
      <c r="N519" s="650">
        <v>1227</v>
      </c>
      <c r="O519" s="650">
        <v>11327</v>
      </c>
      <c r="P519" s="650">
        <v>0</v>
      </c>
      <c r="Q519" s="649">
        <v>2141</v>
      </c>
      <c r="R519" s="649"/>
      <c r="S519" s="650">
        <v>9360</v>
      </c>
      <c r="T519" s="651">
        <v>-777</v>
      </c>
      <c r="U519" s="651">
        <v>8583</v>
      </c>
    </row>
    <row r="520" spans="1:21" x14ac:dyDescent="0.25">
      <c r="A520" s="646">
        <v>95621</v>
      </c>
      <c r="B520" s="647" t="s">
        <v>3131</v>
      </c>
      <c r="C520" s="648">
        <v>4.8020000000000002E-4</v>
      </c>
      <c r="D520" s="648">
        <v>5.0210000000000001E-4</v>
      </c>
      <c r="E520" s="649">
        <v>211840</v>
      </c>
      <c r="F520" s="649">
        <v>225339</v>
      </c>
      <c r="G520" s="649">
        <v>1019145</v>
      </c>
      <c r="H520" s="649"/>
      <c r="I520" s="650">
        <v>19148</v>
      </c>
      <c r="J520" s="650">
        <v>893096</v>
      </c>
      <c r="K520" s="650">
        <v>69802</v>
      </c>
      <c r="L520" s="649">
        <v>6364.02</v>
      </c>
      <c r="M520" s="649"/>
      <c r="N520" s="650">
        <v>35712</v>
      </c>
      <c r="O520" s="650">
        <v>329637</v>
      </c>
      <c r="P520" s="650">
        <v>0</v>
      </c>
      <c r="Q520" s="649">
        <v>3443</v>
      </c>
      <c r="R520" s="649"/>
      <c r="S520" s="650">
        <v>272403</v>
      </c>
      <c r="T520" s="651">
        <v>2021</v>
      </c>
      <c r="U520" s="651">
        <v>274423</v>
      </c>
    </row>
    <row r="521" spans="1:21" x14ac:dyDescent="0.25">
      <c r="A521" s="646">
        <v>95701</v>
      </c>
      <c r="B521" s="647" t="s">
        <v>3132</v>
      </c>
      <c r="C521" s="648">
        <v>1.291E-3</v>
      </c>
      <c r="D521" s="648">
        <v>1.2436999999999999E-3</v>
      </c>
      <c r="E521" s="649">
        <v>517495</v>
      </c>
      <c r="F521" s="649">
        <v>558165</v>
      </c>
      <c r="G521" s="649">
        <v>2739934</v>
      </c>
      <c r="H521" s="649"/>
      <c r="I521" s="650">
        <v>51478.625</v>
      </c>
      <c r="J521" s="650">
        <v>2401056</v>
      </c>
      <c r="K521" s="650">
        <v>187661</v>
      </c>
      <c r="L521" s="649">
        <v>51877</v>
      </c>
      <c r="M521" s="649"/>
      <c r="N521" s="650">
        <v>96010</v>
      </c>
      <c r="O521" s="650">
        <v>886217</v>
      </c>
      <c r="P521" s="650">
        <v>0</v>
      </c>
      <c r="Q521" s="649">
        <v>0</v>
      </c>
      <c r="R521" s="649"/>
      <c r="S521" s="650">
        <v>732344</v>
      </c>
      <c r="T521" s="651">
        <v>20713</v>
      </c>
      <c r="U521" s="651">
        <v>753057</v>
      </c>
    </row>
    <row r="522" spans="1:21" x14ac:dyDescent="0.25">
      <c r="A522" s="646">
        <v>95711</v>
      </c>
      <c r="B522" s="647" t="s">
        <v>3133</v>
      </c>
      <c r="C522" s="648">
        <v>1.382E-4</v>
      </c>
      <c r="D522" s="648">
        <v>1.284E-4</v>
      </c>
      <c r="E522" s="649">
        <v>51439.57</v>
      </c>
      <c r="F522" s="649">
        <v>57625</v>
      </c>
      <c r="G522" s="649">
        <v>293307</v>
      </c>
      <c r="H522" s="649"/>
      <c r="I522" s="650">
        <v>5511</v>
      </c>
      <c r="J522" s="650">
        <v>257030</v>
      </c>
      <c r="K522" s="650">
        <v>20089</v>
      </c>
      <c r="L522" s="649">
        <v>9232</v>
      </c>
      <c r="M522" s="649"/>
      <c r="N522" s="650">
        <v>10278</v>
      </c>
      <c r="O522" s="650">
        <v>94868</v>
      </c>
      <c r="P522" s="650">
        <v>0</v>
      </c>
      <c r="Q522" s="649">
        <v>143</v>
      </c>
      <c r="R522" s="649"/>
      <c r="S522" s="650">
        <v>78397</v>
      </c>
      <c r="T522" s="651">
        <v>3104</v>
      </c>
      <c r="U522" s="651">
        <v>81500</v>
      </c>
    </row>
    <row r="523" spans="1:21" x14ac:dyDescent="0.25">
      <c r="A523" s="646">
        <v>95721</v>
      </c>
      <c r="B523" s="647" t="s">
        <v>3134</v>
      </c>
      <c r="C523" s="648">
        <v>6.6199999999999996E-5</v>
      </c>
      <c r="D523" s="648">
        <v>6.7199999999999994E-5</v>
      </c>
      <c r="E523" s="649">
        <v>22493.79</v>
      </c>
      <c r="F523" s="649">
        <v>30159</v>
      </c>
      <c r="G523" s="649">
        <v>140499</v>
      </c>
      <c r="H523" s="649"/>
      <c r="I523" s="650">
        <v>2640</v>
      </c>
      <c r="J523" s="650">
        <v>123122</v>
      </c>
      <c r="K523" s="650">
        <v>9623</v>
      </c>
      <c r="L523" s="649">
        <v>0</v>
      </c>
      <c r="M523" s="649"/>
      <c r="N523" s="650">
        <v>4923</v>
      </c>
      <c r="O523" s="650">
        <v>45444</v>
      </c>
      <c r="P523" s="650">
        <v>0</v>
      </c>
      <c r="Q523" s="649">
        <v>9473</v>
      </c>
      <c r="R523" s="649"/>
      <c r="S523" s="650">
        <v>37553</v>
      </c>
      <c r="T523" s="651">
        <v>-3665</v>
      </c>
      <c r="U523" s="651">
        <v>33888</v>
      </c>
    </row>
    <row r="524" spans="1:21" x14ac:dyDescent="0.25">
      <c r="A524" s="646">
        <v>95733</v>
      </c>
      <c r="B524" s="647" t="s">
        <v>3135</v>
      </c>
      <c r="C524" s="648">
        <v>1.56E-5</v>
      </c>
      <c r="D524" s="648">
        <v>1.63E-5</v>
      </c>
      <c r="E524" s="649">
        <v>6566</v>
      </c>
      <c r="F524" s="649">
        <v>7315</v>
      </c>
      <c r="G524" s="649">
        <v>33108</v>
      </c>
      <c r="H524" s="649"/>
      <c r="I524" s="650">
        <v>622</v>
      </c>
      <c r="J524" s="650">
        <v>29014</v>
      </c>
      <c r="K524" s="650">
        <v>2268</v>
      </c>
      <c r="L524" s="649">
        <v>926</v>
      </c>
      <c r="M524" s="649"/>
      <c r="N524" s="650">
        <v>1160</v>
      </c>
      <c r="O524" s="650">
        <v>10709</v>
      </c>
      <c r="P524" s="650">
        <v>0</v>
      </c>
      <c r="Q524" s="649">
        <v>259</v>
      </c>
      <c r="R524" s="649"/>
      <c r="S524" s="650">
        <v>8849</v>
      </c>
      <c r="T524" s="651">
        <v>277</v>
      </c>
      <c r="U524" s="651">
        <v>9127</v>
      </c>
    </row>
    <row r="525" spans="1:21" x14ac:dyDescent="0.25">
      <c r="A525" s="646">
        <v>95801</v>
      </c>
      <c r="B525" s="647" t="s">
        <v>3136</v>
      </c>
      <c r="C525" s="648">
        <v>8.9349999999999998E-4</v>
      </c>
      <c r="D525" s="648">
        <v>9.1810000000000004E-4</v>
      </c>
      <c r="E525" s="649">
        <v>383793.67</v>
      </c>
      <c r="F525" s="649">
        <v>412038</v>
      </c>
      <c r="G525" s="649">
        <v>1896306</v>
      </c>
      <c r="H525" s="649"/>
      <c r="I525" s="650">
        <v>35628</v>
      </c>
      <c r="J525" s="650">
        <v>1661769</v>
      </c>
      <c r="K525" s="650">
        <v>129880</v>
      </c>
      <c r="L525" s="649">
        <v>14615</v>
      </c>
      <c r="M525" s="649"/>
      <c r="N525" s="650">
        <v>66449</v>
      </c>
      <c r="O525" s="650">
        <v>613350</v>
      </c>
      <c r="P525" s="650">
        <v>0</v>
      </c>
      <c r="Q525" s="649">
        <v>8079</v>
      </c>
      <c r="R525" s="649"/>
      <c r="S525" s="650">
        <v>506855</v>
      </c>
      <c r="T525" s="651">
        <v>1206</v>
      </c>
      <c r="U525" s="651">
        <v>508061</v>
      </c>
    </row>
    <row r="526" spans="1:21" x14ac:dyDescent="0.25">
      <c r="A526" s="646">
        <v>95802</v>
      </c>
      <c r="B526" s="647" t="s">
        <v>3137</v>
      </c>
      <c r="C526" s="648">
        <v>6.8000000000000001E-6</v>
      </c>
      <c r="D526" s="648">
        <v>6.8000000000000001E-6</v>
      </c>
      <c r="E526" s="649">
        <v>4626.88</v>
      </c>
      <c r="F526" s="649">
        <v>3052</v>
      </c>
      <c r="G526" s="649">
        <v>14432</v>
      </c>
      <c r="H526" s="649"/>
      <c r="I526" s="650">
        <v>271</v>
      </c>
      <c r="J526" s="650">
        <v>12647</v>
      </c>
      <c r="K526" s="650">
        <v>988</v>
      </c>
      <c r="L526" s="649">
        <v>2741</v>
      </c>
      <c r="M526" s="649"/>
      <c r="N526" s="650">
        <v>506</v>
      </c>
      <c r="O526" s="650">
        <v>4668</v>
      </c>
      <c r="P526" s="650">
        <v>0</v>
      </c>
      <c r="Q526" s="649">
        <v>2509</v>
      </c>
      <c r="R526" s="649"/>
      <c r="S526" s="650">
        <v>3857</v>
      </c>
      <c r="T526" s="651">
        <v>-428</v>
      </c>
      <c r="U526" s="651">
        <v>3429</v>
      </c>
    </row>
    <row r="527" spans="1:21" x14ac:dyDescent="0.25">
      <c r="A527" s="646">
        <v>95804</v>
      </c>
      <c r="B527" s="647" t="s">
        <v>3138</v>
      </c>
      <c r="C527" s="648">
        <v>1.63E-5</v>
      </c>
      <c r="D527" s="648">
        <v>1.4399999999999999E-5</v>
      </c>
      <c r="E527" s="649">
        <v>6017.02</v>
      </c>
      <c r="F527" s="649">
        <v>6463</v>
      </c>
      <c r="G527" s="649">
        <v>34594</v>
      </c>
      <c r="H527" s="649"/>
      <c r="I527" s="650">
        <v>649.96249999999998</v>
      </c>
      <c r="J527" s="650">
        <v>30315</v>
      </c>
      <c r="K527" s="650">
        <v>2369</v>
      </c>
      <c r="L527" s="649">
        <v>3054</v>
      </c>
      <c r="M527" s="649"/>
      <c r="N527" s="650">
        <v>1212</v>
      </c>
      <c r="O527" s="650">
        <v>11189</v>
      </c>
      <c r="P527" s="650">
        <v>0</v>
      </c>
      <c r="Q527" s="649">
        <v>0</v>
      </c>
      <c r="R527" s="649"/>
      <c r="S527" s="650">
        <v>9246</v>
      </c>
      <c r="T527" s="651">
        <v>1187</v>
      </c>
      <c r="U527" s="651">
        <v>10434</v>
      </c>
    </row>
    <row r="528" spans="1:21" x14ac:dyDescent="0.25">
      <c r="A528" s="646">
        <v>95811</v>
      </c>
      <c r="B528" s="647" t="s">
        <v>3139</v>
      </c>
      <c r="C528" s="648">
        <v>5.3410000000000003E-4</v>
      </c>
      <c r="D528" s="648">
        <v>5.2459999999999996E-4</v>
      </c>
      <c r="E528" s="649">
        <v>215302.64</v>
      </c>
      <c r="F528" s="649">
        <v>235437</v>
      </c>
      <c r="G528" s="649">
        <v>1133539</v>
      </c>
      <c r="H528" s="649"/>
      <c r="I528" s="650">
        <v>21297</v>
      </c>
      <c r="J528" s="650">
        <v>993342</v>
      </c>
      <c r="K528" s="650">
        <v>77637</v>
      </c>
      <c r="L528" s="649">
        <v>2541</v>
      </c>
      <c r="M528" s="649"/>
      <c r="N528" s="650">
        <v>39720</v>
      </c>
      <c r="O528" s="650">
        <v>366637</v>
      </c>
      <c r="P528" s="650">
        <v>0</v>
      </c>
      <c r="Q528" s="649">
        <v>5345</v>
      </c>
      <c r="R528" s="649"/>
      <c r="S528" s="650">
        <v>302978</v>
      </c>
      <c r="T528" s="651">
        <v>-1032</v>
      </c>
      <c r="U528" s="651">
        <v>301947</v>
      </c>
    </row>
    <row r="529" spans="1:21" x14ac:dyDescent="0.25">
      <c r="A529" s="646">
        <v>95813</v>
      </c>
      <c r="B529" s="647" t="s">
        <v>3140</v>
      </c>
      <c r="C529" s="648">
        <v>4.4400000000000002E-5</v>
      </c>
      <c r="D529" s="648">
        <v>5.02E-5</v>
      </c>
      <c r="E529" s="649">
        <v>61209.42</v>
      </c>
      <c r="F529" s="649">
        <v>22529</v>
      </c>
      <c r="G529" s="649">
        <v>94232</v>
      </c>
      <c r="H529" s="649"/>
      <c r="I529" s="650">
        <v>1770.45</v>
      </c>
      <c r="J529" s="650">
        <v>82577</v>
      </c>
      <c r="K529" s="650">
        <v>6454</v>
      </c>
      <c r="L529" s="649">
        <v>51874</v>
      </c>
      <c r="M529" s="649"/>
      <c r="N529" s="650">
        <v>3302</v>
      </c>
      <c r="O529" s="650">
        <v>30479</v>
      </c>
      <c r="P529" s="650">
        <v>0</v>
      </c>
      <c r="Q529" s="649">
        <v>0</v>
      </c>
      <c r="R529" s="649"/>
      <c r="S529" s="650">
        <v>25187</v>
      </c>
      <c r="T529" s="651">
        <v>15540</v>
      </c>
      <c r="U529" s="651">
        <v>40727</v>
      </c>
    </row>
    <row r="530" spans="1:21" x14ac:dyDescent="0.25">
      <c r="A530" s="646">
        <v>95821</v>
      </c>
      <c r="B530" s="647" t="s">
        <v>3141</v>
      </c>
      <c r="C530" s="648">
        <v>1.7E-6</v>
      </c>
      <c r="D530" s="648">
        <v>1.5999999999999999E-6</v>
      </c>
      <c r="E530" s="649">
        <v>1922</v>
      </c>
      <c r="F530" s="649">
        <v>718</v>
      </c>
      <c r="G530" s="649">
        <v>3608</v>
      </c>
      <c r="H530" s="649"/>
      <c r="I530" s="650">
        <v>68</v>
      </c>
      <c r="J530" s="650">
        <v>3162</v>
      </c>
      <c r="K530" s="650">
        <v>247</v>
      </c>
      <c r="L530" s="649">
        <v>1916</v>
      </c>
      <c r="M530" s="649"/>
      <c r="N530" s="650">
        <v>126</v>
      </c>
      <c r="O530" s="650">
        <v>1167</v>
      </c>
      <c r="P530" s="650">
        <v>0</v>
      </c>
      <c r="Q530" s="649">
        <v>0</v>
      </c>
      <c r="R530" s="649"/>
      <c r="S530" s="650">
        <v>964</v>
      </c>
      <c r="T530" s="651">
        <v>623</v>
      </c>
      <c r="U530" s="651">
        <v>1587</v>
      </c>
    </row>
    <row r="531" spans="1:21" x14ac:dyDescent="0.25">
      <c r="A531" s="646">
        <v>95831</v>
      </c>
      <c r="B531" s="647" t="s">
        <v>3142</v>
      </c>
      <c r="C531" s="648">
        <v>1.36E-5</v>
      </c>
      <c r="D531" s="648">
        <v>1.9199999999999999E-5</v>
      </c>
      <c r="E531" s="649">
        <v>18920.61</v>
      </c>
      <c r="F531" s="649">
        <v>8617</v>
      </c>
      <c r="G531" s="649">
        <v>28864</v>
      </c>
      <c r="H531" s="649"/>
      <c r="I531" s="650">
        <v>542</v>
      </c>
      <c r="J531" s="650">
        <v>25294</v>
      </c>
      <c r="K531" s="650">
        <v>1977</v>
      </c>
      <c r="L531" s="649">
        <v>15027</v>
      </c>
      <c r="M531" s="649"/>
      <c r="N531" s="650">
        <v>1011</v>
      </c>
      <c r="O531" s="650">
        <v>9336</v>
      </c>
      <c r="P531" s="650">
        <v>0</v>
      </c>
      <c r="Q531" s="649">
        <v>0</v>
      </c>
      <c r="R531" s="649"/>
      <c r="S531" s="650">
        <v>7715</v>
      </c>
      <c r="T531" s="651">
        <v>4667</v>
      </c>
      <c r="U531" s="651">
        <v>12382</v>
      </c>
    </row>
    <row r="532" spans="1:21" x14ac:dyDescent="0.25">
      <c r="A532" s="646">
        <v>95841</v>
      </c>
      <c r="B532" s="647" t="s">
        <v>3143</v>
      </c>
      <c r="C532" s="648">
        <v>2.1100000000000001E-5</v>
      </c>
      <c r="D532" s="648">
        <v>2.0699999999999998E-5</v>
      </c>
      <c r="E532" s="649">
        <v>9619.65</v>
      </c>
      <c r="F532" s="649">
        <v>9290</v>
      </c>
      <c r="G532" s="649">
        <v>44781</v>
      </c>
      <c r="H532" s="649"/>
      <c r="I532" s="650">
        <v>841</v>
      </c>
      <c r="J532" s="650">
        <v>39243</v>
      </c>
      <c r="K532" s="650">
        <v>3067</v>
      </c>
      <c r="L532" s="649">
        <v>1840</v>
      </c>
      <c r="M532" s="649"/>
      <c r="N532" s="650">
        <v>1569</v>
      </c>
      <c r="O532" s="650">
        <v>14484</v>
      </c>
      <c r="P532" s="650">
        <v>0</v>
      </c>
      <c r="Q532" s="649">
        <v>0</v>
      </c>
      <c r="R532" s="649"/>
      <c r="S532" s="650">
        <v>11969</v>
      </c>
      <c r="T532" s="651">
        <v>601</v>
      </c>
      <c r="U532" s="651">
        <v>12570</v>
      </c>
    </row>
    <row r="533" spans="1:21" x14ac:dyDescent="0.25">
      <c r="A533" s="646">
        <v>95851</v>
      </c>
      <c r="B533" s="647" t="s">
        <v>3144</v>
      </c>
      <c r="C533" s="648">
        <v>1.3009999999999999E-4</v>
      </c>
      <c r="D533" s="648">
        <v>1.44E-4</v>
      </c>
      <c r="E533" s="649">
        <v>128218</v>
      </c>
      <c r="F533" s="649">
        <v>64626</v>
      </c>
      <c r="G533" s="649">
        <v>276116</v>
      </c>
      <c r="H533" s="649"/>
      <c r="I533" s="650">
        <v>5188</v>
      </c>
      <c r="J533" s="650">
        <v>241965</v>
      </c>
      <c r="K533" s="650">
        <v>18911</v>
      </c>
      <c r="L533" s="649">
        <v>90972</v>
      </c>
      <c r="M533" s="649"/>
      <c r="N533" s="650">
        <v>9675</v>
      </c>
      <c r="O533" s="650">
        <v>89308</v>
      </c>
      <c r="P533" s="650">
        <v>0</v>
      </c>
      <c r="Q533" s="649">
        <v>8402</v>
      </c>
      <c r="R533" s="649"/>
      <c r="S533" s="650">
        <v>73802</v>
      </c>
      <c r="T533" s="651">
        <v>23087</v>
      </c>
      <c r="U533" s="651">
        <v>96889</v>
      </c>
    </row>
    <row r="534" spans="1:21" x14ac:dyDescent="0.25">
      <c r="A534" s="646">
        <v>95853</v>
      </c>
      <c r="B534" s="647" t="s">
        <v>3145</v>
      </c>
      <c r="C534" s="648">
        <v>2.4000000000000001E-5</v>
      </c>
      <c r="D534" s="648">
        <v>2.44E-5</v>
      </c>
      <c r="E534" s="649">
        <v>14930</v>
      </c>
      <c r="F534" s="649">
        <v>10951</v>
      </c>
      <c r="G534" s="649">
        <v>50936.04</v>
      </c>
      <c r="H534" s="649"/>
      <c r="I534" s="650">
        <v>957</v>
      </c>
      <c r="J534" s="650">
        <v>44636</v>
      </c>
      <c r="K534" s="650">
        <v>3489</v>
      </c>
      <c r="L534" s="649">
        <v>8043</v>
      </c>
      <c r="M534" s="649"/>
      <c r="N534" s="650">
        <v>1785</v>
      </c>
      <c r="O534" s="650">
        <v>16475</v>
      </c>
      <c r="P534" s="650">
        <v>0</v>
      </c>
      <c r="Q534" s="649">
        <v>0</v>
      </c>
      <c r="R534" s="649"/>
      <c r="S534" s="650">
        <v>13614</v>
      </c>
      <c r="T534" s="651">
        <v>2790</v>
      </c>
      <c r="U534" s="651">
        <v>16405</v>
      </c>
    </row>
    <row r="535" spans="1:21" x14ac:dyDescent="0.25">
      <c r="A535" s="646">
        <v>95901</v>
      </c>
      <c r="B535" s="647" t="s">
        <v>3146</v>
      </c>
      <c r="C535" s="648">
        <v>1.8266999999999999E-3</v>
      </c>
      <c r="D535" s="648">
        <v>1.8056000000000001E-3</v>
      </c>
      <c r="E535" s="649">
        <v>722469.93</v>
      </c>
      <c r="F535" s="649">
        <v>810342</v>
      </c>
      <c r="G535" s="649">
        <v>3876869</v>
      </c>
      <c r="H535" s="649"/>
      <c r="I535" s="650">
        <v>72840</v>
      </c>
      <c r="J535" s="650">
        <v>3397373</v>
      </c>
      <c r="K535" s="650">
        <v>265531</v>
      </c>
      <c r="L535" s="649">
        <v>69258</v>
      </c>
      <c r="M535" s="649"/>
      <c r="N535" s="650">
        <v>135850</v>
      </c>
      <c r="O535" s="650">
        <v>1253953</v>
      </c>
      <c r="P535" s="650">
        <v>0</v>
      </c>
      <c r="Q535" s="649">
        <v>11402</v>
      </c>
      <c r="R535" s="649"/>
      <c r="S535" s="650">
        <v>1036230</v>
      </c>
      <c r="T535" s="651">
        <v>29652</v>
      </c>
      <c r="U535" s="651">
        <v>1065882</v>
      </c>
    </row>
    <row r="536" spans="1:21" x14ac:dyDescent="0.25">
      <c r="A536" s="646">
        <v>95908</v>
      </c>
      <c r="B536" s="647" t="s">
        <v>3147</v>
      </c>
      <c r="C536" s="648">
        <v>7.2000000000000002E-5</v>
      </c>
      <c r="D536" s="648">
        <v>6.6699999999999995E-5</v>
      </c>
      <c r="E536" s="649">
        <v>21165</v>
      </c>
      <c r="F536" s="649">
        <v>29935</v>
      </c>
      <c r="G536" s="649">
        <v>152808.12</v>
      </c>
      <c r="H536" s="649"/>
      <c r="I536" s="650">
        <v>2871</v>
      </c>
      <c r="J536" s="650">
        <v>133909</v>
      </c>
      <c r="K536" s="650">
        <v>10466</v>
      </c>
      <c r="L536" s="649">
        <v>0</v>
      </c>
      <c r="M536" s="649"/>
      <c r="N536" s="650">
        <v>5355</v>
      </c>
      <c r="O536" s="650">
        <v>49425</v>
      </c>
      <c r="P536" s="650">
        <v>0</v>
      </c>
      <c r="Q536" s="649">
        <v>24519</v>
      </c>
      <c r="R536" s="649"/>
      <c r="S536" s="650">
        <v>40843</v>
      </c>
      <c r="T536" s="651">
        <v>-9060</v>
      </c>
      <c r="U536" s="651">
        <v>31784</v>
      </c>
    </row>
    <row r="537" spans="1:21" x14ac:dyDescent="0.25">
      <c r="A537" s="646">
        <v>95911</v>
      </c>
      <c r="B537" s="647" t="s">
        <v>3148</v>
      </c>
      <c r="C537" s="648">
        <v>5.6979999999999997E-4</v>
      </c>
      <c r="D537" s="648">
        <v>6.2100000000000002E-4</v>
      </c>
      <c r="E537" s="649">
        <v>226533</v>
      </c>
      <c r="F537" s="649">
        <v>278701</v>
      </c>
      <c r="G537" s="649">
        <v>1209306</v>
      </c>
      <c r="H537" s="649"/>
      <c r="I537" s="650">
        <v>22721</v>
      </c>
      <c r="J537" s="650">
        <v>1059738</v>
      </c>
      <c r="K537" s="650">
        <v>82827</v>
      </c>
      <c r="L537" s="649">
        <v>4490</v>
      </c>
      <c r="M537" s="649"/>
      <c r="N537" s="650">
        <v>42375</v>
      </c>
      <c r="O537" s="650">
        <v>391144</v>
      </c>
      <c r="P537" s="650">
        <v>0</v>
      </c>
      <c r="Q537" s="649">
        <v>41660</v>
      </c>
      <c r="R537" s="649"/>
      <c r="S537" s="650">
        <v>323230</v>
      </c>
      <c r="T537" s="651">
        <v>-11084</v>
      </c>
      <c r="U537" s="651">
        <v>312146</v>
      </c>
    </row>
    <row r="538" spans="1:21" x14ac:dyDescent="0.25">
      <c r="A538" s="646">
        <v>95917</v>
      </c>
      <c r="B538" s="647" t="s">
        <v>3149</v>
      </c>
      <c r="C538" s="648">
        <v>2.2399999999999999E-5</v>
      </c>
      <c r="D538" s="648">
        <v>2.4499999999999999E-5</v>
      </c>
      <c r="E538" s="649">
        <v>9793</v>
      </c>
      <c r="F538" s="649">
        <v>10995</v>
      </c>
      <c r="G538" s="649">
        <v>47540</v>
      </c>
      <c r="H538" s="649"/>
      <c r="I538" s="650">
        <v>893</v>
      </c>
      <c r="J538" s="650">
        <v>41660</v>
      </c>
      <c r="K538" s="650">
        <v>3256</v>
      </c>
      <c r="L538" s="649">
        <v>4422</v>
      </c>
      <c r="M538" s="649"/>
      <c r="N538" s="650">
        <v>1666</v>
      </c>
      <c r="O538" s="650">
        <v>15377</v>
      </c>
      <c r="P538" s="650">
        <v>0</v>
      </c>
      <c r="Q538" s="649">
        <v>676</v>
      </c>
      <c r="R538" s="649"/>
      <c r="S538" s="650">
        <v>12707</v>
      </c>
      <c r="T538" s="651">
        <v>1747</v>
      </c>
      <c r="U538" s="651">
        <v>14453</v>
      </c>
    </row>
    <row r="539" spans="1:21" x14ac:dyDescent="0.25">
      <c r="A539" s="646">
        <v>95921</v>
      </c>
      <c r="B539" s="647" t="s">
        <v>3150</v>
      </c>
      <c r="C539" s="648">
        <v>4.4700000000000002E-5</v>
      </c>
      <c r="D539" s="648">
        <v>3.4600000000000001E-5</v>
      </c>
      <c r="E539" s="649">
        <v>16579.87</v>
      </c>
      <c r="F539" s="649">
        <v>15528</v>
      </c>
      <c r="G539" s="649">
        <v>94868</v>
      </c>
      <c r="H539" s="649"/>
      <c r="I539" s="650">
        <v>1782</v>
      </c>
      <c r="J539" s="650">
        <v>83135</v>
      </c>
      <c r="K539" s="650">
        <v>6498</v>
      </c>
      <c r="L539" s="649">
        <v>5096</v>
      </c>
      <c r="M539" s="649"/>
      <c r="N539" s="650">
        <v>3324</v>
      </c>
      <c r="O539" s="650">
        <v>30685</v>
      </c>
      <c r="P539" s="650">
        <v>0</v>
      </c>
      <c r="Q539" s="649">
        <v>1906</v>
      </c>
      <c r="R539" s="649"/>
      <c r="S539" s="650">
        <v>25357</v>
      </c>
      <c r="T539" s="651">
        <v>463</v>
      </c>
      <c r="U539" s="651">
        <v>25820</v>
      </c>
    </row>
    <row r="540" spans="1:21" x14ac:dyDescent="0.25">
      <c r="A540" s="646">
        <v>96001</v>
      </c>
      <c r="B540" s="647" t="s">
        <v>3151</v>
      </c>
      <c r="C540" s="648">
        <v>4.43519E-2</v>
      </c>
      <c r="D540" s="648">
        <v>4.41456E-2</v>
      </c>
      <c r="E540" s="649">
        <v>17742783</v>
      </c>
      <c r="F540" s="649">
        <v>19812280</v>
      </c>
      <c r="G540" s="649">
        <v>94129590</v>
      </c>
      <c r="H540" s="649"/>
      <c r="I540" s="650">
        <v>1768532</v>
      </c>
      <c r="J540" s="650">
        <v>82487526</v>
      </c>
      <c r="K540" s="650">
        <v>6447037</v>
      </c>
      <c r="L540" s="649">
        <v>2806449</v>
      </c>
      <c r="M540" s="649"/>
      <c r="N540" s="650">
        <v>3298406</v>
      </c>
      <c r="O540" s="650">
        <v>30445717</v>
      </c>
      <c r="P540" s="650">
        <v>0</v>
      </c>
      <c r="Q540" s="649">
        <v>282683</v>
      </c>
      <c r="R540" s="649"/>
      <c r="S540" s="650">
        <v>25159458</v>
      </c>
      <c r="T540" s="651">
        <v>1275874</v>
      </c>
      <c r="U540" s="651">
        <v>26435332</v>
      </c>
    </row>
    <row r="541" spans="1:21" x14ac:dyDescent="0.25">
      <c r="A541" s="646">
        <v>96003</v>
      </c>
      <c r="B541" s="647" t="s">
        <v>3152</v>
      </c>
      <c r="C541" s="648">
        <v>1.7309000000000001E-3</v>
      </c>
      <c r="D541" s="648">
        <v>1.7633E-3</v>
      </c>
      <c r="E541" s="649">
        <v>655848.02</v>
      </c>
      <c r="F541" s="649">
        <v>791358</v>
      </c>
      <c r="G541" s="649">
        <v>3673550</v>
      </c>
      <c r="H541" s="649"/>
      <c r="I541" s="650">
        <v>69020</v>
      </c>
      <c r="J541" s="650">
        <v>3219201</v>
      </c>
      <c r="K541" s="650">
        <v>251605</v>
      </c>
      <c r="L541" s="649">
        <v>4786</v>
      </c>
      <c r="M541" s="649"/>
      <c r="N541" s="650">
        <v>128725</v>
      </c>
      <c r="O541" s="650">
        <v>1188190</v>
      </c>
      <c r="P541" s="650">
        <v>0</v>
      </c>
      <c r="Q541" s="649">
        <v>112661</v>
      </c>
      <c r="R541" s="649"/>
      <c r="S541" s="650">
        <v>981886</v>
      </c>
      <c r="T541" s="651">
        <v>-39821</v>
      </c>
      <c r="U541" s="651">
        <v>942065</v>
      </c>
    </row>
    <row r="542" spans="1:21" x14ac:dyDescent="0.25">
      <c r="A542" s="646">
        <v>96004</v>
      </c>
      <c r="B542" s="647" t="s">
        <v>3153</v>
      </c>
      <c r="C542" s="648">
        <v>8.7699999999999996E-4</v>
      </c>
      <c r="D542" s="648">
        <v>8.208E-4</v>
      </c>
      <c r="E542" s="649">
        <v>400422.78</v>
      </c>
      <c r="F542" s="649">
        <v>368370</v>
      </c>
      <c r="G542" s="649">
        <v>1861288</v>
      </c>
      <c r="H542" s="649"/>
      <c r="I542" s="650">
        <v>34970.375</v>
      </c>
      <c r="J542" s="650">
        <v>1631081</v>
      </c>
      <c r="K542" s="650">
        <v>127482</v>
      </c>
      <c r="L542" s="649">
        <v>148722</v>
      </c>
      <c r="M542" s="649"/>
      <c r="N542" s="650">
        <v>65222</v>
      </c>
      <c r="O542" s="650">
        <v>602024</v>
      </c>
      <c r="P542" s="650">
        <v>0</v>
      </c>
      <c r="Q542" s="649">
        <v>0</v>
      </c>
      <c r="R542" s="649"/>
      <c r="S542" s="650">
        <v>497495</v>
      </c>
      <c r="T542" s="651">
        <v>52239</v>
      </c>
      <c r="U542" s="651">
        <v>549734</v>
      </c>
    </row>
    <row r="543" spans="1:21" x14ac:dyDescent="0.25">
      <c r="A543" s="646">
        <v>96005</v>
      </c>
      <c r="B543" s="647" t="s">
        <v>3154</v>
      </c>
      <c r="C543" s="648">
        <v>2.6457E-3</v>
      </c>
      <c r="D543" s="648">
        <v>2.6692E-3</v>
      </c>
      <c r="E543" s="649">
        <v>1120532</v>
      </c>
      <c r="F543" s="649">
        <v>1197921</v>
      </c>
      <c r="G543" s="649">
        <v>5615062</v>
      </c>
      <c r="H543" s="649"/>
      <c r="I543" s="650">
        <v>105497</v>
      </c>
      <c r="J543" s="650">
        <v>4920584</v>
      </c>
      <c r="K543" s="650">
        <v>384582</v>
      </c>
      <c r="L543" s="649">
        <v>345182</v>
      </c>
      <c r="M543" s="649"/>
      <c r="N543" s="650">
        <v>196758</v>
      </c>
      <c r="O543" s="650">
        <v>1816162</v>
      </c>
      <c r="P543" s="650">
        <v>0</v>
      </c>
      <c r="Q543" s="649">
        <v>0</v>
      </c>
      <c r="R543" s="649"/>
      <c r="S543" s="650">
        <v>1500824</v>
      </c>
      <c r="T543" s="651">
        <v>151849</v>
      </c>
      <c r="U543" s="651">
        <v>1652672</v>
      </c>
    </row>
    <row r="544" spans="1:21" x14ac:dyDescent="0.25">
      <c r="A544" s="646">
        <v>96008</v>
      </c>
      <c r="B544" s="647" t="s">
        <v>3155</v>
      </c>
      <c r="C544" s="648">
        <v>5.9388000000000002E-3</v>
      </c>
      <c r="D544" s="648">
        <v>5.4187000000000003E-3</v>
      </c>
      <c r="E544" s="649">
        <v>1816865.04</v>
      </c>
      <c r="F544" s="649">
        <v>2431880</v>
      </c>
      <c r="G544" s="649">
        <v>12604123</v>
      </c>
      <c r="H544" s="649"/>
      <c r="I544" s="650">
        <v>236809.65</v>
      </c>
      <c r="J544" s="650">
        <v>11045230</v>
      </c>
      <c r="K544" s="650">
        <v>863270</v>
      </c>
      <c r="L544" s="649">
        <v>0</v>
      </c>
      <c r="M544" s="649"/>
      <c r="N544" s="650">
        <v>441663</v>
      </c>
      <c r="O544" s="650">
        <v>4076737</v>
      </c>
      <c r="P544" s="650">
        <v>0</v>
      </c>
      <c r="Q544" s="649">
        <v>411808</v>
      </c>
      <c r="R544" s="649"/>
      <c r="S544" s="650">
        <v>3368897</v>
      </c>
      <c r="T544" s="651">
        <v>-148661</v>
      </c>
      <c r="U544" s="651">
        <v>3220236</v>
      </c>
    </row>
    <row r="545" spans="1:21" x14ac:dyDescent="0.25">
      <c r="A545" s="646">
        <v>96009</v>
      </c>
      <c r="B545" s="647" t="s">
        <v>3156</v>
      </c>
      <c r="C545" s="648">
        <v>3.5980000000000002E-4</v>
      </c>
      <c r="D545" s="648">
        <v>3.9110000000000002E-4</v>
      </c>
      <c r="E545" s="649">
        <v>164905</v>
      </c>
      <c r="F545" s="649">
        <v>175523</v>
      </c>
      <c r="G545" s="649">
        <v>763616</v>
      </c>
      <c r="H545" s="649"/>
      <c r="I545" s="650">
        <v>14347</v>
      </c>
      <c r="J545" s="650">
        <v>669171</v>
      </c>
      <c r="K545" s="650">
        <v>52301</v>
      </c>
      <c r="L545" s="649">
        <v>12534</v>
      </c>
      <c r="M545" s="649"/>
      <c r="N545" s="650">
        <v>26758</v>
      </c>
      <c r="O545" s="650">
        <v>246988</v>
      </c>
      <c r="P545" s="650">
        <v>0</v>
      </c>
      <c r="Q545" s="649">
        <v>3502</v>
      </c>
      <c r="R545" s="649"/>
      <c r="S545" s="650">
        <v>204103</v>
      </c>
      <c r="T545" s="651">
        <v>4895</v>
      </c>
      <c r="U545" s="651">
        <v>208999</v>
      </c>
    </row>
    <row r="546" spans="1:21" x14ac:dyDescent="0.25">
      <c r="A546" s="646">
        <v>96011</v>
      </c>
      <c r="B546" s="647" t="s">
        <v>3157</v>
      </c>
      <c r="C546" s="648">
        <v>6.0489000000000001E-2</v>
      </c>
      <c r="D546" s="648">
        <v>5.8946100000000001E-2</v>
      </c>
      <c r="E546" s="649">
        <v>23738140</v>
      </c>
      <c r="F546" s="649">
        <v>26454656</v>
      </c>
      <c r="G546" s="649">
        <v>128377922</v>
      </c>
      <c r="H546" s="649"/>
      <c r="I546" s="650">
        <v>2411999</v>
      </c>
      <c r="J546" s="650">
        <v>112499983</v>
      </c>
      <c r="K546" s="650">
        <v>8792742</v>
      </c>
      <c r="L546" s="649">
        <v>167249</v>
      </c>
      <c r="M546" s="649"/>
      <c r="N546" s="650">
        <v>4498506</v>
      </c>
      <c r="O546" s="650">
        <v>41523158</v>
      </c>
      <c r="P546" s="650">
        <v>0</v>
      </c>
      <c r="Q546" s="649">
        <v>70330</v>
      </c>
      <c r="R546" s="649"/>
      <c r="S546" s="650">
        <v>34313535</v>
      </c>
      <c r="T546" s="651">
        <v>40438</v>
      </c>
      <c r="U546" s="651">
        <v>34353973</v>
      </c>
    </row>
    <row r="547" spans="1:21" x14ac:dyDescent="0.25">
      <c r="A547" s="646">
        <v>96012</v>
      </c>
      <c r="B547" s="647" t="s">
        <v>3158</v>
      </c>
      <c r="C547" s="648">
        <v>2.4095000000000002E-3</v>
      </c>
      <c r="D547" s="648">
        <v>2.1905000000000002E-3</v>
      </c>
      <c r="E547" s="649">
        <v>930120</v>
      </c>
      <c r="F547" s="649">
        <v>983083</v>
      </c>
      <c r="G547" s="649">
        <v>5113766</v>
      </c>
      <c r="H547" s="649"/>
      <c r="I547" s="650">
        <v>96079</v>
      </c>
      <c r="J547" s="650">
        <v>4481289</v>
      </c>
      <c r="K547" s="650">
        <v>350247</v>
      </c>
      <c r="L547" s="649">
        <v>112910</v>
      </c>
      <c r="M547" s="649"/>
      <c r="N547" s="650">
        <v>179192</v>
      </c>
      <c r="O547" s="650">
        <v>1654021</v>
      </c>
      <c r="P547" s="650">
        <v>0</v>
      </c>
      <c r="Q547" s="649">
        <v>0</v>
      </c>
      <c r="R547" s="649"/>
      <c r="S547" s="650">
        <v>1366835</v>
      </c>
      <c r="T547" s="651">
        <v>35829</v>
      </c>
      <c r="U547" s="651">
        <v>1402664</v>
      </c>
    </row>
    <row r="548" spans="1:21" x14ac:dyDescent="0.25">
      <c r="A548" s="646">
        <v>96018</v>
      </c>
      <c r="B548" s="647" t="s">
        <v>3159</v>
      </c>
      <c r="C548" s="648">
        <v>3.6199999999999999E-5</v>
      </c>
      <c r="D548" s="648">
        <v>3.3599999999999997E-5</v>
      </c>
      <c r="E548" s="649">
        <v>13499</v>
      </c>
      <c r="F548" s="649">
        <v>15079</v>
      </c>
      <c r="G548" s="649">
        <v>76829</v>
      </c>
      <c r="H548" s="649"/>
      <c r="I548" s="650">
        <v>1443.4749999999999</v>
      </c>
      <c r="J548" s="650">
        <v>67326</v>
      </c>
      <c r="K548" s="650">
        <v>5262</v>
      </c>
      <c r="L548" s="649">
        <v>11396</v>
      </c>
      <c r="M548" s="649"/>
      <c r="N548" s="650">
        <v>2692</v>
      </c>
      <c r="O548" s="650">
        <v>24850</v>
      </c>
      <c r="P548" s="650">
        <v>0</v>
      </c>
      <c r="Q548" s="649">
        <v>0</v>
      </c>
      <c r="R548" s="649"/>
      <c r="S548" s="650">
        <v>20535</v>
      </c>
      <c r="T548" s="651">
        <v>5069</v>
      </c>
      <c r="U548" s="651">
        <v>25604</v>
      </c>
    </row>
    <row r="549" spans="1:21" x14ac:dyDescent="0.25">
      <c r="A549" s="646">
        <v>96021</v>
      </c>
      <c r="B549" s="647" t="s">
        <v>3160</v>
      </c>
      <c r="C549" s="648">
        <v>8.5829999999999999E-4</v>
      </c>
      <c r="D549" s="648">
        <v>8.8719999999999999E-4</v>
      </c>
      <c r="E549" s="649">
        <v>330918.43</v>
      </c>
      <c r="F549" s="649">
        <v>398170</v>
      </c>
      <c r="G549" s="649">
        <v>1821600</v>
      </c>
      <c r="H549" s="649"/>
      <c r="I549" s="650">
        <v>34225</v>
      </c>
      <c r="J549" s="650">
        <v>1596302</v>
      </c>
      <c r="K549" s="650">
        <v>124763</v>
      </c>
      <c r="L549" s="649">
        <v>50366</v>
      </c>
      <c r="M549" s="649"/>
      <c r="N549" s="650">
        <v>63831</v>
      </c>
      <c r="O549" s="650">
        <v>589187</v>
      </c>
      <c r="P549" s="650">
        <v>0</v>
      </c>
      <c r="Q549" s="649">
        <v>33170</v>
      </c>
      <c r="R549" s="649"/>
      <c r="S549" s="650">
        <v>486887</v>
      </c>
      <c r="T549" s="651">
        <v>9814</v>
      </c>
      <c r="U549" s="651">
        <v>496701</v>
      </c>
    </row>
    <row r="550" spans="1:21" x14ac:dyDescent="0.25">
      <c r="A550" s="646">
        <v>96031</v>
      </c>
      <c r="B550" s="647" t="s">
        <v>3161</v>
      </c>
      <c r="C550" s="648">
        <v>9.0189999999999997E-4</v>
      </c>
      <c r="D550" s="648">
        <v>8.116E-4</v>
      </c>
      <c r="E550" s="649">
        <v>268947</v>
      </c>
      <c r="F550" s="649">
        <v>364241</v>
      </c>
      <c r="G550" s="649">
        <v>1914134</v>
      </c>
      <c r="H550" s="649"/>
      <c r="I550" s="650">
        <v>35963</v>
      </c>
      <c r="J550" s="650">
        <v>1677391</v>
      </c>
      <c r="K550" s="650">
        <v>131101</v>
      </c>
      <c r="L550" s="649">
        <v>0</v>
      </c>
      <c r="M550" s="649"/>
      <c r="N550" s="650">
        <v>67073</v>
      </c>
      <c r="O550" s="650">
        <v>619116</v>
      </c>
      <c r="P550" s="650">
        <v>0</v>
      </c>
      <c r="Q550" s="649">
        <v>136310</v>
      </c>
      <c r="R550" s="649"/>
      <c r="S550" s="650">
        <v>511620</v>
      </c>
      <c r="T550" s="651">
        <v>-50978</v>
      </c>
      <c r="U550" s="651">
        <v>460642</v>
      </c>
    </row>
    <row r="551" spans="1:21" x14ac:dyDescent="0.25">
      <c r="A551" s="646">
        <v>96041</v>
      </c>
      <c r="B551" s="647" t="s">
        <v>3162</v>
      </c>
      <c r="C551" s="648">
        <v>1.7323E-3</v>
      </c>
      <c r="D551" s="648">
        <v>1.6793999999999999E-3</v>
      </c>
      <c r="E551" s="649">
        <v>616935</v>
      </c>
      <c r="F551" s="649">
        <v>753705</v>
      </c>
      <c r="G551" s="649">
        <v>3676521</v>
      </c>
      <c r="H551" s="649"/>
      <c r="I551" s="650">
        <v>69075</v>
      </c>
      <c r="J551" s="650">
        <v>3221804</v>
      </c>
      <c r="K551" s="650">
        <v>251809</v>
      </c>
      <c r="L551" s="649">
        <v>0</v>
      </c>
      <c r="M551" s="649"/>
      <c r="N551" s="650">
        <v>128829</v>
      </c>
      <c r="O551" s="650">
        <v>1189151</v>
      </c>
      <c r="P551" s="650">
        <v>0</v>
      </c>
      <c r="Q551" s="649">
        <v>127191</v>
      </c>
      <c r="R551" s="649"/>
      <c r="S551" s="650">
        <v>982680</v>
      </c>
      <c r="T551" s="651">
        <v>-45617</v>
      </c>
      <c r="U551" s="651">
        <v>937063</v>
      </c>
    </row>
    <row r="552" spans="1:21" x14ac:dyDescent="0.25">
      <c r="A552" s="646">
        <v>96051</v>
      </c>
      <c r="B552" s="647" t="s">
        <v>3163</v>
      </c>
      <c r="C552" s="648">
        <v>1.0258000000000001E-3</v>
      </c>
      <c r="D552" s="648">
        <v>1.0265999999999999E-3</v>
      </c>
      <c r="E552" s="649">
        <v>369762</v>
      </c>
      <c r="F552" s="649">
        <v>460732</v>
      </c>
      <c r="G552" s="649">
        <v>2177091</v>
      </c>
      <c r="H552" s="649"/>
      <c r="I552" s="650">
        <v>40904</v>
      </c>
      <c r="J552" s="650">
        <v>1907826</v>
      </c>
      <c r="K552" s="650">
        <v>149111</v>
      </c>
      <c r="L552" s="649">
        <v>0</v>
      </c>
      <c r="M552" s="649"/>
      <c r="N552" s="650">
        <v>76288</v>
      </c>
      <c r="O552" s="650">
        <v>704169</v>
      </c>
      <c r="P552" s="650">
        <v>0</v>
      </c>
      <c r="Q552" s="649">
        <v>94345</v>
      </c>
      <c r="R552" s="649"/>
      <c r="S552" s="650">
        <v>581905</v>
      </c>
      <c r="T552" s="651">
        <v>-32749</v>
      </c>
      <c r="U552" s="651">
        <v>549156</v>
      </c>
    </row>
    <row r="553" spans="1:21" x14ac:dyDescent="0.25">
      <c r="A553" s="646">
        <v>96061</v>
      </c>
      <c r="B553" s="647" t="s">
        <v>3164</v>
      </c>
      <c r="C553" s="648">
        <v>3.0800000000000001E-4</v>
      </c>
      <c r="D553" s="648">
        <v>3.1809999999999998E-4</v>
      </c>
      <c r="E553" s="649">
        <v>123610</v>
      </c>
      <c r="F553" s="649">
        <v>142761</v>
      </c>
      <c r="G553" s="649">
        <v>653679</v>
      </c>
      <c r="H553" s="649"/>
      <c r="I553" s="650">
        <v>12281.5</v>
      </c>
      <c r="J553" s="650">
        <v>572831</v>
      </c>
      <c r="K553" s="650">
        <v>44771</v>
      </c>
      <c r="L553" s="649">
        <v>2239</v>
      </c>
      <c r="M553" s="649"/>
      <c r="N553" s="650">
        <v>22906</v>
      </c>
      <c r="O553" s="650">
        <v>211429</v>
      </c>
      <c r="P553" s="650">
        <v>0</v>
      </c>
      <c r="Q553" s="649">
        <v>11106</v>
      </c>
      <c r="R553" s="649"/>
      <c r="S553" s="650">
        <v>174719</v>
      </c>
      <c r="T553" s="651">
        <v>-2865</v>
      </c>
      <c r="U553" s="651">
        <v>171854</v>
      </c>
    </row>
    <row r="554" spans="1:21" x14ac:dyDescent="0.25">
      <c r="A554" s="646">
        <v>96071</v>
      </c>
      <c r="B554" s="647" t="s">
        <v>3165</v>
      </c>
      <c r="C554" s="648">
        <v>1.1280999999999999E-3</v>
      </c>
      <c r="D554" s="648">
        <v>1.2979000000000001E-3</v>
      </c>
      <c r="E554" s="649">
        <v>475581.26</v>
      </c>
      <c r="F554" s="649">
        <v>582490</v>
      </c>
      <c r="G554" s="649">
        <v>2394206</v>
      </c>
      <c r="H554" s="649"/>
      <c r="I554" s="650">
        <v>44983</v>
      </c>
      <c r="J554" s="650">
        <v>2098088</v>
      </c>
      <c r="K554" s="650">
        <v>163982</v>
      </c>
      <c r="L554" s="649">
        <v>64300</v>
      </c>
      <c r="M554" s="649"/>
      <c r="N554" s="650">
        <v>83896</v>
      </c>
      <c r="O554" s="650">
        <v>774393</v>
      </c>
      <c r="P554" s="650">
        <v>0</v>
      </c>
      <c r="Q554" s="649">
        <v>103673</v>
      </c>
      <c r="R554" s="649"/>
      <c r="S554" s="650">
        <v>639936</v>
      </c>
      <c r="T554" s="651">
        <v>-9157</v>
      </c>
      <c r="U554" s="651">
        <v>630779</v>
      </c>
    </row>
    <row r="555" spans="1:21" x14ac:dyDescent="0.25">
      <c r="A555" s="646">
        <v>96081</v>
      </c>
      <c r="B555" s="647" t="s">
        <v>3166</v>
      </c>
      <c r="C555" s="648">
        <v>4.7820000000000002E-4</v>
      </c>
      <c r="D555" s="648">
        <v>4.3820000000000003E-4</v>
      </c>
      <c r="E555" s="649">
        <v>172267</v>
      </c>
      <c r="F555" s="649">
        <v>196662</v>
      </c>
      <c r="G555" s="649">
        <v>1014901</v>
      </c>
      <c r="H555" s="649"/>
      <c r="I555" s="650">
        <v>19068</v>
      </c>
      <c r="J555" s="650">
        <v>889376</v>
      </c>
      <c r="K555" s="650">
        <v>69512</v>
      </c>
      <c r="L555" s="649">
        <v>14379</v>
      </c>
      <c r="M555" s="649"/>
      <c r="N555" s="650">
        <v>35563</v>
      </c>
      <c r="O555" s="650">
        <v>328264</v>
      </c>
      <c r="P555" s="650">
        <v>0</v>
      </c>
      <c r="Q555" s="649">
        <v>6375</v>
      </c>
      <c r="R555" s="649"/>
      <c r="S555" s="650">
        <v>271268</v>
      </c>
      <c r="T555" s="651">
        <v>4406</v>
      </c>
      <c r="U555" s="651">
        <v>275674</v>
      </c>
    </row>
    <row r="556" spans="1:21" x14ac:dyDescent="0.25">
      <c r="A556" s="646">
        <v>96101</v>
      </c>
      <c r="B556" s="647" t="s">
        <v>3167</v>
      </c>
      <c r="C556" s="648">
        <v>7.5860000000000001E-4</v>
      </c>
      <c r="D556" s="648">
        <v>7.6990000000000001E-4</v>
      </c>
      <c r="E556" s="649">
        <v>313732</v>
      </c>
      <c r="F556" s="649">
        <v>345527</v>
      </c>
      <c r="G556" s="649">
        <v>1610003</v>
      </c>
      <c r="H556" s="649"/>
      <c r="I556" s="650">
        <v>30249</v>
      </c>
      <c r="J556" s="650">
        <v>1410876</v>
      </c>
      <c r="K556" s="650">
        <v>110271</v>
      </c>
      <c r="L556" s="649">
        <v>31021</v>
      </c>
      <c r="M556" s="649"/>
      <c r="N556" s="650">
        <v>56416</v>
      </c>
      <c r="O556" s="650">
        <v>520747</v>
      </c>
      <c r="P556" s="650">
        <v>0</v>
      </c>
      <c r="Q556" s="649">
        <v>4721</v>
      </c>
      <c r="R556" s="649"/>
      <c r="S556" s="650">
        <v>430330</v>
      </c>
      <c r="T556" s="651">
        <v>11900</v>
      </c>
      <c r="U556" s="651">
        <v>442230</v>
      </c>
    </row>
    <row r="557" spans="1:21" x14ac:dyDescent="0.25">
      <c r="A557" s="646">
        <v>96102</v>
      </c>
      <c r="B557" s="647" t="s">
        <v>3168</v>
      </c>
      <c r="C557" s="648">
        <v>1.42E-5</v>
      </c>
      <c r="D557" s="648">
        <v>1.3699999999999999E-5</v>
      </c>
      <c r="E557" s="649">
        <v>4769.91</v>
      </c>
      <c r="F557" s="649">
        <v>6148</v>
      </c>
      <c r="G557" s="649">
        <v>30137</v>
      </c>
      <c r="H557" s="649"/>
      <c r="I557" s="650">
        <v>566.22500000000002</v>
      </c>
      <c r="J557" s="650">
        <v>26410</v>
      </c>
      <c r="K557" s="650">
        <v>2064</v>
      </c>
      <c r="L557" s="649">
        <v>0</v>
      </c>
      <c r="M557" s="649"/>
      <c r="N557" s="650">
        <v>1056</v>
      </c>
      <c r="O557" s="650">
        <v>9748</v>
      </c>
      <c r="P557" s="650">
        <v>0</v>
      </c>
      <c r="Q557" s="649">
        <v>2903</v>
      </c>
      <c r="R557" s="649"/>
      <c r="S557" s="650">
        <v>8055</v>
      </c>
      <c r="T557" s="651">
        <v>-1101</v>
      </c>
      <c r="U557" s="651">
        <v>6954</v>
      </c>
    </row>
    <row r="558" spans="1:21" x14ac:dyDescent="0.25">
      <c r="A558" s="646">
        <v>96111</v>
      </c>
      <c r="B558" s="647" t="s">
        <v>3169</v>
      </c>
      <c r="C558" s="648">
        <v>1.6119999999999999E-4</v>
      </c>
      <c r="D558" s="648">
        <v>1.616E-4</v>
      </c>
      <c r="E558" s="649">
        <v>70991.37</v>
      </c>
      <c r="F558" s="649">
        <v>72525</v>
      </c>
      <c r="G558" s="649">
        <v>342120</v>
      </c>
      <c r="H558" s="649"/>
      <c r="I558" s="650">
        <v>6428</v>
      </c>
      <c r="J558" s="650">
        <v>299807</v>
      </c>
      <c r="K558" s="650">
        <v>23432</v>
      </c>
      <c r="L558" s="649">
        <v>16577</v>
      </c>
      <c r="M558" s="649"/>
      <c r="N558" s="650">
        <v>11988</v>
      </c>
      <c r="O558" s="650">
        <v>110657</v>
      </c>
      <c r="P558" s="650">
        <v>0</v>
      </c>
      <c r="Q558" s="649">
        <v>0</v>
      </c>
      <c r="R558" s="649"/>
      <c r="S558" s="650">
        <v>91444</v>
      </c>
      <c r="T558" s="651">
        <v>7175</v>
      </c>
      <c r="U558" s="651">
        <v>98618</v>
      </c>
    </row>
    <row r="559" spans="1:21" x14ac:dyDescent="0.25">
      <c r="A559" s="646">
        <v>96121</v>
      </c>
      <c r="B559" s="647" t="s">
        <v>3170</v>
      </c>
      <c r="C559" s="648">
        <v>2.2099999999999998E-5</v>
      </c>
      <c r="D559" s="648">
        <v>1.9199999999999999E-5</v>
      </c>
      <c r="E559" s="649">
        <v>7784.73</v>
      </c>
      <c r="F559" s="649">
        <v>8617</v>
      </c>
      <c r="G559" s="649">
        <v>46904</v>
      </c>
      <c r="H559" s="649"/>
      <c r="I559" s="650">
        <v>881.23749999999995</v>
      </c>
      <c r="J559" s="650">
        <v>41103</v>
      </c>
      <c r="K559" s="650">
        <v>3212</v>
      </c>
      <c r="L559" s="649">
        <v>535</v>
      </c>
      <c r="M559" s="649"/>
      <c r="N559" s="650">
        <v>1644</v>
      </c>
      <c r="O559" s="650">
        <v>15171</v>
      </c>
      <c r="P559" s="650">
        <v>0</v>
      </c>
      <c r="Q559" s="649">
        <v>1907</v>
      </c>
      <c r="R559" s="649"/>
      <c r="S559" s="650">
        <v>12537</v>
      </c>
      <c r="T559" s="651">
        <v>-758</v>
      </c>
      <c r="U559" s="651">
        <v>11779</v>
      </c>
    </row>
    <row r="560" spans="1:21" x14ac:dyDescent="0.25">
      <c r="A560" s="646">
        <v>96201</v>
      </c>
      <c r="B560" s="647" t="s">
        <v>3171</v>
      </c>
      <c r="C560" s="648">
        <v>1.2302999999999999E-3</v>
      </c>
      <c r="D560" s="648">
        <v>1.2474000000000001E-3</v>
      </c>
      <c r="E560" s="649">
        <v>481242.57</v>
      </c>
      <c r="F560" s="649">
        <v>559826</v>
      </c>
      <c r="G560" s="649">
        <v>2611109</v>
      </c>
      <c r="H560" s="649"/>
      <c r="I560" s="650">
        <v>49058</v>
      </c>
      <c r="J560" s="650">
        <v>2288164</v>
      </c>
      <c r="K560" s="650">
        <v>178838</v>
      </c>
      <c r="L560" s="649">
        <v>0</v>
      </c>
      <c r="M560" s="649"/>
      <c r="N560" s="650">
        <v>91496</v>
      </c>
      <c r="O560" s="650">
        <v>844549</v>
      </c>
      <c r="P560" s="650">
        <v>0</v>
      </c>
      <c r="Q560" s="649">
        <v>39692</v>
      </c>
      <c r="R560" s="649"/>
      <c r="S560" s="650">
        <v>697911</v>
      </c>
      <c r="T560" s="651">
        <v>-11921</v>
      </c>
      <c r="U560" s="651">
        <v>685990</v>
      </c>
    </row>
    <row r="561" spans="1:21" x14ac:dyDescent="0.25">
      <c r="A561" s="646">
        <v>96204</v>
      </c>
      <c r="B561" s="647" t="s">
        <v>3172</v>
      </c>
      <c r="C561" s="648">
        <v>1.5400000000000002E-5</v>
      </c>
      <c r="D561" s="648">
        <v>1.49E-5</v>
      </c>
      <c r="E561" s="649">
        <v>7656</v>
      </c>
      <c r="F561" s="649">
        <v>6687</v>
      </c>
      <c r="G561" s="649">
        <v>32684</v>
      </c>
      <c r="H561" s="649"/>
      <c r="I561" s="650">
        <v>614</v>
      </c>
      <c r="J561" s="650">
        <v>28642</v>
      </c>
      <c r="K561" s="650">
        <v>2239</v>
      </c>
      <c r="L561" s="649">
        <v>3853</v>
      </c>
      <c r="M561" s="649"/>
      <c r="N561" s="650">
        <v>1145</v>
      </c>
      <c r="O561" s="650">
        <v>10571</v>
      </c>
      <c r="P561" s="650">
        <v>0</v>
      </c>
      <c r="Q561" s="649">
        <v>0</v>
      </c>
      <c r="R561" s="649"/>
      <c r="S561" s="650">
        <v>8736</v>
      </c>
      <c r="T561" s="651">
        <v>1392</v>
      </c>
      <c r="U561" s="651">
        <v>10127</v>
      </c>
    </row>
    <row r="562" spans="1:21" x14ac:dyDescent="0.25">
      <c r="A562" s="646">
        <v>96211</v>
      </c>
      <c r="B562" s="647" t="s">
        <v>3173</v>
      </c>
      <c r="C562" s="648">
        <v>3.0700000000000001E-5</v>
      </c>
      <c r="D562" s="648">
        <v>2.7399999999999999E-5</v>
      </c>
      <c r="E562" s="649">
        <v>14055.49</v>
      </c>
      <c r="F562" s="649">
        <v>12297</v>
      </c>
      <c r="G562" s="649">
        <v>65156</v>
      </c>
      <c r="H562" s="649"/>
      <c r="I562" s="650">
        <v>1224</v>
      </c>
      <c r="J562" s="650">
        <v>57097</v>
      </c>
      <c r="K562" s="650">
        <v>4463</v>
      </c>
      <c r="L562" s="649">
        <v>5441</v>
      </c>
      <c r="M562" s="649"/>
      <c r="N562" s="650">
        <v>2283</v>
      </c>
      <c r="O562" s="650">
        <v>21074</v>
      </c>
      <c r="P562" s="650">
        <v>0</v>
      </c>
      <c r="Q562" s="649">
        <v>8968.93</v>
      </c>
      <c r="R562" s="649"/>
      <c r="S562" s="650">
        <v>17415</v>
      </c>
      <c r="T562" s="651">
        <v>-2857</v>
      </c>
      <c r="U562" s="651">
        <v>14558</v>
      </c>
    </row>
    <row r="563" spans="1:21" x14ac:dyDescent="0.25">
      <c r="A563" s="646">
        <v>96221</v>
      </c>
      <c r="B563" s="647" t="s">
        <v>3174</v>
      </c>
      <c r="C563" s="648">
        <v>2.287E-4</v>
      </c>
      <c r="D563" s="648">
        <v>2.3719999999999999E-4</v>
      </c>
      <c r="E563" s="649">
        <v>88753.9</v>
      </c>
      <c r="F563" s="649">
        <v>106454</v>
      </c>
      <c r="G563" s="649">
        <v>485378</v>
      </c>
      <c r="H563" s="649"/>
      <c r="I563" s="650">
        <v>9119</v>
      </c>
      <c r="J563" s="650">
        <v>425346</v>
      </c>
      <c r="K563" s="650">
        <v>33244</v>
      </c>
      <c r="L563" s="649">
        <v>4903</v>
      </c>
      <c r="M563" s="649"/>
      <c r="N563" s="650">
        <v>17008</v>
      </c>
      <c r="O563" s="650">
        <v>156993</v>
      </c>
      <c r="P563" s="650">
        <v>0</v>
      </c>
      <c r="Q563" s="649">
        <v>16105</v>
      </c>
      <c r="R563" s="649"/>
      <c r="S563" s="650">
        <v>129734</v>
      </c>
      <c r="T563" s="651">
        <v>-2405</v>
      </c>
      <c r="U563" s="651">
        <v>127329</v>
      </c>
    </row>
    <row r="564" spans="1:21" x14ac:dyDescent="0.25">
      <c r="A564" s="646">
        <v>96231</v>
      </c>
      <c r="B564" s="647" t="s">
        <v>3175</v>
      </c>
      <c r="C564" s="648">
        <v>1.145E-4</v>
      </c>
      <c r="D564" s="648">
        <v>1.2420000000000001E-4</v>
      </c>
      <c r="E564" s="649">
        <v>40508</v>
      </c>
      <c r="F564" s="649">
        <v>55740</v>
      </c>
      <c r="G564" s="649">
        <v>243007</v>
      </c>
      <c r="H564" s="649"/>
      <c r="I564" s="650">
        <v>4565.6875</v>
      </c>
      <c r="J564" s="650">
        <v>212952</v>
      </c>
      <c r="K564" s="650">
        <v>16644</v>
      </c>
      <c r="L564" s="649">
        <v>0</v>
      </c>
      <c r="M564" s="649"/>
      <c r="N564" s="650">
        <v>8515</v>
      </c>
      <c r="O564" s="650">
        <v>78599</v>
      </c>
      <c r="P564" s="650">
        <v>0</v>
      </c>
      <c r="Q564" s="649">
        <v>22692</v>
      </c>
      <c r="R564" s="649"/>
      <c r="S564" s="650">
        <v>64952</v>
      </c>
      <c r="T564" s="651">
        <v>-7733</v>
      </c>
      <c r="U564" s="651">
        <v>57219</v>
      </c>
    </row>
    <row r="565" spans="1:21" x14ac:dyDescent="0.25">
      <c r="A565" s="646">
        <v>96241</v>
      </c>
      <c r="B565" s="647" t="s">
        <v>3176</v>
      </c>
      <c r="C565" s="648">
        <v>4.6100000000000002E-5</v>
      </c>
      <c r="D565" s="648">
        <v>5.7000000000000003E-5</v>
      </c>
      <c r="E565" s="649">
        <v>18964.25</v>
      </c>
      <c r="F565" s="649">
        <v>25581</v>
      </c>
      <c r="G565" s="649">
        <v>97840</v>
      </c>
      <c r="H565" s="649"/>
      <c r="I565" s="650">
        <v>1838</v>
      </c>
      <c r="J565" s="650">
        <v>85739</v>
      </c>
      <c r="K565" s="650">
        <v>6701</v>
      </c>
      <c r="L565" s="649">
        <v>7866</v>
      </c>
      <c r="M565" s="649"/>
      <c r="N565" s="650">
        <v>3428</v>
      </c>
      <c r="O565" s="650">
        <v>31646</v>
      </c>
      <c r="P565" s="650">
        <v>0</v>
      </c>
      <c r="Q565" s="649">
        <v>5900</v>
      </c>
      <c r="R565" s="649"/>
      <c r="S565" s="650">
        <v>26151</v>
      </c>
      <c r="T565" s="651">
        <v>2187</v>
      </c>
      <c r="U565" s="651">
        <v>28338</v>
      </c>
    </row>
    <row r="566" spans="1:21" x14ac:dyDescent="0.25">
      <c r="A566" s="646">
        <v>96251</v>
      </c>
      <c r="B566" s="647" t="s">
        <v>3177</v>
      </c>
      <c r="C566" s="648">
        <v>7.7100000000000004E-5</v>
      </c>
      <c r="D566" s="648">
        <v>9.0699999999999996E-5</v>
      </c>
      <c r="E566" s="649">
        <v>29404.75</v>
      </c>
      <c r="F566" s="649">
        <v>40706</v>
      </c>
      <c r="G566" s="649">
        <v>163632</v>
      </c>
      <c r="H566" s="649"/>
      <c r="I566" s="650">
        <v>3074</v>
      </c>
      <c r="J566" s="650">
        <v>143394</v>
      </c>
      <c r="K566" s="650">
        <v>11207</v>
      </c>
      <c r="L566" s="649">
        <v>0</v>
      </c>
      <c r="M566" s="649"/>
      <c r="N566" s="650">
        <v>5734</v>
      </c>
      <c r="O566" s="650">
        <v>52926</v>
      </c>
      <c r="P566" s="650">
        <v>0</v>
      </c>
      <c r="Q566" s="649">
        <v>25538</v>
      </c>
      <c r="R566" s="649"/>
      <c r="S566" s="650">
        <v>43736</v>
      </c>
      <c r="T566" s="651">
        <v>-8652</v>
      </c>
      <c r="U566" s="651">
        <v>35085</v>
      </c>
    </row>
    <row r="567" spans="1:21" x14ac:dyDescent="0.25">
      <c r="A567" s="646">
        <v>96301</v>
      </c>
      <c r="B567" s="647" t="s">
        <v>3178</v>
      </c>
      <c r="C567" s="648">
        <v>4.3785999999999999E-3</v>
      </c>
      <c r="D567" s="648">
        <v>4.5367999999999997E-3</v>
      </c>
      <c r="E567" s="649">
        <v>1765529</v>
      </c>
      <c r="F567" s="649">
        <v>2036089</v>
      </c>
      <c r="G567" s="649">
        <v>9292856</v>
      </c>
      <c r="H567" s="649"/>
      <c r="I567" s="650">
        <v>174597</v>
      </c>
      <c r="J567" s="650">
        <v>8143504</v>
      </c>
      <c r="K567" s="650">
        <v>636478</v>
      </c>
      <c r="L567" s="649">
        <v>94185</v>
      </c>
      <c r="M567" s="649"/>
      <c r="N567" s="650">
        <v>325632</v>
      </c>
      <c r="O567" s="650">
        <v>3005725</v>
      </c>
      <c r="P567" s="650">
        <v>0</v>
      </c>
      <c r="Q567" s="649">
        <v>147101</v>
      </c>
      <c r="R567" s="649"/>
      <c r="S567" s="650">
        <v>2483844</v>
      </c>
      <c r="T567" s="651">
        <v>-12863</v>
      </c>
      <c r="U567" s="651">
        <v>2470981</v>
      </c>
    </row>
    <row r="568" spans="1:21" x14ac:dyDescent="0.25">
      <c r="A568" s="646">
        <v>96302</v>
      </c>
      <c r="B568" s="647" t="s">
        <v>3179</v>
      </c>
      <c r="C568" s="648">
        <v>1.9199999999999999E-5</v>
      </c>
      <c r="D568" s="648">
        <v>1.42E-5</v>
      </c>
      <c r="E568" s="649">
        <v>6636.09</v>
      </c>
      <c r="F568" s="649">
        <v>6373</v>
      </c>
      <c r="G568" s="649">
        <v>40749</v>
      </c>
      <c r="H568" s="649"/>
      <c r="I568" s="650">
        <v>766</v>
      </c>
      <c r="J568" s="650">
        <v>35709</v>
      </c>
      <c r="K568" s="650">
        <v>2791</v>
      </c>
      <c r="L568" s="649">
        <v>4449</v>
      </c>
      <c r="M568" s="649"/>
      <c r="N568" s="650">
        <v>1428</v>
      </c>
      <c r="O568" s="650">
        <v>13180</v>
      </c>
      <c r="P568" s="650">
        <v>0</v>
      </c>
      <c r="Q568" s="649">
        <v>0</v>
      </c>
      <c r="R568" s="649"/>
      <c r="S568" s="650">
        <v>10892</v>
      </c>
      <c r="T568" s="651">
        <v>1514</v>
      </c>
      <c r="U568" s="651">
        <v>12406</v>
      </c>
    </row>
    <row r="569" spans="1:21" x14ac:dyDescent="0.25">
      <c r="A569" s="646">
        <v>96304</v>
      </c>
      <c r="B569" s="647" t="s">
        <v>3180</v>
      </c>
      <c r="C569" s="648">
        <v>5.4599999999999999E-5</v>
      </c>
      <c r="D569" s="648">
        <v>5.24E-5</v>
      </c>
      <c r="E569" s="649">
        <v>25715.360000000001</v>
      </c>
      <c r="F569" s="649">
        <v>23517</v>
      </c>
      <c r="G569" s="649">
        <v>115879</v>
      </c>
      <c r="H569" s="649"/>
      <c r="I569" s="650">
        <v>2177</v>
      </c>
      <c r="J569" s="650">
        <v>101547</v>
      </c>
      <c r="K569" s="650">
        <v>7937</v>
      </c>
      <c r="L569" s="649">
        <v>7913</v>
      </c>
      <c r="M569" s="649"/>
      <c r="N569" s="650">
        <v>4061</v>
      </c>
      <c r="O569" s="650">
        <v>37481</v>
      </c>
      <c r="P569" s="650">
        <v>0</v>
      </c>
      <c r="Q569" s="649">
        <v>231</v>
      </c>
      <c r="R569" s="649"/>
      <c r="S569" s="650">
        <v>30973</v>
      </c>
      <c r="T569" s="651">
        <v>2329</v>
      </c>
      <c r="U569" s="651">
        <v>33302</v>
      </c>
    </row>
    <row r="570" spans="1:21" x14ac:dyDescent="0.25">
      <c r="A570" s="646">
        <v>96305</v>
      </c>
      <c r="B570" s="647" t="s">
        <v>3181</v>
      </c>
      <c r="C570" s="648">
        <v>4.8199999999999999E-5</v>
      </c>
      <c r="D570" s="648">
        <v>5.0399999999999999E-5</v>
      </c>
      <c r="E570" s="649">
        <v>28361</v>
      </c>
      <c r="F570" s="649">
        <v>22619</v>
      </c>
      <c r="G570" s="649">
        <v>102297</v>
      </c>
      <c r="H570" s="649"/>
      <c r="I570" s="650">
        <v>1921.9749999999999</v>
      </c>
      <c r="J570" s="650">
        <v>89644</v>
      </c>
      <c r="K570" s="650">
        <v>7006</v>
      </c>
      <c r="L570" s="649">
        <v>10711</v>
      </c>
      <c r="M570" s="649"/>
      <c r="N570" s="650">
        <v>3585</v>
      </c>
      <c r="O570" s="650">
        <v>33087</v>
      </c>
      <c r="P570" s="650">
        <v>0</v>
      </c>
      <c r="Q570" s="649">
        <v>0</v>
      </c>
      <c r="R570" s="649"/>
      <c r="S570" s="650">
        <v>27342</v>
      </c>
      <c r="T570" s="651">
        <v>3278</v>
      </c>
      <c r="U570" s="651">
        <v>30620</v>
      </c>
    </row>
    <row r="571" spans="1:21" x14ac:dyDescent="0.25">
      <c r="A571" s="646">
        <v>96310</v>
      </c>
      <c r="B571" s="647" t="s">
        <v>3182</v>
      </c>
      <c r="C571" s="648">
        <v>4.88E-5</v>
      </c>
      <c r="D571" s="648">
        <v>6.1299999999999999E-5</v>
      </c>
      <c r="E571" s="649">
        <v>23403</v>
      </c>
      <c r="F571" s="649">
        <v>27511</v>
      </c>
      <c r="G571" s="649">
        <v>103570</v>
      </c>
      <c r="H571" s="649"/>
      <c r="I571" s="650">
        <v>1945.9</v>
      </c>
      <c r="J571" s="650">
        <v>90760</v>
      </c>
      <c r="K571" s="650">
        <v>7094</v>
      </c>
      <c r="L571" s="649">
        <v>6056</v>
      </c>
      <c r="M571" s="649"/>
      <c r="N571" s="650">
        <v>3629</v>
      </c>
      <c r="O571" s="650">
        <v>33499</v>
      </c>
      <c r="P571" s="650">
        <v>0</v>
      </c>
      <c r="Q571" s="649">
        <v>4123</v>
      </c>
      <c r="R571" s="649"/>
      <c r="S571" s="650">
        <v>27683</v>
      </c>
      <c r="T571" s="651">
        <v>1701</v>
      </c>
      <c r="U571" s="651">
        <v>29384</v>
      </c>
    </row>
    <row r="572" spans="1:21" x14ac:dyDescent="0.25">
      <c r="A572" s="646">
        <v>96311</v>
      </c>
      <c r="B572" s="647" t="s">
        <v>3183</v>
      </c>
      <c r="C572" s="648">
        <v>1.4082999999999999E-3</v>
      </c>
      <c r="D572" s="648">
        <v>1.4383E-3</v>
      </c>
      <c r="E572" s="649">
        <v>512325.3</v>
      </c>
      <c r="F572" s="649">
        <v>645500</v>
      </c>
      <c r="G572" s="649">
        <v>2988884</v>
      </c>
      <c r="H572" s="649"/>
      <c r="I572" s="650">
        <v>56156</v>
      </c>
      <c r="J572" s="650">
        <v>2619215</v>
      </c>
      <c r="K572" s="650">
        <v>204712</v>
      </c>
      <c r="L572" s="649">
        <v>22194.47</v>
      </c>
      <c r="M572" s="649"/>
      <c r="N572" s="650">
        <v>104734</v>
      </c>
      <c r="O572" s="650">
        <v>966739</v>
      </c>
      <c r="P572" s="650">
        <v>0</v>
      </c>
      <c r="Q572" s="649">
        <v>96281</v>
      </c>
      <c r="R572" s="649"/>
      <c r="S572" s="650">
        <v>798885</v>
      </c>
      <c r="T572" s="651">
        <v>-16365</v>
      </c>
      <c r="U572" s="651">
        <v>782520</v>
      </c>
    </row>
    <row r="573" spans="1:21" x14ac:dyDescent="0.25">
      <c r="A573" s="646">
        <v>96312</v>
      </c>
      <c r="B573" s="647" t="s">
        <v>3184</v>
      </c>
      <c r="C573" s="648">
        <v>1.5999999999999999E-6</v>
      </c>
      <c r="D573" s="648">
        <v>4.7999999999999998E-6</v>
      </c>
      <c r="E573" s="649">
        <v>1992</v>
      </c>
      <c r="F573" s="649">
        <v>2154</v>
      </c>
      <c r="G573" s="649">
        <v>3396</v>
      </c>
      <c r="H573" s="649"/>
      <c r="I573" s="650">
        <v>63.8</v>
      </c>
      <c r="J573" s="650">
        <v>2976</v>
      </c>
      <c r="K573" s="650">
        <v>233</v>
      </c>
      <c r="L573" s="649">
        <v>51</v>
      </c>
      <c r="M573" s="649"/>
      <c r="N573" s="650">
        <v>119</v>
      </c>
      <c r="O573" s="650">
        <v>1098</v>
      </c>
      <c r="P573" s="650">
        <v>0</v>
      </c>
      <c r="Q573" s="649">
        <v>3416</v>
      </c>
      <c r="R573" s="649"/>
      <c r="S573" s="650">
        <v>908</v>
      </c>
      <c r="T573" s="651">
        <v>-1534</v>
      </c>
      <c r="U573" s="651">
        <v>-627</v>
      </c>
    </row>
    <row r="574" spans="1:21" x14ac:dyDescent="0.25">
      <c r="A574" s="646">
        <v>96318</v>
      </c>
      <c r="B574" s="647" t="s">
        <v>3185</v>
      </c>
      <c r="C574" s="648">
        <v>1.7782E-3</v>
      </c>
      <c r="D574" s="648">
        <v>0</v>
      </c>
      <c r="E574" s="649">
        <v>12089019</v>
      </c>
      <c r="F574" s="649">
        <v>0</v>
      </c>
      <c r="G574" s="649">
        <v>3773936</v>
      </c>
      <c r="H574" s="649"/>
      <c r="I574" s="650">
        <v>70906</v>
      </c>
      <c r="J574" s="650">
        <v>3307171</v>
      </c>
      <c r="K574" s="650">
        <v>258481</v>
      </c>
      <c r="L574" s="649">
        <v>9984043</v>
      </c>
      <c r="M574" s="649"/>
      <c r="N574" s="650">
        <v>132243</v>
      </c>
      <c r="O574" s="650">
        <v>1220660</v>
      </c>
      <c r="P574" s="650">
        <v>0</v>
      </c>
      <c r="Q574" s="649">
        <v>0</v>
      </c>
      <c r="R574" s="649"/>
      <c r="S574" s="650">
        <v>1008718</v>
      </c>
      <c r="T574" s="651">
        <v>2586540</v>
      </c>
      <c r="U574" s="651">
        <v>3595257</v>
      </c>
    </row>
    <row r="575" spans="1:21" x14ac:dyDescent="0.25">
      <c r="A575" s="646">
        <v>96321</v>
      </c>
      <c r="B575" s="647" t="s">
        <v>3186</v>
      </c>
      <c r="C575" s="648">
        <v>3.7400000000000001E-5</v>
      </c>
      <c r="D575" s="648">
        <v>3.9700000000000003E-5</v>
      </c>
      <c r="E575" s="649">
        <v>13314.68</v>
      </c>
      <c r="F575" s="649">
        <v>17817</v>
      </c>
      <c r="G575" s="649">
        <v>79375</v>
      </c>
      <c r="H575" s="649"/>
      <c r="I575" s="650">
        <v>1491.325</v>
      </c>
      <c r="J575" s="650">
        <v>69558</v>
      </c>
      <c r="K575" s="650">
        <v>5437</v>
      </c>
      <c r="L575" s="649">
        <v>837</v>
      </c>
      <c r="M575" s="649"/>
      <c r="N575" s="650">
        <v>2781</v>
      </c>
      <c r="O575" s="650">
        <v>25674</v>
      </c>
      <c r="P575" s="650">
        <v>0</v>
      </c>
      <c r="Q575" s="649">
        <v>3510</v>
      </c>
      <c r="R575" s="649"/>
      <c r="S575" s="650">
        <v>21216</v>
      </c>
      <c r="T575" s="651">
        <v>-764</v>
      </c>
      <c r="U575" s="651">
        <v>20452</v>
      </c>
    </row>
    <row r="576" spans="1:21" x14ac:dyDescent="0.25">
      <c r="A576" s="646">
        <v>96331</v>
      </c>
      <c r="B576" s="647" t="s">
        <v>3187</v>
      </c>
      <c r="C576" s="648">
        <v>7.1699999999999997E-4</v>
      </c>
      <c r="D576" s="648">
        <v>7.6110000000000001E-4</v>
      </c>
      <c r="E576" s="649">
        <v>265185</v>
      </c>
      <c r="F576" s="649">
        <v>341577</v>
      </c>
      <c r="G576" s="649">
        <v>1521714</v>
      </c>
      <c r="H576" s="649"/>
      <c r="I576" s="650">
        <v>28590.375</v>
      </c>
      <c r="J576" s="650">
        <v>1333507</v>
      </c>
      <c r="K576" s="650">
        <v>104224</v>
      </c>
      <c r="L576" s="649">
        <v>4814</v>
      </c>
      <c r="M576" s="649"/>
      <c r="N576" s="650">
        <v>53323</v>
      </c>
      <c r="O576" s="650">
        <v>492190</v>
      </c>
      <c r="P576" s="650">
        <v>0</v>
      </c>
      <c r="Q576" s="649">
        <v>66351</v>
      </c>
      <c r="R576" s="649"/>
      <c r="S576" s="650">
        <v>406732</v>
      </c>
      <c r="T576" s="651">
        <v>-20081</v>
      </c>
      <c r="U576" s="651">
        <v>386651</v>
      </c>
    </row>
    <row r="577" spans="1:21" x14ac:dyDescent="0.25">
      <c r="A577" s="646">
        <v>96341</v>
      </c>
      <c r="B577" s="647" t="s">
        <v>3188</v>
      </c>
      <c r="C577" s="648">
        <v>9.1600000000000004E-5</v>
      </c>
      <c r="D577" s="648">
        <v>8.0799999999999999E-5</v>
      </c>
      <c r="E577" s="649">
        <v>32432</v>
      </c>
      <c r="F577" s="649">
        <v>36263</v>
      </c>
      <c r="G577" s="649">
        <v>194406</v>
      </c>
      <c r="H577" s="649"/>
      <c r="I577" s="650">
        <v>3652.55</v>
      </c>
      <c r="J577" s="650">
        <v>170362</v>
      </c>
      <c r="K577" s="650">
        <v>13315</v>
      </c>
      <c r="L577" s="649">
        <v>13221</v>
      </c>
      <c r="M577" s="649"/>
      <c r="N577" s="650">
        <v>6812</v>
      </c>
      <c r="O577" s="650">
        <v>62880</v>
      </c>
      <c r="P577" s="650">
        <v>0</v>
      </c>
      <c r="Q577" s="649">
        <v>11187.78</v>
      </c>
      <c r="R577" s="649"/>
      <c r="S577" s="650">
        <v>51962</v>
      </c>
      <c r="T577" s="651">
        <v>-1095</v>
      </c>
      <c r="U577" s="651">
        <v>50867</v>
      </c>
    </row>
    <row r="578" spans="1:21" x14ac:dyDescent="0.25">
      <c r="A578" s="646">
        <v>96351</v>
      </c>
      <c r="B578" s="647" t="s">
        <v>3189</v>
      </c>
      <c r="C578" s="648">
        <v>1.0736000000000001E-3</v>
      </c>
      <c r="D578" s="648">
        <v>1.0939999999999999E-3</v>
      </c>
      <c r="E578" s="649">
        <v>419131</v>
      </c>
      <c r="F578" s="649">
        <v>490981</v>
      </c>
      <c r="G578" s="649">
        <v>2278539</v>
      </c>
      <c r="H578" s="649"/>
      <c r="I578" s="650">
        <v>42809.8</v>
      </c>
      <c r="J578" s="650">
        <v>1996726</v>
      </c>
      <c r="K578" s="650">
        <v>156060</v>
      </c>
      <c r="L578" s="649">
        <v>9467</v>
      </c>
      <c r="M578" s="649"/>
      <c r="N578" s="650">
        <v>79843</v>
      </c>
      <c r="O578" s="650">
        <v>736981</v>
      </c>
      <c r="P578" s="650">
        <v>0</v>
      </c>
      <c r="Q578" s="649">
        <v>28826</v>
      </c>
      <c r="R578" s="649"/>
      <c r="S578" s="650">
        <v>609020</v>
      </c>
      <c r="T578" s="651">
        <v>-3422</v>
      </c>
      <c r="U578" s="651">
        <v>605598</v>
      </c>
    </row>
    <row r="579" spans="1:21" x14ac:dyDescent="0.25">
      <c r="A579" s="646">
        <v>96361</v>
      </c>
      <c r="B579" s="647" t="s">
        <v>3190</v>
      </c>
      <c r="C579" s="648">
        <v>5.8900000000000002E-5</v>
      </c>
      <c r="D579" s="648">
        <v>4.8999999999999998E-5</v>
      </c>
      <c r="E579" s="649">
        <v>21511</v>
      </c>
      <c r="F579" s="649">
        <v>21991</v>
      </c>
      <c r="G579" s="649">
        <v>125006</v>
      </c>
      <c r="H579" s="649"/>
      <c r="I579" s="650">
        <v>2349</v>
      </c>
      <c r="J579" s="650">
        <v>109545</v>
      </c>
      <c r="K579" s="650">
        <v>8562</v>
      </c>
      <c r="L579" s="649">
        <v>5269</v>
      </c>
      <c r="M579" s="649"/>
      <c r="N579" s="650">
        <v>4380</v>
      </c>
      <c r="O579" s="650">
        <v>40432</v>
      </c>
      <c r="P579" s="650">
        <v>0</v>
      </c>
      <c r="Q579" s="649">
        <v>390</v>
      </c>
      <c r="R579" s="649"/>
      <c r="S579" s="650">
        <v>33412</v>
      </c>
      <c r="T579" s="651">
        <v>1728</v>
      </c>
      <c r="U579" s="651">
        <v>35140</v>
      </c>
    </row>
    <row r="580" spans="1:21" x14ac:dyDescent="0.25">
      <c r="A580" s="646">
        <v>96371</v>
      </c>
      <c r="B580" s="647" t="s">
        <v>3191</v>
      </c>
      <c r="C580" s="648">
        <v>1.6359999999999999E-4</v>
      </c>
      <c r="D580" s="648">
        <v>1.6760000000000001E-4</v>
      </c>
      <c r="E580" s="649">
        <v>62917</v>
      </c>
      <c r="F580" s="649">
        <v>75218</v>
      </c>
      <c r="G580" s="649">
        <v>347214</v>
      </c>
      <c r="H580" s="649"/>
      <c r="I580" s="650">
        <v>6524</v>
      </c>
      <c r="J580" s="650">
        <v>304270</v>
      </c>
      <c r="K580" s="650">
        <v>23781</v>
      </c>
      <c r="L580" s="649">
        <v>2683</v>
      </c>
      <c r="M580" s="649"/>
      <c r="N580" s="650">
        <v>12167</v>
      </c>
      <c r="O580" s="650">
        <v>112305</v>
      </c>
      <c r="P580" s="650">
        <v>0</v>
      </c>
      <c r="Q580" s="649">
        <v>7435</v>
      </c>
      <c r="R580" s="649"/>
      <c r="S580" s="650">
        <v>92805</v>
      </c>
      <c r="T580" s="651">
        <v>-750</v>
      </c>
      <c r="U580" s="651">
        <v>92055</v>
      </c>
    </row>
    <row r="581" spans="1:21" x14ac:dyDescent="0.25">
      <c r="A581" s="646">
        <v>96381</v>
      </c>
      <c r="B581" s="647" t="s">
        <v>3192</v>
      </c>
      <c r="C581" s="648">
        <v>3.26E-5</v>
      </c>
      <c r="D581" s="648">
        <v>2.9600000000000001E-5</v>
      </c>
      <c r="E581" s="649">
        <v>11485.45</v>
      </c>
      <c r="F581" s="649">
        <v>13284</v>
      </c>
      <c r="G581" s="649">
        <v>69188</v>
      </c>
      <c r="H581" s="649"/>
      <c r="I581" s="650">
        <v>1299.925</v>
      </c>
      <c r="J581" s="650">
        <v>60631</v>
      </c>
      <c r="K581" s="650">
        <v>4739</v>
      </c>
      <c r="L581" s="649">
        <v>99</v>
      </c>
      <c r="M581" s="649"/>
      <c r="N581" s="650">
        <v>2424</v>
      </c>
      <c r="O581" s="650">
        <v>22379</v>
      </c>
      <c r="P581" s="650">
        <v>0</v>
      </c>
      <c r="Q581" s="649">
        <v>3089</v>
      </c>
      <c r="R581" s="649"/>
      <c r="S581" s="650">
        <v>18493</v>
      </c>
      <c r="T581" s="651">
        <v>-1205</v>
      </c>
      <c r="U581" s="651">
        <v>17288</v>
      </c>
    </row>
    <row r="582" spans="1:21" x14ac:dyDescent="0.25">
      <c r="A582" s="646">
        <v>96391</v>
      </c>
      <c r="B582" s="647" t="s">
        <v>3193</v>
      </c>
      <c r="C582" s="648">
        <v>1.807E-4</v>
      </c>
      <c r="D582" s="648">
        <v>1.9450000000000001E-4</v>
      </c>
      <c r="E582" s="649">
        <v>66063</v>
      </c>
      <c r="F582" s="649">
        <v>87290</v>
      </c>
      <c r="G582" s="649">
        <v>383506</v>
      </c>
      <c r="H582" s="649"/>
      <c r="I582" s="650">
        <v>7205</v>
      </c>
      <c r="J582" s="650">
        <v>336073</v>
      </c>
      <c r="K582" s="650">
        <v>26267</v>
      </c>
      <c r="L582" s="649">
        <v>19760.7</v>
      </c>
      <c r="M582" s="649"/>
      <c r="N582" s="650">
        <v>13438</v>
      </c>
      <c r="O582" s="650">
        <v>124043</v>
      </c>
      <c r="P582" s="650">
        <v>0</v>
      </c>
      <c r="Q582" s="649">
        <v>26107</v>
      </c>
      <c r="R582" s="649"/>
      <c r="S582" s="650">
        <v>102506</v>
      </c>
      <c r="T582" s="651">
        <v>2012</v>
      </c>
      <c r="U582" s="651">
        <v>104518</v>
      </c>
    </row>
    <row r="583" spans="1:21" x14ac:dyDescent="0.25">
      <c r="A583" s="646">
        <v>96401</v>
      </c>
      <c r="B583" s="647" t="s">
        <v>3194</v>
      </c>
      <c r="C583" s="648">
        <v>4.5900000000000003E-3</v>
      </c>
      <c r="D583" s="648">
        <v>4.5434999999999998E-3</v>
      </c>
      <c r="E583" s="649">
        <v>1835552.26</v>
      </c>
      <c r="F583" s="649">
        <v>2039096</v>
      </c>
      <c r="G583" s="649">
        <v>9741518</v>
      </c>
      <c r="H583" s="649"/>
      <c r="I583" s="650">
        <v>183026.25</v>
      </c>
      <c r="J583" s="650">
        <v>8536675</v>
      </c>
      <c r="K583" s="650">
        <v>667206.99</v>
      </c>
      <c r="L583" s="649">
        <v>31898</v>
      </c>
      <c r="M583" s="649"/>
      <c r="N583" s="650">
        <v>341353.71</v>
      </c>
      <c r="O583" s="650">
        <v>3150842.22</v>
      </c>
      <c r="P583" s="650">
        <v>0</v>
      </c>
      <c r="Q583" s="649">
        <v>37434</v>
      </c>
      <c r="R583" s="649"/>
      <c r="S583" s="650">
        <v>2603764.71</v>
      </c>
      <c r="T583" s="651">
        <v>4298</v>
      </c>
      <c r="U583" s="651">
        <v>2608063</v>
      </c>
    </row>
    <row r="584" spans="1:21" x14ac:dyDescent="0.25">
      <c r="A584" s="646">
        <v>96404</v>
      </c>
      <c r="B584" s="647" t="s">
        <v>3195</v>
      </c>
      <c r="C584" s="648">
        <v>9.8800000000000003E-5</v>
      </c>
      <c r="D584" s="648">
        <v>8.92E-5</v>
      </c>
      <c r="E584" s="649">
        <v>49336.67</v>
      </c>
      <c r="F584" s="649">
        <v>40032</v>
      </c>
      <c r="G584" s="649">
        <v>209687</v>
      </c>
      <c r="H584" s="649"/>
      <c r="I584" s="650">
        <v>3939.65</v>
      </c>
      <c r="J584" s="650">
        <v>183752</v>
      </c>
      <c r="K584" s="650">
        <v>14362</v>
      </c>
      <c r="L584" s="649">
        <v>23586</v>
      </c>
      <c r="M584" s="649"/>
      <c r="N584" s="650">
        <v>7348</v>
      </c>
      <c r="O584" s="650">
        <v>67822</v>
      </c>
      <c r="P584" s="650">
        <v>0</v>
      </c>
      <c r="Q584" s="649">
        <v>0</v>
      </c>
      <c r="R584" s="649"/>
      <c r="S584" s="650">
        <v>56046</v>
      </c>
      <c r="T584" s="651">
        <v>7753</v>
      </c>
      <c r="U584" s="651">
        <v>63799</v>
      </c>
    </row>
    <row r="585" spans="1:21" x14ac:dyDescent="0.25">
      <c r="A585" s="646">
        <v>96405</v>
      </c>
      <c r="B585" s="647" t="s">
        <v>3196</v>
      </c>
      <c r="C585" s="648">
        <v>1.7760000000000001E-4</v>
      </c>
      <c r="D585" s="648">
        <v>1.942E-4</v>
      </c>
      <c r="E585" s="649">
        <v>83528</v>
      </c>
      <c r="F585" s="649">
        <v>87156</v>
      </c>
      <c r="G585" s="649">
        <v>376927</v>
      </c>
      <c r="H585" s="649"/>
      <c r="I585" s="650">
        <v>7081.8</v>
      </c>
      <c r="J585" s="650">
        <v>330308</v>
      </c>
      <c r="K585" s="650">
        <v>25816</v>
      </c>
      <c r="L585" s="649">
        <v>15838</v>
      </c>
      <c r="M585" s="649"/>
      <c r="N585" s="650">
        <v>13208</v>
      </c>
      <c r="O585" s="650">
        <v>121915</v>
      </c>
      <c r="P585" s="650">
        <v>0</v>
      </c>
      <c r="Q585" s="649">
        <v>2411</v>
      </c>
      <c r="R585" s="649"/>
      <c r="S585" s="650">
        <v>100747</v>
      </c>
      <c r="T585" s="651">
        <v>4565</v>
      </c>
      <c r="U585" s="651">
        <v>105312</v>
      </c>
    </row>
    <row r="586" spans="1:21" x14ac:dyDescent="0.25">
      <c r="A586" s="646">
        <v>96411</v>
      </c>
      <c r="B586" s="647" t="s">
        <v>3197</v>
      </c>
      <c r="C586" s="648">
        <v>5.66E-5</v>
      </c>
      <c r="D586" s="648">
        <v>6.6699999999999995E-5</v>
      </c>
      <c r="E586" s="649">
        <v>25222</v>
      </c>
      <c r="F586" s="649">
        <v>29935</v>
      </c>
      <c r="G586" s="649">
        <v>120124</v>
      </c>
      <c r="H586" s="649"/>
      <c r="I586" s="650">
        <v>2257</v>
      </c>
      <c r="J586" s="650">
        <v>105267</v>
      </c>
      <c r="K586" s="650">
        <v>8227</v>
      </c>
      <c r="L586" s="649">
        <v>8181</v>
      </c>
      <c r="M586" s="649"/>
      <c r="N586" s="650">
        <v>4209</v>
      </c>
      <c r="O586" s="650">
        <v>38854</v>
      </c>
      <c r="P586" s="650">
        <v>0</v>
      </c>
      <c r="Q586" s="649">
        <v>6127</v>
      </c>
      <c r="R586" s="649"/>
      <c r="S586" s="650">
        <v>32107</v>
      </c>
      <c r="T586" s="651">
        <v>778</v>
      </c>
      <c r="U586" s="651">
        <v>32885</v>
      </c>
    </row>
    <row r="587" spans="1:21" x14ac:dyDescent="0.25">
      <c r="A587" s="646">
        <v>96421</v>
      </c>
      <c r="B587" s="647" t="s">
        <v>3198</v>
      </c>
      <c r="C587" s="648">
        <v>4.2860000000000001E-4</v>
      </c>
      <c r="D587" s="648">
        <v>4.6069999999999998E-4</v>
      </c>
      <c r="E587" s="649">
        <v>149902.97</v>
      </c>
      <c r="F587" s="649">
        <v>206759</v>
      </c>
      <c r="G587" s="649">
        <v>909633</v>
      </c>
      <c r="H587" s="649"/>
      <c r="I587" s="650">
        <v>17090</v>
      </c>
      <c r="J587" s="650">
        <v>797128</v>
      </c>
      <c r="K587" s="650">
        <v>62302</v>
      </c>
      <c r="L587" s="649">
        <v>0</v>
      </c>
      <c r="M587" s="649"/>
      <c r="N587" s="650">
        <v>31875</v>
      </c>
      <c r="O587" s="650">
        <v>294216</v>
      </c>
      <c r="P587" s="650">
        <v>0</v>
      </c>
      <c r="Q587" s="649">
        <v>86301</v>
      </c>
      <c r="R587" s="649"/>
      <c r="S587" s="650">
        <v>243131</v>
      </c>
      <c r="T587" s="651">
        <v>-29627</v>
      </c>
      <c r="U587" s="651">
        <v>213504</v>
      </c>
    </row>
    <row r="588" spans="1:21" x14ac:dyDescent="0.25">
      <c r="A588" s="646">
        <v>96431</v>
      </c>
      <c r="B588" s="647" t="s">
        <v>3199</v>
      </c>
      <c r="C588" s="648">
        <v>5.6100000000000002E-5</v>
      </c>
      <c r="D588" s="648">
        <v>3.9400000000000002E-5</v>
      </c>
      <c r="E588" s="649">
        <v>22346.13</v>
      </c>
      <c r="F588" s="649">
        <v>17682</v>
      </c>
      <c r="G588" s="649">
        <v>119063</v>
      </c>
      <c r="H588" s="649"/>
      <c r="I588" s="650">
        <v>2237</v>
      </c>
      <c r="J588" s="650">
        <v>104337</v>
      </c>
      <c r="K588" s="650">
        <v>8155</v>
      </c>
      <c r="L588" s="649">
        <v>8471</v>
      </c>
      <c r="M588" s="649"/>
      <c r="N588" s="650">
        <v>4172</v>
      </c>
      <c r="O588" s="650">
        <v>38510</v>
      </c>
      <c r="P588" s="650">
        <v>0</v>
      </c>
      <c r="Q588" s="649">
        <v>4421</v>
      </c>
      <c r="R588" s="649"/>
      <c r="S588" s="650">
        <v>31824</v>
      </c>
      <c r="T588" s="651">
        <v>305</v>
      </c>
      <c r="U588" s="651">
        <v>32128</v>
      </c>
    </row>
    <row r="589" spans="1:21" x14ac:dyDescent="0.25">
      <c r="A589" s="646">
        <v>96441</v>
      </c>
      <c r="B589" s="647" t="s">
        <v>3200</v>
      </c>
      <c r="C589" s="648">
        <v>3.1199999999999999E-5</v>
      </c>
      <c r="D589" s="648">
        <v>3.9100000000000002E-5</v>
      </c>
      <c r="E589" s="649">
        <v>18068.97</v>
      </c>
      <c r="F589" s="649">
        <v>17548</v>
      </c>
      <c r="G589" s="649">
        <v>66217</v>
      </c>
      <c r="H589" s="649"/>
      <c r="I589" s="650">
        <v>1244</v>
      </c>
      <c r="J589" s="650">
        <v>58027</v>
      </c>
      <c r="K589" s="650">
        <v>4535</v>
      </c>
      <c r="L589" s="649">
        <v>6875</v>
      </c>
      <c r="M589" s="649"/>
      <c r="N589" s="650">
        <v>2320</v>
      </c>
      <c r="O589" s="650">
        <v>21417</v>
      </c>
      <c r="P589" s="650">
        <v>0</v>
      </c>
      <c r="Q589" s="649">
        <v>826</v>
      </c>
      <c r="R589" s="649"/>
      <c r="S589" s="650">
        <v>17699</v>
      </c>
      <c r="T589" s="651">
        <v>2052</v>
      </c>
      <c r="U589" s="651">
        <v>19751</v>
      </c>
    </row>
    <row r="590" spans="1:21" x14ac:dyDescent="0.25">
      <c r="A590" s="646">
        <v>96451</v>
      </c>
      <c r="B590" s="647" t="s">
        <v>3201</v>
      </c>
      <c r="C590" s="648">
        <v>1.38E-5</v>
      </c>
      <c r="D590" s="648">
        <v>8.8999999999999995E-6</v>
      </c>
      <c r="E590" s="649">
        <v>6880</v>
      </c>
      <c r="F590" s="649">
        <v>3994</v>
      </c>
      <c r="G590" s="649">
        <v>29288</v>
      </c>
      <c r="H590" s="649"/>
      <c r="I590" s="650">
        <v>550.27499999999998</v>
      </c>
      <c r="J590" s="650">
        <v>25666</v>
      </c>
      <c r="K590" s="650">
        <v>2006</v>
      </c>
      <c r="L590" s="649">
        <v>3611</v>
      </c>
      <c r="M590" s="649"/>
      <c r="N590" s="650">
        <v>1026</v>
      </c>
      <c r="O590" s="650">
        <v>9473</v>
      </c>
      <c r="P590" s="650">
        <v>0</v>
      </c>
      <c r="Q590" s="649">
        <v>2200</v>
      </c>
      <c r="R590" s="649"/>
      <c r="S590" s="650">
        <v>7828</v>
      </c>
      <c r="T590" s="651">
        <v>55</v>
      </c>
      <c r="U590" s="651">
        <v>7883</v>
      </c>
    </row>
    <row r="591" spans="1:21" x14ac:dyDescent="0.25">
      <c r="A591" s="646">
        <v>96461</v>
      </c>
      <c r="B591" s="647" t="s">
        <v>3202</v>
      </c>
      <c r="C591" s="648">
        <v>1.3410000000000001E-4</v>
      </c>
      <c r="D591" s="648">
        <v>1.6129999999999999E-4</v>
      </c>
      <c r="E591" s="649">
        <v>60539</v>
      </c>
      <c r="F591" s="649">
        <v>72390</v>
      </c>
      <c r="G591" s="649">
        <v>284605</v>
      </c>
      <c r="H591" s="649"/>
      <c r="I591" s="650">
        <v>5347</v>
      </c>
      <c r="J591" s="650">
        <v>249405</v>
      </c>
      <c r="K591" s="650">
        <v>19493</v>
      </c>
      <c r="L591" s="649">
        <v>8046</v>
      </c>
      <c r="M591" s="649"/>
      <c r="N591" s="650">
        <v>9973</v>
      </c>
      <c r="O591" s="650">
        <v>92054</v>
      </c>
      <c r="P591" s="650">
        <v>0</v>
      </c>
      <c r="Q591" s="649">
        <v>27042</v>
      </c>
      <c r="R591" s="649"/>
      <c r="S591" s="650">
        <v>76071</v>
      </c>
      <c r="T591" s="651">
        <v>-4548</v>
      </c>
      <c r="U591" s="651">
        <v>71523</v>
      </c>
    </row>
    <row r="592" spans="1:21" x14ac:dyDescent="0.25">
      <c r="A592" s="646">
        <v>96501</v>
      </c>
      <c r="B592" s="647" t="s">
        <v>3203</v>
      </c>
      <c r="C592" s="648">
        <v>1.4156999999999999E-2</v>
      </c>
      <c r="D592" s="648">
        <v>1.4844599999999999E-2</v>
      </c>
      <c r="E592" s="649">
        <v>5793175</v>
      </c>
      <c r="F592" s="649">
        <v>6662167</v>
      </c>
      <c r="G592" s="649">
        <v>30045897</v>
      </c>
      <c r="H592" s="649"/>
      <c r="I592" s="650">
        <v>564510</v>
      </c>
      <c r="J592" s="650">
        <v>26329783</v>
      </c>
      <c r="K592" s="650">
        <v>2057876</v>
      </c>
      <c r="L592" s="649">
        <v>597577</v>
      </c>
      <c r="M592" s="649"/>
      <c r="N592" s="650">
        <v>1052842</v>
      </c>
      <c r="O592" s="650">
        <v>9718186</v>
      </c>
      <c r="P592" s="650">
        <v>0</v>
      </c>
      <c r="Q592" s="649">
        <v>395352</v>
      </c>
      <c r="R592" s="649"/>
      <c r="S592" s="650">
        <v>8030827</v>
      </c>
      <c r="T592" s="651">
        <v>146416</v>
      </c>
      <c r="U592" s="651">
        <v>8177243</v>
      </c>
    </row>
    <row r="593" spans="1:21" x14ac:dyDescent="0.25">
      <c r="A593" s="646">
        <v>96502</v>
      </c>
      <c r="B593" s="647" t="s">
        <v>3204</v>
      </c>
      <c r="C593" s="648">
        <v>4.2309999999999998E-4</v>
      </c>
      <c r="D593" s="648">
        <v>3.9639999999999999E-4</v>
      </c>
      <c r="E593" s="649">
        <v>180923</v>
      </c>
      <c r="F593" s="649">
        <v>177902</v>
      </c>
      <c r="G593" s="649">
        <v>897960</v>
      </c>
      <c r="H593" s="649"/>
      <c r="I593" s="650">
        <v>16871</v>
      </c>
      <c r="J593" s="650">
        <v>786899</v>
      </c>
      <c r="K593" s="650">
        <v>61502</v>
      </c>
      <c r="L593" s="649">
        <v>58143</v>
      </c>
      <c r="M593" s="649"/>
      <c r="N593" s="650">
        <v>31466</v>
      </c>
      <c r="O593" s="650">
        <v>290440</v>
      </c>
      <c r="P593" s="650">
        <v>0</v>
      </c>
      <c r="Q593" s="649">
        <v>0</v>
      </c>
      <c r="R593" s="649"/>
      <c r="S593" s="650">
        <v>240012</v>
      </c>
      <c r="T593" s="651">
        <v>22314</v>
      </c>
      <c r="U593" s="651">
        <v>262325</v>
      </c>
    </row>
    <row r="594" spans="1:21" x14ac:dyDescent="0.25">
      <c r="A594" s="646">
        <v>96503</v>
      </c>
      <c r="B594" s="647" t="s">
        <v>3205</v>
      </c>
      <c r="C594" s="648">
        <v>3.3700000000000001E-4</v>
      </c>
      <c r="D594" s="648">
        <v>3.746E-4</v>
      </c>
      <c r="E594" s="649">
        <v>297528.38</v>
      </c>
      <c r="F594" s="649">
        <v>168118</v>
      </c>
      <c r="G594" s="649">
        <v>715227</v>
      </c>
      <c r="H594" s="649"/>
      <c r="I594" s="650">
        <v>13437.875</v>
      </c>
      <c r="J594" s="650">
        <v>626767</v>
      </c>
      <c r="K594" s="650">
        <v>48987</v>
      </c>
      <c r="L594" s="649">
        <v>200924</v>
      </c>
      <c r="M594" s="649"/>
      <c r="N594" s="650">
        <v>25062</v>
      </c>
      <c r="O594" s="650">
        <v>231336</v>
      </c>
      <c r="P594" s="650">
        <v>0</v>
      </c>
      <c r="Q594" s="649">
        <v>29898</v>
      </c>
      <c r="R594" s="649"/>
      <c r="S594" s="650">
        <v>191170</v>
      </c>
      <c r="T594" s="651">
        <v>46111</v>
      </c>
      <c r="U594" s="651">
        <v>237280</v>
      </c>
    </row>
    <row r="595" spans="1:21" x14ac:dyDescent="0.25">
      <c r="A595" s="646">
        <v>96504</v>
      </c>
      <c r="B595" s="647" t="s">
        <v>3206</v>
      </c>
      <c r="C595" s="648">
        <v>3.6039999999999998E-4</v>
      </c>
      <c r="D595" s="648">
        <v>3.7149999999999998E-4</v>
      </c>
      <c r="E595" s="649">
        <v>148639.46</v>
      </c>
      <c r="F595" s="649">
        <v>166727</v>
      </c>
      <c r="G595" s="649">
        <v>764890</v>
      </c>
      <c r="H595" s="649"/>
      <c r="I595" s="650">
        <v>14371</v>
      </c>
      <c r="J595" s="650">
        <v>670287</v>
      </c>
      <c r="K595" s="650">
        <v>52388</v>
      </c>
      <c r="L595" s="649">
        <v>11269</v>
      </c>
      <c r="M595" s="649"/>
      <c r="N595" s="650">
        <v>26803</v>
      </c>
      <c r="O595" s="650">
        <v>247399</v>
      </c>
      <c r="P595" s="650">
        <v>0</v>
      </c>
      <c r="Q595" s="649">
        <v>6125</v>
      </c>
      <c r="R595" s="649"/>
      <c r="S595" s="650">
        <v>204444</v>
      </c>
      <c r="T595" s="651">
        <v>2299</v>
      </c>
      <c r="U595" s="651">
        <v>206743</v>
      </c>
    </row>
    <row r="596" spans="1:21" x14ac:dyDescent="0.25">
      <c r="A596" s="646">
        <v>96507</v>
      </c>
      <c r="B596" s="647" t="s">
        <v>3207</v>
      </c>
      <c r="C596" s="648">
        <v>2.2604999999999999E-3</v>
      </c>
      <c r="D596" s="648">
        <v>2.1895999999999999E-3</v>
      </c>
      <c r="E596" s="649">
        <v>971182</v>
      </c>
      <c r="F596" s="649">
        <v>982679</v>
      </c>
      <c r="G596" s="649">
        <v>4797538</v>
      </c>
      <c r="H596" s="649"/>
      <c r="I596" s="650">
        <v>90137</v>
      </c>
      <c r="J596" s="650">
        <v>4204173</v>
      </c>
      <c r="K596" s="650">
        <v>328589</v>
      </c>
      <c r="L596" s="649">
        <v>180324</v>
      </c>
      <c r="M596" s="649"/>
      <c r="N596" s="650">
        <v>168111</v>
      </c>
      <c r="O596" s="650">
        <v>1551738</v>
      </c>
      <c r="P596" s="650">
        <v>0</v>
      </c>
      <c r="Q596" s="649">
        <v>0</v>
      </c>
      <c r="R596" s="649"/>
      <c r="S596" s="650">
        <v>1282312</v>
      </c>
      <c r="T596" s="651">
        <v>64566</v>
      </c>
      <c r="U596" s="651">
        <v>1346877</v>
      </c>
    </row>
    <row r="597" spans="1:21" x14ac:dyDescent="0.25">
      <c r="A597" s="646">
        <v>96508</v>
      </c>
      <c r="B597" s="647" t="s">
        <v>3208</v>
      </c>
      <c r="C597" s="648">
        <v>9.7999999999999993E-6</v>
      </c>
      <c r="D597" s="648">
        <v>1.03E-5</v>
      </c>
      <c r="E597" s="649">
        <v>9949</v>
      </c>
      <c r="F597" s="649">
        <v>4623</v>
      </c>
      <c r="G597" s="649">
        <v>20799</v>
      </c>
      <c r="H597" s="649"/>
      <c r="I597" s="650">
        <v>390.77499999999998</v>
      </c>
      <c r="J597" s="650">
        <v>18226</v>
      </c>
      <c r="K597" s="650">
        <v>1425</v>
      </c>
      <c r="L597" s="649">
        <v>9383</v>
      </c>
      <c r="M597" s="649"/>
      <c r="N597" s="650">
        <v>729</v>
      </c>
      <c r="O597" s="650">
        <v>6727</v>
      </c>
      <c r="P597" s="650">
        <v>0</v>
      </c>
      <c r="Q597" s="649">
        <v>0</v>
      </c>
      <c r="R597" s="649"/>
      <c r="S597" s="650">
        <v>5559</v>
      </c>
      <c r="T597" s="651">
        <v>3176</v>
      </c>
      <c r="U597" s="651">
        <v>8735</v>
      </c>
    </row>
    <row r="598" spans="1:21" x14ac:dyDescent="0.25">
      <c r="A598" s="646">
        <v>96511</v>
      </c>
      <c r="B598" s="647" t="s">
        <v>3209</v>
      </c>
      <c r="C598" s="648">
        <v>6.221E-4</v>
      </c>
      <c r="D598" s="648">
        <v>7.5080000000000004E-4</v>
      </c>
      <c r="E598" s="649">
        <v>244657.82</v>
      </c>
      <c r="F598" s="649">
        <v>336955</v>
      </c>
      <c r="G598" s="649">
        <v>1320305</v>
      </c>
      <c r="H598" s="649"/>
      <c r="I598" s="650">
        <v>24806</v>
      </c>
      <c r="J598" s="650">
        <v>1157008</v>
      </c>
      <c r="K598" s="650">
        <v>90429</v>
      </c>
      <c r="L598" s="649">
        <v>0</v>
      </c>
      <c r="M598" s="649"/>
      <c r="N598" s="650">
        <v>46265</v>
      </c>
      <c r="O598" s="650">
        <v>427046</v>
      </c>
      <c r="P598" s="650">
        <v>0</v>
      </c>
      <c r="Q598" s="649">
        <v>135169</v>
      </c>
      <c r="R598" s="649"/>
      <c r="S598" s="650">
        <v>352898</v>
      </c>
      <c r="T598" s="651">
        <v>-47382</v>
      </c>
      <c r="U598" s="651">
        <v>305516</v>
      </c>
    </row>
    <row r="599" spans="1:21" x14ac:dyDescent="0.25">
      <c r="A599" s="646">
        <v>96512</v>
      </c>
      <c r="B599" s="647" t="s">
        <v>3210</v>
      </c>
      <c r="C599" s="648">
        <v>1.7000000000000001E-4</v>
      </c>
      <c r="D599" s="648">
        <v>1.5550000000000001E-4</v>
      </c>
      <c r="E599" s="649">
        <v>63901</v>
      </c>
      <c r="F599" s="649">
        <v>69787</v>
      </c>
      <c r="G599" s="649">
        <v>360796.95</v>
      </c>
      <c r="H599" s="649"/>
      <c r="I599" s="650">
        <v>6779</v>
      </c>
      <c r="J599" s="650">
        <v>316173.14</v>
      </c>
      <c r="K599" s="650">
        <v>24711</v>
      </c>
      <c r="L599" s="649">
        <v>8267</v>
      </c>
      <c r="M599" s="649"/>
      <c r="N599" s="650">
        <v>12643</v>
      </c>
      <c r="O599" s="650">
        <v>116698</v>
      </c>
      <c r="P599" s="650">
        <v>0</v>
      </c>
      <c r="Q599" s="649">
        <v>0</v>
      </c>
      <c r="R599" s="649"/>
      <c r="S599" s="650">
        <v>96436</v>
      </c>
      <c r="T599" s="651">
        <v>2689</v>
      </c>
      <c r="U599" s="651">
        <v>99124</v>
      </c>
    </row>
    <row r="600" spans="1:21" x14ac:dyDescent="0.25">
      <c r="A600" s="646">
        <v>96519</v>
      </c>
      <c r="B600" s="647" t="s">
        <v>3211</v>
      </c>
      <c r="C600" s="648">
        <v>0</v>
      </c>
      <c r="D600" s="648">
        <v>1.7197E-3</v>
      </c>
      <c r="E600" s="649">
        <v>0</v>
      </c>
      <c r="F600" s="649">
        <v>771791</v>
      </c>
      <c r="G600" s="649">
        <v>0</v>
      </c>
      <c r="H600" s="649"/>
      <c r="I600" s="650">
        <v>0</v>
      </c>
      <c r="J600" s="650">
        <v>0</v>
      </c>
      <c r="K600" s="650">
        <v>0</v>
      </c>
      <c r="L600" s="649">
        <v>300924</v>
      </c>
      <c r="M600" s="649"/>
      <c r="N600" s="650">
        <v>0</v>
      </c>
      <c r="O600" s="650">
        <v>0</v>
      </c>
      <c r="P600" s="650">
        <v>0</v>
      </c>
      <c r="Q600" s="649">
        <v>931590</v>
      </c>
      <c r="R600" s="649"/>
      <c r="S600" s="650">
        <v>0</v>
      </c>
      <c r="T600" s="651">
        <v>-102954</v>
      </c>
      <c r="U600" s="651">
        <v>-102954</v>
      </c>
    </row>
    <row r="601" spans="1:21" x14ac:dyDescent="0.25">
      <c r="A601" s="646">
        <v>96521</v>
      </c>
      <c r="B601" s="647" t="s">
        <v>3212</v>
      </c>
      <c r="C601" s="648">
        <v>9.4240000000000003E-4</v>
      </c>
      <c r="D601" s="648">
        <v>9.0479999999999998E-4</v>
      </c>
      <c r="E601" s="649">
        <v>332666.64</v>
      </c>
      <c r="F601" s="649">
        <v>406069</v>
      </c>
      <c r="G601" s="649">
        <v>2000089</v>
      </c>
      <c r="H601" s="649"/>
      <c r="I601" s="650">
        <v>37578</v>
      </c>
      <c r="J601" s="650">
        <v>1752715</v>
      </c>
      <c r="K601" s="650">
        <v>136988</v>
      </c>
      <c r="L601" s="649">
        <v>46521</v>
      </c>
      <c r="M601" s="649"/>
      <c r="N601" s="650">
        <v>70085</v>
      </c>
      <c r="O601" s="650">
        <v>646918</v>
      </c>
      <c r="P601" s="650">
        <v>0</v>
      </c>
      <c r="Q601" s="649">
        <v>27885</v>
      </c>
      <c r="R601" s="649"/>
      <c r="S601" s="650">
        <v>534594</v>
      </c>
      <c r="T601" s="651">
        <v>8139</v>
      </c>
      <c r="U601" s="651">
        <v>542733</v>
      </c>
    </row>
    <row r="602" spans="1:21" x14ac:dyDescent="0.25">
      <c r="A602" s="646">
        <v>96531</v>
      </c>
      <c r="B602" s="647" t="s">
        <v>3213</v>
      </c>
      <c r="C602" s="648">
        <v>8.6088999999999992E-3</v>
      </c>
      <c r="D602" s="648">
        <v>9.1912000000000001E-3</v>
      </c>
      <c r="E602" s="649">
        <v>3504528.87</v>
      </c>
      <c r="F602" s="649">
        <v>4124955</v>
      </c>
      <c r="G602" s="649">
        <v>18270970</v>
      </c>
      <c r="H602" s="649"/>
      <c r="I602" s="650">
        <v>343280</v>
      </c>
      <c r="J602" s="650">
        <v>16011194</v>
      </c>
      <c r="K602" s="650">
        <v>1251398</v>
      </c>
      <c r="L602" s="649">
        <v>75559</v>
      </c>
      <c r="M602" s="649"/>
      <c r="N602" s="650">
        <v>640235</v>
      </c>
      <c r="O602" s="650">
        <v>5909648</v>
      </c>
      <c r="P602" s="650">
        <v>0</v>
      </c>
      <c r="Q602" s="649">
        <v>381680</v>
      </c>
      <c r="R602" s="649"/>
      <c r="S602" s="650">
        <v>4883562</v>
      </c>
      <c r="T602" s="651">
        <v>-81286</v>
      </c>
      <c r="U602" s="651">
        <v>4802276</v>
      </c>
    </row>
    <row r="603" spans="1:21" x14ac:dyDescent="0.25">
      <c r="A603" s="646">
        <v>96541</v>
      </c>
      <c r="B603" s="647" t="s">
        <v>3214</v>
      </c>
      <c r="C603" s="648">
        <v>3.3169999999999999E-4</v>
      </c>
      <c r="D603" s="648">
        <v>3.2759999999999999E-4</v>
      </c>
      <c r="E603" s="649">
        <v>136435.87</v>
      </c>
      <c r="F603" s="649">
        <v>147025</v>
      </c>
      <c r="G603" s="649">
        <v>703979</v>
      </c>
      <c r="H603" s="649"/>
      <c r="I603" s="650">
        <v>13227</v>
      </c>
      <c r="J603" s="650">
        <v>616910</v>
      </c>
      <c r="K603" s="650">
        <v>48216</v>
      </c>
      <c r="L603" s="649">
        <v>22779</v>
      </c>
      <c r="M603" s="649"/>
      <c r="N603" s="650">
        <v>24668</v>
      </c>
      <c r="O603" s="650">
        <v>227698</v>
      </c>
      <c r="P603" s="650">
        <v>0</v>
      </c>
      <c r="Q603" s="649">
        <v>0</v>
      </c>
      <c r="R603" s="649"/>
      <c r="S603" s="650">
        <v>188163</v>
      </c>
      <c r="T603" s="651">
        <v>10018</v>
      </c>
      <c r="U603" s="651">
        <v>198181</v>
      </c>
    </row>
    <row r="604" spans="1:21" x14ac:dyDescent="0.25">
      <c r="A604" s="646">
        <v>96601</v>
      </c>
      <c r="B604" s="647" t="s">
        <v>3215</v>
      </c>
      <c r="C604" s="648">
        <v>1.8416000000000001E-3</v>
      </c>
      <c r="D604" s="648">
        <v>1.8462999999999999E-3</v>
      </c>
      <c r="E604" s="649">
        <v>769874.79</v>
      </c>
      <c r="F604" s="649">
        <v>828608</v>
      </c>
      <c r="G604" s="649">
        <v>3908492</v>
      </c>
      <c r="H604" s="649"/>
      <c r="I604" s="650">
        <v>73433.8</v>
      </c>
      <c r="J604" s="650">
        <v>3425085</v>
      </c>
      <c r="K604" s="650">
        <v>267697</v>
      </c>
      <c r="L604" s="649">
        <v>58499</v>
      </c>
      <c r="M604" s="649"/>
      <c r="N604" s="650">
        <v>136958</v>
      </c>
      <c r="O604" s="650">
        <v>1264181</v>
      </c>
      <c r="P604" s="650">
        <v>0</v>
      </c>
      <c r="Q604" s="649">
        <v>6413</v>
      </c>
      <c r="R604" s="649"/>
      <c r="S604" s="650">
        <v>1044683</v>
      </c>
      <c r="T604" s="651">
        <v>25319</v>
      </c>
      <c r="U604" s="651">
        <v>1070002</v>
      </c>
    </row>
    <row r="605" spans="1:21" x14ac:dyDescent="0.25">
      <c r="A605" s="646">
        <v>96604</v>
      </c>
      <c r="B605" s="647" t="s">
        <v>3216</v>
      </c>
      <c r="C605" s="648">
        <v>7.9000000000000006E-6</v>
      </c>
      <c r="D605" s="648">
        <v>7.9000000000000006E-6</v>
      </c>
      <c r="E605" s="649">
        <v>4375</v>
      </c>
      <c r="F605" s="649">
        <v>3545</v>
      </c>
      <c r="G605" s="649">
        <v>16766</v>
      </c>
      <c r="H605" s="649"/>
      <c r="I605" s="650">
        <v>315</v>
      </c>
      <c r="J605" s="650">
        <v>14693</v>
      </c>
      <c r="K605" s="650">
        <v>1148</v>
      </c>
      <c r="L605" s="649">
        <v>1595</v>
      </c>
      <c r="M605" s="649"/>
      <c r="N605" s="650">
        <v>588</v>
      </c>
      <c r="O605" s="650">
        <v>5423</v>
      </c>
      <c r="P605" s="650">
        <v>0</v>
      </c>
      <c r="Q605" s="649">
        <v>108</v>
      </c>
      <c r="R605" s="649"/>
      <c r="S605" s="650">
        <v>4481</v>
      </c>
      <c r="T605" s="651">
        <v>545</v>
      </c>
      <c r="U605" s="651">
        <v>5027</v>
      </c>
    </row>
    <row r="606" spans="1:21" x14ac:dyDescent="0.25">
      <c r="A606" s="646">
        <v>96611</v>
      </c>
      <c r="B606" s="647" t="s">
        <v>3217</v>
      </c>
      <c r="C606" s="648">
        <v>3.29E-5</v>
      </c>
      <c r="D606" s="648">
        <v>2.9499999999999999E-5</v>
      </c>
      <c r="E606" s="649">
        <v>11899.8</v>
      </c>
      <c r="F606" s="649">
        <v>13239</v>
      </c>
      <c r="G606" s="649">
        <v>69825</v>
      </c>
      <c r="H606" s="649"/>
      <c r="I606" s="650">
        <v>1312</v>
      </c>
      <c r="J606" s="650">
        <v>61189</v>
      </c>
      <c r="K606" s="650">
        <v>4782</v>
      </c>
      <c r="L606" s="649">
        <v>2869</v>
      </c>
      <c r="M606" s="649"/>
      <c r="N606" s="650">
        <v>2447</v>
      </c>
      <c r="O606" s="650">
        <v>22584</v>
      </c>
      <c r="P606" s="650">
        <v>0</v>
      </c>
      <c r="Q606" s="649">
        <v>649</v>
      </c>
      <c r="R606" s="649"/>
      <c r="S606" s="650">
        <v>18663</v>
      </c>
      <c r="T606" s="651">
        <v>1079</v>
      </c>
      <c r="U606" s="651">
        <v>19742</v>
      </c>
    </row>
    <row r="607" spans="1:21" x14ac:dyDescent="0.25">
      <c r="A607" s="646">
        <v>96612</v>
      </c>
      <c r="B607" s="647" t="s">
        <v>3218</v>
      </c>
      <c r="C607" s="648">
        <v>6.3899999999999995E-5</v>
      </c>
      <c r="D607" s="648">
        <v>6.4399999999999993E-5</v>
      </c>
      <c r="E607" s="649">
        <v>30974</v>
      </c>
      <c r="F607" s="649">
        <v>28902</v>
      </c>
      <c r="G607" s="649">
        <v>135617</v>
      </c>
      <c r="H607" s="649"/>
      <c r="I607" s="650">
        <v>2548</v>
      </c>
      <c r="J607" s="650">
        <v>118844</v>
      </c>
      <c r="K607" s="650">
        <v>9289</v>
      </c>
      <c r="L607" s="649">
        <v>7363</v>
      </c>
      <c r="M607" s="649"/>
      <c r="N607" s="650">
        <v>4752</v>
      </c>
      <c r="O607" s="650">
        <v>43865</v>
      </c>
      <c r="P607" s="650">
        <v>0</v>
      </c>
      <c r="Q607" s="649">
        <v>1323</v>
      </c>
      <c r="R607" s="649"/>
      <c r="S607" s="650">
        <v>36248</v>
      </c>
      <c r="T607" s="651">
        <v>1615</v>
      </c>
      <c r="U607" s="651">
        <v>37864</v>
      </c>
    </row>
    <row r="608" spans="1:21" x14ac:dyDescent="0.25">
      <c r="A608" s="646">
        <v>96621</v>
      </c>
      <c r="B608" s="647" t="s">
        <v>3219</v>
      </c>
      <c r="C608" s="648">
        <v>2.65E-5</v>
      </c>
      <c r="D608" s="648">
        <v>3.6600000000000002E-5</v>
      </c>
      <c r="E608" s="649">
        <v>12593.01</v>
      </c>
      <c r="F608" s="649">
        <v>16426</v>
      </c>
      <c r="G608" s="649">
        <v>56242</v>
      </c>
      <c r="H608" s="649"/>
      <c r="I608" s="650">
        <v>1056.6875</v>
      </c>
      <c r="J608" s="650">
        <v>49286</v>
      </c>
      <c r="K608" s="650">
        <v>3852</v>
      </c>
      <c r="L608" s="649">
        <v>1133</v>
      </c>
      <c r="M608" s="649"/>
      <c r="N608" s="650">
        <v>1971</v>
      </c>
      <c r="O608" s="650">
        <v>18191</v>
      </c>
      <c r="P608" s="650">
        <v>0</v>
      </c>
      <c r="Q608" s="649">
        <v>7687</v>
      </c>
      <c r="R608" s="649"/>
      <c r="S608" s="650">
        <v>15033</v>
      </c>
      <c r="T608" s="651">
        <v>-2457</v>
      </c>
      <c r="U608" s="651">
        <v>12576</v>
      </c>
    </row>
    <row r="609" spans="1:21" x14ac:dyDescent="0.25">
      <c r="A609" s="646">
        <v>96631</v>
      </c>
      <c r="B609" s="647" t="s">
        <v>3220</v>
      </c>
      <c r="C609" s="648">
        <v>2.5899999999999999E-5</v>
      </c>
      <c r="D609" s="648">
        <v>2.5599999999999999E-5</v>
      </c>
      <c r="E609" s="649">
        <v>10253</v>
      </c>
      <c r="F609" s="649">
        <v>11489</v>
      </c>
      <c r="G609" s="649">
        <v>54968</v>
      </c>
      <c r="H609" s="649"/>
      <c r="I609" s="650">
        <v>1032.7625</v>
      </c>
      <c r="J609" s="650">
        <v>48170</v>
      </c>
      <c r="K609" s="650">
        <v>3765</v>
      </c>
      <c r="L609" s="649">
        <v>5664</v>
      </c>
      <c r="M609" s="649"/>
      <c r="N609" s="650">
        <v>1926</v>
      </c>
      <c r="O609" s="650">
        <v>17779</v>
      </c>
      <c r="P609" s="650">
        <v>0</v>
      </c>
      <c r="Q609" s="649">
        <v>154</v>
      </c>
      <c r="R609" s="649"/>
      <c r="S609" s="650">
        <v>14692</v>
      </c>
      <c r="T609" s="651">
        <v>2250</v>
      </c>
      <c r="U609" s="651">
        <v>16942</v>
      </c>
    </row>
    <row r="610" spans="1:21" x14ac:dyDescent="0.25">
      <c r="A610" s="646">
        <v>96641</v>
      </c>
      <c r="B610" s="647" t="s">
        <v>3221</v>
      </c>
      <c r="C610" s="648">
        <v>2.6999999999999999E-5</v>
      </c>
      <c r="D610" s="648">
        <v>2.7100000000000001E-5</v>
      </c>
      <c r="E610" s="649">
        <v>17201.89</v>
      </c>
      <c r="F610" s="649">
        <v>12162</v>
      </c>
      <c r="G610" s="649">
        <v>57303</v>
      </c>
      <c r="H610" s="649"/>
      <c r="I610" s="650">
        <v>1076.625</v>
      </c>
      <c r="J610" s="650">
        <v>50216</v>
      </c>
      <c r="K610" s="650">
        <v>3925</v>
      </c>
      <c r="L610" s="649">
        <v>10873</v>
      </c>
      <c r="M610" s="649"/>
      <c r="N610" s="650">
        <v>2008</v>
      </c>
      <c r="O610" s="650">
        <v>18534</v>
      </c>
      <c r="P610" s="650">
        <v>0</v>
      </c>
      <c r="Q610" s="649">
        <v>0</v>
      </c>
      <c r="R610" s="649"/>
      <c r="S610" s="650">
        <v>15316</v>
      </c>
      <c r="T610" s="651">
        <v>3846</v>
      </c>
      <c r="U610" s="651">
        <v>19162</v>
      </c>
    </row>
    <row r="611" spans="1:21" x14ac:dyDescent="0.25">
      <c r="A611" s="646">
        <v>96651</v>
      </c>
      <c r="B611" s="647" t="s">
        <v>3222</v>
      </c>
      <c r="C611" s="648">
        <v>1.9400000000000001E-5</v>
      </c>
      <c r="D611" s="648">
        <v>1.9300000000000002E-5</v>
      </c>
      <c r="E611" s="649">
        <v>8893</v>
      </c>
      <c r="F611" s="649">
        <v>8662</v>
      </c>
      <c r="G611" s="649">
        <v>41173</v>
      </c>
      <c r="H611" s="649"/>
      <c r="I611" s="650">
        <v>773.57500000000005</v>
      </c>
      <c r="J611" s="650">
        <v>36081</v>
      </c>
      <c r="K611" s="650">
        <v>2820</v>
      </c>
      <c r="L611" s="649">
        <v>781</v>
      </c>
      <c r="M611" s="649"/>
      <c r="N611" s="650">
        <v>1443</v>
      </c>
      <c r="O611" s="650">
        <v>13317</v>
      </c>
      <c r="P611" s="650">
        <v>0</v>
      </c>
      <c r="Q611" s="649">
        <v>2222</v>
      </c>
      <c r="R611" s="649"/>
      <c r="S611" s="650">
        <v>11005</v>
      </c>
      <c r="T611" s="651">
        <v>-715</v>
      </c>
      <c r="U611" s="651">
        <v>10290</v>
      </c>
    </row>
    <row r="612" spans="1:21" x14ac:dyDescent="0.25">
      <c r="A612" s="646">
        <v>96661</v>
      </c>
      <c r="B612" s="647" t="s">
        <v>3223</v>
      </c>
      <c r="C612" s="648">
        <v>1.9000000000000001E-5</v>
      </c>
      <c r="D612" s="648">
        <v>1.7200000000000001E-5</v>
      </c>
      <c r="E612" s="649">
        <v>9291.01</v>
      </c>
      <c r="F612" s="649">
        <v>7719</v>
      </c>
      <c r="G612" s="649">
        <v>40324</v>
      </c>
      <c r="H612" s="649"/>
      <c r="I612" s="650">
        <v>757.625</v>
      </c>
      <c r="J612" s="650">
        <v>35337</v>
      </c>
      <c r="K612" s="650">
        <v>2762</v>
      </c>
      <c r="L612" s="649">
        <v>6032</v>
      </c>
      <c r="M612" s="649"/>
      <c r="N612" s="650">
        <v>1413</v>
      </c>
      <c r="O612" s="650">
        <v>13043</v>
      </c>
      <c r="P612" s="650">
        <v>0</v>
      </c>
      <c r="Q612" s="649">
        <v>0</v>
      </c>
      <c r="R612" s="649"/>
      <c r="S612" s="650">
        <v>10778</v>
      </c>
      <c r="T612" s="651">
        <v>2137</v>
      </c>
      <c r="U612" s="651">
        <v>12915</v>
      </c>
    </row>
    <row r="613" spans="1:21" x14ac:dyDescent="0.25">
      <c r="A613" s="646">
        <v>96671</v>
      </c>
      <c r="B613" s="647" t="s">
        <v>3224</v>
      </c>
      <c r="C613" s="648">
        <v>1.5500000000000001E-5</v>
      </c>
      <c r="D613" s="648">
        <v>1.56E-5</v>
      </c>
      <c r="E613" s="649">
        <v>11958</v>
      </c>
      <c r="F613" s="649">
        <v>7001</v>
      </c>
      <c r="G613" s="649">
        <v>32896</v>
      </c>
      <c r="H613" s="649"/>
      <c r="I613" s="650">
        <v>618.0625</v>
      </c>
      <c r="J613" s="650">
        <v>28828</v>
      </c>
      <c r="K613" s="650">
        <v>2253</v>
      </c>
      <c r="L613" s="649">
        <v>11385</v>
      </c>
      <c r="M613" s="649"/>
      <c r="N613" s="650">
        <v>1153</v>
      </c>
      <c r="O613" s="650">
        <v>10640</v>
      </c>
      <c r="P613" s="650">
        <v>0</v>
      </c>
      <c r="Q613" s="649">
        <v>418</v>
      </c>
      <c r="R613" s="649"/>
      <c r="S613" s="650">
        <v>8793</v>
      </c>
      <c r="T613" s="651">
        <v>3409</v>
      </c>
      <c r="U613" s="651">
        <v>12201</v>
      </c>
    </row>
    <row r="614" spans="1:21" x14ac:dyDescent="0.25">
      <c r="A614" s="646">
        <v>96681</v>
      </c>
      <c r="B614" s="647" t="s">
        <v>3225</v>
      </c>
      <c r="C614" s="648">
        <v>3.4799999999999999E-5</v>
      </c>
      <c r="D614" s="648">
        <v>3.4700000000000003E-5</v>
      </c>
      <c r="E614" s="649">
        <v>22896</v>
      </c>
      <c r="F614" s="649">
        <v>15573</v>
      </c>
      <c r="G614" s="649">
        <v>73857</v>
      </c>
      <c r="H614" s="649"/>
      <c r="I614" s="650">
        <v>1388</v>
      </c>
      <c r="J614" s="650">
        <v>64723</v>
      </c>
      <c r="K614" s="650">
        <v>5059</v>
      </c>
      <c r="L614" s="649">
        <v>18633</v>
      </c>
      <c r="M614" s="649"/>
      <c r="N614" s="650">
        <v>2588</v>
      </c>
      <c r="O614" s="650">
        <v>23889</v>
      </c>
      <c r="P614" s="650">
        <v>0</v>
      </c>
      <c r="Q614" s="649">
        <v>1494</v>
      </c>
      <c r="R614" s="649"/>
      <c r="S614" s="650">
        <v>19741</v>
      </c>
      <c r="T614" s="651">
        <v>5200</v>
      </c>
      <c r="U614" s="651">
        <v>24941</v>
      </c>
    </row>
    <row r="615" spans="1:21" x14ac:dyDescent="0.25">
      <c r="A615" s="646">
        <v>96701</v>
      </c>
      <c r="B615" s="647" t="s">
        <v>3226</v>
      </c>
      <c r="C615" s="648">
        <v>7.7850000000000003E-3</v>
      </c>
      <c r="D615" s="648">
        <v>7.7803999999999998E-3</v>
      </c>
      <c r="E615" s="649">
        <v>3136203</v>
      </c>
      <c r="F615" s="649">
        <v>3491797</v>
      </c>
      <c r="G615" s="649">
        <v>16522378</v>
      </c>
      <c r="H615" s="649"/>
      <c r="I615" s="650">
        <v>310427</v>
      </c>
      <c r="J615" s="650">
        <v>14478870</v>
      </c>
      <c r="K615" s="650">
        <v>1131635</v>
      </c>
      <c r="L615" s="649">
        <v>289202</v>
      </c>
      <c r="M615" s="649"/>
      <c r="N615" s="650">
        <v>578963</v>
      </c>
      <c r="O615" s="650">
        <v>5344075.53</v>
      </c>
      <c r="P615" s="650">
        <v>0</v>
      </c>
      <c r="Q615" s="649">
        <v>79279</v>
      </c>
      <c r="R615" s="649"/>
      <c r="S615" s="650">
        <v>4416189</v>
      </c>
      <c r="T615" s="651">
        <v>74739</v>
      </c>
      <c r="U615" s="651">
        <v>4490928</v>
      </c>
    </row>
    <row r="616" spans="1:21" x14ac:dyDescent="0.25">
      <c r="A616" s="646">
        <v>96704</v>
      </c>
      <c r="B616" s="647" t="s">
        <v>3227</v>
      </c>
      <c r="C616" s="648">
        <v>1.5330000000000001E-4</v>
      </c>
      <c r="D616" s="648">
        <v>1.5919999999999999E-4</v>
      </c>
      <c r="E616" s="649">
        <v>71376</v>
      </c>
      <c r="F616" s="649">
        <v>71448</v>
      </c>
      <c r="G616" s="649">
        <v>325354</v>
      </c>
      <c r="H616" s="649"/>
      <c r="I616" s="650">
        <v>6113</v>
      </c>
      <c r="J616" s="650">
        <v>285114</v>
      </c>
      <c r="K616" s="650">
        <v>22284</v>
      </c>
      <c r="L616" s="649">
        <v>9181</v>
      </c>
      <c r="M616" s="649"/>
      <c r="N616" s="650">
        <v>11401</v>
      </c>
      <c r="O616" s="650">
        <v>105234</v>
      </c>
      <c r="P616" s="650">
        <v>0</v>
      </c>
      <c r="Q616" s="649">
        <v>0</v>
      </c>
      <c r="R616" s="649"/>
      <c r="S616" s="650">
        <v>86962</v>
      </c>
      <c r="T616" s="651">
        <v>3774</v>
      </c>
      <c r="U616" s="651">
        <v>90736</v>
      </c>
    </row>
    <row r="617" spans="1:21" x14ac:dyDescent="0.25">
      <c r="A617" s="646">
        <v>96708</v>
      </c>
      <c r="B617" s="647" t="s">
        <v>3228</v>
      </c>
      <c r="C617" s="648">
        <v>8.4590000000000002E-4</v>
      </c>
      <c r="D617" s="648">
        <v>9.8109999999999994E-4</v>
      </c>
      <c r="E617" s="649">
        <v>406277.09</v>
      </c>
      <c r="F617" s="649">
        <v>440312</v>
      </c>
      <c r="G617" s="649">
        <v>1795283</v>
      </c>
      <c r="H617" s="649"/>
      <c r="I617" s="650">
        <v>33730</v>
      </c>
      <c r="J617" s="650">
        <v>1573240</v>
      </c>
      <c r="K617" s="650">
        <v>122961</v>
      </c>
      <c r="L617" s="649">
        <v>54938</v>
      </c>
      <c r="M617" s="649"/>
      <c r="N617" s="650">
        <v>62909</v>
      </c>
      <c r="O617" s="650">
        <v>580675</v>
      </c>
      <c r="P617" s="650">
        <v>0</v>
      </c>
      <c r="Q617" s="649">
        <v>26851</v>
      </c>
      <c r="R617" s="649"/>
      <c r="S617" s="650">
        <v>479853</v>
      </c>
      <c r="T617" s="651">
        <v>14104</v>
      </c>
      <c r="U617" s="651">
        <v>493957</v>
      </c>
    </row>
    <row r="618" spans="1:21" x14ac:dyDescent="0.25">
      <c r="A618" s="646">
        <v>96711</v>
      </c>
      <c r="B618" s="647" t="s">
        <v>3229</v>
      </c>
      <c r="C618" s="648">
        <v>4.4140000000000004E-3</v>
      </c>
      <c r="D618" s="648">
        <v>4.2459999999999998E-3</v>
      </c>
      <c r="E618" s="649">
        <v>1606505</v>
      </c>
      <c r="F618" s="649">
        <v>1905579</v>
      </c>
      <c r="G618" s="649">
        <v>9367987</v>
      </c>
      <c r="H618" s="649"/>
      <c r="I618" s="650">
        <v>176008</v>
      </c>
      <c r="J618" s="650">
        <v>8209343</v>
      </c>
      <c r="K618" s="650">
        <v>641623</v>
      </c>
      <c r="L618" s="649">
        <v>20750</v>
      </c>
      <c r="M618" s="649"/>
      <c r="N618" s="650">
        <v>328265</v>
      </c>
      <c r="O618" s="650">
        <v>3030026</v>
      </c>
      <c r="P618" s="650">
        <v>0</v>
      </c>
      <c r="Q618" s="649">
        <v>348266</v>
      </c>
      <c r="R618" s="649"/>
      <c r="S618" s="650">
        <v>2503925</v>
      </c>
      <c r="T618" s="651">
        <v>-105928</v>
      </c>
      <c r="U618" s="651">
        <v>2397997</v>
      </c>
    </row>
    <row r="619" spans="1:21" x14ac:dyDescent="0.25">
      <c r="A619" s="646">
        <v>96721</v>
      </c>
      <c r="B619" s="647" t="s">
        <v>3230</v>
      </c>
      <c r="C619" s="648">
        <v>1.9780000000000001E-4</v>
      </c>
      <c r="D619" s="648">
        <v>2.5119999999999998E-4</v>
      </c>
      <c r="E619" s="649">
        <v>74367</v>
      </c>
      <c r="F619" s="649">
        <v>112737</v>
      </c>
      <c r="G619" s="649">
        <v>419798</v>
      </c>
      <c r="H619" s="649"/>
      <c r="I619" s="650">
        <v>7887</v>
      </c>
      <c r="J619" s="650">
        <v>367877</v>
      </c>
      <c r="K619" s="650">
        <v>28752</v>
      </c>
      <c r="L619" s="649">
        <v>10855</v>
      </c>
      <c r="M619" s="649"/>
      <c r="N619" s="650">
        <v>14710</v>
      </c>
      <c r="O619" s="650">
        <v>135781</v>
      </c>
      <c r="P619" s="650">
        <v>0</v>
      </c>
      <c r="Q619" s="649">
        <v>34469</v>
      </c>
      <c r="R619" s="649"/>
      <c r="S619" s="650">
        <v>112206</v>
      </c>
      <c r="T619" s="651">
        <v>-3553</v>
      </c>
      <c r="U619" s="651">
        <v>108653</v>
      </c>
    </row>
    <row r="620" spans="1:21" x14ac:dyDescent="0.25">
      <c r="A620" s="646">
        <v>96731</v>
      </c>
      <c r="B620" s="647" t="s">
        <v>3231</v>
      </c>
      <c r="C620" s="648">
        <v>1.5090000000000001E-4</v>
      </c>
      <c r="D620" s="648">
        <v>1.3420000000000001E-4</v>
      </c>
      <c r="E620" s="649">
        <v>65647</v>
      </c>
      <c r="F620" s="649">
        <v>60228</v>
      </c>
      <c r="G620" s="649">
        <v>320260</v>
      </c>
      <c r="H620" s="649"/>
      <c r="I620" s="650">
        <v>6017</v>
      </c>
      <c r="J620" s="650">
        <v>280650</v>
      </c>
      <c r="K620" s="650">
        <v>21935</v>
      </c>
      <c r="L620" s="649">
        <v>18052</v>
      </c>
      <c r="M620" s="649"/>
      <c r="N620" s="650">
        <v>11222</v>
      </c>
      <c r="O620" s="650">
        <v>103587</v>
      </c>
      <c r="P620" s="650">
        <v>0</v>
      </c>
      <c r="Q620" s="649">
        <v>12</v>
      </c>
      <c r="R620" s="649"/>
      <c r="S620" s="650">
        <v>85601</v>
      </c>
      <c r="T620" s="651">
        <v>5259</v>
      </c>
      <c r="U620" s="651">
        <v>90859</v>
      </c>
    </row>
    <row r="621" spans="1:21" x14ac:dyDescent="0.25">
      <c r="A621" s="646">
        <v>96733</v>
      </c>
      <c r="B621" s="647" t="s">
        <v>3232</v>
      </c>
      <c r="C621" s="648">
        <v>9.2E-6</v>
      </c>
      <c r="D621" s="648">
        <v>4.1999999999999996E-6</v>
      </c>
      <c r="E621" s="649">
        <v>5389.79</v>
      </c>
      <c r="F621" s="649">
        <v>1885</v>
      </c>
      <c r="G621" s="649">
        <v>19525</v>
      </c>
      <c r="H621" s="649"/>
      <c r="I621" s="650">
        <v>366.85</v>
      </c>
      <c r="J621" s="650">
        <v>17111</v>
      </c>
      <c r="K621" s="650">
        <v>1337</v>
      </c>
      <c r="L621" s="649">
        <v>6066</v>
      </c>
      <c r="M621" s="649"/>
      <c r="N621" s="650">
        <v>684</v>
      </c>
      <c r="O621" s="650">
        <v>6315</v>
      </c>
      <c r="P621" s="650">
        <v>0</v>
      </c>
      <c r="Q621" s="649">
        <v>1048</v>
      </c>
      <c r="R621" s="649"/>
      <c r="S621" s="650">
        <v>5219</v>
      </c>
      <c r="T621" s="651">
        <v>1707</v>
      </c>
      <c r="U621" s="651">
        <v>6925</v>
      </c>
    </row>
    <row r="622" spans="1:21" x14ac:dyDescent="0.25">
      <c r="A622" s="646">
        <v>96741</v>
      </c>
      <c r="B622" s="647" t="s">
        <v>3233</v>
      </c>
      <c r="C622" s="648">
        <v>9.2399999999999996E-5</v>
      </c>
      <c r="D622" s="648">
        <v>9.2899999999999995E-5</v>
      </c>
      <c r="E622" s="649">
        <v>36390</v>
      </c>
      <c r="F622" s="649">
        <v>41693</v>
      </c>
      <c r="G622" s="649">
        <v>196104</v>
      </c>
      <c r="H622" s="649"/>
      <c r="I622" s="650">
        <v>3684.45</v>
      </c>
      <c r="J622" s="650">
        <v>171849</v>
      </c>
      <c r="K622" s="650">
        <v>13431</v>
      </c>
      <c r="L622" s="649">
        <v>7135</v>
      </c>
      <c r="M622" s="649"/>
      <c r="N622" s="650">
        <v>6872</v>
      </c>
      <c r="O622" s="650">
        <v>63429</v>
      </c>
      <c r="P622" s="650">
        <v>0</v>
      </c>
      <c r="Q622" s="649">
        <v>1549</v>
      </c>
      <c r="R622" s="649"/>
      <c r="S622" s="650">
        <v>52416</v>
      </c>
      <c r="T622" s="651">
        <v>2530</v>
      </c>
      <c r="U622" s="651">
        <v>54946</v>
      </c>
    </row>
    <row r="623" spans="1:21" x14ac:dyDescent="0.25">
      <c r="A623" s="646">
        <v>96751</v>
      </c>
      <c r="B623" s="647" t="s">
        <v>3234</v>
      </c>
      <c r="C623" s="648">
        <v>2.6120000000000001E-4</v>
      </c>
      <c r="D623" s="648">
        <v>3.0909999999999998E-4</v>
      </c>
      <c r="E623" s="649">
        <v>103641</v>
      </c>
      <c r="F623" s="649">
        <v>138722</v>
      </c>
      <c r="G623" s="649">
        <v>554354</v>
      </c>
      <c r="H623" s="649"/>
      <c r="I623" s="650">
        <v>10415.35</v>
      </c>
      <c r="J623" s="650">
        <v>485791</v>
      </c>
      <c r="K623" s="650">
        <v>37968</v>
      </c>
      <c r="L623" s="649">
        <v>21728.81</v>
      </c>
      <c r="M623" s="649"/>
      <c r="N623" s="650">
        <v>19425</v>
      </c>
      <c r="O623" s="650">
        <v>179303</v>
      </c>
      <c r="P623" s="650">
        <v>0</v>
      </c>
      <c r="Q623" s="649">
        <v>37607</v>
      </c>
      <c r="R623" s="649"/>
      <c r="S623" s="650">
        <v>148171</v>
      </c>
      <c r="T623" s="651">
        <v>349</v>
      </c>
      <c r="U623" s="651">
        <v>148519</v>
      </c>
    </row>
    <row r="624" spans="1:21" x14ac:dyDescent="0.25">
      <c r="A624" s="646">
        <v>96801</v>
      </c>
      <c r="B624" s="647" t="s">
        <v>3235</v>
      </c>
      <c r="C624" s="648">
        <v>7.8463999999999999E-3</v>
      </c>
      <c r="D624" s="648">
        <v>7.0825000000000003E-3</v>
      </c>
      <c r="E624" s="649">
        <v>3035869.73</v>
      </c>
      <c r="F624" s="649">
        <v>3178584</v>
      </c>
      <c r="G624" s="649">
        <v>16652689</v>
      </c>
      <c r="H624" s="649"/>
      <c r="I624" s="650">
        <v>312875.2</v>
      </c>
      <c r="J624" s="650">
        <v>14593064</v>
      </c>
      <c r="K624" s="650">
        <v>1140561</v>
      </c>
      <c r="L624" s="649">
        <v>642631</v>
      </c>
      <c r="M624" s="649"/>
      <c r="N624" s="650">
        <v>583529</v>
      </c>
      <c r="O624" s="650">
        <v>5386224</v>
      </c>
      <c r="P624" s="650">
        <v>0</v>
      </c>
      <c r="Q624" s="649">
        <v>0</v>
      </c>
      <c r="R624" s="649"/>
      <c r="S624" s="650">
        <v>4451019</v>
      </c>
      <c r="T624" s="651">
        <v>235775</v>
      </c>
      <c r="U624" s="651">
        <v>4686794</v>
      </c>
    </row>
    <row r="625" spans="1:21" x14ac:dyDescent="0.25">
      <c r="A625" s="646">
        <v>96804</v>
      </c>
      <c r="B625" s="647" t="s">
        <v>3236</v>
      </c>
      <c r="C625" s="648">
        <v>2.4230000000000001E-4</v>
      </c>
      <c r="D625" s="648">
        <v>2.275E-4</v>
      </c>
      <c r="E625" s="649">
        <v>89702</v>
      </c>
      <c r="F625" s="649">
        <v>102101</v>
      </c>
      <c r="G625" s="649">
        <v>514242</v>
      </c>
      <c r="H625" s="649"/>
      <c r="I625" s="650">
        <v>9662</v>
      </c>
      <c r="J625" s="650">
        <v>450640</v>
      </c>
      <c r="K625" s="650">
        <v>35221</v>
      </c>
      <c r="L625" s="649">
        <v>4453</v>
      </c>
      <c r="M625" s="649"/>
      <c r="N625" s="650">
        <v>18020</v>
      </c>
      <c r="O625" s="650">
        <v>166329</v>
      </c>
      <c r="P625" s="650">
        <v>0</v>
      </c>
      <c r="Q625" s="649">
        <v>3167</v>
      </c>
      <c r="R625" s="649"/>
      <c r="S625" s="650">
        <v>137449</v>
      </c>
      <c r="T625" s="651">
        <v>1085</v>
      </c>
      <c r="U625" s="651">
        <v>138535</v>
      </c>
    </row>
    <row r="626" spans="1:21" x14ac:dyDescent="0.25">
      <c r="A626" s="646">
        <v>96808</v>
      </c>
      <c r="B626" s="647" t="s">
        <v>3237</v>
      </c>
      <c r="C626" s="648">
        <v>1.2882E-3</v>
      </c>
      <c r="D626" s="648">
        <v>1.1995E-3</v>
      </c>
      <c r="E626" s="649">
        <v>505072.35</v>
      </c>
      <c r="F626" s="649">
        <v>538328</v>
      </c>
      <c r="G626" s="649">
        <v>2733992</v>
      </c>
      <c r="H626" s="649"/>
      <c r="I626" s="650">
        <v>51367</v>
      </c>
      <c r="J626" s="650">
        <v>2395848</v>
      </c>
      <c r="K626" s="650">
        <v>187254</v>
      </c>
      <c r="L626" s="649">
        <v>67087</v>
      </c>
      <c r="M626" s="649"/>
      <c r="N626" s="650">
        <v>95802</v>
      </c>
      <c r="O626" s="650">
        <v>884295</v>
      </c>
      <c r="P626" s="650">
        <v>0</v>
      </c>
      <c r="Q626" s="649">
        <v>0</v>
      </c>
      <c r="R626" s="649"/>
      <c r="S626" s="650">
        <v>730756</v>
      </c>
      <c r="T626" s="651">
        <v>24558</v>
      </c>
      <c r="U626" s="651">
        <v>755313</v>
      </c>
    </row>
    <row r="627" spans="1:21" x14ac:dyDescent="0.25">
      <c r="A627" s="646">
        <v>96811</v>
      </c>
      <c r="B627" s="647" t="s">
        <v>3238</v>
      </c>
      <c r="C627" s="648">
        <v>5.9861999999999997E-3</v>
      </c>
      <c r="D627" s="648">
        <v>6.0393000000000001E-3</v>
      </c>
      <c r="E627" s="649">
        <v>2443568.73</v>
      </c>
      <c r="F627" s="649">
        <v>2710402</v>
      </c>
      <c r="G627" s="649">
        <v>12704722</v>
      </c>
      <c r="H627" s="649"/>
      <c r="I627" s="650">
        <v>238700</v>
      </c>
      <c r="J627" s="650">
        <v>11133386</v>
      </c>
      <c r="K627" s="650">
        <v>870160</v>
      </c>
      <c r="L627" s="649">
        <v>0</v>
      </c>
      <c r="M627" s="649"/>
      <c r="N627" s="650">
        <v>445188</v>
      </c>
      <c r="O627" s="650">
        <v>4109275</v>
      </c>
      <c r="P627" s="650">
        <v>0</v>
      </c>
      <c r="Q627" s="649">
        <v>86222</v>
      </c>
      <c r="R627" s="649"/>
      <c r="S627" s="650">
        <v>3395786</v>
      </c>
      <c r="T627" s="651">
        <v>-32722</v>
      </c>
      <c r="U627" s="651">
        <v>3363064</v>
      </c>
    </row>
    <row r="628" spans="1:21" x14ac:dyDescent="0.25">
      <c r="A628" s="646">
        <v>96821</v>
      </c>
      <c r="B628" s="647" t="s">
        <v>3239</v>
      </c>
      <c r="C628" s="648">
        <v>1.3630999999999999E-3</v>
      </c>
      <c r="D628" s="648">
        <v>1.4808E-3</v>
      </c>
      <c r="E628" s="649">
        <v>518291.4</v>
      </c>
      <c r="F628" s="649">
        <v>664574</v>
      </c>
      <c r="G628" s="649">
        <v>2892955</v>
      </c>
      <c r="H628" s="649"/>
      <c r="I628" s="650">
        <v>54354</v>
      </c>
      <c r="J628" s="650">
        <v>2535151</v>
      </c>
      <c r="K628" s="650">
        <v>198142</v>
      </c>
      <c r="L628" s="649">
        <v>0</v>
      </c>
      <c r="M628" s="649"/>
      <c r="N628" s="650">
        <v>101372</v>
      </c>
      <c r="O628" s="650">
        <v>935711</v>
      </c>
      <c r="P628" s="650">
        <v>0</v>
      </c>
      <c r="Q628" s="649">
        <v>153131</v>
      </c>
      <c r="R628" s="649"/>
      <c r="S628" s="650">
        <v>773244</v>
      </c>
      <c r="T628" s="651">
        <v>-47603</v>
      </c>
      <c r="U628" s="651">
        <v>725641</v>
      </c>
    </row>
    <row r="629" spans="1:21" x14ac:dyDescent="0.25">
      <c r="A629" s="646">
        <v>96831</v>
      </c>
      <c r="B629" s="647" t="s">
        <v>3240</v>
      </c>
      <c r="C629" s="648">
        <v>9.2400000000000002E-4</v>
      </c>
      <c r="D629" s="648">
        <v>8.3830000000000005E-4</v>
      </c>
      <c r="E629" s="649">
        <v>353922</v>
      </c>
      <c r="F629" s="649">
        <v>376224</v>
      </c>
      <c r="G629" s="649">
        <v>1961037.54</v>
      </c>
      <c r="H629" s="649"/>
      <c r="I629" s="650">
        <v>36844.5</v>
      </c>
      <c r="J629" s="650">
        <v>1718494</v>
      </c>
      <c r="K629" s="650">
        <v>134314</v>
      </c>
      <c r="L629" s="649">
        <v>56487</v>
      </c>
      <c r="M629" s="649"/>
      <c r="N629" s="650">
        <v>68717</v>
      </c>
      <c r="O629" s="650">
        <v>634287</v>
      </c>
      <c r="P629" s="650">
        <v>0</v>
      </c>
      <c r="Q629" s="649">
        <v>0</v>
      </c>
      <c r="R629" s="649"/>
      <c r="S629" s="650">
        <v>524157</v>
      </c>
      <c r="T629" s="651">
        <v>19257</v>
      </c>
      <c r="U629" s="651">
        <v>543413</v>
      </c>
    </row>
    <row r="630" spans="1:21" x14ac:dyDescent="0.25">
      <c r="A630" s="646">
        <v>96901</v>
      </c>
      <c r="B630" s="647" t="s">
        <v>3241</v>
      </c>
      <c r="C630" s="648">
        <v>8.1610000000000005E-4</v>
      </c>
      <c r="D630" s="648">
        <v>7.6599999999999997E-4</v>
      </c>
      <c r="E630" s="649">
        <v>326581.33</v>
      </c>
      <c r="F630" s="649">
        <v>343776</v>
      </c>
      <c r="G630" s="649">
        <v>1732038</v>
      </c>
      <c r="H630" s="649"/>
      <c r="I630" s="650">
        <v>32542</v>
      </c>
      <c r="J630" s="650">
        <v>1517817</v>
      </c>
      <c r="K630" s="650">
        <v>118629</v>
      </c>
      <c r="L630" s="649">
        <v>46444</v>
      </c>
      <c r="M630" s="649"/>
      <c r="N630" s="650">
        <v>60693</v>
      </c>
      <c r="O630" s="650">
        <v>560218</v>
      </c>
      <c r="P630" s="650">
        <v>0</v>
      </c>
      <c r="Q630" s="649">
        <v>0</v>
      </c>
      <c r="R630" s="649"/>
      <c r="S630" s="650">
        <v>462948</v>
      </c>
      <c r="T630" s="651">
        <v>15281</v>
      </c>
      <c r="U630" s="651">
        <v>478229</v>
      </c>
    </row>
    <row r="631" spans="1:21" x14ac:dyDescent="0.25">
      <c r="A631" s="646">
        <v>96911</v>
      </c>
      <c r="B631" s="647" t="s">
        <v>3242</v>
      </c>
      <c r="C631" s="648">
        <v>3.7000000000000002E-6</v>
      </c>
      <c r="D631" s="648">
        <v>1.15E-5</v>
      </c>
      <c r="E631" s="649">
        <v>2162.39</v>
      </c>
      <c r="F631" s="649">
        <v>5161</v>
      </c>
      <c r="G631" s="649">
        <v>7853</v>
      </c>
      <c r="H631" s="649"/>
      <c r="I631" s="650">
        <v>147.53749999999999</v>
      </c>
      <c r="J631" s="650">
        <v>6881</v>
      </c>
      <c r="K631" s="650">
        <v>538</v>
      </c>
      <c r="L631" s="649">
        <v>3997</v>
      </c>
      <c r="M631" s="649"/>
      <c r="N631" s="650">
        <v>275</v>
      </c>
      <c r="O631" s="650">
        <v>2540</v>
      </c>
      <c r="P631" s="650">
        <v>0</v>
      </c>
      <c r="Q631" s="649">
        <v>3716</v>
      </c>
      <c r="R631" s="649"/>
      <c r="S631" s="650">
        <v>2099</v>
      </c>
      <c r="T631" s="651">
        <v>571</v>
      </c>
      <c r="U631" s="651">
        <v>2669</v>
      </c>
    </row>
    <row r="632" spans="1:21" x14ac:dyDescent="0.25">
      <c r="A632" s="646">
        <v>96912</v>
      </c>
      <c r="B632" s="647" t="s">
        <v>3243</v>
      </c>
      <c r="C632" s="648">
        <v>6.0999999999999999E-5</v>
      </c>
      <c r="D632" s="648">
        <v>5.5899999999999997E-5</v>
      </c>
      <c r="E632" s="649">
        <v>20331.63</v>
      </c>
      <c r="F632" s="649">
        <v>25088</v>
      </c>
      <c r="G632" s="649">
        <v>129462</v>
      </c>
      <c r="H632" s="649"/>
      <c r="I632" s="650">
        <v>2432.375</v>
      </c>
      <c r="J632" s="650">
        <v>113450</v>
      </c>
      <c r="K632" s="650">
        <v>8867</v>
      </c>
      <c r="L632" s="649">
        <v>7641</v>
      </c>
      <c r="M632" s="649"/>
      <c r="N632" s="650">
        <v>4537</v>
      </c>
      <c r="O632" s="650">
        <v>41874</v>
      </c>
      <c r="P632" s="650">
        <v>0</v>
      </c>
      <c r="Q632" s="649">
        <v>1013</v>
      </c>
      <c r="R632" s="649"/>
      <c r="S632" s="650">
        <v>34603</v>
      </c>
      <c r="T632" s="651">
        <v>3054</v>
      </c>
      <c r="U632" s="651">
        <v>37657</v>
      </c>
    </row>
    <row r="633" spans="1:21" x14ac:dyDescent="0.25">
      <c r="A633" s="646">
        <v>96918</v>
      </c>
      <c r="B633" s="647" t="s">
        <v>3244</v>
      </c>
      <c r="C633" s="648">
        <v>4.0500000000000002E-5</v>
      </c>
      <c r="D633" s="648">
        <v>4.5099999999999998E-5</v>
      </c>
      <c r="E633" s="649">
        <v>18289.97</v>
      </c>
      <c r="F633" s="649">
        <v>20241</v>
      </c>
      <c r="G633" s="649">
        <v>85955</v>
      </c>
      <c r="H633" s="649"/>
      <c r="I633" s="650">
        <v>1614.9375</v>
      </c>
      <c r="J633" s="650">
        <v>75324</v>
      </c>
      <c r="K633" s="650">
        <v>5887</v>
      </c>
      <c r="L633" s="649">
        <v>12921</v>
      </c>
      <c r="M633" s="649"/>
      <c r="N633" s="650">
        <v>3012</v>
      </c>
      <c r="O633" s="650">
        <v>27802</v>
      </c>
      <c r="P633" s="650">
        <v>0</v>
      </c>
      <c r="Q633" s="649">
        <v>1194</v>
      </c>
      <c r="R633" s="649"/>
      <c r="S633" s="650">
        <v>22974</v>
      </c>
      <c r="T633" s="651">
        <v>5498</v>
      </c>
      <c r="U633" s="651">
        <v>28472</v>
      </c>
    </row>
    <row r="634" spans="1:21" x14ac:dyDescent="0.25">
      <c r="A634" s="646">
        <v>97001</v>
      </c>
      <c r="B634" s="647" t="s">
        <v>3245</v>
      </c>
      <c r="C634" s="648">
        <v>1.3641E-3</v>
      </c>
      <c r="D634" s="648">
        <v>1.3221999999999999E-3</v>
      </c>
      <c r="E634" s="649">
        <v>636605</v>
      </c>
      <c r="F634" s="649">
        <v>593395</v>
      </c>
      <c r="G634" s="649">
        <v>2895077</v>
      </c>
      <c r="H634" s="649"/>
      <c r="I634" s="650">
        <v>54393</v>
      </c>
      <c r="J634" s="650">
        <v>2537010</v>
      </c>
      <c r="K634" s="650">
        <v>198287</v>
      </c>
      <c r="L634" s="649">
        <v>107093</v>
      </c>
      <c r="M634" s="649"/>
      <c r="N634" s="650">
        <v>101447</v>
      </c>
      <c r="O634" s="650">
        <v>936397</v>
      </c>
      <c r="P634" s="650">
        <v>0</v>
      </c>
      <c r="Q634" s="649">
        <v>23162</v>
      </c>
      <c r="R634" s="649"/>
      <c r="S634" s="650">
        <v>773812</v>
      </c>
      <c r="T634" s="651">
        <v>18430</v>
      </c>
      <c r="U634" s="651">
        <v>792241</v>
      </c>
    </row>
    <row r="635" spans="1:21" x14ac:dyDescent="0.25">
      <c r="A635" s="646">
        <v>97002</v>
      </c>
      <c r="B635" s="647" t="s">
        <v>3246</v>
      </c>
      <c r="C635" s="648">
        <v>4.6589999999999999E-4</v>
      </c>
      <c r="D635" s="648">
        <v>3.9229999999999999E-4</v>
      </c>
      <c r="E635" s="649">
        <v>151526.06</v>
      </c>
      <c r="F635" s="649">
        <v>176062</v>
      </c>
      <c r="G635" s="649">
        <v>988796</v>
      </c>
      <c r="H635" s="649"/>
      <c r="I635" s="650">
        <v>18578</v>
      </c>
      <c r="J635" s="650">
        <v>866500</v>
      </c>
      <c r="K635" s="650">
        <v>67724</v>
      </c>
      <c r="L635" s="649">
        <v>28607</v>
      </c>
      <c r="M635" s="649"/>
      <c r="N635" s="650">
        <v>34649</v>
      </c>
      <c r="O635" s="650">
        <v>319821</v>
      </c>
      <c r="P635" s="650">
        <v>0</v>
      </c>
      <c r="Q635" s="649">
        <v>0</v>
      </c>
      <c r="R635" s="649"/>
      <c r="S635" s="650">
        <v>264291</v>
      </c>
      <c r="T635" s="651">
        <v>11776</v>
      </c>
      <c r="U635" s="651">
        <v>276066</v>
      </c>
    </row>
    <row r="636" spans="1:21" x14ac:dyDescent="0.25">
      <c r="A636" s="646">
        <v>97004</v>
      </c>
      <c r="B636" s="647" t="s">
        <v>3247</v>
      </c>
      <c r="C636" s="648">
        <v>1.0900000000000001E-5</v>
      </c>
      <c r="D636" s="648">
        <v>1.47E-5</v>
      </c>
      <c r="E636" s="649">
        <v>7359.36</v>
      </c>
      <c r="F636" s="649">
        <v>6597</v>
      </c>
      <c r="G636" s="649">
        <v>23133</v>
      </c>
      <c r="H636" s="649"/>
      <c r="I636" s="650">
        <v>435</v>
      </c>
      <c r="J636" s="650">
        <v>20272</v>
      </c>
      <c r="K636" s="650">
        <v>1584</v>
      </c>
      <c r="L636" s="649">
        <v>3251</v>
      </c>
      <c r="M636" s="649"/>
      <c r="N636" s="650">
        <v>811</v>
      </c>
      <c r="O636" s="650">
        <v>7482</v>
      </c>
      <c r="P636" s="650">
        <v>0</v>
      </c>
      <c r="Q636" s="649">
        <v>0</v>
      </c>
      <c r="R636" s="649"/>
      <c r="S636" s="650">
        <v>6183</v>
      </c>
      <c r="T636" s="651">
        <v>1295</v>
      </c>
      <c r="U636" s="651">
        <v>7478</v>
      </c>
    </row>
    <row r="637" spans="1:21" x14ac:dyDescent="0.25">
      <c r="A637" s="646">
        <v>97005</v>
      </c>
      <c r="B637" s="647" t="s">
        <v>3248</v>
      </c>
      <c r="C637" s="648">
        <v>1.42E-5</v>
      </c>
      <c r="D637" s="648">
        <v>2.3799999999999999E-5</v>
      </c>
      <c r="E637" s="649">
        <v>10552.87</v>
      </c>
      <c r="F637" s="649">
        <v>10681</v>
      </c>
      <c r="G637" s="649">
        <v>30137</v>
      </c>
      <c r="H637" s="649"/>
      <c r="I637" s="650">
        <v>566.22500000000002</v>
      </c>
      <c r="J637" s="650">
        <v>26410</v>
      </c>
      <c r="K637" s="650">
        <v>2064</v>
      </c>
      <c r="L637" s="649">
        <v>3091</v>
      </c>
      <c r="M637" s="649"/>
      <c r="N637" s="650">
        <v>1056</v>
      </c>
      <c r="O637" s="650">
        <v>9748</v>
      </c>
      <c r="P637" s="650">
        <v>0</v>
      </c>
      <c r="Q637" s="649">
        <v>2036</v>
      </c>
      <c r="R637" s="649"/>
      <c r="S637" s="650">
        <v>8055</v>
      </c>
      <c r="T637" s="651">
        <v>428</v>
      </c>
      <c r="U637" s="651">
        <v>8483</v>
      </c>
    </row>
    <row r="638" spans="1:21" x14ac:dyDescent="0.25">
      <c r="A638" s="646">
        <v>97008</v>
      </c>
      <c r="B638" s="647" t="s">
        <v>3249</v>
      </c>
      <c r="C638" s="648">
        <v>2.7530000000000002E-4</v>
      </c>
      <c r="D638" s="648">
        <v>2.6959999999999999E-4</v>
      </c>
      <c r="E638" s="649">
        <v>107270.37</v>
      </c>
      <c r="F638" s="649">
        <v>120995</v>
      </c>
      <c r="G638" s="649">
        <v>584279</v>
      </c>
      <c r="H638" s="649"/>
      <c r="I638" s="650">
        <v>10978</v>
      </c>
      <c r="J638" s="650">
        <v>512015</v>
      </c>
      <c r="K638" s="650">
        <v>40018</v>
      </c>
      <c r="L638" s="649">
        <v>14688</v>
      </c>
      <c r="M638" s="649"/>
      <c r="N638" s="650">
        <v>20474</v>
      </c>
      <c r="O638" s="650">
        <v>188982</v>
      </c>
      <c r="P638" s="650">
        <v>0</v>
      </c>
      <c r="Q638" s="649">
        <v>4604</v>
      </c>
      <c r="R638" s="649"/>
      <c r="S638" s="650">
        <v>156169</v>
      </c>
      <c r="T638" s="651">
        <v>5904</v>
      </c>
      <c r="U638" s="651">
        <v>162074</v>
      </c>
    </row>
    <row r="639" spans="1:21" x14ac:dyDescent="0.25">
      <c r="A639" s="646">
        <v>97010</v>
      </c>
      <c r="B639" s="647" t="s">
        <v>3250</v>
      </c>
      <c r="C639" s="648">
        <v>0</v>
      </c>
      <c r="D639" s="648">
        <v>0</v>
      </c>
      <c r="E639" s="649">
        <v>0</v>
      </c>
      <c r="F639" s="649">
        <v>0</v>
      </c>
      <c r="G639" s="649">
        <v>0</v>
      </c>
      <c r="H639" s="649"/>
      <c r="I639" s="650">
        <v>0</v>
      </c>
      <c r="J639" s="650">
        <v>0</v>
      </c>
      <c r="K639" s="650">
        <v>0</v>
      </c>
      <c r="L639" s="649">
        <v>0</v>
      </c>
      <c r="M639" s="649"/>
      <c r="N639" s="650">
        <v>0</v>
      </c>
      <c r="O639" s="650">
        <v>0</v>
      </c>
      <c r="P639" s="650">
        <v>0</v>
      </c>
      <c r="Q639" s="649">
        <v>3339356</v>
      </c>
      <c r="R639" s="649"/>
      <c r="S639" s="650">
        <v>0</v>
      </c>
      <c r="T639" s="651">
        <v>-1282454</v>
      </c>
      <c r="U639" s="651">
        <v>-1282454</v>
      </c>
    </row>
    <row r="640" spans="1:21" x14ac:dyDescent="0.25">
      <c r="A640" s="646">
        <v>97011</v>
      </c>
      <c r="B640" s="647" t="s">
        <v>3251</v>
      </c>
      <c r="C640" s="648">
        <v>1.9522999999999999E-3</v>
      </c>
      <c r="D640" s="648">
        <v>2.0471E-3</v>
      </c>
      <c r="E640" s="649">
        <v>745774</v>
      </c>
      <c r="F640" s="649">
        <v>918726</v>
      </c>
      <c r="G640" s="649">
        <v>4143435</v>
      </c>
      <c r="H640" s="649"/>
      <c r="I640" s="650">
        <v>77848</v>
      </c>
      <c r="J640" s="650">
        <v>3630970</v>
      </c>
      <c r="K640" s="650">
        <v>283788</v>
      </c>
      <c r="L640" s="649">
        <v>0</v>
      </c>
      <c r="M640" s="649"/>
      <c r="N640" s="650">
        <v>145191</v>
      </c>
      <c r="O640" s="650">
        <v>1340172</v>
      </c>
      <c r="P640" s="650">
        <v>0</v>
      </c>
      <c r="Q640" s="649">
        <v>128959</v>
      </c>
      <c r="R640" s="649"/>
      <c r="S640" s="650">
        <v>1107479</v>
      </c>
      <c r="T640" s="651">
        <v>-38250</v>
      </c>
      <c r="U640" s="651">
        <v>1069229</v>
      </c>
    </row>
    <row r="641" spans="1:21" x14ac:dyDescent="0.25">
      <c r="A641" s="646">
        <v>97012</v>
      </c>
      <c r="B641" s="647" t="s">
        <v>3252</v>
      </c>
      <c r="C641" s="648">
        <v>2.4499999999999999E-5</v>
      </c>
      <c r="D641" s="648">
        <v>2.4199999999999999E-5</v>
      </c>
      <c r="E641" s="649">
        <v>14173.02</v>
      </c>
      <c r="F641" s="649">
        <v>10861</v>
      </c>
      <c r="G641" s="649">
        <v>51997</v>
      </c>
      <c r="H641" s="649"/>
      <c r="I641" s="650">
        <v>976.9375</v>
      </c>
      <c r="J641" s="650">
        <v>45566</v>
      </c>
      <c r="K641" s="650">
        <v>3561</v>
      </c>
      <c r="L641" s="649">
        <v>3417</v>
      </c>
      <c r="M641" s="649"/>
      <c r="N641" s="650">
        <v>1822</v>
      </c>
      <c r="O641" s="650">
        <v>16818</v>
      </c>
      <c r="P641" s="650">
        <v>0</v>
      </c>
      <c r="Q641" s="649">
        <v>1887</v>
      </c>
      <c r="R641" s="649"/>
      <c r="S641" s="650">
        <v>13898</v>
      </c>
      <c r="T641" s="651">
        <v>148</v>
      </c>
      <c r="U641" s="651">
        <v>14046</v>
      </c>
    </row>
    <row r="642" spans="1:21" x14ac:dyDescent="0.25">
      <c r="A642" s="646">
        <v>97013</v>
      </c>
      <c r="B642" s="647" t="s">
        <v>3253</v>
      </c>
      <c r="C642" s="648">
        <v>2.0699999999999998E-5</v>
      </c>
      <c r="D642" s="648">
        <v>1.1399999999999999E-5</v>
      </c>
      <c r="E642" s="649">
        <v>8196.81</v>
      </c>
      <c r="F642" s="649">
        <v>5116</v>
      </c>
      <c r="G642" s="649">
        <v>43932</v>
      </c>
      <c r="H642" s="649"/>
      <c r="I642" s="650">
        <v>825</v>
      </c>
      <c r="J642" s="650">
        <v>38499</v>
      </c>
      <c r="K642" s="650">
        <v>3009</v>
      </c>
      <c r="L642" s="649">
        <v>7733</v>
      </c>
      <c r="M642" s="649"/>
      <c r="N642" s="650">
        <v>1539</v>
      </c>
      <c r="O642" s="650">
        <v>14210</v>
      </c>
      <c r="P642" s="650">
        <v>0</v>
      </c>
      <c r="Q642" s="649">
        <v>866</v>
      </c>
      <c r="R642" s="649"/>
      <c r="S642" s="650">
        <v>11742</v>
      </c>
      <c r="T642" s="651">
        <v>1850</v>
      </c>
      <c r="U642" s="651">
        <v>13592</v>
      </c>
    </row>
    <row r="643" spans="1:21" x14ac:dyDescent="0.25">
      <c r="A643" s="646">
        <v>97015</v>
      </c>
      <c r="B643" s="647" t="s">
        <v>3254</v>
      </c>
      <c r="C643" s="648">
        <v>5.3699999999999997E-5</v>
      </c>
      <c r="D643" s="648">
        <v>4.7700000000000001E-5</v>
      </c>
      <c r="E643" s="649">
        <v>21900.080000000002</v>
      </c>
      <c r="F643" s="649">
        <v>21407</v>
      </c>
      <c r="G643" s="649">
        <v>113969</v>
      </c>
      <c r="H643" s="649"/>
      <c r="I643" s="650">
        <v>2141</v>
      </c>
      <c r="J643" s="650">
        <v>99874</v>
      </c>
      <c r="K643" s="650">
        <v>7806</v>
      </c>
      <c r="L643" s="649">
        <v>6681</v>
      </c>
      <c r="M643" s="649"/>
      <c r="N643" s="650">
        <v>3994</v>
      </c>
      <c r="O643" s="650">
        <v>36863</v>
      </c>
      <c r="P643" s="650">
        <v>0</v>
      </c>
      <c r="Q643" s="649">
        <v>1588</v>
      </c>
      <c r="R643" s="649"/>
      <c r="S643" s="650">
        <v>30462</v>
      </c>
      <c r="T643" s="651">
        <v>1274</v>
      </c>
      <c r="U643" s="651">
        <v>31737</v>
      </c>
    </row>
    <row r="644" spans="1:21" x14ac:dyDescent="0.25">
      <c r="A644" s="646">
        <v>97018</v>
      </c>
      <c r="B644" s="647" t="s">
        <v>3255</v>
      </c>
      <c r="C644" s="648">
        <v>9.3999999999999998E-6</v>
      </c>
      <c r="D644" s="648">
        <v>9.5000000000000005E-6</v>
      </c>
      <c r="E644" s="649">
        <v>7336</v>
      </c>
      <c r="F644" s="649">
        <v>4264</v>
      </c>
      <c r="G644" s="649">
        <v>19950</v>
      </c>
      <c r="H644" s="649"/>
      <c r="I644" s="650">
        <v>374.82499999999999</v>
      </c>
      <c r="J644" s="650">
        <v>17483</v>
      </c>
      <c r="K644" s="650">
        <v>1366</v>
      </c>
      <c r="L644" s="649">
        <v>6124</v>
      </c>
      <c r="M644" s="649"/>
      <c r="N644" s="650">
        <v>699</v>
      </c>
      <c r="O644" s="650">
        <v>6453</v>
      </c>
      <c r="P644" s="650">
        <v>0</v>
      </c>
      <c r="Q644" s="649">
        <v>0</v>
      </c>
      <c r="R644" s="649"/>
      <c r="S644" s="650">
        <v>5332</v>
      </c>
      <c r="T644" s="651">
        <v>2103</v>
      </c>
      <c r="U644" s="651">
        <v>7435</v>
      </c>
    </row>
    <row r="645" spans="1:21" x14ac:dyDescent="0.25">
      <c r="A645" s="646">
        <v>97101</v>
      </c>
      <c r="B645" s="647" t="s">
        <v>3256</v>
      </c>
      <c r="C645" s="648">
        <v>2.6029E-3</v>
      </c>
      <c r="D645" s="648">
        <v>2.5864999999999998E-3</v>
      </c>
      <c r="E645" s="649">
        <v>1065744</v>
      </c>
      <c r="F645" s="649">
        <v>1160806</v>
      </c>
      <c r="G645" s="649">
        <v>5524226</v>
      </c>
      <c r="H645" s="649"/>
      <c r="I645" s="650">
        <v>103791</v>
      </c>
      <c r="J645" s="650">
        <v>4840983</v>
      </c>
      <c r="K645" s="650">
        <v>378360</v>
      </c>
      <c r="L645" s="649">
        <v>28605</v>
      </c>
      <c r="M645" s="649"/>
      <c r="N645" s="650">
        <v>193575</v>
      </c>
      <c r="O645" s="650">
        <v>1786782</v>
      </c>
      <c r="P645" s="650">
        <v>0</v>
      </c>
      <c r="Q645" s="649">
        <v>13944</v>
      </c>
      <c r="R645" s="649"/>
      <c r="S645" s="650">
        <v>1476544</v>
      </c>
      <c r="T645" s="651">
        <v>2643</v>
      </c>
      <c r="U645" s="651">
        <v>1479187</v>
      </c>
    </row>
    <row r="646" spans="1:21" x14ac:dyDescent="0.25">
      <c r="A646" s="646">
        <v>97104</v>
      </c>
      <c r="B646" s="647" t="s">
        <v>3257</v>
      </c>
      <c r="C646" s="648">
        <v>5.6799999999999998E-5</v>
      </c>
      <c r="D646" s="648">
        <v>5.2099999999999999E-5</v>
      </c>
      <c r="E646" s="649">
        <v>26203</v>
      </c>
      <c r="F646" s="649">
        <v>23382</v>
      </c>
      <c r="G646" s="649">
        <v>120549</v>
      </c>
      <c r="H646" s="649"/>
      <c r="I646" s="650">
        <v>2264.9</v>
      </c>
      <c r="J646" s="650">
        <v>105639</v>
      </c>
      <c r="K646" s="650">
        <v>8257</v>
      </c>
      <c r="L646" s="649">
        <v>15710</v>
      </c>
      <c r="M646" s="649"/>
      <c r="N646" s="650">
        <v>4224</v>
      </c>
      <c r="O646" s="650">
        <v>38991</v>
      </c>
      <c r="P646" s="650">
        <v>0</v>
      </c>
      <c r="Q646" s="649">
        <v>0</v>
      </c>
      <c r="R646" s="649"/>
      <c r="S646" s="650">
        <v>32221</v>
      </c>
      <c r="T646" s="651">
        <v>5708</v>
      </c>
      <c r="U646" s="651">
        <v>37929</v>
      </c>
    </row>
    <row r="647" spans="1:21" x14ac:dyDescent="0.25">
      <c r="A647" s="646">
        <v>97111</v>
      </c>
      <c r="B647" s="647" t="s">
        <v>3258</v>
      </c>
      <c r="C647" s="648">
        <v>2.7099999999999997E-4</v>
      </c>
      <c r="D647" s="648">
        <v>2.5099999999999998E-4</v>
      </c>
      <c r="E647" s="649">
        <v>99518.98</v>
      </c>
      <c r="F647" s="649">
        <v>112647</v>
      </c>
      <c r="G647" s="649">
        <v>575153</v>
      </c>
      <c r="H647" s="649"/>
      <c r="I647" s="650">
        <v>10806</v>
      </c>
      <c r="J647" s="650">
        <v>504017</v>
      </c>
      <c r="K647" s="650">
        <v>39393</v>
      </c>
      <c r="L647" s="649">
        <v>14654</v>
      </c>
      <c r="M647" s="649"/>
      <c r="N647" s="650">
        <v>20154</v>
      </c>
      <c r="O647" s="650">
        <v>186030</v>
      </c>
      <c r="P647" s="650">
        <v>0</v>
      </c>
      <c r="Q647" s="649">
        <v>17411</v>
      </c>
      <c r="R647" s="649"/>
      <c r="S647" s="650">
        <v>153730</v>
      </c>
      <c r="T647" s="651">
        <v>858</v>
      </c>
      <c r="U647" s="651">
        <v>154588</v>
      </c>
    </row>
    <row r="648" spans="1:21" x14ac:dyDescent="0.25">
      <c r="A648" s="646">
        <v>97121</v>
      </c>
      <c r="B648" s="647" t="s">
        <v>3259</v>
      </c>
      <c r="C648" s="648">
        <v>1.2070000000000001E-4</v>
      </c>
      <c r="D648" s="648">
        <v>1.495E-4</v>
      </c>
      <c r="E648" s="649">
        <v>55081</v>
      </c>
      <c r="F648" s="649">
        <v>67095</v>
      </c>
      <c r="G648" s="649">
        <v>256166</v>
      </c>
      <c r="H648" s="649"/>
      <c r="I648" s="650">
        <v>4813</v>
      </c>
      <c r="J648" s="650">
        <v>224483</v>
      </c>
      <c r="K648" s="650">
        <v>17545</v>
      </c>
      <c r="L648" s="649">
        <v>0</v>
      </c>
      <c r="M648" s="649"/>
      <c r="N648" s="650">
        <v>8976</v>
      </c>
      <c r="O648" s="650">
        <v>82855</v>
      </c>
      <c r="P648" s="650">
        <v>0</v>
      </c>
      <c r="Q648" s="649">
        <v>14541</v>
      </c>
      <c r="R648" s="649"/>
      <c r="S648" s="650">
        <v>68469</v>
      </c>
      <c r="T648" s="651">
        <v>-4515</v>
      </c>
      <c r="U648" s="651">
        <v>63954</v>
      </c>
    </row>
    <row r="649" spans="1:21" x14ac:dyDescent="0.25">
      <c r="A649" s="646">
        <v>97131</v>
      </c>
      <c r="B649" s="647" t="s">
        <v>3260</v>
      </c>
      <c r="C649" s="648">
        <v>6.2969999999999996E-4</v>
      </c>
      <c r="D649" s="648">
        <v>5.9650000000000002E-4</v>
      </c>
      <c r="E649" s="649">
        <v>232414</v>
      </c>
      <c r="F649" s="649">
        <v>267706</v>
      </c>
      <c r="G649" s="649">
        <v>1336434</v>
      </c>
      <c r="H649" s="649"/>
      <c r="I649" s="650">
        <v>25109</v>
      </c>
      <c r="J649" s="650">
        <v>1171143</v>
      </c>
      <c r="K649" s="650">
        <v>91534</v>
      </c>
      <c r="L649" s="649">
        <v>6841</v>
      </c>
      <c r="M649" s="649"/>
      <c r="N649" s="650">
        <v>46830</v>
      </c>
      <c r="O649" s="650">
        <v>432263</v>
      </c>
      <c r="P649" s="650">
        <v>0</v>
      </c>
      <c r="Q649" s="649">
        <v>3274</v>
      </c>
      <c r="R649" s="649"/>
      <c r="S649" s="650">
        <v>357209</v>
      </c>
      <c r="T649" s="651">
        <v>1535</v>
      </c>
      <c r="U649" s="651">
        <v>358745</v>
      </c>
    </row>
    <row r="650" spans="1:21" x14ac:dyDescent="0.25">
      <c r="A650" s="646">
        <v>97201</v>
      </c>
      <c r="B650" s="647" t="s">
        <v>3261</v>
      </c>
      <c r="C650" s="648">
        <v>4.9439999999999998E-4</v>
      </c>
      <c r="D650" s="648">
        <v>4.7249999999999999E-4</v>
      </c>
      <c r="E650" s="649">
        <v>214121.60000000001</v>
      </c>
      <c r="F650" s="649">
        <v>212055</v>
      </c>
      <c r="G650" s="649">
        <v>1049282</v>
      </c>
      <c r="H650" s="649"/>
      <c r="I650" s="650">
        <v>19714.2</v>
      </c>
      <c r="J650" s="650">
        <v>919506</v>
      </c>
      <c r="K650" s="650">
        <v>71866</v>
      </c>
      <c r="L650" s="649">
        <v>22797</v>
      </c>
      <c r="M650" s="649"/>
      <c r="N650" s="650">
        <v>36768</v>
      </c>
      <c r="O650" s="650">
        <v>339385</v>
      </c>
      <c r="P650" s="650">
        <v>0</v>
      </c>
      <c r="Q650" s="649">
        <v>3773</v>
      </c>
      <c r="R650" s="649"/>
      <c r="S650" s="650">
        <v>280458</v>
      </c>
      <c r="T650" s="651">
        <v>4235</v>
      </c>
      <c r="U650" s="651">
        <v>284693</v>
      </c>
    </row>
    <row r="651" spans="1:21" x14ac:dyDescent="0.25">
      <c r="A651" s="646">
        <v>97211</v>
      </c>
      <c r="B651" s="647" t="s">
        <v>3262</v>
      </c>
      <c r="C651" s="648">
        <v>1.4119999999999999E-4</v>
      </c>
      <c r="D651" s="648">
        <v>1.7689999999999999E-4</v>
      </c>
      <c r="E651" s="649">
        <v>62098</v>
      </c>
      <c r="F651" s="649">
        <v>79392</v>
      </c>
      <c r="G651" s="649">
        <v>299674</v>
      </c>
      <c r="H651" s="649"/>
      <c r="I651" s="650">
        <v>5630</v>
      </c>
      <c r="J651" s="650">
        <v>262610</v>
      </c>
      <c r="K651" s="650">
        <v>20525</v>
      </c>
      <c r="L651" s="649">
        <v>3573</v>
      </c>
      <c r="M651" s="649"/>
      <c r="N651" s="650">
        <v>10501</v>
      </c>
      <c r="O651" s="650">
        <v>96928</v>
      </c>
      <c r="P651" s="650">
        <v>0</v>
      </c>
      <c r="Q651" s="649">
        <v>16466</v>
      </c>
      <c r="R651" s="649"/>
      <c r="S651" s="650">
        <v>80098</v>
      </c>
      <c r="T651" s="651">
        <v>-3079</v>
      </c>
      <c r="U651" s="651">
        <v>77020</v>
      </c>
    </row>
    <row r="652" spans="1:21" x14ac:dyDescent="0.25">
      <c r="A652" s="646">
        <v>97213</v>
      </c>
      <c r="B652" s="647" t="s">
        <v>3263</v>
      </c>
      <c r="C652" s="648">
        <v>3.8300000000000003E-5</v>
      </c>
      <c r="D652" s="648">
        <v>4.0800000000000002E-5</v>
      </c>
      <c r="E652" s="649">
        <v>16615</v>
      </c>
      <c r="F652" s="649">
        <v>18311</v>
      </c>
      <c r="G652" s="649">
        <v>81285</v>
      </c>
      <c r="H652" s="649"/>
      <c r="I652" s="650">
        <v>1527</v>
      </c>
      <c r="J652" s="650">
        <v>71232</v>
      </c>
      <c r="K652" s="650">
        <v>5567</v>
      </c>
      <c r="L652" s="649">
        <v>1545</v>
      </c>
      <c r="M652" s="649"/>
      <c r="N652" s="650">
        <v>2848</v>
      </c>
      <c r="O652" s="650">
        <v>26291</v>
      </c>
      <c r="P652" s="650">
        <v>0</v>
      </c>
      <c r="Q652" s="649">
        <v>668</v>
      </c>
      <c r="R652" s="649"/>
      <c r="S652" s="650">
        <v>21726</v>
      </c>
      <c r="T652" s="651">
        <v>577</v>
      </c>
      <c r="U652" s="651">
        <v>22303</v>
      </c>
    </row>
    <row r="653" spans="1:21" x14ac:dyDescent="0.25">
      <c r="A653" s="646">
        <v>97217</v>
      </c>
      <c r="B653" s="647" t="s">
        <v>3264</v>
      </c>
      <c r="C653" s="648">
        <v>4.8999999999999997E-6</v>
      </c>
      <c r="D653" s="648">
        <v>5.0000000000000004E-6</v>
      </c>
      <c r="E653" s="649">
        <v>6185</v>
      </c>
      <c r="F653" s="649">
        <v>2244</v>
      </c>
      <c r="G653" s="649">
        <v>10399</v>
      </c>
      <c r="H653" s="649"/>
      <c r="I653" s="650">
        <v>195.38749999999999</v>
      </c>
      <c r="J653" s="650">
        <v>9113</v>
      </c>
      <c r="K653" s="650">
        <v>712</v>
      </c>
      <c r="L653" s="649">
        <v>6975</v>
      </c>
      <c r="M653" s="649"/>
      <c r="N653" s="650">
        <v>364</v>
      </c>
      <c r="O653" s="650">
        <v>3364</v>
      </c>
      <c r="P653" s="650">
        <v>0</v>
      </c>
      <c r="Q653" s="649">
        <v>0</v>
      </c>
      <c r="R653" s="649"/>
      <c r="S653" s="650">
        <v>2780</v>
      </c>
      <c r="T653" s="651">
        <v>2381</v>
      </c>
      <c r="U653" s="651">
        <v>5160</v>
      </c>
    </row>
    <row r="654" spans="1:21" x14ac:dyDescent="0.25">
      <c r="A654" s="646">
        <v>97221</v>
      </c>
      <c r="B654" s="647" t="s">
        <v>3265</v>
      </c>
      <c r="C654" s="648">
        <v>6.1999999999999999E-6</v>
      </c>
      <c r="D654" s="648">
        <v>6.2999999999999998E-6</v>
      </c>
      <c r="E654" s="649">
        <v>6603.27</v>
      </c>
      <c r="F654" s="649">
        <v>2827</v>
      </c>
      <c r="G654" s="649">
        <v>13158</v>
      </c>
      <c r="H654" s="649"/>
      <c r="I654" s="650">
        <v>247.22499999999999</v>
      </c>
      <c r="J654" s="650">
        <v>11531</v>
      </c>
      <c r="K654" s="650">
        <v>901</v>
      </c>
      <c r="L654" s="649">
        <v>5895</v>
      </c>
      <c r="M654" s="649"/>
      <c r="N654" s="650">
        <v>461</v>
      </c>
      <c r="O654" s="650">
        <v>4256</v>
      </c>
      <c r="P654" s="650">
        <v>0</v>
      </c>
      <c r="Q654" s="649">
        <v>0</v>
      </c>
      <c r="R654" s="649"/>
      <c r="S654" s="650">
        <v>3517</v>
      </c>
      <c r="T654" s="651">
        <v>2057</v>
      </c>
      <c r="U654" s="651">
        <v>5574</v>
      </c>
    </row>
    <row r="655" spans="1:21" x14ac:dyDescent="0.25">
      <c r="A655" s="646">
        <v>97301</v>
      </c>
      <c r="B655" s="647" t="s">
        <v>3266</v>
      </c>
      <c r="C655" s="648">
        <v>2.5742E-3</v>
      </c>
      <c r="D655" s="648">
        <v>2.6905000000000002E-3</v>
      </c>
      <c r="E655" s="649">
        <v>1080031</v>
      </c>
      <c r="F655" s="649">
        <v>1207480</v>
      </c>
      <c r="G655" s="649">
        <v>5463315</v>
      </c>
      <c r="H655" s="649"/>
      <c r="I655" s="650">
        <v>102646</v>
      </c>
      <c r="J655" s="650">
        <v>4787605</v>
      </c>
      <c r="K655" s="650">
        <v>374188</v>
      </c>
      <c r="L655" s="649">
        <v>36738</v>
      </c>
      <c r="M655" s="649"/>
      <c r="N655" s="650">
        <v>191441</v>
      </c>
      <c r="O655" s="650">
        <v>1767080</v>
      </c>
      <c r="P655" s="650">
        <v>0</v>
      </c>
      <c r="Q655" s="649">
        <v>62348</v>
      </c>
      <c r="R655" s="649"/>
      <c r="S655" s="650">
        <v>1460264</v>
      </c>
      <c r="T655" s="651">
        <v>-7105</v>
      </c>
      <c r="U655" s="651">
        <v>1453159</v>
      </c>
    </row>
    <row r="656" spans="1:21" x14ac:dyDescent="0.25">
      <c r="A656" s="646">
        <v>97304</v>
      </c>
      <c r="B656" s="647" t="s">
        <v>3267</v>
      </c>
      <c r="C656" s="648">
        <v>1.7600000000000001E-5</v>
      </c>
      <c r="D656" s="648">
        <v>1.8499999999999999E-5</v>
      </c>
      <c r="E656" s="649">
        <v>11928</v>
      </c>
      <c r="F656" s="649">
        <v>8303</v>
      </c>
      <c r="G656" s="649">
        <v>37353</v>
      </c>
      <c r="H656" s="649"/>
      <c r="I656" s="650">
        <v>702</v>
      </c>
      <c r="J656" s="650">
        <v>32733</v>
      </c>
      <c r="K656" s="650">
        <v>2558</v>
      </c>
      <c r="L656" s="649">
        <v>7244</v>
      </c>
      <c r="M656" s="649"/>
      <c r="N656" s="650">
        <v>1309</v>
      </c>
      <c r="O656" s="650">
        <v>12082</v>
      </c>
      <c r="P656" s="650">
        <v>0</v>
      </c>
      <c r="Q656" s="649">
        <v>0</v>
      </c>
      <c r="R656" s="649"/>
      <c r="S656" s="650">
        <v>9984</v>
      </c>
      <c r="T656" s="651">
        <v>2504</v>
      </c>
      <c r="U656" s="651">
        <v>12488</v>
      </c>
    </row>
    <row r="657" spans="1:21" x14ac:dyDescent="0.25">
      <c r="A657" s="646">
        <v>97311</v>
      </c>
      <c r="B657" s="647" t="s">
        <v>3268</v>
      </c>
      <c r="C657" s="648">
        <v>9.5E-4</v>
      </c>
      <c r="D657" s="648">
        <v>1.0311000000000001E-3</v>
      </c>
      <c r="E657" s="649">
        <v>367318</v>
      </c>
      <c r="F657" s="649">
        <v>462751</v>
      </c>
      <c r="G657" s="649">
        <v>2016218.25</v>
      </c>
      <c r="H657" s="649"/>
      <c r="I657" s="650">
        <v>37881.25</v>
      </c>
      <c r="J657" s="650">
        <v>1766849.9</v>
      </c>
      <c r="K657" s="650">
        <v>138093</v>
      </c>
      <c r="L657" s="649">
        <v>0</v>
      </c>
      <c r="M657" s="649"/>
      <c r="N657" s="650">
        <v>70650.55</v>
      </c>
      <c r="O657" s="650">
        <v>652135.1</v>
      </c>
      <c r="P657" s="650">
        <v>0</v>
      </c>
      <c r="Q657" s="649">
        <v>97758</v>
      </c>
      <c r="R657" s="649"/>
      <c r="S657" s="650">
        <v>538906</v>
      </c>
      <c r="T657" s="651">
        <v>-33821</v>
      </c>
      <c r="U657" s="651">
        <v>505085</v>
      </c>
    </row>
    <row r="658" spans="1:21" x14ac:dyDescent="0.25">
      <c r="A658" s="646">
        <v>97401</v>
      </c>
      <c r="B658" s="647" t="s">
        <v>3269</v>
      </c>
      <c r="C658" s="648">
        <v>6.9633000000000004E-3</v>
      </c>
      <c r="D658" s="648">
        <v>6.9844E-3</v>
      </c>
      <c r="E658" s="649">
        <v>2848907</v>
      </c>
      <c r="F658" s="649">
        <v>3134557</v>
      </c>
      <c r="G658" s="649">
        <v>14778455</v>
      </c>
      <c r="H658" s="649"/>
      <c r="I658" s="650">
        <v>277662</v>
      </c>
      <c r="J658" s="650">
        <v>12950638</v>
      </c>
      <c r="K658" s="650">
        <v>1012192</v>
      </c>
      <c r="L658" s="649">
        <v>0</v>
      </c>
      <c r="M658" s="649"/>
      <c r="N658" s="650">
        <v>517854</v>
      </c>
      <c r="O658" s="650">
        <v>4780013</v>
      </c>
      <c r="P658" s="650">
        <v>0</v>
      </c>
      <c r="Q658" s="649">
        <v>142656</v>
      </c>
      <c r="R658" s="649"/>
      <c r="S658" s="650">
        <v>3950064</v>
      </c>
      <c r="T658" s="651">
        <v>-59462</v>
      </c>
      <c r="U658" s="651">
        <v>3890602</v>
      </c>
    </row>
    <row r="659" spans="1:21" x14ac:dyDescent="0.25">
      <c r="A659" s="646">
        <v>97402</v>
      </c>
      <c r="B659" s="647" t="s">
        <v>3270</v>
      </c>
      <c r="C659" s="648">
        <v>4.4700000000000002E-5</v>
      </c>
      <c r="D659" s="648">
        <v>2.3799999999999999E-5</v>
      </c>
      <c r="E659" s="649">
        <v>21076.7</v>
      </c>
      <c r="F659" s="649">
        <v>10681</v>
      </c>
      <c r="G659" s="649">
        <v>94868</v>
      </c>
      <c r="H659" s="649"/>
      <c r="I659" s="650">
        <v>1782</v>
      </c>
      <c r="J659" s="650">
        <v>83135</v>
      </c>
      <c r="K659" s="650">
        <v>6498</v>
      </c>
      <c r="L659" s="649">
        <v>15050</v>
      </c>
      <c r="M659" s="649"/>
      <c r="N659" s="650">
        <v>3324</v>
      </c>
      <c r="O659" s="650">
        <v>30685</v>
      </c>
      <c r="P659" s="650">
        <v>0</v>
      </c>
      <c r="Q659" s="649">
        <v>0</v>
      </c>
      <c r="R659" s="649"/>
      <c r="S659" s="650">
        <v>25357</v>
      </c>
      <c r="T659" s="651">
        <v>4096</v>
      </c>
      <c r="U659" s="651">
        <v>29453</v>
      </c>
    </row>
    <row r="660" spans="1:21" x14ac:dyDescent="0.25">
      <c r="A660" s="646">
        <v>97404</v>
      </c>
      <c r="B660" s="647" t="s">
        <v>3271</v>
      </c>
      <c r="C660" s="648">
        <v>2.1049999999999999E-4</v>
      </c>
      <c r="D660" s="648">
        <v>2.1249999999999999E-4</v>
      </c>
      <c r="E660" s="649">
        <v>73915</v>
      </c>
      <c r="F660" s="649">
        <v>95369</v>
      </c>
      <c r="G660" s="649">
        <v>446752</v>
      </c>
      <c r="H660" s="649"/>
      <c r="I660" s="650">
        <v>8393.6875</v>
      </c>
      <c r="J660" s="650">
        <v>391497</v>
      </c>
      <c r="K660" s="650">
        <v>30598</v>
      </c>
      <c r="L660" s="649">
        <v>1976</v>
      </c>
      <c r="M660" s="649"/>
      <c r="N660" s="650">
        <v>15655</v>
      </c>
      <c r="O660" s="650">
        <v>144499</v>
      </c>
      <c r="P660" s="650">
        <v>0</v>
      </c>
      <c r="Q660" s="649">
        <v>16111</v>
      </c>
      <c r="R660" s="649"/>
      <c r="S660" s="650">
        <v>119410</v>
      </c>
      <c r="T660" s="651">
        <v>-3656</v>
      </c>
      <c r="U660" s="651">
        <v>115754</v>
      </c>
    </row>
    <row r="661" spans="1:21" x14ac:dyDescent="0.25">
      <c r="A661" s="646">
        <v>97405</v>
      </c>
      <c r="B661" s="647" t="s">
        <v>3272</v>
      </c>
      <c r="C661" s="648">
        <v>1.087E-4</v>
      </c>
      <c r="D661" s="648">
        <v>1.081E-4</v>
      </c>
      <c r="E661" s="649">
        <v>55456</v>
      </c>
      <c r="F661" s="649">
        <v>48515</v>
      </c>
      <c r="G661" s="649">
        <v>230698</v>
      </c>
      <c r="H661" s="649"/>
      <c r="I661" s="650">
        <v>4334</v>
      </c>
      <c r="J661" s="650">
        <v>202165</v>
      </c>
      <c r="K661" s="650">
        <v>15801</v>
      </c>
      <c r="L661" s="649">
        <v>20704</v>
      </c>
      <c r="M661" s="649"/>
      <c r="N661" s="650">
        <v>8084</v>
      </c>
      <c r="O661" s="650">
        <v>74618</v>
      </c>
      <c r="P661" s="650">
        <v>0</v>
      </c>
      <c r="Q661" s="649">
        <v>9828.61</v>
      </c>
      <c r="R661" s="649"/>
      <c r="S661" s="650">
        <v>61662</v>
      </c>
      <c r="T661" s="651">
        <v>1556</v>
      </c>
      <c r="U661" s="651">
        <v>63218</v>
      </c>
    </row>
    <row r="662" spans="1:21" x14ac:dyDescent="0.25">
      <c r="A662" s="646">
        <v>97408</v>
      </c>
      <c r="B662" s="647" t="s">
        <v>3273</v>
      </c>
      <c r="C662" s="648">
        <v>4.9299999999999999E-5</v>
      </c>
      <c r="D662" s="648">
        <v>5.1199999999999998E-5</v>
      </c>
      <c r="E662" s="649">
        <v>28028</v>
      </c>
      <c r="F662" s="649">
        <v>22978</v>
      </c>
      <c r="G662" s="649">
        <v>104631</v>
      </c>
      <c r="H662" s="649"/>
      <c r="I662" s="650">
        <v>1966</v>
      </c>
      <c r="J662" s="650">
        <v>91690</v>
      </c>
      <c r="K662" s="650">
        <v>7166</v>
      </c>
      <c r="L662" s="649">
        <v>7585</v>
      </c>
      <c r="M662" s="649"/>
      <c r="N662" s="650">
        <v>3666</v>
      </c>
      <c r="O662" s="650">
        <v>33842</v>
      </c>
      <c r="P662" s="650">
        <v>0</v>
      </c>
      <c r="Q662" s="649">
        <v>0</v>
      </c>
      <c r="R662" s="649"/>
      <c r="S662" s="650">
        <v>27966</v>
      </c>
      <c r="T662" s="651">
        <v>2375</v>
      </c>
      <c r="U662" s="651">
        <v>30341</v>
      </c>
    </row>
    <row r="663" spans="1:21" x14ac:dyDescent="0.25">
      <c r="A663" s="646">
        <v>97411</v>
      </c>
      <c r="B663" s="647" t="s">
        <v>3274</v>
      </c>
      <c r="C663" s="648">
        <v>6.7269000000000001E-3</v>
      </c>
      <c r="D663" s="648">
        <v>7.0987000000000003E-3</v>
      </c>
      <c r="E663" s="649">
        <v>2531536.58</v>
      </c>
      <c r="F663" s="649">
        <v>3185854</v>
      </c>
      <c r="G663" s="649">
        <v>14276735</v>
      </c>
      <c r="H663" s="649"/>
      <c r="I663" s="650">
        <v>268235</v>
      </c>
      <c r="J663" s="650">
        <v>12510971</v>
      </c>
      <c r="K663" s="650">
        <v>977829</v>
      </c>
      <c r="L663" s="649">
        <v>0</v>
      </c>
      <c r="M663" s="649"/>
      <c r="N663" s="650">
        <v>500273</v>
      </c>
      <c r="O663" s="650">
        <v>4617734</v>
      </c>
      <c r="P663" s="650">
        <v>0</v>
      </c>
      <c r="Q663" s="649">
        <v>854591</v>
      </c>
      <c r="R663" s="649"/>
      <c r="S663" s="650">
        <v>3815962</v>
      </c>
      <c r="T663" s="651">
        <v>-289319</v>
      </c>
      <c r="U663" s="651">
        <v>3526643</v>
      </c>
    </row>
    <row r="664" spans="1:21" x14ac:dyDescent="0.25">
      <c r="A664" s="646">
        <v>97412</v>
      </c>
      <c r="B664" s="647" t="s">
        <v>3275</v>
      </c>
      <c r="C664" s="648">
        <v>4.424E-3</v>
      </c>
      <c r="D664" s="648">
        <v>4.1891999999999997E-3</v>
      </c>
      <c r="E664" s="649">
        <v>1763682</v>
      </c>
      <c r="F664" s="649">
        <v>1880088</v>
      </c>
      <c r="G664" s="649">
        <v>9389210</v>
      </c>
      <c r="H664" s="649"/>
      <c r="I664" s="650">
        <v>176407</v>
      </c>
      <c r="J664" s="650">
        <v>8227941</v>
      </c>
      <c r="K664" s="650">
        <v>643077</v>
      </c>
      <c r="L664" s="649">
        <v>158642</v>
      </c>
      <c r="M664" s="649"/>
      <c r="N664" s="650">
        <v>329008</v>
      </c>
      <c r="O664" s="650">
        <v>3036890</v>
      </c>
      <c r="P664" s="650">
        <v>0</v>
      </c>
      <c r="Q664" s="649">
        <v>0</v>
      </c>
      <c r="R664" s="649"/>
      <c r="S664" s="650">
        <v>2509598</v>
      </c>
      <c r="T664" s="651">
        <v>54211</v>
      </c>
      <c r="U664" s="651">
        <v>2563810</v>
      </c>
    </row>
    <row r="665" spans="1:21" x14ac:dyDescent="0.25">
      <c r="A665" s="646">
        <v>97413</v>
      </c>
      <c r="B665" s="647" t="s">
        <v>3276</v>
      </c>
      <c r="C665" s="648">
        <v>2.7910000000000001E-4</v>
      </c>
      <c r="D665" s="648">
        <v>2.9320000000000003E-4</v>
      </c>
      <c r="E665" s="649">
        <v>126701.6</v>
      </c>
      <c r="F665" s="649">
        <v>131586</v>
      </c>
      <c r="G665" s="649">
        <v>592344</v>
      </c>
      <c r="H665" s="649"/>
      <c r="I665" s="650">
        <v>11129</v>
      </c>
      <c r="J665" s="650">
        <v>519082</v>
      </c>
      <c r="K665" s="650">
        <v>40570</v>
      </c>
      <c r="L665" s="649">
        <v>1832</v>
      </c>
      <c r="M665" s="649"/>
      <c r="N665" s="650">
        <v>20756</v>
      </c>
      <c r="O665" s="650">
        <v>191590</v>
      </c>
      <c r="P665" s="650">
        <v>0</v>
      </c>
      <c r="Q665" s="649">
        <v>10212</v>
      </c>
      <c r="R665" s="649"/>
      <c r="S665" s="650">
        <v>158325</v>
      </c>
      <c r="T665" s="651">
        <v>-4433</v>
      </c>
      <c r="U665" s="651">
        <v>153891</v>
      </c>
    </row>
    <row r="666" spans="1:21" x14ac:dyDescent="0.25">
      <c r="A666" s="646">
        <v>97421</v>
      </c>
      <c r="B666" s="647" t="s">
        <v>3277</v>
      </c>
      <c r="C666" s="648">
        <v>4.1120000000000002E-4</v>
      </c>
      <c r="D666" s="648">
        <v>4.1140000000000003E-4</v>
      </c>
      <c r="E666" s="649">
        <v>162265</v>
      </c>
      <c r="F666" s="649">
        <v>184634</v>
      </c>
      <c r="G666" s="649">
        <v>872704</v>
      </c>
      <c r="H666" s="649"/>
      <c r="I666" s="650">
        <v>16397</v>
      </c>
      <c r="J666" s="650">
        <v>764767</v>
      </c>
      <c r="K666" s="650">
        <v>59772</v>
      </c>
      <c r="L666" s="649">
        <v>0</v>
      </c>
      <c r="M666" s="649"/>
      <c r="N666" s="650">
        <v>30581</v>
      </c>
      <c r="O666" s="650">
        <v>282272</v>
      </c>
      <c r="P666" s="650">
        <v>0</v>
      </c>
      <c r="Q666" s="649">
        <v>40232</v>
      </c>
      <c r="R666" s="649"/>
      <c r="S666" s="650">
        <v>233261</v>
      </c>
      <c r="T666" s="651">
        <v>-16104</v>
      </c>
      <c r="U666" s="651">
        <v>217157</v>
      </c>
    </row>
    <row r="667" spans="1:21" x14ac:dyDescent="0.25">
      <c r="A667" s="646">
        <v>97423</v>
      </c>
      <c r="B667" s="647" t="s">
        <v>3278</v>
      </c>
      <c r="C667" s="648">
        <v>4.5800000000000002E-5</v>
      </c>
      <c r="D667" s="648">
        <v>4.5300000000000003E-5</v>
      </c>
      <c r="E667" s="649">
        <v>37545</v>
      </c>
      <c r="F667" s="649">
        <v>20330</v>
      </c>
      <c r="G667" s="649">
        <v>97203</v>
      </c>
      <c r="H667" s="649"/>
      <c r="I667" s="650">
        <v>1826.2750000000001</v>
      </c>
      <c r="J667" s="650">
        <v>85181</v>
      </c>
      <c r="K667" s="650">
        <v>6658</v>
      </c>
      <c r="L667" s="649">
        <v>26530</v>
      </c>
      <c r="M667" s="649"/>
      <c r="N667" s="650">
        <v>3406</v>
      </c>
      <c r="O667" s="650">
        <v>31440</v>
      </c>
      <c r="P667" s="650">
        <v>0</v>
      </c>
      <c r="Q667" s="649">
        <v>0</v>
      </c>
      <c r="R667" s="649"/>
      <c r="S667" s="650">
        <v>25981</v>
      </c>
      <c r="T667" s="651">
        <v>8002</v>
      </c>
      <c r="U667" s="651">
        <v>33982</v>
      </c>
    </row>
    <row r="668" spans="1:21" x14ac:dyDescent="0.25">
      <c r="A668" s="646">
        <v>97431</v>
      </c>
      <c r="B668" s="647" t="s">
        <v>3279</v>
      </c>
      <c r="C668" s="648">
        <v>8.5199999999999997E-5</v>
      </c>
      <c r="D668" s="648">
        <v>8.7700000000000004E-5</v>
      </c>
      <c r="E668" s="649">
        <v>38446.49</v>
      </c>
      <c r="F668" s="649">
        <v>39359</v>
      </c>
      <c r="G668" s="649">
        <v>180823</v>
      </c>
      <c r="H668" s="649"/>
      <c r="I668" s="650">
        <v>3397.35</v>
      </c>
      <c r="J668" s="650">
        <v>158459</v>
      </c>
      <c r="K668" s="650">
        <v>12385</v>
      </c>
      <c r="L668" s="649">
        <v>2882</v>
      </c>
      <c r="M668" s="649"/>
      <c r="N668" s="650">
        <v>6336</v>
      </c>
      <c r="O668" s="650">
        <v>58486</v>
      </c>
      <c r="P668" s="650">
        <v>0</v>
      </c>
      <c r="Q668" s="649">
        <v>0</v>
      </c>
      <c r="R668" s="649"/>
      <c r="S668" s="650">
        <v>48331</v>
      </c>
      <c r="T668" s="651">
        <v>909</v>
      </c>
      <c r="U668" s="651">
        <v>49241</v>
      </c>
    </row>
    <row r="669" spans="1:21" x14ac:dyDescent="0.25">
      <c r="A669" s="646">
        <v>97441</v>
      </c>
      <c r="B669" s="647" t="s">
        <v>3280</v>
      </c>
      <c r="C669" s="648">
        <v>7.0500000000000006E-5</v>
      </c>
      <c r="D669" s="648">
        <v>6.8700000000000003E-5</v>
      </c>
      <c r="E669" s="649">
        <v>23079</v>
      </c>
      <c r="F669" s="649">
        <v>30832</v>
      </c>
      <c r="G669" s="649">
        <v>149625</v>
      </c>
      <c r="H669" s="649"/>
      <c r="I669" s="650">
        <v>2811</v>
      </c>
      <c r="J669" s="650">
        <v>131119</v>
      </c>
      <c r="K669" s="650">
        <v>10248</v>
      </c>
      <c r="L669" s="649">
        <v>406</v>
      </c>
      <c r="M669" s="649"/>
      <c r="N669" s="650">
        <v>5243</v>
      </c>
      <c r="O669" s="650">
        <v>48395</v>
      </c>
      <c r="P669" s="650">
        <v>0</v>
      </c>
      <c r="Q669" s="649">
        <v>4997</v>
      </c>
      <c r="R669" s="649"/>
      <c r="S669" s="650">
        <v>39992</v>
      </c>
      <c r="T669" s="651">
        <v>-1212</v>
      </c>
      <c r="U669" s="651">
        <v>38780</v>
      </c>
    </row>
    <row r="670" spans="1:21" x14ac:dyDescent="0.25">
      <c r="A670" s="646">
        <v>97451</v>
      </c>
      <c r="B670" s="647" t="s">
        <v>3281</v>
      </c>
      <c r="C670" s="648">
        <v>6.1039999999999998E-4</v>
      </c>
      <c r="D670" s="648">
        <v>5.1670000000000004E-4</v>
      </c>
      <c r="E670" s="649">
        <v>212065</v>
      </c>
      <c r="F670" s="649">
        <v>231892</v>
      </c>
      <c r="G670" s="649">
        <v>1295473</v>
      </c>
      <c r="H670" s="649"/>
      <c r="I670" s="650">
        <v>24339.7</v>
      </c>
      <c r="J670" s="650">
        <v>1135248</v>
      </c>
      <c r="K670" s="650">
        <v>88728</v>
      </c>
      <c r="L670" s="649">
        <v>30041</v>
      </c>
      <c r="M670" s="649"/>
      <c r="N670" s="650">
        <v>45395</v>
      </c>
      <c r="O670" s="650">
        <v>419014</v>
      </c>
      <c r="P670" s="650">
        <v>0</v>
      </c>
      <c r="Q670" s="649">
        <v>5880</v>
      </c>
      <c r="R670" s="649"/>
      <c r="S670" s="650">
        <v>346261</v>
      </c>
      <c r="T670" s="651">
        <v>8187</v>
      </c>
      <c r="U670" s="651">
        <v>354448</v>
      </c>
    </row>
    <row r="671" spans="1:21" x14ac:dyDescent="0.25">
      <c r="A671" s="646">
        <v>97461</v>
      </c>
      <c r="B671" s="647" t="s">
        <v>3282</v>
      </c>
      <c r="C671" s="648">
        <v>5.1869999999999998E-4</v>
      </c>
      <c r="D671" s="648">
        <v>5.3859999999999997E-4</v>
      </c>
      <c r="E671" s="649">
        <v>202230</v>
      </c>
      <c r="F671" s="649">
        <v>241720</v>
      </c>
      <c r="G671" s="649">
        <v>1100855</v>
      </c>
      <c r="H671" s="649"/>
      <c r="I671" s="650">
        <v>20683</v>
      </c>
      <c r="J671" s="650">
        <v>964700</v>
      </c>
      <c r="K671" s="650">
        <v>75399</v>
      </c>
      <c r="L671" s="649">
        <v>4454</v>
      </c>
      <c r="M671" s="649"/>
      <c r="N671" s="650">
        <v>38575</v>
      </c>
      <c r="O671" s="650">
        <v>356066</v>
      </c>
      <c r="P671" s="650">
        <v>0</v>
      </c>
      <c r="Q671" s="649">
        <v>46078</v>
      </c>
      <c r="R671" s="649"/>
      <c r="S671" s="650">
        <v>294242</v>
      </c>
      <c r="T671" s="651">
        <v>-12231</v>
      </c>
      <c r="U671" s="651">
        <v>282012</v>
      </c>
    </row>
    <row r="672" spans="1:21" x14ac:dyDescent="0.25">
      <c r="A672" s="646">
        <v>97463</v>
      </c>
      <c r="B672" s="647" t="s">
        <v>3283</v>
      </c>
      <c r="C672" s="648">
        <v>5.0099999999999998E-5</v>
      </c>
      <c r="D672" s="648">
        <v>5.6400000000000002E-5</v>
      </c>
      <c r="E672" s="649">
        <v>17390</v>
      </c>
      <c r="F672" s="649">
        <v>25312</v>
      </c>
      <c r="G672" s="649">
        <v>106329</v>
      </c>
      <c r="H672" s="649"/>
      <c r="I672" s="650">
        <v>1998</v>
      </c>
      <c r="J672" s="650">
        <v>93178</v>
      </c>
      <c r="K672" s="650">
        <v>7283</v>
      </c>
      <c r="L672" s="649">
        <v>2539</v>
      </c>
      <c r="M672" s="649"/>
      <c r="N672" s="650">
        <v>3726</v>
      </c>
      <c r="O672" s="650">
        <v>34392</v>
      </c>
      <c r="P672" s="650">
        <v>0</v>
      </c>
      <c r="Q672" s="649">
        <v>5965</v>
      </c>
      <c r="R672" s="649"/>
      <c r="S672" s="650">
        <v>28420</v>
      </c>
      <c r="T672" s="651">
        <v>-427</v>
      </c>
      <c r="U672" s="651">
        <v>27993</v>
      </c>
    </row>
    <row r="673" spans="1:21" x14ac:dyDescent="0.25">
      <c r="A673" s="646">
        <v>97471</v>
      </c>
      <c r="B673" s="647" t="s">
        <v>3284</v>
      </c>
      <c r="C673" s="648">
        <v>1.27E-5</v>
      </c>
      <c r="D673" s="648">
        <v>1.31E-5</v>
      </c>
      <c r="E673" s="649">
        <v>8483.43</v>
      </c>
      <c r="F673" s="649">
        <v>5879</v>
      </c>
      <c r="G673" s="649">
        <v>26954</v>
      </c>
      <c r="H673" s="649"/>
      <c r="I673" s="650">
        <v>506.41250000000002</v>
      </c>
      <c r="J673" s="650">
        <v>23620</v>
      </c>
      <c r="K673" s="650">
        <v>1846</v>
      </c>
      <c r="L673" s="649">
        <v>5163</v>
      </c>
      <c r="M673" s="649"/>
      <c r="N673" s="650">
        <v>944</v>
      </c>
      <c r="O673" s="650">
        <v>8718</v>
      </c>
      <c r="P673" s="650">
        <v>0</v>
      </c>
      <c r="Q673" s="649">
        <v>0</v>
      </c>
      <c r="R673" s="649"/>
      <c r="S673" s="650">
        <v>7204</v>
      </c>
      <c r="T673" s="651">
        <v>1775</v>
      </c>
      <c r="U673" s="651">
        <v>8980</v>
      </c>
    </row>
    <row r="674" spans="1:21" x14ac:dyDescent="0.25">
      <c r="A674" s="646">
        <v>97481</v>
      </c>
      <c r="B674" s="647" t="s">
        <v>3285</v>
      </c>
      <c r="C674" s="648">
        <v>1.63E-5</v>
      </c>
      <c r="D674" s="648">
        <v>1.13E-5</v>
      </c>
      <c r="E674" s="649">
        <v>5817.26</v>
      </c>
      <c r="F674" s="649">
        <v>5071</v>
      </c>
      <c r="G674" s="649">
        <v>34594</v>
      </c>
      <c r="H674" s="649"/>
      <c r="I674" s="650">
        <v>649.96249999999998</v>
      </c>
      <c r="J674" s="650">
        <v>30315</v>
      </c>
      <c r="K674" s="650">
        <v>2369</v>
      </c>
      <c r="L674" s="649">
        <v>5965</v>
      </c>
      <c r="M674" s="649"/>
      <c r="N674" s="650">
        <v>1212</v>
      </c>
      <c r="O674" s="650">
        <v>11189</v>
      </c>
      <c r="P674" s="650">
        <v>0</v>
      </c>
      <c r="Q674" s="649">
        <v>0</v>
      </c>
      <c r="R674" s="649"/>
      <c r="S674" s="650">
        <v>9246</v>
      </c>
      <c r="T674" s="651">
        <v>2373</v>
      </c>
      <c r="U674" s="651">
        <v>11619</v>
      </c>
    </row>
    <row r="675" spans="1:21" x14ac:dyDescent="0.25">
      <c r="A675" s="646">
        <v>97491</v>
      </c>
      <c r="B675" s="647" t="s">
        <v>3286</v>
      </c>
      <c r="C675" s="648">
        <v>0</v>
      </c>
      <c r="D675" s="648">
        <v>0</v>
      </c>
      <c r="E675" s="649">
        <v>0</v>
      </c>
      <c r="F675" s="649">
        <v>0</v>
      </c>
      <c r="G675" s="649">
        <v>0</v>
      </c>
      <c r="H675" s="649"/>
      <c r="I675" s="650">
        <v>0</v>
      </c>
      <c r="J675" s="650">
        <v>0</v>
      </c>
      <c r="K675" s="650">
        <v>0</v>
      </c>
      <c r="L675" s="649">
        <v>0</v>
      </c>
      <c r="M675" s="649"/>
      <c r="N675" s="650">
        <v>0</v>
      </c>
      <c r="O675" s="650">
        <v>0</v>
      </c>
      <c r="P675" s="650">
        <v>0</v>
      </c>
      <c r="Q675" s="649">
        <v>12790</v>
      </c>
      <c r="R675" s="649"/>
      <c r="S675" s="650">
        <v>0</v>
      </c>
      <c r="T675" s="651">
        <v>-4941</v>
      </c>
      <c r="U675" s="651">
        <v>-4941</v>
      </c>
    </row>
    <row r="676" spans="1:21" x14ac:dyDescent="0.25">
      <c r="A676" s="646">
        <v>97501</v>
      </c>
      <c r="B676" s="647" t="s">
        <v>3287</v>
      </c>
      <c r="C676" s="648">
        <v>9.6730000000000004E-4</v>
      </c>
      <c r="D676" s="648">
        <v>9.7659999999999999E-4</v>
      </c>
      <c r="E676" s="649">
        <v>413876.56</v>
      </c>
      <c r="F676" s="649">
        <v>438292</v>
      </c>
      <c r="G676" s="649">
        <v>2052935</v>
      </c>
      <c r="H676" s="649"/>
      <c r="I676" s="650">
        <v>38571</v>
      </c>
      <c r="J676" s="650">
        <v>1799025</v>
      </c>
      <c r="K676" s="650">
        <v>140608</v>
      </c>
      <c r="L676" s="649">
        <v>45898</v>
      </c>
      <c r="M676" s="649"/>
      <c r="N676" s="650">
        <v>71937</v>
      </c>
      <c r="O676" s="650">
        <v>664011</v>
      </c>
      <c r="P676" s="650">
        <v>0</v>
      </c>
      <c r="Q676" s="649">
        <v>0</v>
      </c>
      <c r="R676" s="649"/>
      <c r="S676" s="650">
        <v>548719</v>
      </c>
      <c r="T676" s="651">
        <v>19873</v>
      </c>
      <c r="U676" s="651">
        <v>568592</v>
      </c>
    </row>
    <row r="677" spans="1:21" x14ac:dyDescent="0.25">
      <c r="A677" s="646">
        <v>97511</v>
      </c>
      <c r="B677" s="647" t="s">
        <v>3288</v>
      </c>
      <c r="C677" s="648">
        <v>2.3220000000000001E-4</v>
      </c>
      <c r="D677" s="648">
        <v>2.1719999999999999E-4</v>
      </c>
      <c r="E677" s="649">
        <v>97777.06</v>
      </c>
      <c r="F677" s="649">
        <v>97478</v>
      </c>
      <c r="G677" s="649">
        <v>492806</v>
      </c>
      <c r="H677" s="649"/>
      <c r="I677" s="650">
        <v>9259</v>
      </c>
      <c r="J677" s="650">
        <v>431855</v>
      </c>
      <c r="K677" s="650">
        <v>33753</v>
      </c>
      <c r="L677" s="649">
        <v>10778</v>
      </c>
      <c r="M677" s="649"/>
      <c r="N677" s="650">
        <v>17268</v>
      </c>
      <c r="O677" s="650">
        <v>159396</v>
      </c>
      <c r="P677" s="650">
        <v>0</v>
      </c>
      <c r="Q677" s="649">
        <v>1307</v>
      </c>
      <c r="R677" s="649"/>
      <c r="S677" s="650">
        <v>131720</v>
      </c>
      <c r="T677" s="651">
        <v>2532</v>
      </c>
      <c r="U677" s="651">
        <v>134252</v>
      </c>
    </row>
    <row r="678" spans="1:21" x14ac:dyDescent="0.25">
      <c r="A678" s="646">
        <v>97521</v>
      </c>
      <c r="B678" s="647" t="s">
        <v>3289</v>
      </c>
      <c r="C678" s="648">
        <v>1.293E-4</v>
      </c>
      <c r="D678" s="648">
        <v>1.404E-4</v>
      </c>
      <c r="E678" s="649">
        <v>48146.35</v>
      </c>
      <c r="F678" s="649">
        <v>63011</v>
      </c>
      <c r="G678" s="649">
        <v>274418</v>
      </c>
      <c r="H678" s="649"/>
      <c r="I678" s="650">
        <v>5156</v>
      </c>
      <c r="J678" s="650">
        <v>240478</v>
      </c>
      <c r="K678" s="650">
        <v>18795</v>
      </c>
      <c r="L678" s="649">
        <v>4401.88</v>
      </c>
      <c r="M678" s="649"/>
      <c r="N678" s="650">
        <v>9616</v>
      </c>
      <c r="O678" s="650">
        <v>88759</v>
      </c>
      <c r="P678" s="650">
        <v>0</v>
      </c>
      <c r="Q678" s="649">
        <v>17530</v>
      </c>
      <c r="R678" s="649"/>
      <c r="S678" s="650">
        <v>73348</v>
      </c>
      <c r="T678" s="651">
        <v>-3048</v>
      </c>
      <c r="U678" s="651">
        <v>70299</v>
      </c>
    </row>
    <row r="679" spans="1:21" x14ac:dyDescent="0.25">
      <c r="A679" s="646">
        <v>97531</v>
      </c>
      <c r="B679" s="647" t="s">
        <v>3290</v>
      </c>
      <c r="C679" s="648">
        <v>3.6300000000000001E-5</v>
      </c>
      <c r="D679" s="648">
        <v>3.5099999999999999E-5</v>
      </c>
      <c r="E679" s="649">
        <v>18182</v>
      </c>
      <c r="F679" s="649">
        <v>15753</v>
      </c>
      <c r="G679" s="649">
        <v>77041</v>
      </c>
      <c r="H679" s="649"/>
      <c r="I679" s="650">
        <v>1447</v>
      </c>
      <c r="J679" s="650">
        <v>67512</v>
      </c>
      <c r="K679" s="650">
        <v>5277</v>
      </c>
      <c r="L679" s="649">
        <v>3234</v>
      </c>
      <c r="M679" s="649"/>
      <c r="N679" s="650">
        <v>2700</v>
      </c>
      <c r="O679" s="650">
        <v>24918</v>
      </c>
      <c r="P679" s="650">
        <v>0</v>
      </c>
      <c r="Q679" s="649">
        <v>14595</v>
      </c>
      <c r="R679" s="649"/>
      <c r="S679" s="650">
        <v>20592</v>
      </c>
      <c r="T679" s="651">
        <v>-4705</v>
      </c>
      <c r="U679" s="651">
        <v>15887</v>
      </c>
    </row>
    <row r="680" spans="1:21" x14ac:dyDescent="0.25">
      <c r="A680" s="646">
        <v>97601</v>
      </c>
      <c r="B680" s="647" t="s">
        <v>3291</v>
      </c>
      <c r="C680" s="648">
        <v>4.7808E-3</v>
      </c>
      <c r="D680" s="648">
        <v>4.8238999999999999E-3</v>
      </c>
      <c r="E680" s="649">
        <v>1911818</v>
      </c>
      <c r="F680" s="649">
        <v>2164937</v>
      </c>
      <c r="G680" s="649">
        <v>10146459</v>
      </c>
      <c r="H680" s="649"/>
      <c r="I680" s="650">
        <v>190634.4</v>
      </c>
      <c r="J680" s="650">
        <v>8891533</v>
      </c>
      <c r="K680" s="650">
        <v>694942</v>
      </c>
      <c r="L680" s="649">
        <v>0</v>
      </c>
      <c r="M680" s="649"/>
      <c r="N680" s="650">
        <v>355543</v>
      </c>
      <c r="O680" s="650">
        <v>3281818</v>
      </c>
      <c r="P680" s="650">
        <v>0</v>
      </c>
      <c r="Q680" s="649">
        <v>137509</v>
      </c>
      <c r="R680" s="649"/>
      <c r="S680" s="650">
        <v>2712000</v>
      </c>
      <c r="T680" s="651">
        <v>-46067</v>
      </c>
      <c r="U680" s="651">
        <v>2665933</v>
      </c>
    </row>
    <row r="681" spans="1:21" x14ac:dyDescent="0.25">
      <c r="A681" s="646">
        <v>97607</v>
      </c>
      <c r="B681" s="647" t="s">
        <v>3292</v>
      </c>
      <c r="C681" s="648">
        <v>1.9199999999999999E-5</v>
      </c>
      <c r="D681" s="648">
        <v>2.27E-5</v>
      </c>
      <c r="E681" s="649">
        <v>13222.63</v>
      </c>
      <c r="F681" s="649">
        <v>10188</v>
      </c>
      <c r="G681" s="649">
        <v>40749</v>
      </c>
      <c r="H681" s="649"/>
      <c r="I681" s="650">
        <v>766</v>
      </c>
      <c r="J681" s="650">
        <v>35709</v>
      </c>
      <c r="K681" s="650">
        <v>2791</v>
      </c>
      <c r="L681" s="649">
        <v>8819</v>
      </c>
      <c r="M681" s="649"/>
      <c r="N681" s="650">
        <v>1428</v>
      </c>
      <c r="O681" s="650">
        <v>13180</v>
      </c>
      <c r="P681" s="650">
        <v>0</v>
      </c>
      <c r="Q681" s="649">
        <v>0</v>
      </c>
      <c r="R681" s="649"/>
      <c r="S681" s="650">
        <v>10892</v>
      </c>
      <c r="T681" s="651">
        <v>3435</v>
      </c>
      <c r="U681" s="651">
        <v>14327</v>
      </c>
    </row>
    <row r="682" spans="1:21" x14ac:dyDescent="0.25">
      <c r="A682" s="646">
        <v>97611</v>
      </c>
      <c r="B682" s="647" t="s">
        <v>3293</v>
      </c>
      <c r="C682" s="648">
        <v>2.5750999999999999E-3</v>
      </c>
      <c r="D682" s="648">
        <v>2.7582000000000001E-3</v>
      </c>
      <c r="E682" s="649">
        <v>984035.03</v>
      </c>
      <c r="F682" s="649">
        <v>1237864</v>
      </c>
      <c r="G682" s="649">
        <v>5465225</v>
      </c>
      <c r="H682" s="649"/>
      <c r="I682" s="650">
        <v>102682</v>
      </c>
      <c r="J682" s="650">
        <v>4789279</v>
      </c>
      <c r="K682" s="650">
        <v>374319</v>
      </c>
      <c r="L682" s="649">
        <v>0</v>
      </c>
      <c r="M682" s="649"/>
      <c r="N682" s="650">
        <v>191508</v>
      </c>
      <c r="O682" s="650">
        <v>1767698</v>
      </c>
      <c r="P682" s="650">
        <v>0</v>
      </c>
      <c r="Q682" s="649">
        <v>281180</v>
      </c>
      <c r="R682" s="649"/>
      <c r="S682" s="650">
        <v>1460774</v>
      </c>
      <c r="T682" s="651">
        <v>-93860</v>
      </c>
      <c r="U682" s="651">
        <v>1366915</v>
      </c>
    </row>
    <row r="683" spans="1:21" x14ac:dyDescent="0.25">
      <c r="A683" s="646">
        <v>97613</v>
      </c>
      <c r="B683" s="647" t="s">
        <v>3294</v>
      </c>
      <c r="C683" s="648">
        <v>1.2459999999999999E-4</v>
      </c>
      <c r="D683" s="648">
        <v>1.21E-4</v>
      </c>
      <c r="E683" s="649">
        <v>55529.85</v>
      </c>
      <c r="F683" s="649">
        <v>54304</v>
      </c>
      <c r="G683" s="649">
        <v>264443</v>
      </c>
      <c r="H683" s="649"/>
      <c r="I683" s="650">
        <v>4968</v>
      </c>
      <c r="J683" s="650">
        <v>231736</v>
      </c>
      <c r="K683" s="650">
        <v>18112</v>
      </c>
      <c r="L683" s="649">
        <v>5357</v>
      </c>
      <c r="M683" s="649"/>
      <c r="N683" s="650">
        <v>9266</v>
      </c>
      <c r="O683" s="650">
        <v>85533</v>
      </c>
      <c r="P683" s="650">
        <v>0</v>
      </c>
      <c r="Q683" s="649">
        <v>5319</v>
      </c>
      <c r="R683" s="649"/>
      <c r="S683" s="650">
        <v>70682</v>
      </c>
      <c r="T683" s="651">
        <v>-505</v>
      </c>
      <c r="U683" s="651">
        <v>70177</v>
      </c>
    </row>
    <row r="684" spans="1:21" x14ac:dyDescent="0.25">
      <c r="A684" s="646">
        <v>97621</v>
      </c>
      <c r="B684" s="647" t="s">
        <v>3295</v>
      </c>
      <c r="C684" s="648">
        <v>4.7429999999999998E-4</v>
      </c>
      <c r="D684" s="648">
        <v>5.1290000000000005E-4</v>
      </c>
      <c r="E684" s="649">
        <v>166598.32</v>
      </c>
      <c r="F684" s="649">
        <v>230186</v>
      </c>
      <c r="G684" s="649">
        <v>1006623</v>
      </c>
      <c r="H684" s="649"/>
      <c r="I684" s="650">
        <v>18913</v>
      </c>
      <c r="J684" s="650">
        <v>882123</v>
      </c>
      <c r="K684" s="650">
        <v>68945</v>
      </c>
      <c r="L684" s="649">
        <v>24561</v>
      </c>
      <c r="M684" s="649"/>
      <c r="N684" s="650">
        <v>35273</v>
      </c>
      <c r="O684" s="650">
        <v>325587</v>
      </c>
      <c r="P684" s="650">
        <v>0</v>
      </c>
      <c r="Q684" s="649">
        <v>43510</v>
      </c>
      <c r="R684" s="649"/>
      <c r="S684" s="650">
        <v>269056</v>
      </c>
      <c r="T684" s="651">
        <v>-2547</v>
      </c>
      <c r="U684" s="651">
        <v>266509</v>
      </c>
    </row>
    <row r="685" spans="1:21" x14ac:dyDescent="0.25">
      <c r="A685" s="646">
        <v>97623</v>
      </c>
      <c r="B685" s="647" t="s">
        <v>3296</v>
      </c>
      <c r="C685" s="648">
        <v>2.9200000000000002E-5</v>
      </c>
      <c r="D685" s="648">
        <v>3.0000000000000001E-5</v>
      </c>
      <c r="E685" s="649">
        <v>14038</v>
      </c>
      <c r="F685" s="649">
        <v>13463.82</v>
      </c>
      <c r="G685" s="649">
        <v>61972</v>
      </c>
      <c r="H685" s="649"/>
      <c r="I685" s="650">
        <v>1164</v>
      </c>
      <c r="J685" s="650">
        <v>54307</v>
      </c>
      <c r="K685" s="650">
        <v>4245</v>
      </c>
      <c r="L685" s="649">
        <v>10193</v>
      </c>
      <c r="M685" s="649"/>
      <c r="N685" s="650">
        <v>2172</v>
      </c>
      <c r="O685" s="650">
        <v>20045</v>
      </c>
      <c r="P685" s="650">
        <v>0</v>
      </c>
      <c r="Q685" s="649">
        <v>0</v>
      </c>
      <c r="R685" s="649"/>
      <c r="S685" s="650">
        <v>16564</v>
      </c>
      <c r="T685" s="651">
        <v>3688</v>
      </c>
      <c r="U685" s="651">
        <v>20252</v>
      </c>
    </row>
    <row r="686" spans="1:21" x14ac:dyDescent="0.25">
      <c r="A686" s="646">
        <v>97627</v>
      </c>
      <c r="B686" s="647" t="s">
        <v>3297</v>
      </c>
      <c r="C686" s="648">
        <v>1.0200000000000001E-5</v>
      </c>
      <c r="D686" s="648">
        <v>9.0999999999999993E-6</v>
      </c>
      <c r="E686" s="649">
        <v>4150</v>
      </c>
      <c r="F686" s="649">
        <v>4084</v>
      </c>
      <c r="G686" s="649">
        <v>21648</v>
      </c>
      <c r="H686" s="649"/>
      <c r="I686" s="650">
        <v>406.72500000000002</v>
      </c>
      <c r="J686" s="650">
        <v>18970</v>
      </c>
      <c r="K686" s="650">
        <v>1483</v>
      </c>
      <c r="L686" s="649">
        <v>942</v>
      </c>
      <c r="M686" s="649"/>
      <c r="N686" s="650">
        <v>759</v>
      </c>
      <c r="O686" s="650">
        <v>7002</v>
      </c>
      <c r="P686" s="650">
        <v>0</v>
      </c>
      <c r="Q686" s="649">
        <v>1562</v>
      </c>
      <c r="R686" s="649"/>
      <c r="S686" s="650">
        <v>5786</v>
      </c>
      <c r="T686" s="651">
        <v>-217</v>
      </c>
      <c r="U686" s="651">
        <v>5570</v>
      </c>
    </row>
    <row r="687" spans="1:21" x14ac:dyDescent="0.25">
      <c r="A687" s="646">
        <v>97631</v>
      </c>
      <c r="B687" s="647" t="s">
        <v>3298</v>
      </c>
      <c r="C687" s="648">
        <v>2.009E-4</v>
      </c>
      <c r="D687" s="648">
        <v>1.7239999999999999E-4</v>
      </c>
      <c r="E687" s="649">
        <v>69843.56</v>
      </c>
      <c r="F687" s="649">
        <v>77372</v>
      </c>
      <c r="G687" s="649">
        <v>426377</v>
      </c>
      <c r="H687" s="649"/>
      <c r="I687" s="650">
        <v>8011</v>
      </c>
      <c r="J687" s="650">
        <v>373642</v>
      </c>
      <c r="K687" s="650">
        <v>29203</v>
      </c>
      <c r="L687" s="649">
        <v>14802</v>
      </c>
      <c r="M687" s="649"/>
      <c r="N687" s="650">
        <v>14941</v>
      </c>
      <c r="O687" s="650">
        <v>137909</v>
      </c>
      <c r="P687" s="650">
        <v>0</v>
      </c>
      <c r="Q687" s="649">
        <v>0</v>
      </c>
      <c r="R687" s="649"/>
      <c r="S687" s="650">
        <v>113964</v>
      </c>
      <c r="T687" s="651">
        <v>5491</v>
      </c>
      <c r="U687" s="651">
        <v>119456</v>
      </c>
    </row>
    <row r="688" spans="1:21" x14ac:dyDescent="0.25">
      <c r="A688" s="646">
        <v>97637</v>
      </c>
      <c r="B688" s="647" t="s">
        <v>3299</v>
      </c>
      <c r="C688" s="648">
        <v>4.7999999999999998E-6</v>
      </c>
      <c r="D688" s="648">
        <v>6.1999999999999999E-6</v>
      </c>
      <c r="E688" s="649">
        <v>2878</v>
      </c>
      <c r="F688" s="649">
        <v>2783</v>
      </c>
      <c r="G688" s="649">
        <v>10187</v>
      </c>
      <c r="H688" s="649"/>
      <c r="I688" s="650">
        <v>191</v>
      </c>
      <c r="J688" s="650">
        <v>8927</v>
      </c>
      <c r="K688" s="650">
        <v>698</v>
      </c>
      <c r="L688" s="649">
        <v>655</v>
      </c>
      <c r="M688" s="649"/>
      <c r="N688" s="650">
        <v>357</v>
      </c>
      <c r="O688" s="650">
        <v>3295</v>
      </c>
      <c r="P688" s="650">
        <v>0</v>
      </c>
      <c r="Q688" s="649">
        <v>40</v>
      </c>
      <c r="R688" s="649"/>
      <c r="S688" s="650">
        <v>2723</v>
      </c>
      <c r="T688" s="651">
        <v>244</v>
      </c>
      <c r="U688" s="651">
        <v>2967</v>
      </c>
    </row>
    <row r="689" spans="1:21" x14ac:dyDescent="0.25">
      <c r="A689" s="646">
        <v>97641</v>
      </c>
      <c r="B689" s="647" t="s">
        <v>3300</v>
      </c>
      <c r="C689" s="648">
        <v>6.9999999999999994E-5</v>
      </c>
      <c r="D689" s="648">
        <v>5.3900000000000002E-5</v>
      </c>
      <c r="E689" s="649">
        <v>31635</v>
      </c>
      <c r="F689" s="649">
        <v>24190</v>
      </c>
      <c r="G689" s="649">
        <v>148563</v>
      </c>
      <c r="H689" s="649"/>
      <c r="I689" s="650">
        <v>2791</v>
      </c>
      <c r="J689" s="650">
        <v>130189</v>
      </c>
      <c r="K689" s="650">
        <v>10175</v>
      </c>
      <c r="L689" s="649">
        <v>15548</v>
      </c>
      <c r="M689" s="649"/>
      <c r="N689" s="650">
        <v>5205.83</v>
      </c>
      <c r="O689" s="650">
        <v>48052.06</v>
      </c>
      <c r="P689" s="650">
        <v>0</v>
      </c>
      <c r="Q689" s="649">
        <v>5807</v>
      </c>
      <c r="R689" s="649"/>
      <c r="S689" s="650">
        <v>39709</v>
      </c>
      <c r="T689" s="651">
        <v>1546</v>
      </c>
      <c r="U689" s="651">
        <v>41255</v>
      </c>
    </row>
    <row r="690" spans="1:21" x14ac:dyDescent="0.25">
      <c r="A690" s="646">
        <v>97651</v>
      </c>
      <c r="B690" s="647" t="s">
        <v>3301</v>
      </c>
      <c r="C690" s="648">
        <v>5.1579999999999996E-4</v>
      </c>
      <c r="D690" s="648">
        <v>5.4140000000000004E-4</v>
      </c>
      <c r="E690" s="649">
        <v>190593.37</v>
      </c>
      <c r="F690" s="649">
        <v>242977</v>
      </c>
      <c r="G690" s="649">
        <v>1094700</v>
      </c>
      <c r="H690" s="649"/>
      <c r="I690" s="650">
        <v>20568</v>
      </c>
      <c r="J690" s="650">
        <v>959307</v>
      </c>
      <c r="K690" s="650">
        <v>74977</v>
      </c>
      <c r="L690" s="649">
        <v>4062</v>
      </c>
      <c r="M690" s="649"/>
      <c r="N690" s="650">
        <v>38360</v>
      </c>
      <c r="O690" s="650">
        <v>354075</v>
      </c>
      <c r="P690" s="650">
        <v>0</v>
      </c>
      <c r="Q690" s="649">
        <v>51828</v>
      </c>
      <c r="R690" s="649"/>
      <c r="S690" s="650">
        <v>292597</v>
      </c>
      <c r="T690" s="651">
        <v>-17066</v>
      </c>
      <c r="U690" s="651">
        <v>275532</v>
      </c>
    </row>
    <row r="691" spans="1:21" x14ac:dyDescent="0.25">
      <c r="A691" s="646">
        <v>97661</v>
      </c>
      <c r="B691" s="647" t="s">
        <v>3302</v>
      </c>
      <c r="C691" s="648">
        <v>4.3900000000000003E-5</v>
      </c>
      <c r="D691" s="648">
        <v>3.1999999999999999E-5</v>
      </c>
      <c r="E691" s="649">
        <v>18869</v>
      </c>
      <c r="F691" s="649">
        <v>14361</v>
      </c>
      <c r="G691" s="649">
        <v>93171</v>
      </c>
      <c r="H691" s="649"/>
      <c r="I691" s="650">
        <v>1751</v>
      </c>
      <c r="J691" s="650">
        <v>81647</v>
      </c>
      <c r="K691" s="650">
        <v>6381</v>
      </c>
      <c r="L691" s="649">
        <v>12364</v>
      </c>
      <c r="M691" s="649"/>
      <c r="N691" s="650">
        <v>3265</v>
      </c>
      <c r="O691" s="650">
        <v>30136</v>
      </c>
      <c r="P691" s="650">
        <v>0</v>
      </c>
      <c r="Q691" s="649">
        <v>2964</v>
      </c>
      <c r="R691" s="649"/>
      <c r="S691" s="650">
        <v>24903</v>
      </c>
      <c r="T691" s="651">
        <v>3435</v>
      </c>
      <c r="U691" s="651">
        <v>28338</v>
      </c>
    </row>
    <row r="692" spans="1:21" x14ac:dyDescent="0.25">
      <c r="A692" s="646">
        <v>97701</v>
      </c>
      <c r="B692" s="647" t="s">
        <v>3303</v>
      </c>
      <c r="C692" s="648">
        <v>2.5081000000000001E-3</v>
      </c>
      <c r="D692" s="648">
        <v>2.4424999999999998E-3</v>
      </c>
      <c r="E692" s="649">
        <v>1011242</v>
      </c>
      <c r="F692" s="649">
        <v>1096179</v>
      </c>
      <c r="G692" s="649">
        <v>5323028</v>
      </c>
      <c r="H692" s="649"/>
      <c r="I692" s="650">
        <v>100010</v>
      </c>
      <c r="J692" s="650">
        <v>4664670</v>
      </c>
      <c r="K692" s="650">
        <v>364580</v>
      </c>
      <c r="L692" s="649">
        <v>31450</v>
      </c>
      <c r="M692" s="649"/>
      <c r="N692" s="650">
        <v>186525</v>
      </c>
      <c r="O692" s="650">
        <v>1721705</v>
      </c>
      <c r="P692" s="650">
        <v>0</v>
      </c>
      <c r="Q692" s="649">
        <v>17434</v>
      </c>
      <c r="R692" s="649"/>
      <c r="S692" s="650">
        <v>1422767</v>
      </c>
      <c r="T692" s="651">
        <v>529</v>
      </c>
      <c r="U692" s="651">
        <v>1423296</v>
      </c>
    </row>
    <row r="693" spans="1:21" x14ac:dyDescent="0.25">
      <c r="A693" s="646">
        <v>97705</v>
      </c>
      <c r="B693" s="647" t="s">
        <v>3304</v>
      </c>
      <c r="C693" s="648">
        <v>6.41E-5</v>
      </c>
      <c r="D693" s="648">
        <v>5.1700000000000003E-5</v>
      </c>
      <c r="E693" s="649">
        <v>21949.45</v>
      </c>
      <c r="F693" s="649">
        <v>23203</v>
      </c>
      <c r="G693" s="649">
        <v>136042</v>
      </c>
      <c r="H693" s="649"/>
      <c r="I693" s="650">
        <v>2556</v>
      </c>
      <c r="J693" s="650">
        <v>119216</v>
      </c>
      <c r="K693" s="650">
        <v>9318</v>
      </c>
      <c r="L693" s="649">
        <v>9600</v>
      </c>
      <c r="M693" s="649"/>
      <c r="N693" s="650">
        <v>4767</v>
      </c>
      <c r="O693" s="650">
        <v>44002</v>
      </c>
      <c r="P693" s="650">
        <v>0</v>
      </c>
      <c r="Q693" s="649">
        <v>3526</v>
      </c>
      <c r="R693" s="649"/>
      <c r="S693" s="650">
        <v>36362</v>
      </c>
      <c r="T693" s="651">
        <v>2791</v>
      </c>
      <c r="U693" s="651">
        <v>39153</v>
      </c>
    </row>
    <row r="694" spans="1:21" x14ac:dyDescent="0.25">
      <c r="A694" s="646">
        <v>97711</v>
      </c>
      <c r="B694" s="647" t="s">
        <v>3305</v>
      </c>
      <c r="C694" s="648">
        <v>9.3789999999999998E-4</v>
      </c>
      <c r="D694" s="648">
        <v>9.6489999999999998E-4</v>
      </c>
      <c r="E694" s="649">
        <v>373399.85</v>
      </c>
      <c r="F694" s="649">
        <v>433041</v>
      </c>
      <c r="G694" s="649">
        <v>1990538</v>
      </c>
      <c r="H694" s="649"/>
      <c r="I694" s="650">
        <v>37399</v>
      </c>
      <c r="J694" s="650">
        <v>1744346</v>
      </c>
      <c r="K694" s="650">
        <v>136334</v>
      </c>
      <c r="L694" s="649">
        <v>18485</v>
      </c>
      <c r="M694" s="649"/>
      <c r="N694" s="650">
        <v>69751</v>
      </c>
      <c r="O694" s="650">
        <v>643829</v>
      </c>
      <c r="P694" s="650">
        <v>0</v>
      </c>
      <c r="Q694" s="649">
        <v>24399</v>
      </c>
      <c r="R694" s="649"/>
      <c r="S694" s="650">
        <v>532042</v>
      </c>
      <c r="T694" s="651">
        <v>2197</v>
      </c>
      <c r="U694" s="651">
        <v>534239</v>
      </c>
    </row>
    <row r="695" spans="1:21" x14ac:dyDescent="0.25">
      <c r="A695" s="646">
        <v>97713</v>
      </c>
      <c r="B695" s="647" t="s">
        <v>3306</v>
      </c>
      <c r="C695" s="648">
        <v>5.3699999999999997E-5</v>
      </c>
      <c r="D695" s="648">
        <v>5.5600000000000003E-5</v>
      </c>
      <c r="E695" s="649">
        <v>17632.46</v>
      </c>
      <c r="F695" s="649">
        <v>24953</v>
      </c>
      <c r="G695" s="649">
        <v>113969</v>
      </c>
      <c r="H695" s="649"/>
      <c r="I695" s="650">
        <v>2141</v>
      </c>
      <c r="J695" s="650">
        <v>99874</v>
      </c>
      <c r="K695" s="650">
        <v>7806</v>
      </c>
      <c r="L695" s="649">
        <v>1862.64</v>
      </c>
      <c r="M695" s="649"/>
      <c r="N695" s="650">
        <v>3994</v>
      </c>
      <c r="O695" s="650">
        <v>36863</v>
      </c>
      <c r="P695" s="650">
        <v>0</v>
      </c>
      <c r="Q695" s="649">
        <v>10607</v>
      </c>
      <c r="R695" s="649"/>
      <c r="S695" s="650">
        <v>30462</v>
      </c>
      <c r="T695" s="651">
        <v>-2389</v>
      </c>
      <c r="U695" s="651">
        <v>28073</v>
      </c>
    </row>
    <row r="696" spans="1:21" x14ac:dyDescent="0.25">
      <c r="A696" s="646">
        <v>97717</v>
      </c>
      <c r="B696" s="647" t="s">
        <v>3307</v>
      </c>
      <c r="C696" s="648">
        <v>7.5000000000000002E-6</v>
      </c>
      <c r="D696" s="648">
        <v>6.6000000000000003E-6</v>
      </c>
      <c r="E696" s="649">
        <v>4301.63</v>
      </c>
      <c r="F696" s="649">
        <v>2962</v>
      </c>
      <c r="G696" s="649">
        <v>15918</v>
      </c>
      <c r="H696" s="649"/>
      <c r="I696" s="650">
        <v>299.0625</v>
      </c>
      <c r="J696" s="650">
        <v>13949</v>
      </c>
      <c r="K696" s="650">
        <v>1090.2075</v>
      </c>
      <c r="L696" s="649">
        <v>1454</v>
      </c>
      <c r="M696" s="649"/>
      <c r="N696" s="650">
        <v>558</v>
      </c>
      <c r="O696" s="650">
        <v>5148</v>
      </c>
      <c r="P696" s="650">
        <v>0</v>
      </c>
      <c r="Q696" s="649">
        <v>3295</v>
      </c>
      <c r="R696" s="649"/>
      <c r="S696" s="650">
        <v>4255</v>
      </c>
      <c r="T696" s="651">
        <v>-1145</v>
      </c>
      <c r="U696" s="651">
        <v>3109</v>
      </c>
    </row>
    <row r="697" spans="1:21" x14ac:dyDescent="0.25">
      <c r="A697" s="646">
        <v>97721</v>
      </c>
      <c r="B697" s="647" t="s">
        <v>3308</v>
      </c>
      <c r="C697" s="648">
        <v>5.7249999999999998E-4</v>
      </c>
      <c r="D697" s="648">
        <v>5.2689999999999996E-4</v>
      </c>
      <c r="E697" s="649">
        <v>224528</v>
      </c>
      <c r="F697" s="649">
        <v>236470</v>
      </c>
      <c r="G697" s="649">
        <v>1215037</v>
      </c>
      <c r="H697" s="649"/>
      <c r="I697" s="650">
        <v>22828.4375</v>
      </c>
      <c r="J697" s="650">
        <v>1064760</v>
      </c>
      <c r="K697" s="650">
        <v>83219</v>
      </c>
      <c r="L697" s="649">
        <v>19505</v>
      </c>
      <c r="M697" s="649"/>
      <c r="N697" s="650">
        <v>42576</v>
      </c>
      <c r="O697" s="650">
        <v>392997</v>
      </c>
      <c r="P697" s="650">
        <v>0</v>
      </c>
      <c r="Q697" s="649">
        <v>36721</v>
      </c>
      <c r="R697" s="649"/>
      <c r="S697" s="650">
        <v>324762</v>
      </c>
      <c r="T697" s="651">
        <v>-7125</v>
      </c>
      <c r="U697" s="651">
        <v>317637</v>
      </c>
    </row>
    <row r="698" spans="1:21" x14ac:dyDescent="0.25">
      <c r="A698" s="646">
        <v>97727</v>
      </c>
      <c r="B698" s="647" t="s">
        <v>3309</v>
      </c>
      <c r="C698" s="648">
        <v>2.37E-5</v>
      </c>
      <c r="D698" s="648">
        <v>2.5299999999999998E-5</v>
      </c>
      <c r="E698" s="649">
        <v>9369</v>
      </c>
      <c r="F698" s="649">
        <v>11354</v>
      </c>
      <c r="G698" s="649">
        <v>50299</v>
      </c>
      <c r="H698" s="649"/>
      <c r="I698" s="650">
        <v>945.03750000000002</v>
      </c>
      <c r="J698" s="650">
        <v>44078</v>
      </c>
      <c r="K698" s="650">
        <v>3445</v>
      </c>
      <c r="L698" s="649">
        <v>0</v>
      </c>
      <c r="M698" s="649"/>
      <c r="N698" s="650">
        <v>1763</v>
      </c>
      <c r="O698" s="650">
        <v>16269</v>
      </c>
      <c r="P698" s="650">
        <v>0</v>
      </c>
      <c r="Q698" s="649">
        <v>3253</v>
      </c>
      <c r="R698" s="649"/>
      <c r="S698" s="650">
        <v>13444</v>
      </c>
      <c r="T698" s="651">
        <v>-1207</v>
      </c>
      <c r="U698" s="651">
        <v>12237</v>
      </c>
    </row>
    <row r="699" spans="1:21" x14ac:dyDescent="0.25">
      <c r="A699" s="646">
        <v>97731</v>
      </c>
      <c r="B699" s="647" t="s">
        <v>3310</v>
      </c>
      <c r="C699" s="648">
        <v>3.7100000000000001E-5</v>
      </c>
      <c r="D699" s="648">
        <v>3.3599999999999997E-5</v>
      </c>
      <c r="E699" s="649">
        <v>17225.91</v>
      </c>
      <c r="F699" s="649">
        <v>15079</v>
      </c>
      <c r="G699" s="649">
        <v>78739</v>
      </c>
      <c r="H699" s="649"/>
      <c r="I699" s="650">
        <v>1479</v>
      </c>
      <c r="J699" s="650">
        <v>69000</v>
      </c>
      <c r="K699" s="650">
        <v>5393</v>
      </c>
      <c r="L699" s="649">
        <v>8501</v>
      </c>
      <c r="M699" s="649"/>
      <c r="N699" s="650">
        <v>2759</v>
      </c>
      <c r="O699" s="650">
        <v>25468</v>
      </c>
      <c r="P699" s="650">
        <v>0</v>
      </c>
      <c r="Q699" s="649">
        <v>0</v>
      </c>
      <c r="R699" s="649"/>
      <c r="S699" s="650">
        <v>21046</v>
      </c>
      <c r="T699" s="651">
        <v>2797</v>
      </c>
      <c r="U699" s="651">
        <v>23843</v>
      </c>
    </row>
    <row r="700" spans="1:21" x14ac:dyDescent="0.25">
      <c r="A700" s="646">
        <v>97801</v>
      </c>
      <c r="B700" s="647" t="s">
        <v>3311</v>
      </c>
      <c r="C700" s="648">
        <v>7.3343000000000002E-3</v>
      </c>
      <c r="D700" s="648">
        <v>7.4117999999999996E-3</v>
      </c>
      <c r="E700" s="649">
        <v>2930302</v>
      </c>
      <c r="F700" s="649">
        <v>3326371</v>
      </c>
      <c r="G700" s="649">
        <v>15565842</v>
      </c>
      <c r="H700" s="649"/>
      <c r="I700" s="650">
        <v>292455</v>
      </c>
      <c r="J700" s="650">
        <v>13640639</v>
      </c>
      <c r="K700" s="650">
        <v>1066121</v>
      </c>
      <c r="L700" s="649">
        <v>55808</v>
      </c>
      <c r="M700" s="649"/>
      <c r="N700" s="650">
        <v>545445</v>
      </c>
      <c r="O700" s="650">
        <v>5034689</v>
      </c>
      <c r="P700" s="650">
        <v>0</v>
      </c>
      <c r="Q700" s="649">
        <v>191858</v>
      </c>
      <c r="R700" s="649"/>
      <c r="S700" s="650">
        <v>4160521</v>
      </c>
      <c r="T700" s="651">
        <v>-29463</v>
      </c>
      <c r="U700" s="651">
        <v>4131058</v>
      </c>
    </row>
    <row r="701" spans="1:21" x14ac:dyDescent="0.25">
      <c r="A701" s="646">
        <v>97802</v>
      </c>
      <c r="B701" s="647" t="s">
        <v>3312</v>
      </c>
      <c r="C701" s="648">
        <v>1.8120000000000001E-4</v>
      </c>
      <c r="D701" s="648">
        <v>1.8599999999999999E-4</v>
      </c>
      <c r="E701" s="649">
        <v>74111</v>
      </c>
      <c r="F701" s="649">
        <v>83476</v>
      </c>
      <c r="G701" s="649">
        <v>384567</v>
      </c>
      <c r="H701" s="649"/>
      <c r="I701" s="650">
        <v>7225.35</v>
      </c>
      <c r="J701" s="650">
        <v>337003</v>
      </c>
      <c r="K701" s="650">
        <v>26339</v>
      </c>
      <c r="L701" s="649">
        <v>19490</v>
      </c>
      <c r="M701" s="649"/>
      <c r="N701" s="650">
        <v>13476</v>
      </c>
      <c r="O701" s="650">
        <v>124386</v>
      </c>
      <c r="P701" s="650">
        <v>0</v>
      </c>
      <c r="Q701" s="649">
        <v>22046</v>
      </c>
      <c r="R701" s="649"/>
      <c r="S701" s="650">
        <v>102789</v>
      </c>
      <c r="T701" s="651">
        <v>2255</v>
      </c>
      <c r="U701" s="651">
        <v>105045</v>
      </c>
    </row>
    <row r="702" spans="1:21" x14ac:dyDescent="0.25">
      <c r="A702" s="646">
        <v>97803</v>
      </c>
      <c r="B702" s="647" t="s">
        <v>3313</v>
      </c>
      <c r="C702" s="648">
        <v>7.9099999999999998E-5</v>
      </c>
      <c r="D702" s="648">
        <v>7.6600000000000005E-5</v>
      </c>
      <c r="E702" s="649">
        <v>33622</v>
      </c>
      <c r="F702" s="649">
        <v>34378</v>
      </c>
      <c r="G702" s="649">
        <v>167877</v>
      </c>
      <c r="H702" s="649"/>
      <c r="I702" s="650">
        <v>3154</v>
      </c>
      <c r="J702" s="650">
        <v>147114</v>
      </c>
      <c r="K702" s="650">
        <v>11498</v>
      </c>
      <c r="L702" s="649">
        <v>9364</v>
      </c>
      <c r="M702" s="649"/>
      <c r="N702" s="650">
        <v>5883</v>
      </c>
      <c r="O702" s="650">
        <v>54299</v>
      </c>
      <c r="P702" s="650">
        <v>0</v>
      </c>
      <c r="Q702" s="649">
        <v>2358</v>
      </c>
      <c r="R702" s="649"/>
      <c r="S702" s="650">
        <v>44871</v>
      </c>
      <c r="T702" s="651">
        <v>3329</v>
      </c>
      <c r="U702" s="651">
        <v>48200</v>
      </c>
    </row>
    <row r="703" spans="1:21" x14ac:dyDescent="0.25">
      <c r="A703" s="646">
        <v>97805</v>
      </c>
      <c r="B703" s="647" t="s">
        <v>3314</v>
      </c>
      <c r="C703" s="648">
        <v>8.2600000000000002E-5</v>
      </c>
      <c r="D703" s="648">
        <v>6.7700000000000006E-5</v>
      </c>
      <c r="E703" s="649">
        <v>34033</v>
      </c>
      <c r="F703" s="649">
        <v>30383</v>
      </c>
      <c r="G703" s="649">
        <v>175305</v>
      </c>
      <c r="H703" s="649"/>
      <c r="I703" s="650">
        <v>3294</v>
      </c>
      <c r="J703" s="650">
        <v>153623</v>
      </c>
      <c r="K703" s="650">
        <v>12007</v>
      </c>
      <c r="L703" s="649">
        <v>13426</v>
      </c>
      <c r="M703" s="649"/>
      <c r="N703" s="650">
        <v>6143</v>
      </c>
      <c r="O703" s="650">
        <v>56701</v>
      </c>
      <c r="P703" s="650">
        <v>0</v>
      </c>
      <c r="Q703" s="649">
        <v>453.72</v>
      </c>
      <c r="R703" s="649"/>
      <c r="S703" s="650">
        <v>46856</v>
      </c>
      <c r="T703" s="651">
        <v>3757</v>
      </c>
      <c r="U703" s="651">
        <v>50613</v>
      </c>
    </row>
    <row r="704" spans="1:21" x14ac:dyDescent="0.25">
      <c r="A704" s="646">
        <v>97811</v>
      </c>
      <c r="B704" s="647" t="s">
        <v>3315</v>
      </c>
      <c r="C704" s="648">
        <v>2.4088E-3</v>
      </c>
      <c r="D704" s="648">
        <v>2.5788E-3</v>
      </c>
      <c r="E704" s="649">
        <v>950193</v>
      </c>
      <c r="F704" s="649">
        <v>1157350</v>
      </c>
      <c r="G704" s="649">
        <v>5112281</v>
      </c>
      <c r="H704" s="649"/>
      <c r="I704" s="650">
        <v>96050.9</v>
      </c>
      <c r="J704" s="650">
        <v>4479987</v>
      </c>
      <c r="K704" s="650">
        <v>350146</v>
      </c>
      <c r="L704" s="649">
        <v>0</v>
      </c>
      <c r="M704" s="649"/>
      <c r="N704" s="650">
        <v>179140</v>
      </c>
      <c r="O704" s="650">
        <v>1653540</v>
      </c>
      <c r="P704" s="650">
        <v>0</v>
      </c>
      <c r="Q704" s="649">
        <v>235946</v>
      </c>
      <c r="R704" s="649"/>
      <c r="S704" s="650">
        <v>1366438</v>
      </c>
      <c r="T704" s="651">
        <v>-72994</v>
      </c>
      <c r="U704" s="651">
        <v>1293444</v>
      </c>
    </row>
    <row r="705" spans="1:21" x14ac:dyDescent="0.25">
      <c r="A705" s="646">
        <v>97817</v>
      </c>
      <c r="B705" s="647" t="s">
        <v>3316</v>
      </c>
      <c r="C705" s="648">
        <v>3.9999999999999998E-6</v>
      </c>
      <c r="D705" s="648">
        <v>7.0999999999999998E-6</v>
      </c>
      <c r="E705" s="649">
        <v>7287</v>
      </c>
      <c r="F705" s="649">
        <v>3186</v>
      </c>
      <c r="G705" s="649">
        <v>8489.34</v>
      </c>
      <c r="H705" s="649"/>
      <c r="I705" s="650">
        <v>159.5</v>
      </c>
      <c r="J705" s="650">
        <v>7439</v>
      </c>
      <c r="K705" s="650">
        <v>581</v>
      </c>
      <c r="L705" s="649">
        <v>4157</v>
      </c>
      <c r="M705" s="649"/>
      <c r="N705" s="650">
        <v>297</v>
      </c>
      <c r="O705" s="650">
        <v>2746</v>
      </c>
      <c r="P705" s="650">
        <v>0</v>
      </c>
      <c r="Q705" s="649">
        <v>3747</v>
      </c>
      <c r="R705" s="649"/>
      <c r="S705" s="650">
        <v>2269</v>
      </c>
      <c r="T705" s="651">
        <v>78</v>
      </c>
      <c r="U705" s="651">
        <v>2347</v>
      </c>
    </row>
    <row r="706" spans="1:21" x14ac:dyDescent="0.25">
      <c r="A706" s="646">
        <v>97818</v>
      </c>
      <c r="B706" s="647" t="s">
        <v>3317</v>
      </c>
      <c r="C706" s="648">
        <v>2.12E-5</v>
      </c>
      <c r="D706" s="648">
        <v>8.3999999999999992E-6</v>
      </c>
      <c r="E706" s="649">
        <v>8690</v>
      </c>
      <c r="F706" s="649">
        <v>3770</v>
      </c>
      <c r="G706" s="649">
        <v>44994</v>
      </c>
      <c r="H706" s="649"/>
      <c r="I706" s="650">
        <v>845.35</v>
      </c>
      <c r="J706" s="650">
        <v>39429</v>
      </c>
      <c r="K706" s="650">
        <v>3082</v>
      </c>
      <c r="L706" s="649">
        <v>8112</v>
      </c>
      <c r="M706" s="649"/>
      <c r="N706" s="650">
        <v>1577</v>
      </c>
      <c r="O706" s="650">
        <v>14553</v>
      </c>
      <c r="P706" s="650">
        <v>0</v>
      </c>
      <c r="Q706" s="649">
        <v>4294.42</v>
      </c>
      <c r="R706" s="649"/>
      <c r="S706" s="650">
        <v>12026</v>
      </c>
      <c r="T706" s="651">
        <v>58</v>
      </c>
      <c r="U706" s="651">
        <v>12084</v>
      </c>
    </row>
    <row r="707" spans="1:21" x14ac:dyDescent="0.25">
      <c r="A707" s="646">
        <v>97821</v>
      </c>
      <c r="B707" s="647" t="s">
        <v>3318</v>
      </c>
      <c r="C707" s="648">
        <v>1.1620000000000001E-4</v>
      </c>
      <c r="D707" s="648">
        <v>1.3329999999999999E-4</v>
      </c>
      <c r="E707" s="649">
        <v>52013.57</v>
      </c>
      <c r="F707" s="649">
        <v>59824</v>
      </c>
      <c r="G707" s="649">
        <v>246615</v>
      </c>
      <c r="H707" s="649"/>
      <c r="I707" s="650">
        <v>4633</v>
      </c>
      <c r="J707" s="650">
        <v>216114</v>
      </c>
      <c r="K707" s="650">
        <v>16891</v>
      </c>
      <c r="L707" s="649">
        <v>0</v>
      </c>
      <c r="M707" s="649"/>
      <c r="N707" s="650">
        <v>8642</v>
      </c>
      <c r="O707" s="650">
        <v>79766</v>
      </c>
      <c r="P707" s="650">
        <v>0</v>
      </c>
      <c r="Q707" s="649">
        <v>26909</v>
      </c>
      <c r="R707" s="649"/>
      <c r="S707" s="650">
        <v>65917</v>
      </c>
      <c r="T707" s="651">
        <v>-10681</v>
      </c>
      <c r="U707" s="651">
        <v>55236</v>
      </c>
    </row>
    <row r="708" spans="1:21" x14ac:dyDescent="0.25">
      <c r="A708" s="646">
        <v>97823</v>
      </c>
      <c r="B708" s="647" t="s">
        <v>3319</v>
      </c>
      <c r="C708" s="648">
        <v>2.4600000000000002E-5</v>
      </c>
      <c r="D708" s="648">
        <v>2.58E-5</v>
      </c>
      <c r="E708" s="649">
        <v>11852</v>
      </c>
      <c r="F708" s="649">
        <v>11579</v>
      </c>
      <c r="G708" s="649">
        <v>52209</v>
      </c>
      <c r="H708" s="649"/>
      <c r="I708" s="650">
        <v>981</v>
      </c>
      <c r="J708" s="650">
        <v>45752</v>
      </c>
      <c r="K708" s="650">
        <v>3576</v>
      </c>
      <c r="L708" s="649">
        <v>926</v>
      </c>
      <c r="M708" s="649"/>
      <c r="N708" s="650">
        <v>1829</v>
      </c>
      <c r="O708" s="650">
        <v>16887</v>
      </c>
      <c r="P708" s="650">
        <v>0</v>
      </c>
      <c r="Q708" s="649">
        <v>1188</v>
      </c>
      <c r="R708" s="649"/>
      <c r="S708" s="650">
        <v>13955</v>
      </c>
      <c r="T708" s="651">
        <v>-338</v>
      </c>
      <c r="U708" s="651">
        <v>13616</v>
      </c>
    </row>
    <row r="709" spans="1:21" x14ac:dyDescent="0.25">
      <c r="A709" s="646">
        <v>97831</v>
      </c>
      <c r="B709" s="647" t="s">
        <v>3320</v>
      </c>
      <c r="C709" s="648">
        <v>1.482E-4</v>
      </c>
      <c r="D709" s="648">
        <v>1.5860000000000001E-4</v>
      </c>
      <c r="E709" s="649">
        <v>66463</v>
      </c>
      <c r="F709" s="649">
        <v>71179</v>
      </c>
      <c r="G709" s="649">
        <v>314530</v>
      </c>
      <c r="H709" s="649"/>
      <c r="I709" s="650">
        <v>5909</v>
      </c>
      <c r="J709" s="650">
        <v>275629</v>
      </c>
      <c r="K709" s="650">
        <v>21543</v>
      </c>
      <c r="L709" s="649">
        <v>0</v>
      </c>
      <c r="M709" s="649"/>
      <c r="N709" s="650">
        <v>11021</v>
      </c>
      <c r="O709" s="650">
        <v>101733</v>
      </c>
      <c r="P709" s="650">
        <v>0</v>
      </c>
      <c r="Q709" s="649">
        <v>14308</v>
      </c>
      <c r="R709" s="649"/>
      <c r="S709" s="650">
        <v>84069</v>
      </c>
      <c r="T709" s="651">
        <v>-5891</v>
      </c>
      <c r="U709" s="651">
        <v>78179</v>
      </c>
    </row>
    <row r="710" spans="1:21" x14ac:dyDescent="0.25">
      <c r="A710" s="646">
        <v>97837</v>
      </c>
      <c r="B710" s="647" t="s">
        <v>3321</v>
      </c>
      <c r="C710" s="648">
        <v>8.8000000000000004E-6</v>
      </c>
      <c r="D710" s="648">
        <v>1.3699999999999999E-5</v>
      </c>
      <c r="E710" s="649">
        <v>6597.01</v>
      </c>
      <c r="F710" s="649">
        <v>6148</v>
      </c>
      <c r="G710" s="649">
        <v>18677</v>
      </c>
      <c r="H710" s="649"/>
      <c r="I710" s="650">
        <v>351</v>
      </c>
      <c r="J710" s="650">
        <v>16367</v>
      </c>
      <c r="K710" s="650">
        <v>1279</v>
      </c>
      <c r="L710" s="649">
        <v>2093</v>
      </c>
      <c r="M710" s="649"/>
      <c r="N710" s="650">
        <v>654</v>
      </c>
      <c r="O710" s="650">
        <v>6041</v>
      </c>
      <c r="P710" s="650">
        <v>0</v>
      </c>
      <c r="Q710" s="649">
        <v>289</v>
      </c>
      <c r="R710" s="649"/>
      <c r="S710" s="650">
        <v>4992</v>
      </c>
      <c r="T710" s="651">
        <v>751</v>
      </c>
      <c r="U710" s="651">
        <v>5743</v>
      </c>
    </row>
    <row r="711" spans="1:21" x14ac:dyDescent="0.25">
      <c r="A711" s="646">
        <v>97840</v>
      </c>
      <c r="B711" s="647" t="s">
        <v>3322</v>
      </c>
      <c r="C711" s="648">
        <v>1.403E-4</v>
      </c>
      <c r="D711" s="648">
        <v>1.4799999999999999E-4</v>
      </c>
      <c r="E711" s="649">
        <v>98734.69</v>
      </c>
      <c r="F711" s="649">
        <v>66422</v>
      </c>
      <c r="G711" s="649">
        <v>297764</v>
      </c>
      <c r="H711" s="649"/>
      <c r="I711" s="650">
        <v>5594</v>
      </c>
      <c r="J711" s="650">
        <v>260936</v>
      </c>
      <c r="K711" s="650">
        <v>20394</v>
      </c>
      <c r="L711" s="649">
        <v>64083</v>
      </c>
      <c r="M711" s="649"/>
      <c r="N711" s="650">
        <v>10434</v>
      </c>
      <c r="O711" s="650">
        <v>96310</v>
      </c>
      <c r="P711" s="650">
        <v>0</v>
      </c>
      <c r="Q711" s="649">
        <v>1938</v>
      </c>
      <c r="R711" s="649"/>
      <c r="S711" s="650">
        <v>79588</v>
      </c>
      <c r="T711" s="651">
        <v>19035</v>
      </c>
      <c r="U711" s="651">
        <v>98623</v>
      </c>
    </row>
    <row r="712" spans="1:21" x14ac:dyDescent="0.25">
      <c r="A712" s="646">
        <v>97841</v>
      </c>
      <c r="B712" s="647" t="s">
        <v>3323</v>
      </c>
      <c r="C712" s="648">
        <v>1.45E-5</v>
      </c>
      <c r="D712" s="648">
        <v>1.5699999999999999E-5</v>
      </c>
      <c r="E712" s="649">
        <v>6090.83</v>
      </c>
      <c r="F712" s="649">
        <v>7046</v>
      </c>
      <c r="G712" s="649">
        <v>30774</v>
      </c>
      <c r="H712" s="649"/>
      <c r="I712" s="650">
        <v>578.1875</v>
      </c>
      <c r="J712" s="650">
        <v>26968</v>
      </c>
      <c r="K712" s="650">
        <v>2108</v>
      </c>
      <c r="L712" s="649">
        <v>636</v>
      </c>
      <c r="M712" s="649"/>
      <c r="N712" s="650">
        <v>1078</v>
      </c>
      <c r="O712" s="650">
        <v>9954</v>
      </c>
      <c r="P712" s="650">
        <v>0</v>
      </c>
      <c r="Q712" s="649">
        <v>8091</v>
      </c>
      <c r="R712" s="649"/>
      <c r="S712" s="650">
        <v>8225</v>
      </c>
      <c r="T712" s="651">
        <v>-3707</v>
      </c>
      <c r="U712" s="651">
        <v>4519</v>
      </c>
    </row>
    <row r="713" spans="1:21" x14ac:dyDescent="0.25">
      <c r="A713" s="646">
        <v>97847</v>
      </c>
      <c r="B713" s="647" t="s">
        <v>3324</v>
      </c>
      <c r="C713" s="648">
        <v>2.2000000000000001E-6</v>
      </c>
      <c r="D713" s="648">
        <v>2.7E-6</v>
      </c>
      <c r="E713" s="649">
        <v>1834</v>
      </c>
      <c r="F713" s="649">
        <v>1212</v>
      </c>
      <c r="G713" s="649">
        <v>4669</v>
      </c>
      <c r="H713" s="649"/>
      <c r="I713" s="650">
        <v>88</v>
      </c>
      <c r="J713" s="650">
        <v>4092</v>
      </c>
      <c r="K713" s="650">
        <v>320</v>
      </c>
      <c r="L713" s="649">
        <v>650</v>
      </c>
      <c r="M713" s="649"/>
      <c r="N713" s="650">
        <v>164</v>
      </c>
      <c r="O713" s="650">
        <v>1510</v>
      </c>
      <c r="P713" s="650">
        <v>0</v>
      </c>
      <c r="Q713" s="649">
        <v>145</v>
      </c>
      <c r="R713" s="649"/>
      <c r="S713" s="650">
        <v>1248</v>
      </c>
      <c r="T713" s="651">
        <v>113</v>
      </c>
      <c r="U713" s="651">
        <v>1361</v>
      </c>
    </row>
    <row r="714" spans="1:21" x14ac:dyDescent="0.25">
      <c r="A714" s="646">
        <v>97851</v>
      </c>
      <c r="B714" s="647" t="s">
        <v>3325</v>
      </c>
      <c r="C714" s="648">
        <v>2.7460000000000001E-4</v>
      </c>
      <c r="D714" s="648">
        <v>2.7E-4</v>
      </c>
      <c r="E714" s="649">
        <v>101247</v>
      </c>
      <c r="F714" s="649">
        <v>121174.38</v>
      </c>
      <c r="G714" s="649">
        <v>582793</v>
      </c>
      <c r="H714" s="649"/>
      <c r="I714" s="650">
        <v>10950</v>
      </c>
      <c r="J714" s="650">
        <v>510713</v>
      </c>
      <c r="K714" s="650">
        <v>39916</v>
      </c>
      <c r="L714" s="649">
        <v>2911</v>
      </c>
      <c r="M714" s="649"/>
      <c r="N714" s="650">
        <v>20422</v>
      </c>
      <c r="O714" s="650">
        <v>188501</v>
      </c>
      <c r="P714" s="650">
        <v>0</v>
      </c>
      <c r="Q714" s="649">
        <v>8317</v>
      </c>
      <c r="R714" s="649"/>
      <c r="S714" s="650">
        <v>155772</v>
      </c>
      <c r="T714" s="651">
        <v>-838</v>
      </c>
      <c r="U714" s="651">
        <v>154934</v>
      </c>
    </row>
    <row r="715" spans="1:21" x14ac:dyDescent="0.25">
      <c r="A715" s="646">
        <v>97853</v>
      </c>
      <c r="B715" s="647" t="s">
        <v>3326</v>
      </c>
      <c r="C715" s="648">
        <v>9.1600000000000004E-5</v>
      </c>
      <c r="D715" s="648">
        <v>1.114E-4</v>
      </c>
      <c r="E715" s="649">
        <v>34607</v>
      </c>
      <c r="F715" s="649">
        <v>49996</v>
      </c>
      <c r="G715" s="649">
        <v>194406</v>
      </c>
      <c r="H715" s="649"/>
      <c r="I715" s="650">
        <v>3652.55</v>
      </c>
      <c r="J715" s="650">
        <v>170362</v>
      </c>
      <c r="K715" s="650">
        <v>13315</v>
      </c>
      <c r="L715" s="649">
        <v>6323</v>
      </c>
      <c r="M715" s="649"/>
      <c r="N715" s="650">
        <v>6812</v>
      </c>
      <c r="O715" s="650">
        <v>62880</v>
      </c>
      <c r="P715" s="650">
        <v>0</v>
      </c>
      <c r="Q715" s="649">
        <v>13159</v>
      </c>
      <c r="R715" s="649"/>
      <c r="S715" s="650">
        <v>51962</v>
      </c>
      <c r="T715" s="651">
        <v>-826</v>
      </c>
      <c r="U715" s="651">
        <v>51136</v>
      </c>
    </row>
    <row r="716" spans="1:21" x14ac:dyDescent="0.25">
      <c r="A716" s="646">
        <v>97861</v>
      </c>
      <c r="B716" s="647" t="s">
        <v>3327</v>
      </c>
      <c r="C716" s="648">
        <v>6.8499999999999998E-5</v>
      </c>
      <c r="D716" s="648">
        <v>6.6799999999999997E-5</v>
      </c>
      <c r="E716" s="649">
        <v>25466</v>
      </c>
      <c r="F716" s="649">
        <v>29979</v>
      </c>
      <c r="G716" s="649">
        <v>145380</v>
      </c>
      <c r="H716" s="649"/>
      <c r="I716" s="650">
        <v>2731.4375</v>
      </c>
      <c r="J716" s="650">
        <v>127399</v>
      </c>
      <c r="K716" s="650">
        <v>9957</v>
      </c>
      <c r="L716" s="649">
        <v>2745</v>
      </c>
      <c r="M716" s="649"/>
      <c r="N716" s="650">
        <v>5094</v>
      </c>
      <c r="O716" s="650">
        <v>47022</v>
      </c>
      <c r="P716" s="650">
        <v>0</v>
      </c>
      <c r="Q716" s="649">
        <v>8154</v>
      </c>
      <c r="R716" s="649"/>
      <c r="S716" s="650">
        <v>38858</v>
      </c>
      <c r="T716" s="651">
        <v>-2826</v>
      </c>
      <c r="U716" s="651">
        <v>36032</v>
      </c>
    </row>
    <row r="717" spans="1:21" x14ac:dyDescent="0.25">
      <c r="A717" s="646">
        <v>97871</v>
      </c>
      <c r="B717" s="647" t="s">
        <v>3328</v>
      </c>
      <c r="C717" s="648">
        <v>3.1500000000000001E-4</v>
      </c>
      <c r="D717" s="648">
        <v>3.1530000000000002E-4</v>
      </c>
      <c r="E717" s="649">
        <v>247766</v>
      </c>
      <c r="F717" s="649">
        <v>141505</v>
      </c>
      <c r="G717" s="649">
        <v>668536</v>
      </c>
      <c r="H717" s="649"/>
      <c r="I717" s="650">
        <v>12560.625</v>
      </c>
      <c r="J717" s="650">
        <v>585850.23</v>
      </c>
      <c r="K717" s="650">
        <v>45789</v>
      </c>
      <c r="L717" s="649">
        <v>173467</v>
      </c>
      <c r="M717" s="649"/>
      <c r="N717" s="650">
        <v>23426</v>
      </c>
      <c r="O717" s="650">
        <v>216234</v>
      </c>
      <c r="P717" s="650">
        <v>0</v>
      </c>
      <c r="Q717" s="649">
        <v>0</v>
      </c>
      <c r="R717" s="649"/>
      <c r="S717" s="650">
        <v>178690</v>
      </c>
      <c r="T717" s="651">
        <v>54798</v>
      </c>
      <c r="U717" s="651">
        <v>233488</v>
      </c>
    </row>
    <row r="718" spans="1:21" x14ac:dyDescent="0.25">
      <c r="A718" s="646">
        <v>97877</v>
      </c>
      <c r="B718" s="647" t="s">
        <v>3329</v>
      </c>
      <c r="C718" s="648">
        <v>2.2000000000000001E-6</v>
      </c>
      <c r="D718" s="648">
        <v>2.6000000000000001E-6</v>
      </c>
      <c r="E718" s="649">
        <v>1917</v>
      </c>
      <c r="F718" s="649">
        <v>1167</v>
      </c>
      <c r="G718" s="649">
        <v>4669</v>
      </c>
      <c r="H718" s="649"/>
      <c r="I718" s="650">
        <v>88</v>
      </c>
      <c r="J718" s="650">
        <v>4092</v>
      </c>
      <c r="K718" s="650">
        <v>320</v>
      </c>
      <c r="L718" s="649">
        <v>1306</v>
      </c>
      <c r="M718" s="649"/>
      <c r="N718" s="650">
        <v>164</v>
      </c>
      <c r="O718" s="650">
        <v>1510</v>
      </c>
      <c r="P718" s="650">
        <v>0</v>
      </c>
      <c r="Q718" s="649">
        <v>0</v>
      </c>
      <c r="R718" s="649"/>
      <c r="S718" s="650">
        <v>1248</v>
      </c>
      <c r="T718" s="651">
        <v>452</v>
      </c>
      <c r="U718" s="651">
        <v>1700</v>
      </c>
    </row>
    <row r="719" spans="1:21" x14ac:dyDescent="0.25">
      <c r="A719" s="646">
        <v>97901</v>
      </c>
      <c r="B719" s="647" t="s">
        <v>3330</v>
      </c>
      <c r="C719" s="648">
        <v>4.3616999999999996E-3</v>
      </c>
      <c r="D719" s="648">
        <v>4.2928000000000003E-3</v>
      </c>
      <c r="E719" s="649">
        <v>1721465.11</v>
      </c>
      <c r="F719" s="649">
        <v>1926583</v>
      </c>
      <c r="G719" s="649">
        <v>9256989</v>
      </c>
      <c r="H719" s="649"/>
      <c r="I719" s="650">
        <v>173923</v>
      </c>
      <c r="J719" s="650">
        <v>8112073</v>
      </c>
      <c r="K719" s="650">
        <v>634021</v>
      </c>
      <c r="L719" s="649">
        <v>76379</v>
      </c>
      <c r="M719" s="649"/>
      <c r="N719" s="650">
        <v>324375</v>
      </c>
      <c r="O719" s="650">
        <v>2994124</v>
      </c>
      <c r="P719" s="650">
        <v>0</v>
      </c>
      <c r="Q719" s="649">
        <v>20062</v>
      </c>
      <c r="R719" s="649"/>
      <c r="S719" s="650">
        <v>2474257</v>
      </c>
      <c r="T719" s="651">
        <v>24654</v>
      </c>
      <c r="U719" s="651">
        <v>2498911</v>
      </c>
    </row>
    <row r="720" spans="1:21" x14ac:dyDescent="0.25">
      <c r="A720" s="646">
        <v>97911</v>
      </c>
      <c r="B720" s="647" t="s">
        <v>3331</v>
      </c>
      <c r="C720" s="648">
        <v>1.3190000000000001E-3</v>
      </c>
      <c r="D720" s="648">
        <v>1.4008E-3</v>
      </c>
      <c r="E720" s="649">
        <v>549902</v>
      </c>
      <c r="F720" s="649">
        <v>628671</v>
      </c>
      <c r="G720" s="649">
        <v>2799360</v>
      </c>
      <c r="H720" s="649"/>
      <c r="I720" s="650">
        <v>52595.125</v>
      </c>
      <c r="J720" s="650">
        <v>2453132</v>
      </c>
      <c r="K720" s="650">
        <v>191731</v>
      </c>
      <c r="L720" s="649">
        <v>50935</v>
      </c>
      <c r="M720" s="649"/>
      <c r="N720" s="650">
        <v>98093</v>
      </c>
      <c r="O720" s="650">
        <v>905438</v>
      </c>
      <c r="P720" s="650">
        <v>0</v>
      </c>
      <c r="Q720" s="649">
        <v>38377</v>
      </c>
      <c r="R720" s="649"/>
      <c r="S720" s="650">
        <v>748228</v>
      </c>
      <c r="T720" s="651">
        <v>10404</v>
      </c>
      <c r="U720" s="651">
        <v>758632</v>
      </c>
    </row>
    <row r="721" spans="1:21" x14ac:dyDescent="0.25">
      <c r="A721" s="646">
        <v>97913</v>
      </c>
      <c r="B721" s="647" t="s">
        <v>3332</v>
      </c>
      <c r="C721" s="648">
        <v>3.7400000000000001E-5</v>
      </c>
      <c r="D721" s="648">
        <v>3.7700000000000002E-5</v>
      </c>
      <c r="E721" s="649">
        <v>23994.67</v>
      </c>
      <c r="F721" s="649">
        <v>16920</v>
      </c>
      <c r="G721" s="649">
        <v>79375</v>
      </c>
      <c r="H721" s="649"/>
      <c r="I721" s="650">
        <v>1491.325</v>
      </c>
      <c r="J721" s="650">
        <v>69558</v>
      </c>
      <c r="K721" s="650">
        <v>5437</v>
      </c>
      <c r="L721" s="649">
        <v>11163</v>
      </c>
      <c r="M721" s="649"/>
      <c r="N721" s="650">
        <v>2781</v>
      </c>
      <c r="O721" s="650">
        <v>25674</v>
      </c>
      <c r="P721" s="650">
        <v>0</v>
      </c>
      <c r="Q721" s="649">
        <v>0</v>
      </c>
      <c r="R721" s="649"/>
      <c r="S721" s="650">
        <v>21216</v>
      </c>
      <c r="T721" s="651">
        <v>3404</v>
      </c>
      <c r="U721" s="651">
        <v>24620</v>
      </c>
    </row>
    <row r="722" spans="1:21" x14ac:dyDescent="0.25">
      <c r="A722" s="646">
        <v>97917</v>
      </c>
      <c r="B722" s="647" t="s">
        <v>3333</v>
      </c>
      <c r="C722" s="648">
        <v>1.98E-5</v>
      </c>
      <c r="D722" s="648">
        <v>2.0599999999999999E-5</v>
      </c>
      <c r="E722" s="649">
        <v>11950</v>
      </c>
      <c r="F722" s="649">
        <v>9245</v>
      </c>
      <c r="G722" s="649">
        <v>42022</v>
      </c>
      <c r="H722" s="649"/>
      <c r="I722" s="650">
        <v>789.52499999999998</v>
      </c>
      <c r="J722" s="650">
        <v>36825</v>
      </c>
      <c r="K722" s="650">
        <v>2878</v>
      </c>
      <c r="L722" s="649">
        <v>6195</v>
      </c>
      <c r="M722" s="649"/>
      <c r="N722" s="650">
        <v>1473</v>
      </c>
      <c r="O722" s="650">
        <v>13592</v>
      </c>
      <c r="P722" s="650">
        <v>0</v>
      </c>
      <c r="Q722" s="649">
        <v>0</v>
      </c>
      <c r="R722" s="649"/>
      <c r="S722" s="650">
        <v>11232</v>
      </c>
      <c r="T722" s="651">
        <v>2211</v>
      </c>
      <c r="U722" s="651">
        <v>13443</v>
      </c>
    </row>
    <row r="723" spans="1:21" x14ac:dyDescent="0.25">
      <c r="A723" s="646">
        <v>97921</v>
      </c>
      <c r="B723" s="647" t="s">
        <v>3334</v>
      </c>
      <c r="C723" s="648">
        <v>2.2169999999999999E-4</v>
      </c>
      <c r="D723" s="648">
        <v>2.3599999999999999E-4</v>
      </c>
      <c r="E723" s="649">
        <v>93980.13</v>
      </c>
      <c r="F723" s="649">
        <v>105915</v>
      </c>
      <c r="G723" s="649">
        <v>470522</v>
      </c>
      <c r="H723" s="649"/>
      <c r="I723" s="650">
        <v>8840</v>
      </c>
      <c r="J723" s="650">
        <v>412327</v>
      </c>
      <c r="K723" s="650">
        <v>32227</v>
      </c>
      <c r="L723" s="649">
        <v>17914</v>
      </c>
      <c r="M723" s="649"/>
      <c r="N723" s="650">
        <v>16488</v>
      </c>
      <c r="O723" s="650">
        <v>152188</v>
      </c>
      <c r="P723" s="650">
        <v>0</v>
      </c>
      <c r="Q723" s="649">
        <v>8707</v>
      </c>
      <c r="R723" s="649"/>
      <c r="S723" s="650">
        <v>125764</v>
      </c>
      <c r="T723" s="651">
        <v>3320</v>
      </c>
      <c r="U723" s="651">
        <v>129084</v>
      </c>
    </row>
    <row r="724" spans="1:21" x14ac:dyDescent="0.25">
      <c r="A724" s="646">
        <v>97931</v>
      </c>
      <c r="B724" s="647" t="s">
        <v>3335</v>
      </c>
      <c r="C724" s="648">
        <v>6.1600000000000007E-5</v>
      </c>
      <c r="D724" s="648">
        <v>6.7999999999999999E-5</v>
      </c>
      <c r="E724" s="649">
        <v>26190.6</v>
      </c>
      <c r="F724" s="649">
        <v>30518</v>
      </c>
      <c r="G724" s="649">
        <v>130736</v>
      </c>
      <c r="H724" s="649"/>
      <c r="I724" s="650">
        <v>2456</v>
      </c>
      <c r="J724" s="650">
        <v>114566</v>
      </c>
      <c r="K724" s="650">
        <v>8954</v>
      </c>
      <c r="L724" s="649">
        <v>19564</v>
      </c>
      <c r="M724" s="649"/>
      <c r="N724" s="650">
        <v>4581</v>
      </c>
      <c r="O724" s="650">
        <v>42286</v>
      </c>
      <c r="P724" s="650">
        <v>0</v>
      </c>
      <c r="Q724" s="649">
        <v>13697</v>
      </c>
      <c r="R724" s="649"/>
      <c r="S724" s="650">
        <v>34944</v>
      </c>
      <c r="T724" s="651">
        <v>733</v>
      </c>
      <c r="U724" s="651">
        <v>35677</v>
      </c>
    </row>
    <row r="725" spans="1:21" x14ac:dyDescent="0.25">
      <c r="A725" s="646">
        <v>97941</v>
      </c>
      <c r="B725" s="647" t="s">
        <v>3336</v>
      </c>
      <c r="C725" s="648">
        <v>2.3330000000000001E-4</v>
      </c>
      <c r="D725" s="648">
        <v>2.3120000000000001E-4</v>
      </c>
      <c r="E725" s="649">
        <v>99201.06</v>
      </c>
      <c r="F725" s="649">
        <v>103761</v>
      </c>
      <c r="G725" s="649">
        <v>495141</v>
      </c>
      <c r="H725" s="649"/>
      <c r="I725" s="650">
        <v>9303</v>
      </c>
      <c r="J725" s="650">
        <v>433901</v>
      </c>
      <c r="K725" s="650">
        <v>33913</v>
      </c>
      <c r="L725" s="649">
        <v>27337</v>
      </c>
      <c r="M725" s="649"/>
      <c r="N725" s="650">
        <v>17350</v>
      </c>
      <c r="O725" s="650">
        <v>160151</v>
      </c>
      <c r="P725" s="650">
        <v>0</v>
      </c>
      <c r="Q725" s="649">
        <v>299</v>
      </c>
      <c r="R725" s="649"/>
      <c r="S725" s="650">
        <v>132344</v>
      </c>
      <c r="T725" s="651">
        <v>9188</v>
      </c>
      <c r="U725" s="651">
        <v>141532</v>
      </c>
    </row>
    <row r="726" spans="1:21" x14ac:dyDescent="0.25">
      <c r="A726" s="646">
        <v>97947</v>
      </c>
      <c r="B726" s="647" t="s">
        <v>3337</v>
      </c>
      <c r="C726" s="648">
        <v>1.5500000000000001E-5</v>
      </c>
      <c r="D726" s="648">
        <v>1.1199999999999999E-5</v>
      </c>
      <c r="E726" s="649">
        <v>11155</v>
      </c>
      <c r="F726" s="649">
        <v>5026</v>
      </c>
      <c r="G726" s="649">
        <v>32896</v>
      </c>
      <c r="H726" s="649"/>
      <c r="I726" s="650">
        <v>618.0625</v>
      </c>
      <c r="J726" s="650">
        <v>28828</v>
      </c>
      <c r="K726" s="650">
        <v>2253</v>
      </c>
      <c r="L726" s="649">
        <v>9195</v>
      </c>
      <c r="M726" s="649"/>
      <c r="N726" s="650">
        <v>1153</v>
      </c>
      <c r="O726" s="650">
        <v>10640</v>
      </c>
      <c r="P726" s="650">
        <v>0</v>
      </c>
      <c r="Q726" s="649">
        <v>615</v>
      </c>
      <c r="R726" s="649"/>
      <c r="S726" s="650">
        <v>8793</v>
      </c>
      <c r="T726" s="651">
        <v>2366</v>
      </c>
      <c r="U726" s="651">
        <v>11159</v>
      </c>
    </row>
    <row r="727" spans="1:21" x14ac:dyDescent="0.25">
      <c r="A727" s="646">
        <v>97948</v>
      </c>
      <c r="B727" s="647" t="s">
        <v>3338</v>
      </c>
      <c r="C727" s="648">
        <v>3.5200000000000002E-5</v>
      </c>
      <c r="D727" s="648">
        <v>3.43E-5</v>
      </c>
      <c r="E727" s="649">
        <v>13688</v>
      </c>
      <c r="F727" s="649">
        <v>15394</v>
      </c>
      <c r="G727" s="649">
        <v>74706</v>
      </c>
      <c r="H727" s="649"/>
      <c r="I727" s="650">
        <v>1404</v>
      </c>
      <c r="J727" s="650">
        <v>65466</v>
      </c>
      <c r="K727" s="650">
        <v>5117</v>
      </c>
      <c r="L727" s="649">
        <v>3029</v>
      </c>
      <c r="M727" s="649"/>
      <c r="N727" s="650">
        <v>2618</v>
      </c>
      <c r="O727" s="650">
        <v>24163</v>
      </c>
      <c r="P727" s="650">
        <v>0</v>
      </c>
      <c r="Q727" s="649">
        <v>138</v>
      </c>
      <c r="R727" s="649"/>
      <c r="S727" s="650">
        <v>19968</v>
      </c>
      <c r="T727" s="651">
        <v>1084</v>
      </c>
      <c r="U727" s="651">
        <v>21052</v>
      </c>
    </row>
    <row r="728" spans="1:21" x14ac:dyDescent="0.25">
      <c r="A728" s="646">
        <v>97951</v>
      </c>
      <c r="B728" s="647" t="s">
        <v>3339</v>
      </c>
      <c r="C728" s="648">
        <v>1.2497000000000001E-3</v>
      </c>
      <c r="D728" s="648">
        <v>1.2842000000000001E-3</v>
      </c>
      <c r="E728" s="649">
        <v>544314.75</v>
      </c>
      <c r="F728" s="649">
        <v>576341</v>
      </c>
      <c r="G728" s="649">
        <v>2652282</v>
      </c>
      <c r="H728" s="649"/>
      <c r="I728" s="650">
        <v>49832</v>
      </c>
      <c r="J728" s="650">
        <v>2324245</v>
      </c>
      <c r="K728" s="650">
        <v>181658</v>
      </c>
      <c r="L728" s="649">
        <v>21304</v>
      </c>
      <c r="M728" s="649"/>
      <c r="N728" s="650">
        <v>92939</v>
      </c>
      <c r="O728" s="650">
        <v>857867</v>
      </c>
      <c r="P728" s="650">
        <v>0</v>
      </c>
      <c r="Q728" s="649">
        <v>14204.62</v>
      </c>
      <c r="R728" s="649"/>
      <c r="S728" s="650">
        <v>708916</v>
      </c>
      <c r="T728" s="651">
        <v>-103</v>
      </c>
      <c r="U728" s="651">
        <v>708813</v>
      </c>
    </row>
    <row r="729" spans="1:21" x14ac:dyDescent="0.25">
      <c r="A729" s="646">
        <v>97957</v>
      </c>
      <c r="B729" s="647" t="s">
        <v>3340</v>
      </c>
      <c r="C729" s="648">
        <v>1.9599999999999999E-5</v>
      </c>
      <c r="D729" s="648">
        <v>1.9899999999999999E-5</v>
      </c>
      <c r="E729" s="649">
        <v>11054</v>
      </c>
      <c r="F729" s="649">
        <v>8931</v>
      </c>
      <c r="G729" s="649">
        <v>41598</v>
      </c>
      <c r="H729" s="649"/>
      <c r="I729" s="650">
        <v>781.55</v>
      </c>
      <c r="J729" s="650">
        <v>36453</v>
      </c>
      <c r="K729" s="650">
        <v>2849</v>
      </c>
      <c r="L729" s="649">
        <v>2215</v>
      </c>
      <c r="M729" s="649"/>
      <c r="N729" s="650">
        <v>1458</v>
      </c>
      <c r="O729" s="650">
        <v>13455</v>
      </c>
      <c r="P729" s="650">
        <v>0</v>
      </c>
      <c r="Q729" s="649">
        <v>1781</v>
      </c>
      <c r="R729" s="649"/>
      <c r="S729" s="650">
        <v>11118</v>
      </c>
      <c r="T729" s="651">
        <v>-84</v>
      </c>
      <c r="U729" s="651">
        <v>11035</v>
      </c>
    </row>
    <row r="730" spans="1:21" x14ac:dyDescent="0.25">
      <c r="A730" s="646">
        <v>98001</v>
      </c>
      <c r="B730" s="647" t="s">
        <v>3341</v>
      </c>
      <c r="C730" s="648">
        <v>4.9659999999999999E-3</v>
      </c>
      <c r="D730" s="648">
        <v>4.9379999999999997E-3</v>
      </c>
      <c r="E730" s="649">
        <v>2027252.35</v>
      </c>
      <c r="F730" s="649">
        <v>2216145</v>
      </c>
      <c r="G730" s="649">
        <v>10539516</v>
      </c>
      <c r="H730" s="649"/>
      <c r="I730" s="650">
        <v>198019.25</v>
      </c>
      <c r="J730" s="650">
        <v>9235975</v>
      </c>
      <c r="K730" s="650">
        <v>721863</v>
      </c>
      <c r="L730" s="649">
        <v>119593</v>
      </c>
      <c r="M730" s="649"/>
      <c r="N730" s="650">
        <v>369316</v>
      </c>
      <c r="O730" s="650">
        <v>3408950</v>
      </c>
      <c r="P730" s="650">
        <v>0</v>
      </c>
      <c r="Q730" s="649">
        <v>0</v>
      </c>
      <c r="R730" s="649"/>
      <c r="S730" s="650">
        <v>2817058</v>
      </c>
      <c r="T730" s="651">
        <v>52585</v>
      </c>
      <c r="U730" s="651">
        <v>2869642</v>
      </c>
    </row>
    <row r="731" spans="1:21" x14ac:dyDescent="0.25">
      <c r="A731" s="646">
        <v>98002</v>
      </c>
      <c r="B731" s="647" t="s">
        <v>3342</v>
      </c>
      <c r="C731" s="648">
        <v>7.3000000000000004E-6</v>
      </c>
      <c r="D731" s="648">
        <v>7.1999999999999997E-6</v>
      </c>
      <c r="E731" s="649">
        <v>3645</v>
      </c>
      <c r="F731" s="649">
        <v>3231</v>
      </c>
      <c r="G731" s="649">
        <v>15493</v>
      </c>
      <c r="H731" s="649"/>
      <c r="I731" s="650">
        <v>291</v>
      </c>
      <c r="J731" s="650">
        <v>13577</v>
      </c>
      <c r="K731" s="650">
        <v>1061</v>
      </c>
      <c r="L731" s="649">
        <v>799</v>
      </c>
      <c r="M731" s="649"/>
      <c r="N731" s="650">
        <v>543</v>
      </c>
      <c r="O731" s="650">
        <v>5011</v>
      </c>
      <c r="P731" s="650">
        <v>0</v>
      </c>
      <c r="Q731" s="649">
        <v>13050</v>
      </c>
      <c r="R731" s="649"/>
      <c r="S731" s="650">
        <v>4141</v>
      </c>
      <c r="T731" s="651">
        <v>-6329</v>
      </c>
      <c r="U731" s="651">
        <v>-2188</v>
      </c>
    </row>
    <row r="732" spans="1:21" x14ac:dyDescent="0.25">
      <c r="A732" s="646">
        <v>98003</v>
      </c>
      <c r="B732" s="647" t="s">
        <v>3343</v>
      </c>
      <c r="C732" s="648">
        <v>8.1600000000000005E-5</v>
      </c>
      <c r="D732" s="648">
        <v>6.8100000000000002E-5</v>
      </c>
      <c r="E732" s="649">
        <v>60648.32</v>
      </c>
      <c r="F732" s="649">
        <v>30563</v>
      </c>
      <c r="G732" s="649">
        <v>173183</v>
      </c>
      <c r="H732" s="649"/>
      <c r="I732" s="650">
        <v>3253.8</v>
      </c>
      <c r="J732" s="650">
        <v>151763</v>
      </c>
      <c r="K732" s="650">
        <v>11861</v>
      </c>
      <c r="L732" s="649">
        <v>41565</v>
      </c>
      <c r="M732" s="649"/>
      <c r="N732" s="650">
        <v>6069</v>
      </c>
      <c r="O732" s="650">
        <v>56015</v>
      </c>
      <c r="P732" s="650">
        <v>0</v>
      </c>
      <c r="Q732" s="649">
        <v>0</v>
      </c>
      <c r="R732" s="649"/>
      <c r="S732" s="650">
        <v>46289</v>
      </c>
      <c r="T732" s="651">
        <v>12223</v>
      </c>
      <c r="U732" s="651">
        <v>58512</v>
      </c>
    </row>
    <row r="733" spans="1:21" x14ac:dyDescent="0.25">
      <c r="A733" s="646">
        <v>98004</v>
      </c>
      <c r="B733" s="647" t="s">
        <v>3344</v>
      </c>
      <c r="C733" s="648">
        <v>1.209E-4</v>
      </c>
      <c r="D733" s="648">
        <v>1.2630000000000001E-4</v>
      </c>
      <c r="E733" s="649">
        <v>71693</v>
      </c>
      <c r="F733" s="649">
        <v>56683</v>
      </c>
      <c r="G733" s="649">
        <v>256590</v>
      </c>
      <c r="H733" s="649"/>
      <c r="I733" s="650">
        <v>4821</v>
      </c>
      <c r="J733" s="650">
        <v>224855</v>
      </c>
      <c r="K733" s="650">
        <v>17574</v>
      </c>
      <c r="L733" s="649">
        <v>29242</v>
      </c>
      <c r="M733" s="649"/>
      <c r="N733" s="650">
        <v>8991</v>
      </c>
      <c r="O733" s="650">
        <v>82993</v>
      </c>
      <c r="P733" s="650">
        <v>0</v>
      </c>
      <c r="Q733" s="649">
        <v>0</v>
      </c>
      <c r="R733" s="649"/>
      <c r="S733" s="650">
        <v>68583</v>
      </c>
      <c r="T733" s="651">
        <v>9885</v>
      </c>
      <c r="U733" s="651">
        <v>78468</v>
      </c>
    </row>
    <row r="734" spans="1:21" x14ac:dyDescent="0.25">
      <c r="A734" s="646">
        <v>98008</v>
      </c>
      <c r="B734" s="647" t="s">
        <v>3345</v>
      </c>
      <c r="C734" s="648">
        <v>7.7999999999999999E-6</v>
      </c>
      <c r="D734" s="648">
        <v>8.3000000000000002E-6</v>
      </c>
      <c r="E734" s="649">
        <v>3014</v>
      </c>
      <c r="F734" s="649">
        <v>3725</v>
      </c>
      <c r="G734" s="649">
        <v>16554</v>
      </c>
      <c r="H734" s="649"/>
      <c r="I734" s="650">
        <v>311</v>
      </c>
      <c r="J734" s="650">
        <v>14507</v>
      </c>
      <c r="K734" s="650">
        <v>1134</v>
      </c>
      <c r="L734" s="649">
        <v>0</v>
      </c>
      <c r="M734" s="649"/>
      <c r="N734" s="650">
        <v>580</v>
      </c>
      <c r="O734" s="650">
        <v>5354</v>
      </c>
      <c r="P734" s="650">
        <v>0</v>
      </c>
      <c r="Q734" s="649">
        <v>1300</v>
      </c>
      <c r="R734" s="649"/>
      <c r="S734" s="650">
        <v>4425</v>
      </c>
      <c r="T734" s="651">
        <v>-496</v>
      </c>
      <c r="U734" s="651">
        <v>3929</v>
      </c>
    </row>
    <row r="735" spans="1:21" x14ac:dyDescent="0.25">
      <c r="A735" s="646">
        <v>98011</v>
      </c>
      <c r="B735" s="647" t="s">
        <v>3346</v>
      </c>
      <c r="C735" s="648">
        <v>3.1795E-3</v>
      </c>
      <c r="D735" s="648">
        <v>3.5899E-3</v>
      </c>
      <c r="E735" s="649">
        <v>1249396</v>
      </c>
      <c r="F735" s="649">
        <v>1611126</v>
      </c>
      <c r="G735" s="649">
        <v>6747964</v>
      </c>
      <c r="H735" s="649"/>
      <c r="I735" s="650">
        <v>126783</v>
      </c>
      <c r="J735" s="650">
        <v>5913368</v>
      </c>
      <c r="K735" s="650">
        <v>462175</v>
      </c>
      <c r="L735" s="649">
        <v>0</v>
      </c>
      <c r="M735" s="649"/>
      <c r="N735" s="650">
        <v>236456</v>
      </c>
      <c r="O735" s="650">
        <v>2182593</v>
      </c>
      <c r="P735" s="650">
        <v>0</v>
      </c>
      <c r="Q735" s="649">
        <v>424125</v>
      </c>
      <c r="R735" s="649"/>
      <c r="S735" s="650">
        <v>1803632</v>
      </c>
      <c r="T735" s="651">
        <v>-139309</v>
      </c>
      <c r="U735" s="651">
        <v>1664322</v>
      </c>
    </row>
    <row r="736" spans="1:21" x14ac:dyDescent="0.25">
      <c r="A736" s="646">
        <v>98013</v>
      </c>
      <c r="B736" s="647" t="s">
        <v>3347</v>
      </c>
      <c r="C736" s="648">
        <v>1.426E-4</v>
      </c>
      <c r="D736" s="648">
        <v>1.427E-4</v>
      </c>
      <c r="E736" s="649">
        <v>126822.16</v>
      </c>
      <c r="F736" s="649">
        <v>64043</v>
      </c>
      <c r="G736" s="649">
        <v>302645</v>
      </c>
      <c r="H736" s="649"/>
      <c r="I736" s="650">
        <v>5686</v>
      </c>
      <c r="J736" s="650">
        <v>265213</v>
      </c>
      <c r="K736" s="650">
        <v>20728</v>
      </c>
      <c r="L736" s="649">
        <v>97343</v>
      </c>
      <c r="M736" s="649"/>
      <c r="N736" s="650">
        <v>10605</v>
      </c>
      <c r="O736" s="650">
        <v>97889</v>
      </c>
      <c r="P736" s="650">
        <v>0</v>
      </c>
      <c r="Q736" s="649">
        <v>4167</v>
      </c>
      <c r="R736" s="649"/>
      <c r="S736" s="650">
        <v>80893</v>
      </c>
      <c r="T736" s="651">
        <v>27256</v>
      </c>
      <c r="U736" s="651">
        <v>108149</v>
      </c>
    </row>
    <row r="737" spans="1:21" x14ac:dyDescent="0.25">
      <c r="A737" s="646">
        <v>98021</v>
      </c>
      <c r="B737" s="647" t="s">
        <v>3348</v>
      </c>
      <c r="C737" s="648">
        <v>7.5099999999999996E-5</v>
      </c>
      <c r="D737" s="648">
        <v>7.4099999999999999E-5</v>
      </c>
      <c r="E737" s="649">
        <v>28245.75</v>
      </c>
      <c r="F737" s="649">
        <v>33256</v>
      </c>
      <c r="G737" s="649">
        <v>159387</v>
      </c>
      <c r="H737" s="649"/>
      <c r="I737" s="650">
        <v>2995</v>
      </c>
      <c r="J737" s="650">
        <v>139674</v>
      </c>
      <c r="K737" s="650">
        <v>10917</v>
      </c>
      <c r="L737" s="649">
        <v>20868</v>
      </c>
      <c r="M737" s="649"/>
      <c r="N737" s="650">
        <v>5585</v>
      </c>
      <c r="O737" s="650">
        <v>51553</v>
      </c>
      <c r="P737" s="650">
        <v>0</v>
      </c>
      <c r="Q737" s="649">
        <v>1894</v>
      </c>
      <c r="R737" s="649"/>
      <c r="S737" s="650">
        <v>42602</v>
      </c>
      <c r="T737" s="651">
        <v>6826</v>
      </c>
      <c r="U737" s="651">
        <v>49428</v>
      </c>
    </row>
    <row r="738" spans="1:21" x14ac:dyDescent="0.25">
      <c r="A738" s="646">
        <v>98023</v>
      </c>
      <c r="B738" s="647" t="s">
        <v>3349</v>
      </c>
      <c r="C738" s="648">
        <v>1.45E-5</v>
      </c>
      <c r="D738" s="648">
        <v>2.1500000000000001E-5</v>
      </c>
      <c r="E738" s="649">
        <v>6210.57</v>
      </c>
      <c r="F738" s="649">
        <v>9649</v>
      </c>
      <c r="G738" s="649">
        <v>30774</v>
      </c>
      <c r="H738" s="649"/>
      <c r="I738" s="650">
        <v>578.1875</v>
      </c>
      <c r="J738" s="650">
        <v>26968</v>
      </c>
      <c r="K738" s="650">
        <v>2108</v>
      </c>
      <c r="L738" s="649">
        <v>0</v>
      </c>
      <c r="M738" s="649"/>
      <c r="N738" s="650">
        <v>1078</v>
      </c>
      <c r="O738" s="650">
        <v>9954</v>
      </c>
      <c r="P738" s="650">
        <v>0</v>
      </c>
      <c r="Q738" s="649">
        <v>7858</v>
      </c>
      <c r="R738" s="649"/>
      <c r="S738" s="650">
        <v>8225</v>
      </c>
      <c r="T738" s="651">
        <v>-2638</v>
      </c>
      <c r="U738" s="651">
        <v>5587</v>
      </c>
    </row>
    <row r="739" spans="1:21" x14ac:dyDescent="0.25">
      <c r="A739" s="646">
        <v>98031</v>
      </c>
      <c r="B739" s="647" t="s">
        <v>3350</v>
      </c>
      <c r="C739" s="648">
        <v>1.5530000000000001E-4</v>
      </c>
      <c r="D739" s="648">
        <v>1.7009999999999999E-4</v>
      </c>
      <c r="E739" s="649">
        <v>66785.13</v>
      </c>
      <c r="F739" s="649">
        <v>76340</v>
      </c>
      <c r="G739" s="649">
        <v>329599</v>
      </c>
      <c r="H739" s="649"/>
      <c r="I739" s="650">
        <v>6193</v>
      </c>
      <c r="J739" s="650">
        <v>288833</v>
      </c>
      <c r="K739" s="650">
        <v>22575</v>
      </c>
      <c r="L739" s="649">
        <v>7207</v>
      </c>
      <c r="M739" s="649"/>
      <c r="N739" s="650">
        <v>11550</v>
      </c>
      <c r="O739" s="650">
        <v>106607</v>
      </c>
      <c r="P739" s="650">
        <v>0</v>
      </c>
      <c r="Q739" s="649">
        <v>8978</v>
      </c>
      <c r="R739" s="649"/>
      <c r="S739" s="650">
        <v>88097</v>
      </c>
      <c r="T739" s="651">
        <v>-569</v>
      </c>
      <c r="U739" s="651">
        <v>87528</v>
      </c>
    </row>
    <row r="740" spans="1:21" x14ac:dyDescent="0.25">
      <c r="A740" s="646">
        <v>98041</v>
      </c>
      <c r="B740" s="647" t="s">
        <v>3351</v>
      </c>
      <c r="C740" s="648">
        <v>1.6559999999999999E-4</v>
      </c>
      <c r="D740" s="648">
        <v>1.438E-4</v>
      </c>
      <c r="E740" s="649">
        <v>62577.35</v>
      </c>
      <c r="F740" s="649">
        <v>64537</v>
      </c>
      <c r="G740" s="649">
        <v>351459</v>
      </c>
      <c r="H740" s="649"/>
      <c r="I740" s="650">
        <v>6603</v>
      </c>
      <c r="J740" s="650">
        <v>307990</v>
      </c>
      <c r="K740" s="650">
        <v>24072</v>
      </c>
      <c r="L740" s="649">
        <v>7422</v>
      </c>
      <c r="M740" s="649"/>
      <c r="N740" s="650">
        <v>12316</v>
      </c>
      <c r="O740" s="650">
        <v>113677</v>
      </c>
      <c r="P740" s="650">
        <v>0</v>
      </c>
      <c r="Q740" s="649">
        <v>9673</v>
      </c>
      <c r="R740" s="649"/>
      <c r="S740" s="650">
        <v>93940</v>
      </c>
      <c r="T740" s="651">
        <v>-1971</v>
      </c>
      <c r="U740" s="651">
        <v>91969</v>
      </c>
    </row>
    <row r="741" spans="1:21" x14ac:dyDescent="0.25">
      <c r="A741" s="646">
        <v>98051</v>
      </c>
      <c r="B741" s="647" t="s">
        <v>3352</v>
      </c>
      <c r="C741" s="648">
        <v>3.0019999999999998E-4</v>
      </c>
      <c r="D741" s="648">
        <v>2.699E-4</v>
      </c>
      <c r="E741" s="649">
        <v>123086</v>
      </c>
      <c r="F741" s="649">
        <v>121130</v>
      </c>
      <c r="G741" s="649">
        <v>637125</v>
      </c>
      <c r="H741" s="649"/>
      <c r="I741" s="650">
        <v>11970</v>
      </c>
      <c r="J741" s="650">
        <v>558325</v>
      </c>
      <c r="K741" s="650">
        <v>43637</v>
      </c>
      <c r="L741" s="649">
        <v>31222</v>
      </c>
      <c r="M741" s="649"/>
      <c r="N741" s="650">
        <v>22326</v>
      </c>
      <c r="O741" s="650">
        <v>206075</v>
      </c>
      <c r="P741" s="650">
        <v>0</v>
      </c>
      <c r="Q741" s="649">
        <v>229</v>
      </c>
      <c r="R741" s="649"/>
      <c r="S741" s="650">
        <v>170294</v>
      </c>
      <c r="T741" s="651">
        <v>9416</v>
      </c>
      <c r="U741" s="651">
        <v>179711</v>
      </c>
    </row>
    <row r="742" spans="1:21" x14ac:dyDescent="0.25">
      <c r="A742" s="646">
        <v>98061</v>
      </c>
      <c r="B742" s="647" t="s">
        <v>3353</v>
      </c>
      <c r="C742" s="648">
        <v>9.9099999999999996E-5</v>
      </c>
      <c r="D742" s="648">
        <v>1.3410000000000001E-4</v>
      </c>
      <c r="E742" s="649">
        <v>42535.31</v>
      </c>
      <c r="F742" s="649">
        <v>60183</v>
      </c>
      <c r="G742" s="649">
        <v>210323</v>
      </c>
      <c r="H742" s="649"/>
      <c r="I742" s="650">
        <v>3952</v>
      </c>
      <c r="J742" s="650">
        <v>184310</v>
      </c>
      <c r="K742" s="650">
        <v>14405</v>
      </c>
      <c r="L742" s="649">
        <v>0</v>
      </c>
      <c r="M742" s="649"/>
      <c r="N742" s="650">
        <v>7370</v>
      </c>
      <c r="O742" s="650">
        <v>68028</v>
      </c>
      <c r="P742" s="650">
        <v>0</v>
      </c>
      <c r="Q742" s="649">
        <v>24647</v>
      </c>
      <c r="R742" s="649"/>
      <c r="S742" s="650">
        <v>56216</v>
      </c>
      <c r="T742" s="651">
        <v>-7215</v>
      </c>
      <c r="U742" s="651">
        <v>49002</v>
      </c>
    </row>
    <row r="743" spans="1:21" x14ac:dyDescent="0.25">
      <c r="A743" s="646">
        <v>98071</v>
      </c>
      <c r="B743" s="647" t="s">
        <v>3354</v>
      </c>
      <c r="C743" s="648">
        <v>3.4400000000000003E-5</v>
      </c>
      <c r="D743" s="648">
        <v>3.2299999999999999E-5</v>
      </c>
      <c r="E743" s="649">
        <v>24294.65</v>
      </c>
      <c r="F743" s="649">
        <v>14496</v>
      </c>
      <c r="G743" s="649">
        <v>73008</v>
      </c>
      <c r="H743" s="649"/>
      <c r="I743" s="650">
        <v>1371.7</v>
      </c>
      <c r="J743" s="650">
        <v>63979</v>
      </c>
      <c r="K743" s="650">
        <v>5000</v>
      </c>
      <c r="L743" s="649">
        <v>9217</v>
      </c>
      <c r="M743" s="649"/>
      <c r="N743" s="650">
        <v>2558</v>
      </c>
      <c r="O743" s="650">
        <v>23614</v>
      </c>
      <c r="P743" s="650">
        <v>0</v>
      </c>
      <c r="Q743" s="649">
        <v>1859</v>
      </c>
      <c r="R743" s="649"/>
      <c r="S743" s="650">
        <v>19514</v>
      </c>
      <c r="T743" s="651">
        <v>1734</v>
      </c>
      <c r="U743" s="651">
        <v>21248</v>
      </c>
    </row>
    <row r="744" spans="1:21" x14ac:dyDescent="0.25">
      <c r="A744" s="646">
        <v>98081</v>
      </c>
      <c r="B744" s="647" t="s">
        <v>3355</v>
      </c>
      <c r="C744" s="648">
        <v>1.9400000000000001E-5</v>
      </c>
      <c r="D744" s="648">
        <v>2.0999999999999999E-5</v>
      </c>
      <c r="E744" s="649">
        <v>6798</v>
      </c>
      <c r="F744" s="649">
        <v>9425</v>
      </c>
      <c r="G744" s="649">
        <v>41173</v>
      </c>
      <c r="H744" s="649"/>
      <c r="I744" s="650">
        <v>773.57500000000005</v>
      </c>
      <c r="J744" s="650">
        <v>36081</v>
      </c>
      <c r="K744" s="650">
        <v>2820</v>
      </c>
      <c r="L744" s="649">
        <v>0</v>
      </c>
      <c r="M744" s="649"/>
      <c r="N744" s="650">
        <v>1443</v>
      </c>
      <c r="O744" s="650">
        <v>13317</v>
      </c>
      <c r="P744" s="650">
        <v>0</v>
      </c>
      <c r="Q744" s="649">
        <v>4336</v>
      </c>
      <c r="R744" s="649"/>
      <c r="S744" s="650">
        <v>11005</v>
      </c>
      <c r="T744" s="651">
        <v>-1542</v>
      </c>
      <c r="U744" s="651">
        <v>9463</v>
      </c>
    </row>
    <row r="745" spans="1:21" x14ac:dyDescent="0.25">
      <c r="A745" s="646">
        <v>98091</v>
      </c>
      <c r="B745" s="647" t="s">
        <v>3356</v>
      </c>
      <c r="C745" s="648">
        <v>5.0899999999999997E-5</v>
      </c>
      <c r="D745" s="648">
        <v>5.49E-5</v>
      </c>
      <c r="E745" s="649">
        <v>23937.15</v>
      </c>
      <c r="F745" s="649">
        <v>24639</v>
      </c>
      <c r="G745" s="649">
        <v>108027</v>
      </c>
      <c r="H745" s="649"/>
      <c r="I745" s="650">
        <v>2030</v>
      </c>
      <c r="J745" s="650">
        <v>94666</v>
      </c>
      <c r="K745" s="650">
        <v>7399</v>
      </c>
      <c r="L745" s="649">
        <v>1196</v>
      </c>
      <c r="M745" s="649"/>
      <c r="N745" s="650">
        <v>3785</v>
      </c>
      <c r="O745" s="650">
        <v>34941</v>
      </c>
      <c r="P745" s="650">
        <v>0</v>
      </c>
      <c r="Q745" s="649">
        <v>1622</v>
      </c>
      <c r="R745" s="649"/>
      <c r="S745" s="650">
        <v>28874</v>
      </c>
      <c r="T745" s="651">
        <v>-412</v>
      </c>
      <c r="U745" s="651">
        <v>28462</v>
      </c>
    </row>
    <row r="746" spans="1:21" x14ac:dyDescent="0.25">
      <c r="A746" s="646">
        <v>98101</v>
      </c>
      <c r="B746" s="647" t="s">
        <v>3357</v>
      </c>
      <c r="C746" s="648">
        <v>2.7642999999999999E-3</v>
      </c>
      <c r="D746" s="648">
        <v>2.7445E-3</v>
      </c>
      <c r="E746" s="649">
        <v>1093303.25</v>
      </c>
      <c r="F746" s="649">
        <v>1231715</v>
      </c>
      <c r="G746" s="649">
        <v>5866771</v>
      </c>
      <c r="H746" s="649"/>
      <c r="I746" s="650">
        <v>110226</v>
      </c>
      <c r="J746" s="650">
        <v>5141161</v>
      </c>
      <c r="K746" s="650">
        <v>401821</v>
      </c>
      <c r="L746" s="649">
        <v>61462</v>
      </c>
      <c r="M746" s="649"/>
      <c r="N746" s="650">
        <v>205578</v>
      </c>
      <c r="O746" s="650">
        <v>1897576</v>
      </c>
      <c r="P746" s="650">
        <v>0</v>
      </c>
      <c r="Q746" s="649">
        <v>23820</v>
      </c>
      <c r="R746" s="649"/>
      <c r="S746" s="650">
        <v>1568102</v>
      </c>
      <c r="T746" s="651">
        <v>17983</v>
      </c>
      <c r="U746" s="651">
        <v>1586085</v>
      </c>
    </row>
    <row r="747" spans="1:21" x14ac:dyDescent="0.25">
      <c r="A747" s="646">
        <v>98102</v>
      </c>
      <c r="B747" s="647" t="s">
        <v>3358</v>
      </c>
      <c r="C747" s="648">
        <v>1.683E-4</v>
      </c>
      <c r="D747" s="648">
        <v>1.7259999999999999E-4</v>
      </c>
      <c r="E747" s="649">
        <v>69015</v>
      </c>
      <c r="F747" s="649">
        <v>77462</v>
      </c>
      <c r="G747" s="649">
        <v>357189</v>
      </c>
      <c r="H747" s="649"/>
      <c r="I747" s="650">
        <v>6711</v>
      </c>
      <c r="J747" s="650">
        <v>313011</v>
      </c>
      <c r="K747" s="650">
        <v>24464</v>
      </c>
      <c r="L747" s="649">
        <v>0</v>
      </c>
      <c r="M747" s="649"/>
      <c r="N747" s="650">
        <v>12516</v>
      </c>
      <c r="O747" s="650">
        <v>115531</v>
      </c>
      <c r="P747" s="650">
        <v>0</v>
      </c>
      <c r="Q747" s="649">
        <v>10404</v>
      </c>
      <c r="R747" s="649"/>
      <c r="S747" s="650">
        <v>95471</v>
      </c>
      <c r="T747" s="651">
        <v>-3682</v>
      </c>
      <c r="U747" s="651">
        <v>91789</v>
      </c>
    </row>
    <row r="748" spans="1:21" x14ac:dyDescent="0.25">
      <c r="A748" s="646">
        <v>98103</v>
      </c>
      <c r="B748" s="647" t="s">
        <v>3359</v>
      </c>
      <c r="C748" s="648">
        <v>5.3600000000000002E-4</v>
      </c>
      <c r="D748" s="648">
        <v>5.7140000000000001E-4</v>
      </c>
      <c r="E748" s="649">
        <v>233081</v>
      </c>
      <c r="F748" s="649">
        <v>256441</v>
      </c>
      <c r="G748" s="649">
        <v>1137571.56</v>
      </c>
      <c r="H748" s="649"/>
      <c r="I748" s="650">
        <v>21373</v>
      </c>
      <c r="J748" s="650">
        <v>996875</v>
      </c>
      <c r="K748" s="650">
        <v>77913</v>
      </c>
      <c r="L748" s="649">
        <v>0</v>
      </c>
      <c r="M748" s="649"/>
      <c r="N748" s="650">
        <v>39862</v>
      </c>
      <c r="O748" s="650">
        <v>367941</v>
      </c>
      <c r="P748" s="650">
        <v>0</v>
      </c>
      <c r="Q748" s="649">
        <v>46538</v>
      </c>
      <c r="R748" s="649"/>
      <c r="S748" s="650">
        <v>304056</v>
      </c>
      <c r="T748" s="651">
        <v>-19483</v>
      </c>
      <c r="U748" s="651">
        <v>284573</v>
      </c>
    </row>
    <row r="749" spans="1:21" x14ac:dyDescent="0.25">
      <c r="A749" s="646">
        <v>98107</v>
      </c>
      <c r="B749" s="647" t="s">
        <v>3360</v>
      </c>
      <c r="C749" s="648">
        <v>1.08E-5</v>
      </c>
      <c r="D749" s="648">
        <v>1.15E-5</v>
      </c>
      <c r="E749" s="649">
        <v>8652</v>
      </c>
      <c r="F749" s="649">
        <v>5161</v>
      </c>
      <c r="G749" s="649">
        <v>22921</v>
      </c>
      <c r="H749" s="649"/>
      <c r="I749" s="650">
        <v>430.65</v>
      </c>
      <c r="J749" s="650">
        <v>20086</v>
      </c>
      <c r="K749" s="650">
        <v>1570</v>
      </c>
      <c r="L749" s="649">
        <v>7420</v>
      </c>
      <c r="M749" s="649"/>
      <c r="N749" s="650">
        <v>803</v>
      </c>
      <c r="O749" s="650">
        <v>7414</v>
      </c>
      <c r="P749" s="650">
        <v>0</v>
      </c>
      <c r="Q749" s="649">
        <v>0</v>
      </c>
      <c r="R749" s="649"/>
      <c r="S749" s="650">
        <v>6127</v>
      </c>
      <c r="T749" s="651">
        <v>2610</v>
      </c>
      <c r="U749" s="651">
        <v>8737</v>
      </c>
    </row>
    <row r="750" spans="1:21" x14ac:dyDescent="0.25">
      <c r="A750" s="646">
        <v>98109</v>
      </c>
      <c r="B750" s="647" t="s">
        <v>3361</v>
      </c>
      <c r="C750" s="648">
        <v>1.4660000000000001E-4</v>
      </c>
      <c r="D750" s="648">
        <v>2.0680000000000001E-4</v>
      </c>
      <c r="E750" s="649">
        <v>66395.14</v>
      </c>
      <c r="F750" s="649">
        <v>92811</v>
      </c>
      <c r="G750" s="649">
        <v>311134</v>
      </c>
      <c r="H750" s="649"/>
      <c r="I750" s="650">
        <v>5846</v>
      </c>
      <c r="J750" s="650">
        <v>272653</v>
      </c>
      <c r="K750" s="650">
        <v>21310</v>
      </c>
      <c r="L750" s="649">
        <v>3018</v>
      </c>
      <c r="M750" s="649"/>
      <c r="N750" s="650">
        <v>10902</v>
      </c>
      <c r="O750" s="650">
        <v>100635</v>
      </c>
      <c r="P750" s="650">
        <v>0</v>
      </c>
      <c r="Q750" s="649">
        <v>35765</v>
      </c>
      <c r="R750" s="649"/>
      <c r="S750" s="650">
        <v>83162</v>
      </c>
      <c r="T750" s="651">
        <v>-10144</v>
      </c>
      <c r="U750" s="651">
        <v>73018</v>
      </c>
    </row>
    <row r="751" spans="1:21" x14ac:dyDescent="0.25">
      <c r="A751" s="646">
        <v>98111</v>
      </c>
      <c r="B751" s="647" t="s">
        <v>3362</v>
      </c>
      <c r="C751" s="648">
        <v>1.0191E-3</v>
      </c>
      <c r="D751" s="648">
        <v>1.0443E-3</v>
      </c>
      <c r="E751" s="649">
        <v>380231</v>
      </c>
      <c r="F751" s="649">
        <v>468676</v>
      </c>
      <c r="G751" s="649">
        <v>2162872</v>
      </c>
      <c r="H751" s="649"/>
      <c r="I751" s="650">
        <v>40637</v>
      </c>
      <c r="J751" s="650">
        <v>1895365</v>
      </c>
      <c r="K751" s="650">
        <v>148137</v>
      </c>
      <c r="L751" s="649">
        <v>0</v>
      </c>
      <c r="M751" s="649"/>
      <c r="N751" s="650">
        <v>75789</v>
      </c>
      <c r="O751" s="650">
        <v>699569</v>
      </c>
      <c r="P751" s="650">
        <v>0</v>
      </c>
      <c r="Q751" s="649">
        <v>50975</v>
      </c>
      <c r="R751" s="649"/>
      <c r="S751" s="650">
        <v>578104</v>
      </c>
      <c r="T751" s="651">
        <v>-14078</v>
      </c>
      <c r="U751" s="651">
        <v>564026</v>
      </c>
    </row>
    <row r="752" spans="1:21" x14ac:dyDescent="0.25">
      <c r="A752" s="646">
        <v>98113</v>
      </c>
      <c r="B752" s="647" t="s">
        <v>3363</v>
      </c>
      <c r="C752" s="648">
        <v>3.8999999999999999E-5</v>
      </c>
      <c r="D752" s="648">
        <v>4.1399999999999997E-5</v>
      </c>
      <c r="E752" s="649">
        <v>20070.23</v>
      </c>
      <c r="F752" s="649">
        <v>18580</v>
      </c>
      <c r="G752" s="649">
        <v>82771</v>
      </c>
      <c r="H752" s="649"/>
      <c r="I752" s="650">
        <v>1555.125</v>
      </c>
      <c r="J752" s="650">
        <v>72534</v>
      </c>
      <c r="K752" s="650">
        <v>5669</v>
      </c>
      <c r="L752" s="649">
        <v>8069</v>
      </c>
      <c r="M752" s="649"/>
      <c r="N752" s="650">
        <v>2900</v>
      </c>
      <c r="O752" s="650">
        <v>26772</v>
      </c>
      <c r="P752" s="650">
        <v>0</v>
      </c>
      <c r="Q752" s="649">
        <v>0</v>
      </c>
      <c r="R752" s="649"/>
      <c r="S752" s="650">
        <v>22123</v>
      </c>
      <c r="T752" s="651">
        <v>2983</v>
      </c>
      <c r="U752" s="651">
        <v>25107</v>
      </c>
    </row>
    <row r="753" spans="1:21" x14ac:dyDescent="0.25">
      <c r="A753" s="646">
        <v>98121</v>
      </c>
      <c r="B753" s="647" t="s">
        <v>3364</v>
      </c>
      <c r="C753" s="648">
        <v>2.2910000000000001E-4</v>
      </c>
      <c r="D753" s="648">
        <v>2.0689999999999999E-4</v>
      </c>
      <c r="E753" s="649">
        <v>79942.31</v>
      </c>
      <c r="F753" s="649">
        <v>92855</v>
      </c>
      <c r="G753" s="649">
        <v>486227</v>
      </c>
      <c r="H753" s="649"/>
      <c r="I753" s="650">
        <v>9135</v>
      </c>
      <c r="J753" s="650">
        <v>426090</v>
      </c>
      <c r="K753" s="650">
        <v>33302</v>
      </c>
      <c r="L753" s="649">
        <v>3951</v>
      </c>
      <c r="M753" s="649"/>
      <c r="N753" s="650">
        <v>17038</v>
      </c>
      <c r="O753" s="650">
        <v>157268</v>
      </c>
      <c r="P753" s="650">
        <v>0</v>
      </c>
      <c r="Q753" s="649">
        <v>6313</v>
      </c>
      <c r="R753" s="649"/>
      <c r="S753" s="650">
        <v>129961</v>
      </c>
      <c r="T753" s="651">
        <v>-421</v>
      </c>
      <c r="U753" s="651">
        <v>129540</v>
      </c>
    </row>
    <row r="754" spans="1:21" x14ac:dyDescent="0.25">
      <c r="A754" s="646">
        <v>98131</v>
      </c>
      <c r="B754" s="647" t="s">
        <v>3365</v>
      </c>
      <c r="C754" s="648">
        <v>2.9569999999999998E-4</v>
      </c>
      <c r="D754" s="648">
        <v>3.0610000000000001E-4</v>
      </c>
      <c r="E754" s="649">
        <v>112056</v>
      </c>
      <c r="F754" s="649">
        <v>137376</v>
      </c>
      <c r="G754" s="649">
        <v>627574</v>
      </c>
      <c r="H754" s="649"/>
      <c r="I754" s="650">
        <v>11791</v>
      </c>
      <c r="J754" s="650">
        <v>549955</v>
      </c>
      <c r="K754" s="650">
        <v>42983</v>
      </c>
      <c r="L754" s="649">
        <v>0</v>
      </c>
      <c r="M754" s="649"/>
      <c r="N754" s="650">
        <v>21991</v>
      </c>
      <c r="O754" s="650">
        <v>202986</v>
      </c>
      <c r="P754" s="650">
        <v>0</v>
      </c>
      <c r="Q754" s="649">
        <v>44899</v>
      </c>
      <c r="R754" s="649"/>
      <c r="S754" s="650">
        <v>167741</v>
      </c>
      <c r="T754" s="651">
        <v>-17153</v>
      </c>
      <c r="U754" s="651">
        <v>150589</v>
      </c>
    </row>
    <row r="755" spans="1:21" x14ac:dyDescent="0.25">
      <c r="A755" s="646">
        <v>98141</v>
      </c>
      <c r="B755" s="647" t="s">
        <v>3366</v>
      </c>
      <c r="C755" s="648">
        <v>2.9030000000000001E-4</v>
      </c>
      <c r="D755" s="648">
        <v>3.033E-4</v>
      </c>
      <c r="E755" s="649">
        <v>104128</v>
      </c>
      <c r="F755" s="649">
        <v>136119</v>
      </c>
      <c r="G755" s="649">
        <v>616114</v>
      </c>
      <c r="H755" s="649"/>
      <c r="I755" s="650">
        <v>11576</v>
      </c>
      <c r="J755" s="650">
        <v>539912</v>
      </c>
      <c r="K755" s="650">
        <v>42198</v>
      </c>
      <c r="L755" s="649">
        <v>1495</v>
      </c>
      <c r="M755" s="649"/>
      <c r="N755" s="650">
        <v>21589</v>
      </c>
      <c r="O755" s="650">
        <v>199279</v>
      </c>
      <c r="P755" s="650">
        <v>0</v>
      </c>
      <c r="Q755" s="649">
        <v>35601</v>
      </c>
      <c r="R755" s="649"/>
      <c r="S755" s="650">
        <v>164678</v>
      </c>
      <c r="T755" s="651">
        <v>-12695</v>
      </c>
      <c r="U755" s="651">
        <v>151983</v>
      </c>
    </row>
    <row r="756" spans="1:21" x14ac:dyDescent="0.25">
      <c r="A756" s="646">
        <v>98147</v>
      </c>
      <c r="B756" s="647" t="s">
        <v>3367</v>
      </c>
      <c r="C756" s="648">
        <v>1.29E-5</v>
      </c>
      <c r="D756" s="648">
        <v>1.03E-5</v>
      </c>
      <c r="E756" s="649">
        <v>8826</v>
      </c>
      <c r="F756" s="649">
        <v>4623</v>
      </c>
      <c r="G756" s="649">
        <v>27378</v>
      </c>
      <c r="H756" s="649"/>
      <c r="I756" s="650">
        <v>514</v>
      </c>
      <c r="J756" s="650">
        <v>23992</v>
      </c>
      <c r="K756" s="650">
        <v>1875</v>
      </c>
      <c r="L756" s="649">
        <v>7556</v>
      </c>
      <c r="M756" s="649"/>
      <c r="N756" s="650">
        <v>959</v>
      </c>
      <c r="O756" s="650">
        <v>8855</v>
      </c>
      <c r="P756" s="650">
        <v>0</v>
      </c>
      <c r="Q756" s="649">
        <v>0</v>
      </c>
      <c r="R756" s="649"/>
      <c r="S756" s="650">
        <v>7318</v>
      </c>
      <c r="T756" s="651">
        <v>2501</v>
      </c>
      <c r="U756" s="651">
        <v>9819</v>
      </c>
    </row>
    <row r="757" spans="1:21" x14ac:dyDescent="0.25">
      <c r="A757" s="646">
        <v>98161</v>
      </c>
      <c r="B757" s="647" t="s">
        <v>3368</v>
      </c>
      <c r="C757" s="648">
        <v>7.4000000000000003E-6</v>
      </c>
      <c r="D757" s="648">
        <v>7.6000000000000001E-6</v>
      </c>
      <c r="E757" s="649">
        <v>4425</v>
      </c>
      <c r="F757" s="649">
        <v>3411</v>
      </c>
      <c r="G757" s="649">
        <v>15705</v>
      </c>
      <c r="H757" s="649"/>
      <c r="I757" s="650">
        <v>295.07499999999999</v>
      </c>
      <c r="J757" s="650">
        <v>13763</v>
      </c>
      <c r="K757" s="650">
        <v>1076</v>
      </c>
      <c r="L757" s="649">
        <v>2152</v>
      </c>
      <c r="M757" s="649"/>
      <c r="N757" s="650">
        <v>550</v>
      </c>
      <c r="O757" s="650">
        <v>5080</v>
      </c>
      <c r="P757" s="650">
        <v>0</v>
      </c>
      <c r="Q757" s="649">
        <v>0</v>
      </c>
      <c r="R757" s="649"/>
      <c r="S757" s="650">
        <v>4198</v>
      </c>
      <c r="T757" s="651">
        <v>752</v>
      </c>
      <c r="U757" s="651">
        <v>4950</v>
      </c>
    </row>
    <row r="758" spans="1:21" x14ac:dyDescent="0.25">
      <c r="A758" s="646">
        <v>98201</v>
      </c>
      <c r="B758" s="647" t="s">
        <v>3369</v>
      </c>
      <c r="C758" s="648">
        <v>3.0368999999999999E-3</v>
      </c>
      <c r="D758" s="648">
        <v>3.0019999999999999E-3</v>
      </c>
      <c r="E758" s="649">
        <v>1202574.5</v>
      </c>
      <c r="F758" s="649">
        <v>1347280</v>
      </c>
      <c r="G758" s="649">
        <v>6445319</v>
      </c>
      <c r="H758" s="649"/>
      <c r="I758" s="650">
        <v>121096</v>
      </c>
      <c r="J758" s="650">
        <v>5648154</v>
      </c>
      <c r="K758" s="650">
        <v>441447</v>
      </c>
      <c r="L758" s="649">
        <v>0</v>
      </c>
      <c r="M758" s="649"/>
      <c r="N758" s="650">
        <v>225851</v>
      </c>
      <c r="O758" s="650">
        <v>2084704</v>
      </c>
      <c r="P758" s="650">
        <v>0</v>
      </c>
      <c r="Q758" s="649">
        <v>60876</v>
      </c>
      <c r="R758" s="649"/>
      <c r="S758" s="650">
        <v>1722739</v>
      </c>
      <c r="T758" s="651">
        <v>-21268</v>
      </c>
      <c r="U758" s="651">
        <v>1701471</v>
      </c>
    </row>
    <row r="759" spans="1:21" x14ac:dyDescent="0.25">
      <c r="A759" s="646">
        <v>98205</v>
      </c>
      <c r="B759" s="647" t="s">
        <v>3370</v>
      </c>
      <c r="C759" s="648">
        <v>5.13E-5</v>
      </c>
      <c r="D759" s="648">
        <v>5.02E-5</v>
      </c>
      <c r="E759" s="649">
        <v>23400</v>
      </c>
      <c r="F759" s="649">
        <v>22529</v>
      </c>
      <c r="G759" s="649">
        <v>108876</v>
      </c>
      <c r="H759" s="649"/>
      <c r="I759" s="650">
        <v>2046</v>
      </c>
      <c r="J759" s="650">
        <v>95410</v>
      </c>
      <c r="K759" s="650">
        <v>7457</v>
      </c>
      <c r="L759" s="649">
        <v>2803</v>
      </c>
      <c r="M759" s="649"/>
      <c r="N759" s="650">
        <v>3815</v>
      </c>
      <c r="O759" s="650">
        <v>35215</v>
      </c>
      <c r="P759" s="650">
        <v>0</v>
      </c>
      <c r="Q759" s="649">
        <v>1718</v>
      </c>
      <c r="R759" s="649"/>
      <c r="S759" s="650">
        <v>29101</v>
      </c>
      <c r="T759" s="651">
        <v>209</v>
      </c>
      <c r="U759" s="651">
        <v>29310</v>
      </c>
    </row>
    <row r="760" spans="1:21" x14ac:dyDescent="0.25">
      <c r="A760" s="646">
        <v>98211</v>
      </c>
      <c r="B760" s="647" t="s">
        <v>3371</v>
      </c>
      <c r="C760" s="648">
        <v>9.1609999999999999E-4</v>
      </c>
      <c r="D760" s="648">
        <v>9.4729999999999999E-4</v>
      </c>
      <c r="E760" s="649">
        <v>316266.55</v>
      </c>
      <c r="F760" s="649">
        <v>425143</v>
      </c>
      <c r="G760" s="649">
        <v>1944271</v>
      </c>
      <c r="H760" s="649"/>
      <c r="I760" s="650">
        <v>36529</v>
      </c>
      <c r="J760" s="650">
        <v>1703801</v>
      </c>
      <c r="K760" s="650">
        <v>133165</v>
      </c>
      <c r="L760" s="649">
        <v>0</v>
      </c>
      <c r="M760" s="649"/>
      <c r="N760" s="650">
        <v>68129</v>
      </c>
      <c r="O760" s="650">
        <v>628864</v>
      </c>
      <c r="P760" s="650">
        <v>0</v>
      </c>
      <c r="Q760" s="649">
        <v>112970</v>
      </c>
      <c r="R760" s="649"/>
      <c r="S760" s="650">
        <v>519675</v>
      </c>
      <c r="T760" s="651">
        <v>-35337</v>
      </c>
      <c r="U760" s="651">
        <v>484338</v>
      </c>
    </row>
    <row r="761" spans="1:21" x14ac:dyDescent="0.25">
      <c r="A761" s="646">
        <v>98218</v>
      </c>
      <c r="B761" s="647" t="s">
        <v>3372</v>
      </c>
      <c r="C761" s="648">
        <v>1.0200000000000001E-5</v>
      </c>
      <c r="D761" s="648">
        <v>1.08E-5</v>
      </c>
      <c r="E761" s="649">
        <v>4407.67</v>
      </c>
      <c r="F761" s="649">
        <v>4847</v>
      </c>
      <c r="G761" s="649">
        <v>21648</v>
      </c>
      <c r="H761" s="649"/>
      <c r="I761" s="650">
        <v>406.72500000000002</v>
      </c>
      <c r="J761" s="650">
        <v>18970</v>
      </c>
      <c r="K761" s="650">
        <v>1483</v>
      </c>
      <c r="L761" s="649">
        <v>0</v>
      </c>
      <c r="M761" s="649"/>
      <c r="N761" s="650">
        <v>759</v>
      </c>
      <c r="O761" s="650">
        <v>7002</v>
      </c>
      <c r="P761" s="650">
        <v>0</v>
      </c>
      <c r="Q761" s="649">
        <v>1864</v>
      </c>
      <c r="R761" s="649"/>
      <c r="S761" s="650">
        <v>5786</v>
      </c>
      <c r="T761" s="651">
        <v>-792</v>
      </c>
      <c r="U761" s="651">
        <v>4994</v>
      </c>
    </row>
    <row r="762" spans="1:21" x14ac:dyDescent="0.25">
      <c r="A762" s="646">
        <v>98221</v>
      </c>
      <c r="B762" s="647" t="s">
        <v>3373</v>
      </c>
      <c r="C762" s="648">
        <v>1.6799999999999998E-5</v>
      </c>
      <c r="D762" s="648">
        <v>1.5999999999999999E-5</v>
      </c>
      <c r="E762" s="649">
        <v>9584.15</v>
      </c>
      <c r="F762" s="649">
        <v>7181</v>
      </c>
      <c r="G762" s="649">
        <v>35655</v>
      </c>
      <c r="H762" s="649"/>
      <c r="I762" s="650">
        <v>669.9</v>
      </c>
      <c r="J762" s="650">
        <v>31245</v>
      </c>
      <c r="K762" s="650">
        <v>2442</v>
      </c>
      <c r="L762" s="649">
        <v>3240</v>
      </c>
      <c r="M762" s="649"/>
      <c r="N762" s="650">
        <v>1249</v>
      </c>
      <c r="O762" s="650">
        <v>11532</v>
      </c>
      <c r="P762" s="650">
        <v>0</v>
      </c>
      <c r="Q762" s="649">
        <v>0</v>
      </c>
      <c r="R762" s="649"/>
      <c r="S762" s="650">
        <v>9530</v>
      </c>
      <c r="T762" s="651">
        <v>905</v>
      </c>
      <c r="U762" s="651">
        <v>10435</v>
      </c>
    </row>
    <row r="763" spans="1:21" x14ac:dyDescent="0.25">
      <c r="A763" s="646">
        <v>98231</v>
      </c>
      <c r="B763" s="647" t="s">
        <v>3374</v>
      </c>
      <c r="C763" s="648">
        <v>3.1999999999999999E-5</v>
      </c>
      <c r="D763" s="648">
        <v>3.7400000000000001E-5</v>
      </c>
      <c r="E763" s="649">
        <v>13931.16</v>
      </c>
      <c r="F763" s="649">
        <v>16785</v>
      </c>
      <c r="G763" s="649">
        <v>67914.720000000001</v>
      </c>
      <c r="H763" s="649"/>
      <c r="I763" s="650">
        <v>1276</v>
      </c>
      <c r="J763" s="650">
        <v>59515</v>
      </c>
      <c r="K763" s="650">
        <v>4652</v>
      </c>
      <c r="L763" s="649">
        <v>2641</v>
      </c>
      <c r="M763" s="649"/>
      <c r="N763" s="650">
        <v>2380</v>
      </c>
      <c r="O763" s="650">
        <v>21967</v>
      </c>
      <c r="P763" s="650">
        <v>0</v>
      </c>
      <c r="Q763" s="649">
        <v>7471</v>
      </c>
      <c r="R763" s="649"/>
      <c r="S763" s="650">
        <v>18153</v>
      </c>
      <c r="T763" s="651">
        <v>-2254</v>
      </c>
      <c r="U763" s="651">
        <v>15898</v>
      </c>
    </row>
    <row r="764" spans="1:21" x14ac:dyDescent="0.25">
      <c r="A764" s="646">
        <v>98237</v>
      </c>
      <c r="B764" s="647" t="s">
        <v>3375</v>
      </c>
      <c r="C764" s="648">
        <v>2.7E-6</v>
      </c>
      <c r="D764" s="648">
        <v>2.9000000000000002E-6</v>
      </c>
      <c r="E764" s="649">
        <v>2767</v>
      </c>
      <c r="F764" s="649">
        <v>1302</v>
      </c>
      <c r="G764" s="649">
        <v>5730</v>
      </c>
      <c r="H764" s="649"/>
      <c r="I764" s="650">
        <v>107.66249999999999</v>
      </c>
      <c r="J764" s="650">
        <v>5022</v>
      </c>
      <c r="K764" s="650">
        <v>392</v>
      </c>
      <c r="L764" s="649">
        <v>2342</v>
      </c>
      <c r="M764" s="649"/>
      <c r="N764" s="650">
        <v>201</v>
      </c>
      <c r="O764" s="650">
        <v>1853</v>
      </c>
      <c r="P764" s="650">
        <v>0</v>
      </c>
      <c r="Q764" s="649">
        <v>0</v>
      </c>
      <c r="R764" s="649"/>
      <c r="S764" s="650">
        <v>1532</v>
      </c>
      <c r="T764" s="651">
        <v>795</v>
      </c>
      <c r="U764" s="651">
        <v>2326</v>
      </c>
    </row>
    <row r="765" spans="1:21" x14ac:dyDescent="0.25">
      <c r="A765" s="646">
        <v>98241</v>
      </c>
      <c r="B765" s="647" t="s">
        <v>3376</v>
      </c>
      <c r="C765" s="648">
        <v>1.98E-5</v>
      </c>
      <c r="D765" s="648">
        <v>1.0200000000000001E-5</v>
      </c>
      <c r="E765" s="649">
        <v>7741</v>
      </c>
      <c r="F765" s="649">
        <v>4578</v>
      </c>
      <c r="G765" s="649">
        <v>42022</v>
      </c>
      <c r="H765" s="649"/>
      <c r="I765" s="650">
        <v>789.52499999999998</v>
      </c>
      <c r="J765" s="650">
        <v>36825</v>
      </c>
      <c r="K765" s="650">
        <v>2878</v>
      </c>
      <c r="L765" s="649">
        <v>8690</v>
      </c>
      <c r="M765" s="649"/>
      <c r="N765" s="650">
        <v>1473</v>
      </c>
      <c r="O765" s="650">
        <v>13592</v>
      </c>
      <c r="P765" s="650">
        <v>0</v>
      </c>
      <c r="Q765" s="649">
        <v>331</v>
      </c>
      <c r="R765" s="649"/>
      <c r="S765" s="650">
        <v>11232</v>
      </c>
      <c r="T765" s="651">
        <v>3061</v>
      </c>
      <c r="U765" s="651">
        <v>14293</v>
      </c>
    </row>
    <row r="766" spans="1:21" x14ac:dyDescent="0.25">
      <c r="A766" s="646">
        <v>98251</v>
      </c>
      <c r="B766" s="647" t="s">
        <v>3377</v>
      </c>
      <c r="C766" s="648">
        <v>3.1E-6</v>
      </c>
      <c r="D766" s="648">
        <v>3.1E-6</v>
      </c>
      <c r="E766" s="649">
        <v>1870</v>
      </c>
      <c r="F766" s="649">
        <v>1391</v>
      </c>
      <c r="G766" s="649">
        <v>6579</v>
      </c>
      <c r="H766" s="649"/>
      <c r="I766" s="650">
        <v>123.6125</v>
      </c>
      <c r="J766" s="650">
        <v>5766</v>
      </c>
      <c r="K766" s="650">
        <v>451</v>
      </c>
      <c r="L766" s="649">
        <v>1191</v>
      </c>
      <c r="M766" s="649"/>
      <c r="N766" s="650">
        <v>231</v>
      </c>
      <c r="O766" s="650">
        <v>2128</v>
      </c>
      <c r="P766" s="650">
        <v>0</v>
      </c>
      <c r="Q766" s="649">
        <v>0</v>
      </c>
      <c r="R766" s="649"/>
      <c r="S766" s="650">
        <v>1759</v>
      </c>
      <c r="T766" s="651">
        <v>412</v>
      </c>
      <c r="U766" s="651">
        <v>2171</v>
      </c>
    </row>
    <row r="767" spans="1:21" x14ac:dyDescent="0.25">
      <c r="A767" s="646">
        <v>98261</v>
      </c>
      <c r="B767" s="647" t="s">
        <v>3378</v>
      </c>
      <c r="C767" s="648">
        <v>2.97E-5</v>
      </c>
      <c r="D767" s="648">
        <v>4.3099999999999997E-5</v>
      </c>
      <c r="E767" s="649">
        <v>12989.23</v>
      </c>
      <c r="F767" s="649">
        <v>19343</v>
      </c>
      <c r="G767" s="649">
        <v>63033</v>
      </c>
      <c r="H767" s="649"/>
      <c r="I767" s="650">
        <v>1184</v>
      </c>
      <c r="J767" s="650">
        <v>55237</v>
      </c>
      <c r="K767" s="650">
        <v>4317</v>
      </c>
      <c r="L767" s="649">
        <v>4504</v>
      </c>
      <c r="M767" s="649"/>
      <c r="N767" s="650">
        <v>2209</v>
      </c>
      <c r="O767" s="650">
        <v>20388</v>
      </c>
      <c r="P767" s="650">
        <v>0</v>
      </c>
      <c r="Q767" s="649">
        <v>6643</v>
      </c>
      <c r="R767" s="649"/>
      <c r="S767" s="650">
        <v>16848</v>
      </c>
      <c r="T767" s="651">
        <v>-118</v>
      </c>
      <c r="U767" s="651">
        <v>16730</v>
      </c>
    </row>
    <row r="768" spans="1:21" x14ac:dyDescent="0.25">
      <c r="A768" s="646">
        <v>98271</v>
      </c>
      <c r="B768" s="647" t="s">
        <v>3379</v>
      </c>
      <c r="C768" s="648">
        <v>4.5000000000000001E-6</v>
      </c>
      <c r="D768" s="648">
        <v>3.4000000000000001E-6</v>
      </c>
      <c r="E768" s="649">
        <v>3055</v>
      </c>
      <c r="F768" s="649">
        <v>1526</v>
      </c>
      <c r="G768" s="649">
        <v>9551</v>
      </c>
      <c r="H768" s="649"/>
      <c r="I768" s="650">
        <v>179.4375</v>
      </c>
      <c r="J768" s="650">
        <v>8369</v>
      </c>
      <c r="K768" s="650">
        <v>654</v>
      </c>
      <c r="L768" s="649">
        <v>3951</v>
      </c>
      <c r="M768" s="649"/>
      <c r="N768" s="650">
        <v>335</v>
      </c>
      <c r="O768" s="650">
        <v>3089</v>
      </c>
      <c r="P768" s="650">
        <v>0</v>
      </c>
      <c r="Q768" s="649">
        <v>0</v>
      </c>
      <c r="R768" s="649"/>
      <c r="S768" s="650">
        <v>2553</v>
      </c>
      <c r="T768" s="651">
        <v>1392</v>
      </c>
      <c r="U768" s="651">
        <v>3945</v>
      </c>
    </row>
    <row r="769" spans="1:21" x14ac:dyDescent="0.25">
      <c r="A769" s="646">
        <v>98301</v>
      </c>
      <c r="B769" s="647" t="s">
        <v>3380</v>
      </c>
      <c r="C769" s="648">
        <v>1.7776999999999999E-3</v>
      </c>
      <c r="D769" s="648">
        <v>1.7478999999999999E-3</v>
      </c>
      <c r="E769" s="649">
        <v>735954</v>
      </c>
      <c r="F769" s="649">
        <v>784447</v>
      </c>
      <c r="G769" s="649">
        <v>3772875</v>
      </c>
      <c r="H769" s="649"/>
      <c r="I769" s="650">
        <v>70886</v>
      </c>
      <c r="J769" s="650">
        <v>3306241</v>
      </c>
      <c r="K769" s="650">
        <v>258408</v>
      </c>
      <c r="L769" s="649">
        <v>76085</v>
      </c>
      <c r="M769" s="649"/>
      <c r="N769" s="650">
        <v>132206</v>
      </c>
      <c r="O769" s="650">
        <v>1220316</v>
      </c>
      <c r="P769" s="650">
        <v>0</v>
      </c>
      <c r="Q769" s="649">
        <v>15711</v>
      </c>
      <c r="R769" s="649"/>
      <c r="S769" s="650">
        <v>1008434</v>
      </c>
      <c r="T769" s="651">
        <v>17172</v>
      </c>
      <c r="U769" s="651">
        <v>1025606</v>
      </c>
    </row>
    <row r="770" spans="1:21" x14ac:dyDescent="0.25">
      <c r="A770" s="646">
        <v>98304</v>
      </c>
      <c r="B770" s="647" t="s">
        <v>3381</v>
      </c>
      <c r="C770" s="648">
        <v>2.2900000000000001E-5</v>
      </c>
      <c r="D770" s="648">
        <v>2.4499999999999999E-5</v>
      </c>
      <c r="E770" s="649">
        <v>11386</v>
      </c>
      <c r="F770" s="649">
        <v>10995</v>
      </c>
      <c r="G770" s="649">
        <v>48601</v>
      </c>
      <c r="H770" s="649"/>
      <c r="I770" s="650">
        <v>913.13750000000005</v>
      </c>
      <c r="J770" s="650">
        <v>42590</v>
      </c>
      <c r="K770" s="650">
        <v>3329</v>
      </c>
      <c r="L770" s="649">
        <v>1590</v>
      </c>
      <c r="M770" s="649"/>
      <c r="N770" s="650">
        <v>1703</v>
      </c>
      <c r="O770" s="650">
        <v>15720</v>
      </c>
      <c r="P770" s="650">
        <v>0</v>
      </c>
      <c r="Q770" s="649">
        <v>0</v>
      </c>
      <c r="R770" s="649"/>
      <c r="S770" s="650">
        <v>12990</v>
      </c>
      <c r="T770" s="651">
        <v>514</v>
      </c>
      <c r="U770" s="651">
        <v>13504</v>
      </c>
    </row>
    <row r="771" spans="1:21" x14ac:dyDescent="0.25">
      <c r="A771" s="646">
        <v>98308</v>
      </c>
      <c r="B771" s="647" t="s">
        <v>3382</v>
      </c>
      <c r="C771" s="648">
        <v>2.55E-5</v>
      </c>
      <c r="D771" s="648">
        <v>2.5000000000000001E-5</v>
      </c>
      <c r="E771" s="649">
        <v>13855</v>
      </c>
      <c r="F771" s="649">
        <v>11219.85</v>
      </c>
      <c r="G771" s="649">
        <v>54120</v>
      </c>
      <c r="H771" s="649"/>
      <c r="I771" s="650">
        <v>1016.8125</v>
      </c>
      <c r="J771" s="650">
        <v>47426</v>
      </c>
      <c r="K771" s="650">
        <v>3707</v>
      </c>
      <c r="L771" s="649">
        <v>7689</v>
      </c>
      <c r="M771" s="649"/>
      <c r="N771" s="650">
        <v>1896</v>
      </c>
      <c r="O771" s="650">
        <v>17505</v>
      </c>
      <c r="P771" s="650">
        <v>0</v>
      </c>
      <c r="Q771" s="649">
        <v>0</v>
      </c>
      <c r="R771" s="649"/>
      <c r="S771" s="650">
        <v>14465</v>
      </c>
      <c r="T771" s="651">
        <v>2796</v>
      </c>
      <c r="U771" s="651">
        <v>17261</v>
      </c>
    </row>
    <row r="772" spans="1:21" x14ac:dyDescent="0.25">
      <c r="A772" s="646">
        <v>98311</v>
      </c>
      <c r="B772" s="647" t="s">
        <v>3383</v>
      </c>
      <c r="C772" s="648">
        <v>1.1441999999999999E-3</v>
      </c>
      <c r="D772" s="648">
        <v>1.1704E-3</v>
      </c>
      <c r="E772" s="649">
        <v>413994</v>
      </c>
      <c r="F772" s="649">
        <v>525268</v>
      </c>
      <c r="G772" s="649">
        <v>2428376</v>
      </c>
      <c r="H772" s="649"/>
      <c r="I772" s="650">
        <v>45625</v>
      </c>
      <c r="J772" s="650">
        <v>2128031</v>
      </c>
      <c r="K772" s="650">
        <v>166322</v>
      </c>
      <c r="L772" s="649">
        <v>25434</v>
      </c>
      <c r="M772" s="649"/>
      <c r="N772" s="650">
        <v>85093</v>
      </c>
      <c r="O772" s="650">
        <v>785445</v>
      </c>
      <c r="P772" s="650">
        <v>0</v>
      </c>
      <c r="Q772" s="649">
        <v>70361</v>
      </c>
      <c r="R772" s="649"/>
      <c r="S772" s="650">
        <v>649069</v>
      </c>
      <c r="T772" s="651">
        <v>-6523</v>
      </c>
      <c r="U772" s="651">
        <v>642547</v>
      </c>
    </row>
    <row r="773" spans="1:21" x14ac:dyDescent="0.25">
      <c r="A773" s="646">
        <v>98313</v>
      </c>
      <c r="B773" s="647" t="s">
        <v>3384</v>
      </c>
      <c r="C773" s="648">
        <v>2.4240000000000001E-4</v>
      </c>
      <c r="D773" s="648">
        <v>2.3589999999999999E-4</v>
      </c>
      <c r="E773" s="649">
        <v>227095.51</v>
      </c>
      <c r="F773" s="649">
        <v>105871</v>
      </c>
      <c r="G773" s="649">
        <v>514454</v>
      </c>
      <c r="H773" s="649"/>
      <c r="I773" s="650">
        <v>9666</v>
      </c>
      <c r="J773" s="650">
        <v>450826</v>
      </c>
      <c r="K773" s="650">
        <v>35236</v>
      </c>
      <c r="L773" s="649">
        <v>166298</v>
      </c>
      <c r="M773" s="649"/>
      <c r="N773" s="650">
        <v>18027</v>
      </c>
      <c r="O773" s="650">
        <v>166397</v>
      </c>
      <c r="P773" s="650">
        <v>0</v>
      </c>
      <c r="Q773" s="649">
        <v>119.4</v>
      </c>
      <c r="R773" s="649"/>
      <c r="S773" s="650">
        <v>137506</v>
      </c>
      <c r="T773" s="651">
        <v>48906</v>
      </c>
      <c r="U773" s="651">
        <v>186412</v>
      </c>
    </row>
    <row r="774" spans="1:21" x14ac:dyDescent="0.25">
      <c r="A774" s="646">
        <v>98321</v>
      </c>
      <c r="B774" s="647" t="s">
        <v>3385</v>
      </c>
      <c r="C774" s="648">
        <v>2.1399999999999998E-5</v>
      </c>
      <c r="D774" s="648">
        <v>2.9E-5</v>
      </c>
      <c r="E774" s="649">
        <v>9180.25</v>
      </c>
      <c r="F774" s="649">
        <v>13015</v>
      </c>
      <c r="G774" s="649">
        <v>45418</v>
      </c>
      <c r="H774" s="649"/>
      <c r="I774" s="650">
        <v>853</v>
      </c>
      <c r="J774" s="650">
        <v>39801</v>
      </c>
      <c r="K774" s="650">
        <v>3111</v>
      </c>
      <c r="L774" s="649">
        <v>3126</v>
      </c>
      <c r="M774" s="649"/>
      <c r="N774" s="650">
        <v>1591</v>
      </c>
      <c r="O774" s="650">
        <v>14690</v>
      </c>
      <c r="P774" s="650">
        <v>0</v>
      </c>
      <c r="Q774" s="649">
        <v>4186</v>
      </c>
      <c r="R774" s="649"/>
      <c r="S774" s="650">
        <v>12140</v>
      </c>
      <c r="T774" s="651">
        <v>451</v>
      </c>
      <c r="U774" s="651">
        <v>12591</v>
      </c>
    </row>
    <row r="775" spans="1:21" x14ac:dyDescent="0.25">
      <c r="A775" s="646">
        <v>98331</v>
      </c>
      <c r="B775" s="647" t="s">
        <v>3386</v>
      </c>
      <c r="C775" s="648">
        <v>1.03E-5</v>
      </c>
      <c r="D775" s="648">
        <v>9.7999999999999993E-6</v>
      </c>
      <c r="E775" s="649">
        <v>5903.22</v>
      </c>
      <c r="F775" s="649">
        <v>4398</v>
      </c>
      <c r="G775" s="649">
        <v>21860</v>
      </c>
      <c r="H775" s="649"/>
      <c r="I775" s="650">
        <v>410.71249999999998</v>
      </c>
      <c r="J775" s="650">
        <v>19156</v>
      </c>
      <c r="K775" s="650">
        <v>1497</v>
      </c>
      <c r="L775" s="649">
        <v>2778</v>
      </c>
      <c r="M775" s="649"/>
      <c r="N775" s="650">
        <v>766</v>
      </c>
      <c r="O775" s="650">
        <v>7071</v>
      </c>
      <c r="P775" s="650">
        <v>0</v>
      </c>
      <c r="Q775" s="649">
        <v>264.67</v>
      </c>
      <c r="R775" s="649"/>
      <c r="S775" s="650">
        <v>5843</v>
      </c>
      <c r="T775" s="651">
        <v>700</v>
      </c>
      <c r="U775" s="651">
        <v>6542</v>
      </c>
    </row>
    <row r="776" spans="1:21" x14ac:dyDescent="0.25">
      <c r="A776" s="646">
        <v>98401</v>
      </c>
      <c r="B776" s="647" t="s">
        <v>3387</v>
      </c>
      <c r="C776" s="648">
        <v>2.7567999999999998E-3</v>
      </c>
      <c r="D776" s="648">
        <v>2.8057999999999998E-3</v>
      </c>
      <c r="E776" s="649">
        <v>1156444.24</v>
      </c>
      <c r="F776" s="649">
        <v>1259226</v>
      </c>
      <c r="G776" s="649">
        <v>5850853</v>
      </c>
      <c r="H776" s="649"/>
      <c r="I776" s="650">
        <v>109927.4</v>
      </c>
      <c r="J776" s="650">
        <v>5127212</v>
      </c>
      <c r="K776" s="650">
        <v>400731</v>
      </c>
      <c r="L776" s="649">
        <v>92083</v>
      </c>
      <c r="M776" s="649"/>
      <c r="N776" s="650">
        <v>205020</v>
      </c>
      <c r="O776" s="650">
        <v>1892427</v>
      </c>
      <c r="P776" s="650">
        <v>0</v>
      </c>
      <c r="Q776" s="649">
        <v>8491</v>
      </c>
      <c r="R776" s="649"/>
      <c r="S776" s="650">
        <v>1563847</v>
      </c>
      <c r="T776" s="651">
        <v>31358</v>
      </c>
      <c r="U776" s="651">
        <v>1595205</v>
      </c>
    </row>
    <row r="777" spans="1:21" x14ac:dyDescent="0.25">
      <c r="A777" s="646">
        <v>98411</v>
      </c>
      <c r="B777" s="647" t="s">
        <v>3388</v>
      </c>
      <c r="C777" s="648">
        <v>2.0076999999999998E-3</v>
      </c>
      <c r="D777" s="648">
        <v>1.9907000000000002E-3</v>
      </c>
      <c r="E777" s="649">
        <v>792048.89</v>
      </c>
      <c r="F777" s="649">
        <v>893414</v>
      </c>
      <c r="G777" s="649">
        <v>4261012</v>
      </c>
      <c r="H777" s="649"/>
      <c r="I777" s="650">
        <v>80057</v>
      </c>
      <c r="J777" s="650">
        <v>3734005</v>
      </c>
      <c r="K777" s="650">
        <v>291841</v>
      </c>
      <c r="L777" s="649">
        <v>8012</v>
      </c>
      <c r="M777" s="649"/>
      <c r="N777" s="650">
        <v>149311</v>
      </c>
      <c r="O777" s="650">
        <v>1378202</v>
      </c>
      <c r="P777" s="650">
        <v>0</v>
      </c>
      <c r="Q777" s="649">
        <v>35211</v>
      </c>
      <c r="R777" s="649"/>
      <c r="S777" s="650">
        <v>1138906</v>
      </c>
      <c r="T777" s="651">
        <v>-6790</v>
      </c>
      <c r="U777" s="651">
        <v>1132116</v>
      </c>
    </row>
    <row r="778" spans="1:21" x14ac:dyDescent="0.25">
      <c r="A778" s="646">
        <v>98417</v>
      </c>
      <c r="B778" s="647" t="s">
        <v>3389</v>
      </c>
      <c r="C778" s="648">
        <v>2.4899999999999999E-5</v>
      </c>
      <c r="D778" s="648">
        <v>2.6400000000000001E-5</v>
      </c>
      <c r="E778" s="649">
        <v>12734.51</v>
      </c>
      <c r="F778" s="649">
        <v>11848</v>
      </c>
      <c r="G778" s="649">
        <v>52846</v>
      </c>
      <c r="H778" s="649"/>
      <c r="I778" s="650">
        <v>993</v>
      </c>
      <c r="J778" s="650">
        <v>46310</v>
      </c>
      <c r="K778" s="650">
        <v>3619</v>
      </c>
      <c r="L778" s="649">
        <v>1318</v>
      </c>
      <c r="M778" s="649"/>
      <c r="N778" s="650">
        <v>1852</v>
      </c>
      <c r="O778" s="650">
        <v>17093</v>
      </c>
      <c r="P778" s="650">
        <v>0</v>
      </c>
      <c r="Q778" s="649">
        <v>852</v>
      </c>
      <c r="R778" s="649"/>
      <c r="S778" s="650">
        <v>14125</v>
      </c>
      <c r="T778" s="651">
        <v>-72</v>
      </c>
      <c r="U778" s="651">
        <v>14053</v>
      </c>
    </row>
    <row r="779" spans="1:21" x14ac:dyDescent="0.25">
      <c r="A779" s="646">
        <v>98421</v>
      </c>
      <c r="B779" s="647" t="s">
        <v>3390</v>
      </c>
      <c r="C779" s="648">
        <v>1.0840000000000001E-4</v>
      </c>
      <c r="D779" s="648">
        <v>1.021E-4</v>
      </c>
      <c r="E779" s="649">
        <v>40835</v>
      </c>
      <c r="F779" s="649">
        <v>45822</v>
      </c>
      <c r="G779" s="649">
        <v>230061</v>
      </c>
      <c r="H779" s="649"/>
      <c r="I779" s="650">
        <v>4322.45</v>
      </c>
      <c r="J779" s="650">
        <v>201607</v>
      </c>
      <c r="K779" s="650">
        <v>15757</v>
      </c>
      <c r="L779" s="649">
        <v>7887</v>
      </c>
      <c r="M779" s="649"/>
      <c r="N779" s="650">
        <v>8062</v>
      </c>
      <c r="O779" s="650">
        <v>74412</v>
      </c>
      <c r="P779" s="650">
        <v>0</v>
      </c>
      <c r="Q779" s="649">
        <v>1282</v>
      </c>
      <c r="R779" s="649"/>
      <c r="S779" s="650">
        <v>61492</v>
      </c>
      <c r="T779" s="651">
        <v>2111</v>
      </c>
      <c r="U779" s="651">
        <v>63603</v>
      </c>
    </row>
    <row r="780" spans="1:21" x14ac:dyDescent="0.25">
      <c r="A780" s="646">
        <v>98427</v>
      </c>
      <c r="B780" s="647" t="s">
        <v>3391</v>
      </c>
      <c r="C780" s="648">
        <v>4.6E-6</v>
      </c>
      <c r="D780" s="648">
        <v>5.2000000000000002E-6</v>
      </c>
      <c r="E780" s="649">
        <v>2927.04</v>
      </c>
      <c r="F780" s="649">
        <v>2334</v>
      </c>
      <c r="G780" s="649">
        <v>9763</v>
      </c>
      <c r="H780" s="649"/>
      <c r="I780" s="650">
        <v>183.42500000000001</v>
      </c>
      <c r="J780" s="650">
        <v>8555</v>
      </c>
      <c r="K780" s="650">
        <v>669</v>
      </c>
      <c r="L780" s="649">
        <v>946</v>
      </c>
      <c r="M780" s="649"/>
      <c r="N780" s="650">
        <v>342</v>
      </c>
      <c r="O780" s="650">
        <v>3158</v>
      </c>
      <c r="P780" s="650">
        <v>0</v>
      </c>
      <c r="Q780" s="649">
        <v>0</v>
      </c>
      <c r="R780" s="649"/>
      <c r="S780" s="650">
        <v>2609</v>
      </c>
      <c r="T780" s="651">
        <v>309</v>
      </c>
      <c r="U780" s="651">
        <v>2918</v>
      </c>
    </row>
    <row r="781" spans="1:21" x14ac:dyDescent="0.25">
      <c r="A781" s="646">
        <v>98431</v>
      </c>
      <c r="B781" s="647" t="s">
        <v>3392</v>
      </c>
      <c r="C781" s="648">
        <v>2.0010000000000001E-4</v>
      </c>
      <c r="D781" s="648">
        <v>2.0560000000000001E-4</v>
      </c>
      <c r="E781" s="649">
        <v>68369</v>
      </c>
      <c r="F781" s="649">
        <v>92272</v>
      </c>
      <c r="G781" s="649">
        <v>424679</v>
      </c>
      <c r="H781" s="649"/>
      <c r="I781" s="650">
        <v>7979</v>
      </c>
      <c r="J781" s="650">
        <v>372154</v>
      </c>
      <c r="K781" s="650">
        <v>29087</v>
      </c>
      <c r="L781" s="649">
        <v>2505</v>
      </c>
      <c r="M781" s="649"/>
      <c r="N781" s="650">
        <v>14881</v>
      </c>
      <c r="O781" s="650">
        <v>137360</v>
      </c>
      <c r="P781" s="650">
        <v>0</v>
      </c>
      <c r="Q781" s="649">
        <v>22555</v>
      </c>
      <c r="R781" s="649"/>
      <c r="S781" s="650">
        <v>113511</v>
      </c>
      <c r="T781" s="651">
        <v>-5398</v>
      </c>
      <c r="U781" s="651">
        <v>108113</v>
      </c>
    </row>
    <row r="782" spans="1:21" x14ac:dyDescent="0.25">
      <c r="A782" s="646">
        <v>98441</v>
      </c>
      <c r="B782" s="647" t="s">
        <v>3393</v>
      </c>
      <c r="C782" s="648">
        <v>9.1000000000000003E-5</v>
      </c>
      <c r="D782" s="648">
        <v>1.039E-4</v>
      </c>
      <c r="E782" s="649">
        <v>33724.18</v>
      </c>
      <c r="F782" s="649">
        <v>46630</v>
      </c>
      <c r="G782" s="649">
        <v>193132</v>
      </c>
      <c r="H782" s="649"/>
      <c r="I782" s="650">
        <v>3628.625</v>
      </c>
      <c r="J782" s="650">
        <v>169246</v>
      </c>
      <c r="K782" s="650">
        <v>13228</v>
      </c>
      <c r="L782" s="649">
        <v>1146</v>
      </c>
      <c r="M782" s="649"/>
      <c r="N782" s="650">
        <v>6768</v>
      </c>
      <c r="O782" s="650">
        <v>62468</v>
      </c>
      <c r="P782" s="650">
        <v>0</v>
      </c>
      <c r="Q782" s="649">
        <v>21657</v>
      </c>
      <c r="R782" s="649"/>
      <c r="S782" s="650">
        <v>51621</v>
      </c>
      <c r="T782" s="651">
        <v>-6156</v>
      </c>
      <c r="U782" s="651">
        <v>45466</v>
      </c>
    </row>
    <row r="783" spans="1:21" x14ac:dyDescent="0.25">
      <c r="A783" s="646">
        <v>98451</v>
      </c>
      <c r="B783" s="647" t="s">
        <v>3394</v>
      </c>
      <c r="C783" s="648">
        <v>5.6199999999999997E-5</v>
      </c>
      <c r="D783" s="648">
        <v>6.0300000000000002E-5</v>
      </c>
      <c r="E783" s="649">
        <v>24173</v>
      </c>
      <c r="F783" s="649">
        <v>27062</v>
      </c>
      <c r="G783" s="649">
        <v>119275</v>
      </c>
      <c r="H783" s="649"/>
      <c r="I783" s="650">
        <v>2240.9749999999999</v>
      </c>
      <c r="J783" s="650">
        <v>104523</v>
      </c>
      <c r="K783" s="650">
        <v>8169</v>
      </c>
      <c r="L783" s="649">
        <v>0</v>
      </c>
      <c r="M783" s="649"/>
      <c r="N783" s="650">
        <v>4180</v>
      </c>
      <c r="O783" s="650">
        <v>38579</v>
      </c>
      <c r="P783" s="650">
        <v>0</v>
      </c>
      <c r="Q783" s="649">
        <v>2135</v>
      </c>
      <c r="R783" s="649"/>
      <c r="S783" s="650">
        <v>31881</v>
      </c>
      <c r="T783" s="651">
        <v>-657</v>
      </c>
      <c r="U783" s="651">
        <v>31223</v>
      </c>
    </row>
    <row r="784" spans="1:21" x14ac:dyDescent="0.25">
      <c r="A784" s="646">
        <v>98481</v>
      </c>
      <c r="B784" s="647" t="s">
        <v>3395</v>
      </c>
      <c r="C784" s="648">
        <v>6.7700000000000006E-5</v>
      </c>
      <c r="D784" s="648">
        <v>6.2500000000000001E-5</v>
      </c>
      <c r="E784" s="649">
        <v>21741.83</v>
      </c>
      <c r="F784" s="649">
        <v>28049.625</v>
      </c>
      <c r="G784" s="649">
        <v>143682</v>
      </c>
      <c r="H784" s="649"/>
      <c r="I784" s="650">
        <v>2700</v>
      </c>
      <c r="J784" s="650">
        <v>125911</v>
      </c>
      <c r="K784" s="650">
        <v>9841</v>
      </c>
      <c r="L784" s="649">
        <v>3106</v>
      </c>
      <c r="M784" s="649"/>
      <c r="N784" s="650">
        <v>5035</v>
      </c>
      <c r="O784" s="650">
        <v>46473</v>
      </c>
      <c r="P784" s="650">
        <v>0</v>
      </c>
      <c r="Q784" s="649">
        <v>2045</v>
      </c>
      <c r="R784" s="649"/>
      <c r="S784" s="650">
        <v>38404</v>
      </c>
      <c r="T784" s="651">
        <v>1029</v>
      </c>
      <c r="U784" s="651">
        <v>39434</v>
      </c>
    </row>
    <row r="785" spans="1:21" x14ac:dyDescent="0.25">
      <c r="A785" s="646">
        <v>98501</v>
      </c>
      <c r="B785" s="647" t="s">
        <v>3396</v>
      </c>
      <c r="C785" s="648">
        <v>1.5690999999999999E-3</v>
      </c>
      <c r="D785" s="648">
        <v>1.5471E-3</v>
      </c>
      <c r="E785" s="649">
        <v>684836.9</v>
      </c>
      <c r="F785" s="649">
        <v>694329</v>
      </c>
      <c r="G785" s="649">
        <v>3330156</v>
      </c>
      <c r="H785" s="649"/>
      <c r="I785" s="650">
        <v>62568</v>
      </c>
      <c r="J785" s="650">
        <v>2918278</v>
      </c>
      <c r="K785" s="650">
        <v>228086</v>
      </c>
      <c r="L785" s="649">
        <v>44212</v>
      </c>
      <c r="M785" s="649"/>
      <c r="N785" s="650">
        <v>116692</v>
      </c>
      <c r="O785" s="650">
        <v>1077121</v>
      </c>
      <c r="P785" s="650">
        <v>0</v>
      </c>
      <c r="Q785" s="649">
        <v>5894</v>
      </c>
      <c r="R785" s="649"/>
      <c r="S785" s="650">
        <v>890102</v>
      </c>
      <c r="T785" s="651">
        <v>8576</v>
      </c>
      <c r="U785" s="651">
        <v>898678</v>
      </c>
    </row>
    <row r="786" spans="1:21" x14ac:dyDescent="0.25">
      <c r="A786" s="646">
        <v>98511</v>
      </c>
      <c r="B786" s="647" t="s">
        <v>3397</v>
      </c>
      <c r="C786" s="648">
        <v>4.5800000000000002E-5</v>
      </c>
      <c r="D786" s="648">
        <v>3.96E-5</v>
      </c>
      <c r="E786" s="649">
        <v>20253.45</v>
      </c>
      <c r="F786" s="649">
        <v>17772</v>
      </c>
      <c r="G786" s="649">
        <v>97203</v>
      </c>
      <c r="H786" s="649"/>
      <c r="I786" s="650">
        <v>1826.2750000000001</v>
      </c>
      <c r="J786" s="650">
        <v>85181</v>
      </c>
      <c r="K786" s="650">
        <v>6658</v>
      </c>
      <c r="L786" s="649">
        <v>4485</v>
      </c>
      <c r="M786" s="649"/>
      <c r="N786" s="650">
        <v>3406</v>
      </c>
      <c r="O786" s="650">
        <v>31440</v>
      </c>
      <c r="P786" s="650">
        <v>0</v>
      </c>
      <c r="Q786" s="649">
        <v>23108</v>
      </c>
      <c r="R786" s="649"/>
      <c r="S786" s="650">
        <v>25981</v>
      </c>
      <c r="T786" s="651">
        <v>-10027</v>
      </c>
      <c r="U786" s="651">
        <v>15954</v>
      </c>
    </row>
    <row r="787" spans="1:21" x14ac:dyDescent="0.25">
      <c r="A787" s="646">
        <v>98517</v>
      </c>
      <c r="B787" s="647" t="s">
        <v>3398</v>
      </c>
      <c r="C787" s="648">
        <v>2.6000000000000001E-6</v>
      </c>
      <c r="D787" s="648">
        <v>3.3000000000000002E-6</v>
      </c>
      <c r="E787" s="649">
        <v>2175</v>
      </c>
      <c r="F787" s="649">
        <v>1481</v>
      </c>
      <c r="G787" s="649">
        <v>5518</v>
      </c>
      <c r="H787" s="649"/>
      <c r="I787" s="650">
        <v>103.675</v>
      </c>
      <c r="J787" s="650">
        <v>4836</v>
      </c>
      <c r="K787" s="650">
        <v>378</v>
      </c>
      <c r="L787" s="649">
        <v>1036</v>
      </c>
      <c r="M787" s="649"/>
      <c r="N787" s="650">
        <v>193</v>
      </c>
      <c r="O787" s="650">
        <v>1785</v>
      </c>
      <c r="P787" s="650">
        <v>0</v>
      </c>
      <c r="Q787" s="649">
        <v>0</v>
      </c>
      <c r="R787" s="649"/>
      <c r="S787" s="650">
        <v>1475</v>
      </c>
      <c r="T787" s="651">
        <v>354</v>
      </c>
      <c r="U787" s="651">
        <v>1829</v>
      </c>
    </row>
    <row r="788" spans="1:21" x14ac:dyDescent="0.25">
      <c r="A788" s="646">
        <v>98521</v>
      </c>
      <c r="B788" s="647" t="s">
        <v>3399</v>
      </c>
      <c r="C788" s="648">
        <v>5.7059999999999999E-4</v>
      </c>
      <c r="D788" s="648">
        <v>6.3980000000000005E-4</v>
      </c>
      <c r="E788" s="649">
        <v>223042</v>
      </c>
      <c r="F788" s="649">
        <v>287138</v>
      </c>
      <c r="G788" s="649">
        <v>1211004</v>
      </c>
      <c r="H788" s="649"/>
      <c r="I788" s="650">
        <v>22753</v>
      </c>
      <c r="J788" s="650">
        <v>1061226</v>
      </c>
      <c r="K788" s="650">
        <v>82943</v>
      </c>
      <c r="L788" s="649">
        <v>0</v>
      </c>
      <c r="M788" s="649"/>
      <c r="N788" s="650">
        <v>42435</v>
      </c>
      <c r="O788" s="650">
        <v>391693</v>
      </c>
      <c r="P788" s="650">
        <v>0</v>
      </c>
      <c r="Q788" s="649">
        <v>62867</v>
      </c>
      <c r="R788" s="649"/>
      <c r="S788" s="650">
        <v>323684</v>
      </c>
      <c r="T788" s="651">
        <v>-18900</v>
      </c>
      <c r="U788" s="651">
        <v>304784</v>
      </c>
    </row>
    <row r="789" spans="1:21" x14ac:dyDescent="0.25">
      <c r="A789" s="646">
        <v>98601</v>
      </c>
      <c r="B789" s="647" t="s">
        <v>3400</v>
      </c>
      <c r="C789" s="648">
        <v>3.5065999999999999E-3</v>
      </c>
      <c r="D789" s="648">
        <v>3.3880999999999998E-3</v>
      </c>
      <c r="E789" s="649">
        <v>1331350</v>
      </c>
      <c r="F789" s="649">
        <v>1520559</v>
      </c>
      <c r="G789" s="649">
        <v>7442180</v>
      </c>
      <c r="H789" s="649"/>
      <c r="I789" s="650">
        <v>139826</v>
      </c>
      <c r="J789" s="650">
        <v>6521722</v>
      </c>
      <c r="K789" s="650">
        <v>509723</v>
      </c>
      <c r="L789" s="649">
        <v>0</v>
      </c>
      <c r="M789" s="649"/>
      <c r="N789" s="650">
        <v>260782</v>
      </c>
      <c r="O789" s="650">
        <v>2407134</v>
      </c>
      <c r="P789" s="650">
        <v>0</v>
      </c>
      <c r="Q789" s="649">
        <v>160211</v>
      </c>
      <c r="R789" s="649"/>
      <c r="S789" s="650">
        <v>1989185</v>
      </c>
      <c r="T789" s="651">
        <v>-63543</v>
      </c>
      <c r="U789" s="651">
        <v>1925643</v>
      </c>
    </row>
    <row r="790" spans="1:21" x14ac:dyDescent="0.25">
      <c r="A790" s="646">
        <v>98604</v>
      </c>
      <c r="B790" s="647" t="s">
        <v>3401</v>
      </c>
      <c r="C790" s="648">
        <v>1.59E-5</v>
      </c>
      <c r="D790" s="648">
        <v>0</v>
      </c>
      <c r="E790" s="649">
        <v>5854</v>
      </c>
      <c r="F790" s="649">
        <v>0</v>
      </c>
      <c r="G790" s="649">
        <v>33745</v>
      </c>
      <c r="H790" s="649"/>
      <c r="I790" s="650">
        <v>634</v>
      </c>
      <c r="J790" s="650">
        <v>29571</v>
      </c>
      <c r="K790" s="650">
        <v>2311</v>
      </c>
      <c r="L790" s="649">
        <v>8069</v>
      </c>
      <c r="M790" s="649"/>
      <c r="N790" s="650">
        <v>1182</v>
      </c>
      <c r="O790" s="650">
        <v>10915</v>
      </c>
      <c r="P790" s="650">
        <v>0</v>
      </c>
      <c r="Q790" s="649">
        <v>0</v>
      </c>
      <c r="R790" s="649"/>
      <c r="S790" s="650">
        <v>9020</v>
      </c>
      <c r="T790" s="651">
        <v>2090</v>
      </c>
      <c r="U790" s="651">
        <v>11110</v>
      </c>
    </row>
    <row r="791" spans="1:21" x14ac:dyDescent="0.25">
      <c r="A791" s="646">
        <v>98607</v>
      </c>
      <c r="B791" s="647" t="s">
        <v>3402</v>
      </c>
      <c r="C791" s="648">
        <v>5.9000000000000003E-6</v>
      </c>
      <c r="D791" s="648">
        <v>6.0000000000000002E-6</v>
      </c>
      <c r="E791" s="649">
        <v>2400</v>
      </c>
      <c r="F791" s="649">
        <v>2693</v>
      </c>
      <c r="G791" s="649">
        <v>12522</v>
      </c>
      <c r="H791" s="649"/>
      <c r="I791" s="650">
        <v>235</v>
      </c>
      <c r="J791" s="650">
        <v>10973</v>
      </c>
      <c r="K791" s="650">
        <v>858</v>
      </c>
      <c r="L791" s="649">
        <v>0</v>
      </c>
      <c r="M791" s="649"/>
      <c r="N791" s="650">
        <v>439</v>
      </c>
      <c r="O791" s="650">
        <v>4050</v>
      </c>
      <c r="P791" s="650">
        <v>0</v>
      </c>
      <c r="Q791" s="649">
        <v>2348</v>
      </c>
      <c r="R791" s="649"/>
      <c r="S791" s="650">
        <v>3347</v>
      </c>
      <c r="T791" s="651">
        <v>-874</v>
      </c>
      <c r="U791" s="651">
        <v>2473</v>
      </c>
    </row>
    <row r="792" spans="1:21" x14ac:dyDescent="0.25">
      <c r="A792" s="646">
        <v>98608</v>
      </c>
      <c r="B792" s="647" t="s">
        <v>3403</v>
      </c>
      <c r="C792" s="648">
        <v>4.2299999999999998E-5</v>
      </c>
      <c r="D792" s="648">
        <v>5.4500000000000003E-5</v>
      </c>
      <c r="E792" s="649">
        <v>16593</v>
      </c>
      <c r="F792" s="649">
        <v>24459</v>
      </c>
      <c r="G792" s="649">
        <v>89775</v>
      </c>
      <c r="H792" s="649"/>
      <c r="I792" s="650">
        <v>1687</v>
      </c>
      <c r="J792" s="650">
        <v>78671</v>
      </c>
      <c r="K792" s="650">
        <v>6149</v>
      </c>
      <c r="L792" s="649">
        <v>6369</v>
      </c>
      <c r="M792" s="649"/>
      <c r="N792" s="650">
        <v>3146</v>
      </c>
      <c r="O792" s="650">
        <v>29037</v>
      </c>
      <c r="P792" s="650">
        <v>0</v>
      </c>
      <c r="Q792" s="649">
        <v>7247</v>
      </c>
      <c r="R792" s="649"/>
      <c r="S792" s="650">
        <v>23995</v>
      </c>
      <c r="T792" s="651">
        <v>566</v>
      </c>
      <c r="U792" s="651">
        <v>24562</v>
      </c>
    </row>
    <row r="793" spans="1:21" x14ac:dyDescent="0.25">
      <c r="A793" s="646">
        <v>98611</v>
      </c>
      <c r="B793" s="647" t="s">
        <v>3404</v>
      </c>
      <c r="C793" s="648">
        <v>8.6700000000000007E-5</v>
      </c>
      <c r="D793" s="648">
        <v>1.2129999999999999E-4</v>
      </c>
      <c r="E793" s="649">
        <v>43078</v>
      </c>
      <c r="F793" s="649">
        <v>54439</v>
      </c>
      <c r="G793" s="649">
        <v>184006</v>
      </c>
      <c r="H793" s="649"/>
      <c r="I793" s="650">
        <v>3457</v>
      </c>
      <c r="J793" s="650">
        <v>161248</v>
      </c>
      <c r="K793" s="650">
        <v>12603</v>
      </c>
      <c r="L793" s="649">
        <v>4723</v>
      </c>
      <c r="M793" s="649"/>
      <c r="N793" s="650">
        <v>6448</v>
      </c>
      <c r="O793" s="650">
        <v>59516</v>
      </c>
      <c r="P793" s="650">
        <v>0</v>
      </c>
      <c r="Q793" s="649">
        <v>12848</v>
      </c>
      <c r="R793" s="649"/>
      <c r="S793" s="650">
        <v>49182</v>
      </c>
      <c r="T793" s="651">
        <v>-1131</v>
      </c>
      <c r="U793" s="651">
        <v>48051</v>
      </c>
    </row>
    <row r="794" spans="1:21" x14ac:dyDescent="0.25">
      <c r="A794" s="646">
        <v>98621</v>
      </c>
      <c r="B794" s="647" t="s">
        <v>3405</v>
      </c>
      <c r="C794" s="648">
        <v>1.3239999999999999E-4</v>
      </c>
      <c r="D794" s="648">
        <v>1.2740000000000001E-4</v>
      </c>
      <c r="E794" s="649">
        <v>45779.06</v>
      </c>
      <c r="F794" s="649">
        <v>57176</v>
      </c>
      <c r="G794" s="649">
        <v>280997</v>
      </c>
      <c r="H794" s="649"/>
      <c r="I794" s="650">
        <v>5279.45</v>
      </c>
      <c r="J794" s="650">
        <v>246243</v>
      </c>
      <c r="K794" s="650">
        <v>19246</v>
      </c>
      <c r="L794" s="649">
        <v>951</v>
      </c>
      <c r="M794" s="649"/>
      <c r="N794" s="650">
        <v>9846</v>
      </c>
      <c r="O794" s="650">
        <v>90887</v>
      </c>
      <c r="P794" s="650">
        <v>0</v>
      </c>
      <c r="Q794" s="649">
        <v>9470</v>
      </c>
      <c r="R794" s="649"/>
      <c r="S794" s="650">
        <v>75106</v>
      </c>
      <c r="T794" s="651">
        <v>-2481</v>
      </c>
      <c r="U794" s="651">
        <v>72625</v>
      </c>
    </row>
    <row r="795" spans="1:21" x14ac:dyDescent="0.25">
      <c r="A795" s="646">
        <v>98627</v>
      </c>
      <c r="B795" s="647" t="s">
        <v>3406</v>
      </c>
      <c r="C795" s="648">
        <v>9.3999999999999998E-6</v>
      </c>
      <c r="D795" s="648">
        <v>7.4000000000000003E-6</v>
      </c>
      <c r="E795" s="649">
        <v>3039</v>
      </c>
      <c r="F795" s="649">
        <v>3321</v>
      </c>
      <c r="G795" s="649">
        <v>19950</v>
      </c>
      <c r="H795" s="649"/>
      <c r="I795" s="650">
        <v>374.82499999999999</v>
      </c>
      <c r="J795" s="650">
        <v>17483</v>
      </c>
      <c r="K795" s="650">
        <v>1366</v>
      </c>
      <c r="L795" s="649">
        <v>426</v>
      </c>
      <c r="M795" s="649"/>
      <c r="N795" s="650">
        <v>699</v>
      </c>
      <c r="O795" s="650">
        <v>6453</v>
      </c>
      <c r="P795" s="650">
        <v>0</v>
      </c>
      <c r="Q795" s="649">
        <v>202</v>
      </c>
      <c r="R795" s="649"/>
      <c r="S795" s="650">
        <v>5332</v>
      </c>
      <c r="T795" s="651">
        <v>25</v>
      </c>
      <c r="U795" s="651">
        <v>5357</v>
      </c>
    </row>
    <row r="796" spans="1:21" x14ac:dyDescent="0.25">
      <c r="A796" s="646">
        <v>98631</v>
      </c>
      <c r="B796" s="647" t="s">
        <v>3407</v>
      </c>
      <c r="C796" s="648">
        <v>1.0415000000000001E-3</v>
      </c>
      <c r="D796" s="648">
        <v>1.1375000000000001E-3</v>
      </c>
      <c r="E796" s="649">
        <v>412487</v>
      </c>
      <c r="F796" s="649">
        <v>510503</v>
      </c>
      <c r="G796" s="649">
        <v>2210412</v>
      </c>
      <c r="H796" s="649"/>
      <c r="I796" s="650">
        <v>41530</v>
      </c>
      <c r="J796" s="650">
        <v>1937025</v>
      </c>
      <c r="K796" s="650">
        <v>151393</v>
      </c>
      <c r="L796" s="649">
        <v>0</v>
      </c>
      <c r="M796" s="649"/>
      <c r="N796" s="650">
        <v>77455</v>
      </c>
      <c r="O796" s="650">
        <v>714946</v>
      </c>
      <c r="P796" s="650">
        <v>0</v>
      </c>
      <c r="Q796" s="649">
        <v>118586</v>
      </c>
      <c r="R796" s="649"/>
      <c r="S796" s="650">
        <v>590811</v>
      </c>
      <c r="T796" s="651">
        <v>-36690</v>
      </c>
      <c r="U796" s="651">
        <v>554121</v>
      </c>
    </row>
    <row r="797" spans="1:21" x14ac:dyDescent="0.25">
      <c r="A797" s="646">
        <v>98637</v>
      </c>
      <c r="B797" s="647" t="s">
        <v>3408</v>
      </c>
      <c r="C797" s="648">
        <v>2.2200000000000001E-5</v>
      </c>
      <c r="D797" s="648">
        <v>2.3499999999999999E-5</v>
      </c>
      <c r="E797" s="649">
        <v>14030</v>
      </c>
      <c r="F797" s="649">
        <v>10547</v>
      </c>
      <c r="G797" s="649">
        <v>47116</v>
      </c>
      <c r="H797" s="649"/>
      <c r="I797" s="650">
        <v>885.22500000000002</v>
      </c>
      <c r="J797" s="650">
        <v>41288</v>
      </c>
      <c r="K797" s="650">
        <v>3227</v>
      </c>
      <c r="L797" s="649">
        <v>6585</v>
      </c>
      <c r="M797" s="649"/>
      <c r="N797" s="650">
        <v>1651</v>
      </c>
      <c r="O797" s="650">
        <v>15239</v>
      </c>
      <c r="P797" s="650">
        <v>0</v>
      </c>
      <c r="Q797" s="649">
        <v>0</v>
      </c>
      <c r="R797" s="649"/>
      <c r="S797" s="650">
        <v>12593</v>
      </c>
      <c r="T797" s="651">
        <v>2204</v>
      </c>
      <c r="U797" s="651">
        <v>14798</v>
      </c>
    </row>
    <row r="798" spans="1:21" x14ac:dyDescent="0.25">
      <c r="A798" s="646">
        <v>98641</v>
      </c>
      <c r="B798" s="647" t="s">
        <v>3409</v>
      </c>
      <c r="C798" s="648">
        <v>3.0019999999999998E-4</v>
      </c>
      <c r="D798" s="648">
        <v>3.1819999999999998E-4</v>
      </c>
      <c r="E798" s="649">
        <v>122410</v>
      </c>
      <c r="F798" s="649">
        <v>142806</v>
      </c>
      <c r="G798" s="649">
        <v>637125</v>
      </c>
      <c r="H798" s="649"/>
      <c r="I798" s="650">
        <v>11970</v>
      </c>
      <c r="J798" s="650">
        <v>558325</v>
      </c>
      <c r="K798" s="650">
        <v>43637</v>
      </c>
      <c r="L798" s="649">
        <v>4514</v>
      </c>
      <c r="M798" s="649"/>
      <c r="N798" s="650">
        <v>22326</v>
      </c>
      <c r="O798" s="650">
        <v>206075</v>
      </c>
      <c r="P798" s="650">
        <v>0</v>
      </c>
      <c r="Q798" s="649">
        <v>10581</v>
      </c>
      <c r="R798" s="649"/>
      <c r="S798" s="650">
        <v>170294</v>
      </c>
      <c r="T798" s="651">
        <v>-473</v>
      </c>
      <c r="U798" s="651">
        <v>169821</v>
      </c>
    </row>
    <row r="799" spans="1:21" x14ac:dyDescent="0.25">
      <c r="A799" s="646">
        <v>98647</v>
      </c>
      <c r="B799" s="647" t="s">
        <v>3410</v>
      </c>
      <c r="C799" s="648">
        <v>0</v>
      </c>
      <c r="D799" s="648">
        <v>1.24E-5</v>
      </c>
      <c r="E799" s="649">
        <v>0</v>
      </c>
      <c r="F799" s="649">
        <v>5565</v>
      </c>
      <c r="G799" s="649">
        <v>0</v>
      </c>
      <c r="H799" s="649"/>
      <c r="I799" s="650">
        <v>0</v>
      </c>
      <c r="J799" s="650">
        <v>0</v>
      </c>
      <c r="K799" s="650">
        <v>0</v>
      </c>
      <c r="L799" s="649">
        <v>4884</v>
      </c>
      <c r="M799" s="649"/>
      <c r="N799" s="650">
        <v>0</v>
      </c>
      <c r="O799" s="650">
        <v>0</v>
      </c>
      <c r="P799" s="650">
        <v>0</v>
      </c>
      <c r="Q799" s="649">
        <v>6717</v>
      </c>
      <c r="R799" s="649"/>
      <c r="S799" s="650">
        <v>0</v>
      </c>
      <c r="T799" s="651">
        <v>178</v>
      </c>
      <c r="U799" s="651">
        <v>178</v>
      </c>
    </row>
    <row r="800" spans="1:21" x14ac:dyDescent="0.25">
      <c r="A800" s="646">
        <v>98701</v>
      </c>
      <c r="B800" s="647" t="s">
        <v>3411</v>
      </c>
      <c r="C800" s="648">
        <v>1.1793000000000001E-3</v>
      </c>
      <c r="D800" s="648">
        <v>1.0842E-3</v>
      </c>
      <c r="E800" s="649">
        <v>425946.13</v>
      </c>
      <c r="F800" s="649">
        <v>486582</v>
      </c>
      <c r="G800" s="649">
        <v>2502870</v>
      </c>
      <c r="H800" s="649"/>
      <c r="I800" s="650">
        <v>47025</v>
      </c>
      <c r="J800" s="650">
        <v>2193312</v>
      </c>
      <c r="K800" s="650">
        <v>171424</v>
      </c>
      <c r="L800" s="649">
        <v>4631</v>
      </c>
      <c r="M800" s="649"/>
      <c r="N800" s="650">
        <v>87703</v>
      </c>
      <c r="O800" s="650">
        <v>809540</v>
      </c>
      <c r="P800" s="650">
        <v>0</v>
      </c>
      <c r="Q800" s="649">
        <v>48875</v>
      </c>
      <c r="R800" s="649"/>
      <c r="S800" s="650">
        <v>668980</v>
      </c>
      <c r="T800" s="651">
        <v>-17040</v>
      </c>
      <c r="U800" s="651">
        <v>651940</v>
      </c>
    </row>
    <row r="801" spans="1:21" x14ac:dyDescent="0.25">
      <c r="A801" s="646">
        <v>98711</v>
      </c>
      <c r="B801" s="647" t="s">
        <v>3412</v>
      </c>
      <c r="C801" s="648">
        <v>1.8039999999999999E-4</v>
      </c>
      <c r="D801" s="648">
        <v>1.7589999999999999E-4</v>
      </c>
      <c r="E801" s="649">
        <v>62580</v>
      </c>
      <c r="F801" s="649">
        <v>78943</v>
      </c>
      <c r="G801" s="649">
        <v>382869</v>
      </c>
      <c r="H801" s="649"/>
      <c r="I801" s="650">
        <v>7193.45</v>
      </c>
      <c r="J801" s="650">
        <v>335515</v>
      </c>
      <c r="K801" s="650">
        <v>26223</v>
      </c>
      <c r="L801" s="649">
        <v>2488</v>
      </c>
      <c r="M801" s="649"/>
      <c r="N801" s="650">
        <v>13416</v>
      </c>
      <c r="O801" s="650">
        <v>123837</v>
      </c>
      <c r="P801" s="650">
        <v>0</v>
      </c>
      <c r="Q801" s="649">
        <v>10451</v>
      </c>
      <c r="R801" s="649"/>
      <c r="S801" s="650">
        <v>102335</v>
      </c>
      <c r="T801" s="651">
        <v>-1808</v>
      </c>
      <c r="U801" s="651">
        <v>100527</v>
      </c>
    </row>
    <row r="802" spans="1:21" x14ac:dyDescent="0.25">
      <c r="A802" s="646">
        <v>98717</v>
      </c>
      <c r="B802" s="647" t="s">
        <v>3413</v>
      </c>
      <c r="C802" s="648">
        <v>1.8600000000000001E-5</v>
      </c>
      <c r="D802" s="648">
        <v>1.98E-5</v>
      </c>
      <c r="E802" s="649">
        <v>7761</v>
      </c>
      <c r="F802" s="649">
        <v>8886</v>
      </c>
      <c r="G802" s="649">
        <v>39475</v>
      </c>
      <c r="H802" s="649"/>
      <c r="I802" s="650">
        <v>742</v>
      </c>
      <c r="J802" s="650">
        <v>34593</v>
      </c>
      <c r="K802" s="650">
        <v>2704</v>
      </c>
      <c r="L802" s="649">
        <v>783</v>
      </c>
      <c r="M802" s="649"/>
      <c r="N802" s="650">
        <v>1383</v>
      </c>
      <c r="O802" s="650">
        <v>12768</v>
      </c>
      <c r="P802" s="650">
        <v>0</v>
      </c>
      <c r="Q802" s="649">
        <v>798</v>
      </c>
      <c r="R802" s="649"/>
      <c r="S802" s="650">
        <v>10551</v>
      </c>
      <c r="T802" s="651">
        <v>13</v>
      </c>
      <c r="U802" s="651">
        <v>10565</v>
      </c>
    </row>
    <row r="803" spans="1:21" x14ac:dyDescent="0.25">
      <c r="A803" s="646">
        <v>98801</v>
      </c>
      <c r="B803" s="647" t="s">
        <v>3414</v>
      </c>
      <c r="C803" s="648">
        <v>2.1771999999999998E-3</v>
      </c>
      <c r="D803" s="648">
        <v>2.1686000000000001E-3</v>
      </c>
      <c r="E803" s="649">
        <v>916501</v>
      </c>
      <c r="F803" s="649">
        <v>973255</v>
      </c>
      <c r="G803" s="649">
        <v>4620748</v>
      </c>
      <c r="H803" s="649"/>
      <c r="I803" s="650">
        <v>86816</v>
      </c>
      <c r="J803" s="650">
        <v>4049248</v>
      </c>
      <c r="K803" s="650">
        <v>316480</v>
      </c>
      <c r="L803" s="649">
        <v>92904</v>
      </c>
      <c r="M803" s="649"/>
      <c r="N803" s="650">
        <v>161916</v>
      </c>
      <c r="O803" s="650">
        <v>1494556</v>
      </c>
      <c r="P803" s="650">
        <v>0</v>
      </c>
      <c r="Q803" s="649">
        <v>0</v>
      </c>
      <c r="R803" s="649"/>
      <c r="S803" s="650">
        <v>1235058</v>
      </c>
      <c r="T803" s="651">
        <v>33821</v>
      </c>
      <c r="U803" s="651">
        <v>1268879</v>
      </c>
    </row>
    <row r="804" spans="1:21" x14ac:dyDescent="0.25">
      <c r="A804" s="646">
        <v>98811</v>
      </c>
      <c r="B804" s="647" t="s">
        <v>3415</v>
      </c>
      <c r="C804" s="648">
        <v>7.1120000000000005E-4</v>
      </c>
      <c r="D804" s="648">
        <v>7.737E-4</v>
      </c>
      <c r="E804" s="649">
        <v>290528</v>
      </c>
      <c r="F804" s="649">
        <v>347232</v>
      </c>
      <c r="G804" s="649">
        <v>1509405</v>
      </c>
      <c r="H804" s="649"/>
      <c r="I804" s="650">
        <v>28359</v>
      </c>
      <c r="J804" s="650">
        <v>1322720</v>
      </c>
      <c r="K804" s="650">
        <v>103381</v>
      </c>
      <c r="L804" s="649">
        <v>31001</v>
      </c>
      <c r="M804" s="649"/>
      <c r="N804" s="650">
        <v>52891</v>
      </c>
      <c r="O804" s="650">
        <v>488209</v>
      </c>
      <c r="P804" s="650">
        <v>0</v>
      </c>
      <c r="Q804" s="649">
        <v>35404</v>
      </c>
      <c r="R804" s="649"/>
      <c r="S804" s="650">
        <v>403442</v>
      </c>
      <c r="T804" s="651">
        <v>4854</v>
      </c>
      <c r="U804" s="651">
        <v>408295</v>
      </c>
    </row>
    <row r="805" spans="1:21" x14ac:dyDescent="0.25">
      <c r="A805" s="646">
        <v>98817</v>
      </c>
      <c r="B805" s="647" t="s">
        <v>3416</v>
      </c>
      <c r="C805" s="648">
        <v>2.34E-5</v>
      </c>
      <c r="D805" s="648">
        <v>2.6400000000000001E-5</v>
      </c>
      <c r="E805" s="649">
        <v>11958.25</v>
      </c>
      <c r="F805" s="649">
        <v>11848</v>
      </c>
      <c r="G805" s="649">
        <v>49663</v>
      </c>
      <c r="H805" s="649"/>
      <c r="I805" s="650">
        <v>933</v>
      </c>
      <c r="J805" s="650">
        <v>43520</v>
      </c>
      <c r="K805" s="650">
        <v>3401</v>
      </c>
      <c r="L805" s="649">
        <v>244</v>
      </c>
      <c r="M805" s="649"/>
      <c r="N805" s="650">
        <v>1740</v>
      </c>
      <c r="O805" s="650">
        <v>16063</v>
      </c>
      <c r="P805" s="650">
        <v>0</v>
      </c>
      <c r="Q805" s="649">
        <v>4380</v>
      </c>
      <c r="R805" s="649"/>
      <c r="S805" s="650">
        <v>13274</v>
      </c>
      <c r="T805" s="651">
        <v>-2136</v>
      </c>
      <c r="U805" s="651">
        <v>11138</v>
      </c>
    </row>
    <row r="806" spans="1:21" x14ac:dyDescent="0.25">
      <c r="A806" s="646">
        <v>98901</v>
      </c>
      <c r="B806" s="647" t="s">
        <v>3417</v>
      </c>
      <c r="C806" s="648">
        <v>3.392E-4</v>
      </c>
      <c r="D806" s="648">
        <v>3.4190000000000002E-4</v>
      </c>
      <c r="E806" s="649">
        <v>138121</v>
      </c>
      <c r="F806" s="649">
        <v>153443</v>
      </c>
      <c r="G806" s="649">
        <v>719896</v>
      </c>
      <c r="H806" s="649"/>
      <c r="I806" s="650">
        <v>13525.6</v>
      </c>
      <c r="J806" s="650">
        <v>630858</v>
      </c>
      <c r="K806" s="650">
        <v>49306</v>
      </c>
      <c r="L806" s="649">
        <v>2099</v>
      </c>
      <c r="M806" s="649"/>
      <c r="N806" s="650">
        <v>25226</v>
      </c>
      <c r="O806" s="650">
        <v>232847</v>
      </c>
      <c r="P806" s="650">
        <v>0</v>
      </c>
      <c r="Q806" s="649">
        <v>3837</v>
      </c>
      <c r="R806" s="649"/>
      <c r="S806" s="650">
        <v>192418</v>
      </c>
      <c r="T806" s="651">
        <v>-562</v>
      </c>
      <c r="U806" s="651">
        <v>191855</v>
      </c>
    </row>
    <row r="807" spans="1:21" x14ac:dyDescent="0.25">
      <c r="A807" s="646">
        <v>98904</v>
      </c>
      <c r="B807" s="647" t="s">
        <v>3418</v>
      </c>
      <c r="C807" s="648">
        <v>5.2000000000000002E-6</v>
      </c>
      <c r="D807" s="648">
        <v>3.4000000000000001E-6</v>
      </c>
      <c r="E807" s="649">
        <v>0</v>
      </c>
      <c r="F807" s="649">
        <v>1526</v>
      </c>
      <c r="G807" s="649">
        <v>11036</v>
      </c>
      <c r="H807" s="649"/>
      <c r="I807" s="650">
        <v>207.35</v>
      </c>
      <c r="J807" s="650">
        <v>9671</v>
      </c>
      <c r="K807" s="650">
        <v>756</v>
      </c>
      <c r="L807" s="649">
        <v>575</v>
      </c>
      <c r="M807" s="649"/>
      <c r="N807" s="650">
        <v>387</v>
      </c>
      <c r="O807" s="650">
        <v>3570</v>
      </c>
      <c r="P807" s="650">
        <v>0</v>
      </c>
      <c r="Q807" s="649">
        <v>723</v>
      </c>
      <c r="R807" s="649"/>
      <c r="S807" s="650">
        <v>2950</v>
      </c>
      <c r="T807" s="651">
        <v>22</v>
      </c>
      <c r="U807" s="651">
        <v>2972</v>
      </c>
    </row>
    <row r="808" spans="1:21" x14ac:dyDescent="0.25">
      <c r="A808" s="646">
        <v>98911</v>
      </c>
      <c r="B808" s="647" t="s">
        <v>3419</v>
      </c>
      <c r="C808" s="648">
        <v>2.8600000000000001E-5</v>
      </c>
      <c r="D808" s="648">
        <v>2.5899999999999999E-5</v>
      </c>
      <c r="E808" s="649">
        <v>16745</v>
      </c>
      <c r="F808" s="649">
        <v>11624</v>
      </c>
      <c r="G808" s="649">
        <v>60699</v>
      </c>
      <c r="H808" s="649"/>
      <c r="I808" s="650">
        <v>1140.425</v>
      </c>
      <c r="J808" s="650">
        <v>53191</v>
      </c>
      <c r="K808" s="650">
        <v>4157</v>
      </c>
      <c r="L808" s="649">
        <v>13795</v>
      </c>
      <c r="M808" s="649"/>
      <c r="N808" s="650">
        <v>2127</v>
      </c>
      <c r="O808" s="650">
        <v>19633</v>
      </c>
      <c r="P808" s="650">
        <v>0</v>
      </c>
      <c r="Q808" s="649">
        <v>0</v>
      </c>
      <c r="R808" s="649"/>
      <c r="S808" s="650">
        <v>16224</v>
      </c>
      <c r="T808" s="651">
        <v>4655</v>
      </c>
      <c r="U808" s="651">
        <v>20879</v>
      </c>
    </row>
    <row r="809" spans="1:21" x14ac:dyDescent="0.25">
      <c r="A809" s="646">
        <v>99001</v>
      </c>
      <c r="B809" s="647" t="s">
        <v>3420</v>
      </c>
      <c r="C809" s="648">
        <v>7.8098999999999998E-3</v>
      </c>
      <c r="D809" s="648">
        <v>7.5116999999999996E-3</v>
      </c>
      <c r="E809" s="649">
        <v>3132308</v>
      </c>
      <c r="F809" s="649">
        <v>3371206</v>
      </c>
      <c r="G809" s="649">
        <v>16575224</v>
      </c>
      <c r="H809" s="649"/>
      <c r="I809" s="650">
        <v>311420</v>
      </c>
      <c r="J809" s="650">
        <v>14525180</v>
      </c>
      <c r="K809" s="650">
        <v>1135255</v>
      </c>
      <c r="L809" s="649">
        <v>444444</v>
      </c>
      <c r="M809" s="649"/>
      <c r="N809" s="650">
        <v>580814</v>
      </c>
      <c r="O809" s="650">
        <v>5361168</v>
      </c>
      <c r="P809" s="650">
        <v>0</v>
      </c>
      <c r="Q809" s="649">
        <v>0</v>
      </c>
      <c r="R809" s="649"/>
      <c r="S809" s="650">
        <v>4430314</v>
      </c>
      <c r="T809" s="651">
        <v>166582</v>
      </c>
      <c r="U809" s="651">
        <v>4596896</v>
      </c>
    </row>
    <row r="810" spans="1:21" x14ac:dyDescent="0.25">
      <c r="A810" s="646">
        <v>99011</v>
      </c>
      <c r="B810" s="647" t="s">
        <v>3421</v>
      </c>
      <c r="C810" s="648">
        <v>3.9039000000000001E-3</v>
      </c>
      <c r="D810" s="648">
        <v>4.3128999999999997E-3</v>
      </c>
      <c r="E810" s="649">
        <v>1564249</v>
      </c>
      <c r="F810" s="649">
        <v>1935604</v>
      </c>
      <c r="G810" s="649">
        <v>8285384</v>
      </c>
      <c r="H810" s="649"/>
      <c r="I810" s="650">
        <v>155668</v>
      </c>
      <c r="J810" s="650">
        <v>7260637</v>
      </c>
      <c r="K810" s="650">
        <v>567475</v>
      </c>
      <c r="L810" s="649">
        <v>0</v>
      </c>
      <c r="M810" s="649"/>
      <c r="N810" s="650">
        <v>290329</v>
      </c>
      <c r="O810" s="650">
        <v>2679863</v>
      </c>
      <c r="P810" s="650">
        <v>0</v>
      </c>
      <c r="Q810" s="649">
        <v>573396</v>
      </c>
      <c r="R810" s="649"/>
      <c r="S810" s="650">
        <v>2214561</v>
      </c>
      <c r="T810" s="651">
        <v>-205801</v>
      </c>
      <c r="U810" s="651">
        <v>2008761</v>
      </c>
    </row>
    <row r="811" spans="1:21" x14ac:dyDescent="0.25">
      <c r="A811" s="646">
        <v>99013</v>
      </c>
      <c r="B811" s="647" t="s">
        <v>3422</v>
      </c>
      <c r="C811" s="648">
        <v>6.02E-5</v>
      </c>
      <c r="D811" s="648">
        <v>7.2299999999999996E-5</v>
      </c>
      <c r="E811" s="649">
        <v>23490.16</v>
      </c>
      <c r="F811" s="649">
        <v>32448</v>
      </c>
      <c r="G811" s="649">
        <v>127765</v>
      </c>
      <c r="H811" s="649"/>
      <c r="I811" s="650">
        <v>2400.4749999999999</v>
      </c>
      <c r="J811" s="650">
        <v>111962</v>
      </c>
      <c r="K811" s="650">
        <v>8751</v>
      </c>
      <c r="L811" s="649">
        <v>20</v>
      </c>
      <c r="M811" s="649"/>
      <c r="N811" s="650">
        <v>4477</v>
      </c>
      <c r="O811" s="650">
        <v>41325</v>
      </c>
      <c r="P811" s="650">
        <v>0</v>
      </c>
      <c r="Q811" s="649">
        <v>8750</v>
      </c>
      <c r="R811" s="649"/>
      <c r="S811" s="650">
        <v>34150</v>
      </c>
      <c r="T811" s="651">
        <v>-2370</v>
      </c>
      <c r="U811" s="651">
        <v>31779</v>
      </c>
    </row>
    <row r="812" spans="1:21" x14ac:dyDescent="0.25">
      <c r="A812" s="646">
        <v>99014</v>
      </c>
      <c r="B812" s="647" t="s">
        <v>3423</v>
      </c>
      <c r="C812" s="648">
        <v>2.4199999999999999E-5</v>
      </c>
      <c r="D812" s="648">
        <v>0</v>
      </c>
      <c r="E812" s="649">
        <v>13216.55</v>
      </c>
      <c r="F812" s="649">
        <v>0</v>
      </c>
      <c r="G812" s="649">
        <v>51361</v>
      </c>
      <c r="H812" s="649"/>
      <c r="I812" s="650">
        <v>965</v>
      </c>
      <c r="J812" s="650">
        <v>45008</v>
      </c>
      <c r="K812" s="650">
        <v>3518</v>
      </c>
      <c r="L812" s="649">
        <v>15702</v>
      </c>
      <c r="M812" s="649"/>
      <c r="N812" s="650">
        <v>1800</v>
      </c>
      <c r="O812" s="650">
        <v>16612</v>
      </c>
      <c r="P812" s="650">
        <v>0</v>
      </c>
      <c r="Q812" s="649">
        <v>0</v>
      </c>
      <c r="R812" s="649"/>
      <c r="S812" s="650">
        <v>13728</v>
      </c>
      <c r="T812" s="651">
        <v>4068</v>
      </c>
      <c r="U812" s="651">
        <v>17796</v>
      </c>
    </row>
    <row r="813" spans="1:21" x14ac:dyDescent="0.25">
      <c r="A813" s="646">
        <v>99017</v>
      </c>
      <c r="B813" s="647" t="s">
        <v>3424</v>
      </c>
      <c r="C813" s="648">
        <v>4.6999999999999997E-5</v>
      </c>
      <c r="D813" s="648">
        <v>4.1199999999999999E-5</v>
      </c>
      <c r="E813" s="649">
        <v>19641</v>
      </c>
      <c r="F813" s="649">
        <v>18490</v>
      </c>
      <c r="G813" s="649">
        <v>99750</v>
      </c>
      <c r="H813" s="649"/>
      <c r="I813" s="650">
        <v>1874.125</v>
      </c>
      <c r="J813" s="650">
        <v>87413</v>
      </c>
      <c r="K813" s="650">
        <v>6832</v>
      </c>
      <c r="L813" s="649">
        <v>5674</v>
      </c>
      <c r="M813" s="649"/>
      <c r="N813" s="650">
        <v>3495</v>
      </c>
      <c r="O813" s="650">
        <v>32264</v>
      </c>
      <c r="P813" s="650">
        <v>0</v>
      </c>
      <c r="Q813" s="649">
        <v>6645</v>
      </c>
      <c r="R813" s="649"/>
      <c r="S813" s="650">
        <v>26662</v>
      </c>
      <c r="T813" s="651">
        <v>-1651</v>
      </c>
      <c r="U813" s="651">
        <v>25011</v>
      </c>
    </row>
    <row r="814" spans="1:21" x14ac:dyDescent="0.25">
      <c r="A814" s="646">
        <v>99021</v>
      </c>
      <c r="B814" s="647" t="s">
        <v>3425</v>
      </c>
      <c r="C814" s="648">
        <v>1.3420000000000001E-4</v>
      </c>
      <c r="D814" s="648">
        <v>1.3990000000000001E-4</v>
      </c>
      <c r="E814" s="649">
        <v>57840</v>
      </c>
      <c r="F814" s="649">
        <v>62786</v>
      </c>
      <c r="G814" s="649">
        <v>284817</v>
      </c>
      <c r="H814" s="649"/>
      <c r="I814" s="650">
        <v>5351</v>
      </c>
      <c r="J814" s="650">
        <v>249591</v>
      </c>
      <c r="K814" s="650">
        <v>19507</v>
      </c>
      <c r="L814" s="649">
        <v>5869</v>
      </c>
      <c r="M814" s="649"/>
      <c r="N814" s="650">
        <v>9980</v>
      </c>
      <c r="O814" s="650">
        <v>92123</v>
      </c>
      <c r="P814" s="650">
        <v>0</v>
      </c>
      <c r="Q814" s="649">
        <v>982</v>
      </c>
      <c r="R814" s="649"/>
      <c r="S814" s="650">
        <v>76127</v>
      </c>
      <c r="T814" s="651">
        <v>1992</v>
      </c>
      <c r="U814" s="651">
        <v>78120</v>
      </c>
    </row>
    <row r="815" spans="1:21" x14ac:dyDescent="0.25">
      <c r="A815" s="646">
        <v>99022</v>
      </c>
      <c r="B815" s="647" t="s">
        <v>1935</v>
      </c>
      <c r="C815" s="648">
        <v>1.1800000000000001E-5</v>
      </c>
      <c r="D815" s="648">
        <v>1.33E-5</v>
      </c>
      <c r="E815" s="649">
        <v>10517</v>
      </c>
      <c r="F815" s="649">
        <v>5969</v>
      </c>
      <c r="G815" s="649">
        <v>25044</v>
      </c>
      <c r="H815" s="649"/>
      <c r="I815" s="650">
        <v>471</v>
      </c>
      <c r="J815" s="650">
        <v>21946</v>
      </c>
      <c r="K815" s="650">
        <v>1715</v>
      </c>
      <c r="L815" s="649">
        <v>6383</v>
      </c>
      <c r="M815" s="649"/>
      <c r="N815" s="650">
        <v>878</v>
      </c>
      <c r="O815" s="650">
        <v>8100</v>
      </c>
      <c r="P815" s="650">
        <v>0</v>
      </c>
      <c r="Q815" s="649">
        <v>264.67</v>
      </c>
      <c r="R815" s="649"/>
      <c r="S815" s="650">
        <v>6694</v>
      </c>
      <c r="T815" s="651">
        <v>1778</v>
      </c>
      <c r="U815" s="651">
        <v>8472</v>
      </c>
    </row>
    <row r="816" spans="1:21" x14ac:dyDescent="0.25">
      <c r="A816" s="646">
        <v>99031</v>
      </c>
      <c r="B816" s="647" t="s">
        <v>3426</v>
      </c>
      <c r="C816" s="648">
        <v>1.5970000000000001E-4</v>
      </c>
      <c r="D816" s="648">
        <v>1.2860000000000001E-4</v>
      </c>
      <c r="E816" s="649">
        <v>49299</v>
      </c>
      <c r="F816" s="649">
        <v>57715</v>
      </c>
      <c r="G816" s="649">
        <v>338937</v>
      </c>
      <c r="H816" s="649"/>
      <c r="I816" s="650">
        <v>6368</v>
      </c>
      <c r="J816" s="650">
        <v>297017</v>
      </c>
      <c r="K816" s="650">
        <v>23214</v>
      </c>
      <c r="L816" s="649">
        <v>3840</v>
      </c>
      <c r="M816" s="649"/>
      <c r="N816" s="650">
        <v>11877</v>
      </c>
      <c r="O816" s="650">
        <v>109627</v>
      </c>
      <c r="P816" s="650">
        <v>0</v>
      </c>
      <c r="Q816" s="649">
        <v>20151</v>
      </c>
      <c r="R816" s="649"/>
      <c r="S816" s="650">
        <v>90593</v>
      </c>
      <c r="T816" s="651">
        <v>-8432</v>
      </c>
      <c r="U816" s="651">
        <v>82161</v>
      </c>
    </row>
    <row r="817" spans="1:21" x14ac:dyDescent="0.25">
      <c r="A817" s="646">
        <v>99041</v>
      </c>
      <c r="B817" s="647" t="s">
        <v>3427</v>
      </c>
      <c r="C817" s="648">
        <v>5.6289999999999997E-4</v>
      </c>
      <c r="D817" s="648">
        <v>5.0670000000000001E-4</v>
      </c>
      <c r="E817" s="649">
        <v>202619</v>
      </c>
      <c r="F817" s="649">
        <v>227404</v>
      </c>
      <c r="G817" s="649">
        <v>1194662</v>
      </c>
      <c r="H817" s="649"/>
      <c r="I817" s="650">
        <v>22446</v>
      </c>
      <c r="J817" s="650">
        <v>1046905</v>
      </c>
      <c r="K817" s="650">
        <v>81824</v>
      </c>
      <c r="L817" s="649">
        <v>59009</v>
      </c>
      <c r="M817" s="649"/>
      <c r="N817" s="650">
        <v>41862</v>
      </c>
      <c r="O817" s="650">
        <v>386407</v>
      </c>
      <c r="P817" s="650">
        <v>0</v>
      </c>
      <c r="Q817" s="649">
        <v>0</v>
      </c>
      <c r="R817" s="649"/>
      <c r="S817" s="650">
        <v>319316</v>
      </c>
      <c r="T817" s="651">
        <v>24415</v>
      </c>
      <c r="U817" s="651">
        <v>343731</v>
      </c>
    </row>
    <row r="818" spans="1:21" x14ac:dyDescent="0.25">
      <c r="A818" s="646">
        <v>99047</v>
      </c>
      <c r="B818" s="647" t="s">
        <v>3428</v>
      </c>
      <c r="C818" s="648">
        <v>9.2E-6</v>
      </c>
      <c r="D818" s="648">
        <v>1.19E-5</v>
      </c>
      <c r="E818" s="649">
        <v>6483</v>
      </c>
      <c r="F818" s="649">
        <v>5341</v>
      </c>
      <c r="G818" s="649">
        <v>19525</v>
      </c>
      <c r="H818" s="649"/>
      <c r="I818" s="650">
        <v>366.85</v>
      </c>
      <c r="J818" s="650">
        <v>17111</v>
      </c>
      <c r="K818" s="650">
        <v>1337</v>
      </c>
      <c r="L818" s="649">
        <v>3322</v>
      </c>
      <c r="M818" s="649"/>
      <c r="N818" s="650">
        <v>684</v>
      </c>
      <c r="O818" s="650">
        <v>6315</v>
      </c>
      <c r="P818" s="650">
        <v>0</v>
      </c>
      <c r="Q818" s="649">
        <v>0</v>
      </c>
      <c r="R818" s="649"/>
      <c r="S818" s="650">
        <v>5219</v>
      </c>
      <c r="T818" s="651">
        <v>1258</v>
      </c>
      <c r="U818" s="651">
        <v>6477</v>
      </c>
    </row>
    <row r="819" spans="1:21" x14ac:dyDescent="0.25">
      <c r="A819" s="646">
        <v>99051</v>
      </c>
      <c r="B819" s="647" t="s">
        <v>3429</v>
      </c>
      <c r="C819" s="648">
        <v>3.3349999999999997E-4</v>
      </c>
      <c r="D819" s="648">
        <v>2.8449999999999998E-4</v>
      </c>
      <c r="E819" s="649">
        <v>116232</v>
      </c>
      <c r="F819" s="649">
        <v>127682</v>
      </c>
      <c r="G819" s="649">
        <v>707799</v>
      </c>
      <c r="H819" s="649"/>
      <c r="I819" s="650">
        <v>13298</v>
      </c>
      <c r="J819" s="650">
        <v>620257</v>
      </c>
      <c r="K819" s="650">
        <v>48478</v>
      </c>
      <c r="L819" s="649">
        <v>16843</v>
      </c>
      <c r="M819" s="649"/>
      <c r="N819" s="650">
        <v>24802</v>
      </c>
      <c r="O819" s="650">
        <v>228934</v>
      </c>
      <c r="P819" s="650">
        <v>0</v>
      </c>
      <c r="Q819" s="649">
        <v>0</v>
      </c>
      <c r="R819" s="649"/>
      <c r="S819" s="650">
        <v>189184</v>
      </c>
      <c r="T819" s="651">
        <v>5410</v>
      </c>
      <c r="U819" s="651">
        <v>194594</v>
      </c>
    </row>
    <row r="820" spans="1:21" x14ac:dyDescent="0.25">
      <c r="A820" s="646">
        <v>99061</v>
      </c>
      <c r="B820" s="647" t="s">
        <v>3430</v>
      </c>
      <c r="C820" s="648">
        <v>8.3999999999999992E-6</v>
      </c>
      <c r="D820" s="648">
        <v>8.8000000000000004E-6</v>
      </c>
      <c r="E820" s="649">
        <v>7400.82</v>
      </c>
      <c r="F820" s="649">
        <v>3949</v>
      </c>
      <c r="G820" s="649">
        <v>17828</v>
      </c>
      <c r="H820" s="649"/>
      <c r="I820" s="650">
        <v>334.95</v>
      </c>
      <c r="J820" s="650">
        <v>15623</v>
      </c>
      <c r="K820" s="650">
        <v>1221</v>
      </c>
      <c r="L820" s="649">
        <v>6023</v>
      </c>
      <c r="M820" s="649"/>
      <c r="N820" s="650">
        <v>625</v>
      </c>
      <c r="O820" s="650">
        <v>5766</v>
      </c>
      <c r="P820" s="650">
        <v>0</v>
      </c>
      <c r="Q820" s="649">
        <v>0</v>
      </c>
      <c r="R820" s="649"/>
      <c r="S820" s="650">
        <v>4765</v>
      </c>
      <c r="T820" s="651">
        <v>1888</v>
      </c>
      <c r="U820" s="651">
        <v>6653</v>
      </c>
    </row>
    <row r="821" spans="1:21" x14ac:dyDescent="0.25">
      <c r="A821" s="646">
        <v>99071</v>
      </c>
      <c r="B821" s="647" t="s">
        <v>3431</v>
      </c>
      <c r="C821" s="648">
        <v>3.0499999999999999E-5</v>
      </c>
      <c r="D821" s="648">
        <v>3.9799999999999998E-5</v>
      </c>
      <c r="E821" s="649">
        <v>18015</v>
      </c>
      <c r="F821" s="649">
        <v>17862</v>
      </c>
      <c r="G821" s="649">
        <v>64731</v>
      </c>
      <c r="H821" s="649"/>
      <c r="I821" s="650">
        <v>1216.1875</v>
      </c>
      <c r="J821" s="650">
        <v>56725</v>
      </c>
      <c r="K821" s="650">
        <v>4434</v>
      </c>
      <c r="L821" s="649">
        <v>0</v>
      </c>
      <c r="M821" s="649"/>
      <c r="N821" s="650">
        <v>2268</v>
      </c>
      <c r="O821" s="650">
        <v>20937</v>
      </c>
      <c r="P821" s="650">
        <v>0</v>
      </c>
      <c r="Q821" s="649">
        <v>3405</v>
      </c>
      <c r="R821" s="649"/>
      <c r="S821" s="650">
        <v>17302</v>
      </c>
      <c r="T821" s="651">
        <v>-1312</v>
      </c>
      <c r="U821" s="651">
        <v>15990</v>
      </c>
    </row>
    <row r="822" spans="1:21" x14ac:dyDescent="0.25">
      <c r="A822" s="646">
        <v>99081</v>
      </c>
      <c r="B822" s="647" t="s">
        <v>3432</v>
      </c>
      <c r="C822" s="648">
        <v>2.9600000000000001E-5</v>
      </c>
      <c r="D822" s="648">
        <v>3.6999999999999998E-5</v>
      </c>
      <c r="E822" s="649">
        <v>11739.53</v>
      </c>
      <c r="F822" s="649">
        <v>16605</v>
      </c>
      <c r="G822" s="649">
        <v>62821</v>
      </c>
      <c r="H822" s="649"/>
      <c r="I822" s="650">
        <v>1180.3</v>
      </c>
      <c r="J822" s="650">
        <v>55051</v>
      </c>
      <c r="K822" s="650">
        <v>4303</v>
      </c>
      <c r="L822" s="649">
        <v>5558</v>
      </c>
      <c r="M822" s="649"/>
      <c r="N822" s="650">
        <v>2201</v>
      </c>
      <c r="O822" s="650">
        <v>20319</v>
      </c>
      <c r="P822" s="650">
        <v>0</v>
      </c>
      <c r="Q822" s="649">
        <v>7640</v>
      </c>
      <c r="R822" s="649"/>
      <c r="S822" s="650">
        <v>16791</v>
      </c>
      <c r="T822" s="651">
        <v>-809</v>
      </c>
      <c r="U822" s="651">
        <v>15982</v>
      </c>
    </row>
    <row r="823" spans="1:21" x14ac:dyDescent="0.25">
      <c r="A823" s="646">
        <v>99091</v>
      </c>
      <c r="B823" s="647" t="s">
        <v>3433</v>
      </c>
      <c r="C823" s="648">
        <v>4.1999999999999996E-6</v>
      </c>
      <c r="D823" s="648">
        <v>4.7999999999999998E-6</v>
      </c>
      <c r="E823" s="649">
        <v>4170.01</v>
      </c>
      <c r="F823" s="649">
        <v>2154</v>
      </c>
      <c r="G823" s="649">
        <v>8914</v>
      </c>
      <c r="H823" s="649"/>
      <c r="I823" s="650">
        <v>167.47499999999999</v>
      </c>
      <c r="J823" s="650">
        <v>7811</v>
      </c>
      <c r="K823" s="650">
        <v>611</v>
      </c>
      <c r="L823" s="649">
        <v>2618</v>
      </c>
      <c r="M823" s="649"/>
      <c r="N823" s="650">
        <v>312</v>
      </c>
      <c r="O823" s="650">
        <v>2883</v>
      </c>
      <c r="P823" s="650">
        <v>0</v>
      </c>
      <c r="Q823" s="649">
        <v>6497.35</v>
      </c>
      <c r="R823" s="649"/>
      <c r="S823" s="650">
        <v>2383</v>
      </c>
      <c r="T823" s="651">
        <v>-2491</v>
      </c>
      <c r="U823" s="651">
        <v>-108</v>
      </c>
    </row>
    <row r="824" spans="1:21" x14ac:dyDescent="0.25">
      <c r="A824" s="646">
        <v>99101</v>
      </c>
      <c r="B824" s="647" t="s">
        <v>3434</v>
      </c>
      <c r="C824" s="648">
        <v>2.0087999999999998E-3</v>
      </c>
      <c r="D824" s="648">
        <v>2.026E-3</v>
      </c>
      <c r="E824" s="649">
        <v>792557.39</v>
      </c>
      <c r="F824" s="649">
        <v>909257</v>
      </c>
      <c r="G824" s="649">
        <v>4263347</v>
      </c>
      <c r="H824" s="649"/>
      <c r="I824" s="650">
        <v>80101</v>
      </c>
      <c r="J824" s="650">
        <v>3736051</v>
      </c>
      <c r="K824" s="650">
        <v>292001</v>
      </c>
      <c r="L824" s="649">
        <v>7868</v>
      </c>
      <c r="M824" s="649"/>
      <c r="N824" s="650">
        <v>149392</v>
      </c>
      <c r="O824" s="650">
        <v>1378957</v>
      </c>
      <c r="P824" s="650">
        <v>0</v>
      </c>
      <c r="Q824" s="649">
        <v>72656</v>
      </c>
      <c r="R824" s="649"/>
      <c r="S824" s="650">
        <v>1139530</v>
      </c>
      <c r="T824" s="651">
        <v>-24965</v>
      </c>
      <c r="U824" s="651">
        <v>1114565</v>
      </c>
    </row>
    <row r="825" spans="1:21" x14ac:dyDescent="0.25">
      <c r="A825" s="646">
        <v>99104</v>
      </c>
      <c r="B825" s="647" t="s">
        <v>3435</v>
      </c>
      <c r="C825" s="648">
        <v>3.4799999999999999E-5</v>
      </c>
      <c r="D825" s="648">
        <v>2.55E-5</v>
      </c>
      <c r="E825" s="649">
        <v>18414</v>
      </c>
      <c r="F825" s="649">
        <v>11444</v>
      </c>
      <c r="G825" s="649">
        <v>73857</v>
      </c>
      <c r="H825" s="649"/>
      <c r="I825" s="650">
        <v>1388</v>
      </c>
      <c r="J825" s="650">
        <v>64723</v>
      </c>
      <c r="K825" s="650">
        <v>5059</v>
      </c>
      <c r="L825" s="649">
        <v>14979</v>
      </c>
      <c r="M825" s="649"/>
      <c r="N825" s="650">
        <v>2588</v>
      </c>
      <c r="O825" s="650">
        <v>23889</v>
      </c>
      <c r="P825" s="650">
        <v>0</v>
      </c>
      <c r="Q825" s="649">
        <v>0</v>
      </c>
      <c r="R825" s="649"/>
      <c r="S825" s="650">
        <v>19741</v>
      </c>
      <c r="T825" s="651">
        <v>4886</v>
      </c>
      <c r="U825" s="651">
        <v>24627</v>
      </c>
    </row>
    <row r="826" spans="1:21" x14ac:dyDescent="0.25">
      <c r="A826" s="646">
        <v>99109</v>
      </c>
      <c r="B826" s="647" t="s">
        <v>3436</v>
      </c>
      <c r="C826" s="648">
        <v>1.1849999999999999E-4</v>
      </c>
      <c r="D826" s="648">
        <v>1.4129999999999999E-4</v>
      </c>
      <c r="E826" s="649">
        <v>48014.54</v>
      </c>
      <c r="F826" s="649">
        <v>63415</v>
      </c>
      <c r="G826" s="649">
        <v>251497</v>
      </c>
      <c r="H826" s="649"/>
      <c r="I826" s="650">
        <v>4725.1875</v>
      </c>
      <c r="J826" s="650">
        <v>220391</v>
      </c>
      <c r="K826" s="650">
        <v>17225</v>
      </c>
      <c r="L826" s="649">
        <v>5297</v>
      </c>
      <c r="M826" s="649"/>
      <c r="N826" s="650">
        <v>8813</v>
      </c>
      <c r="O826" s="650">
        <v>81345</v>
      </c>
      <c r="P826" s="650">
        <v>0</v>
      </c>
      <c r="Q826" s="649">
        <v>22236</v>
      </c>
      <c r="R826" s="649"/>
      <c r="S826" s="650">
        <v>67221</v>
      </c>
      <c r="T826" s="651">
        <v>-6150</v>
      </c>
      <c r="U826" s="651">
        <v>61071</v>
      </c>
    </row>
    <row r="827" spans="1:21" x14ac:dyDescent="0.25">
      <c r="A827" s="646">
        <v>99110</v>
      </c>
      <c r="B827" s="647" t="s">
        <v>3437</v>
      </c>
      <c r="C827" s="648">
        <v>1.8369999999999999E-4</v>
      </c>
      <c r="D827" s="648">
        <v>1.728E-4</v>
      </c>
      <c r="E827" s="649">
        <v>101918</v>
      </c>
      <c r="F827" s="649">
        <v>77552</v>
      </c>
      <c r="G827" s="649">
        <v>389873</v>
      </c>
      <c r="H827" s="649"/>
      <c r="I827" s="650">
        <v>7325</v>
      </c>
      <c r="J827" s="650">
        <v>341653</v>
      </c>
      <c r="K827" s="650">
        <v>26703</v>
      </c>
      <c r="L827" s="649">
        <v>63672</v>
      </c>
      <c r="M827" s="649"/>
      <c r="N827" s="650">
        <v>13662</v>
      </c>
      <c r="O827" s="650">
        <v>126102</v>
      </c>
      <c r="P827" s="650">
        <v>0</v>
      </c>
      <c r="Q827" s="649">
        <v>0</v>
      </c>
      <c r="R827" s="649"/>
      <c r="S827" s="650">
        <v>104207</v>
      </c>
      <c r="T827" s="651">
        <v>21007</v>
      </c>
      <c r="U827" s="651">
        <v>125214</v>
      </c>
    </row>
    <row r="828" spans="1:21" x14ac:dyDescent="0.25">
      <c r="A828" s="646">
        <v>99111</v>
      </c>
      <c r="B828" s="647" t="s">
        <v>3438</v>
      </c>
      <c r="C828" s="648">
        <v>1.2757000000000001E-3</v>
      </c>
      <c r="D828" s="648">
        <v>1.3278000000000001E-3</v>
      </c>
      <c r="E828" s="649">
        <v>486451</v>
      </c>
      <c r="F828" s="649">
        <v>595909</v>
      </c>
      <c r="G828" s="649">
        <v>2707463</v>
      </c>
      <c r="H828" s="649"/>
      <c r="I828" s="650">
        <v>50869</v>
      </c>
      <c r="J828" s="650">
        <v>2372600</v>
      </c>
      <c r="K828" s="650">
        <v>185437</v>
      </c>
      <c r="L828" s="649">
        <v>0</v>
      </c>
      <c r="M828" s="649"/>
      <c r="N828" s="650">
        <v>94873</v>
      </c>
      <c r="O828" s="650">
        <v>875714</v>
      </c>
      <c r="P828" s="650">
        <v>0</v>
      </c>
      <c r="Q828" s="649">
        <v>165116</v>
      </c>
      <c r="R828" s="649"/>
      <c r="S828" s="650">
        <v>723665</v>
      </c>
      <c r="T828" s="651">
        <v>-59086</v>
      </c>
      <c r="U828" s="651">
        <v>664579</v>
      </c>
    </row>
    <row r="829" spans="1:21" x14ac:dyDescent="0.25">
      <c r="A829" s="646">
        <v>99201</v>
      </c>
      <c r="B829" s="647" t="s">
        <v>3439</v>
      </c>
      <c r="C829" s="648">
        <v>3.22145E-2</v>
      </c>
      <c r="D829" s="648">
        <v>3.0831399999999998E-2</v>
      </c>
      <c r="E829" s="649">
        <v>12898805</v>
      </c>
      <c r="F829" s="649">
        <v>13836947</v>
      </c>
      <c r="G829" s="649">
        <v>68369961</v>
      </c>
      <c r="H829" s="649"/>
      <c r="I829" s="650">
        <v>1284553</v>
      </c>
      <c r="J829" s="650">
        <v>59913880</v>
      </c>
      <c r="K829" s="650">
        <v>4682732</v>
      </c>
      <c r="L829" s="649">
        <v>1101849</v>
      </c>
      <c r="M829" s="649"/>
      <c r="N829" s="650">
        <v>2395760</v>
      </c>
      <c r="O829" s="650">
        <v>22113901</v>
      </c>
      <c r="P829" s="650">
        <v>0</v>
      </c>
      <c r="Q829" s="649">
        <v>485474</v>
      </c>
      <c r="R829" s="649"/>
      <c r="S829" s="650">
        <v>18274287</v>
      </c>
      <c r="T829" s="651">
        <v>101682</v>
      </c>
      <c r="U829" s="651">
        <v>18375969</v>
      </c>
    </row>
    <row r="830" spans="1:21" x14ac:dyDescent="0.25">
      <c r="A830" s="646">
        <v>99202</v>
      </c>
      <c r="B830" s="647" t="s">
        <v>3440</v>
      </c>
      <c r="C830" s="648">
        <v>2.5138000000000001E-3</v>
      </c>
      <c r="D830" s="648">
        <v>2.6002999999999998E-3</v>
      </c>
      <c r="E830" s="649">
        <v>915266</v>
      </c>
      <c r="F830" s="649">
        <v>1166999</v>
      </c>
      <c r="G830" s="649">
        <v>5335126</v>
      </c>
      <c r="H830" s="649"/>
      <c r="I830" s="650">
        <v>100238</v>
      </c>
      <c r="J830" s="650">
        <v>4675271</v>
      </c>
      <c r="K830" s="650">
        <v>365408</v>
      </c>
      <c r="L830" s="649">
        <v>0</v>
      </c>
      <c r="M830" s="649"/>
      <c r="N830" s="650">
        <v>186949</v>
      </c>
      <c r="O830" s="650">
        <v>1725618</v>
      </c>
      <c r="P830" s="650">
        <v>0</v>
      </c>
      <c r="Q830" s="649">
        <v>202410</v>
      </c>
      <c r="R830" s="649"/>
      <c r="S830" s="650">
        <v>1426001</v>
      </c>
      <c r="T830" s="651">
        <v>-62123</v>
      </c>
      <c r="U830" s="651">
        <v>1363878</v>
      </c>
    </row>
    <row r="831" spans="1:21" x14ac:dyDescent="0.25">
      <c r="A831" s="646">
        <v>99203</v>
      </c>
      <c r="B831" s="647" t="s">
        <v>3441</v>
      </c>
      <c r="C831" s="648">
        <v>3.1990000000000002E-4</v>
      </c>
      <c r="D831" s="648">
        <v>2.5050000000000002E-4</v>
      </c>
      <c r="E831" s="649">
        <v>105117</v>
      </c>
      <c r="F831" s="649">
        <v>112423</v>
      </c>
      <c r="G831" s="649">
        <v>678935</v>
      </c>
      <c r="H831" s="649"/>
      <c r="I831" s="650">
        <v>12756</v>
      </c>
      <c r="J831" s="650">
        <v>594963</v>
      </c>
      <c r="K831" s="650">
        <v>46501</v>
      </c>
      <c r="L831" s="649">
        <v>40829</v>
      </c>
      <c r="M831" s="649"/>
      <c r="N831" s="650">
        <v>23791</v>
      </c>
      <c r="O831" s="650">
        <v>219598</v>
      </c>
      <c r="P831" s="650">
        <v>0</v>
      </c>
      <c r="Q831" s="649">
        <v>0</v>
      </c>
      <c r="R831" s="649"/>
      <c r="S831" s="650">
        <v>181469</v>
      </c>
      <c r="T831" s="651">
        <v>16396</v>
      </c>
      <c r="U831" s="651">
        <v>197865</v>
      </c>
    </row>
    <row r="832" spans="1:21" x14ac:dyDescent="0.25">
      <c r="A832" s="646">
        <v>99204</v>
      </c>
      <c r="B832" s="647" t="s">
        <v>3442</v>
      </c>
      <c r="C832" s="648">
        <v>7.4910000000000005E-4</v>
      </c>
      <c r="D832" s="648">
        <v>6.5600000000000001E-4</v>
      </c>
      <c r="E832" s="649">
        <v>316209.94</v>
      </c>
      <c r="F832" s="649">
        <v>294409</v>
      </c>
      <c r="G832" s="649">
        <v>1589841</v>
      </c>
      <c r="H832" s="649"/>
      <c r="I832" s="650">
        <v>29870</v>
      </c>
      <c r="J832" s="650">
        <v>1393208</v>
      </c>
      <c r="K832" s="650">
        <v>108890</v>
      </c>
      <c r="L832" s="649">
        <v>82158</v>
      </c>
      <c r="M832" s="649"/>
      <c r="N832" s="650">
        <v>55710</v>
      </c>
      <c r="O832" s="650">
        <v>514226</v>
      </c>
      <c r="P832" s="650">
        <v>0</v>
      </c>
      <c r="Q832" s="649">
        <v>0</v>
      </c>
      <c r="R832" s="649"/>
      <c r="S832" s="650">
        <v>424941</v>
      </c>
      <c r="T832" s="651">
        <v>24836</v>
      </c>
      <c r="U832" s="651">
        <v>449777</v>
      </c>
    </row>
    <row r="833" spans="1:21" x14ac:dyDescent="0.25">
      <c r="A833" s="646">
        <v>99206</v>
      </c>
      <c r="B833" s="647" t="s">
        <v>3443</v>
      </c>
      <c r="C833" s="648">
        <v>1.6665E-3</v>
      </c>
      <c r="D833" s="648">
        <v>1.9373999999999999E-3</v>
      </c>
      <c r="E833" s="649">
        <v>1101168.54</v>
      </c>
      <c r="F833" s="649">
        <v>869493</v>
      </c>
      <c r="G833" s="649">
        <v>3536871</v>
      </c>
      <c r="H833" s="649"/>
      <c r="I833" s="650">
        <v>66452</v>
      </c>
      <c r="J833" s="650">
        <v>3099427</v>
      </c>
      <c r="K833" s="650">
        <v>242244</v>
      </c>
      <c r="L833" s="649">
        <v>400880</v>
      </c>
      <c r="M833" s="649"/>
      <c r="N833" s="650">
        <v>123936</v>
      </c>
      <c r="O833" s="650">
        <v>1143982</v>
      </c>
      <c r="P833" s="650">
        <v>0</v>
      </c>
      <c r="Q833" s="649">
        <v>13550</v>
      </c>
      <c r="R833" s="649"/>
      <c r="S833" s="650">
        <v>945354</v>
      </c>
      <c r="T833" s="651">
        <v>117813</v>
      </c>
      <c r="U833" s="651">
        <v>1063167</v>
      </c>
    </row>
    <row r="834" spans="1:21" x14ac:dyDescent="0.25">
      <c r="A834" s="646">
        <v>99207</v>
      </c>
      <c r="B834" s="647" t="s">
        <v>3444</v>
      </c>
      <c r="C834" s="648">
        <v>1.3430000000000001E-4</v>
      </c>
      <c r="D834" s="648">
        <v>1.4320000000000001E-4</v>
      </c>
      <c r="E834" s="649">
        <v>122929.82</v>
      </c>
      <c r="F834" s="649">
        <v>64267</v>
      </c>
      <c r="G834" s="649">
        <v>285030</v>
      </c>
      <c r="H834" s="649"/>
      <c r="I834" s="650">
        <v>5355</v>
      </c>
      <c r="J834" s="650">
        <v>249777</v>
      </c>
      <c r="K834" s="650">
        <v>19522</v>
      </c>
      <c r="L834" s="649">
        <v>79584</v>
      </c>
      <c r="M834" s="649"/>
      <c r="N834" s="650">
        <v>9988</v>
      </c>
      <c r="O834" s="650">
        <v>92191</v>
      </c>
      <c r="P834" s="650">
        <v>0</v>
      </c>
      <c r="Q834" s="649">
        <v>0</v>
      </c>
      <c r="R834" s="649"/>
      <c r="S834" s="650">
        <v>76184</v>
      </c>
      <c r="T834" s="651">
        <v>24293</v>
      </c>
      <c r="U834" s="651">
        <v>100477</v>
      </c>
    </row>
    <row r="835" spans="1:21" x14ac:dyDescent="0.25">
      <c r="A835" s="646">
        <v>99208</v>
      </c>
      <c r="B835" s="647" t="s">
        <v>3445</v>
      </c>
      <c r="C835" s="648">
        <v>1.3669999999999999E-4</v>
      </c>
      <c r="D835" s="648">
        <v>1.774E-4</v>
      </c>
      <c r="E835" s="649">
        <v>46840</v>
      </c>
      <c r="F835" s="649">
        <v>79616</v>
      </c>
      <c r="G835" s="649">
        <v>290123</v>
      </c>
      <c r="H835" s="649"/>
      <c r="I835" s="650">
        <v>5451</v>
      </c>
      <c r="J835" s="650">
        <v>254240</v>
      </c>
      <c r="K835" s="650">
        <v>19871</v>
      </c>
      <c r="L835" s="649">
        <v>0</v>
      </c>
      <c r="M835" s="649"/>
      <c r="N835" s="650">
        <v>10166</v>
      </c>
      <c r="O835" s="650">
        <v>93839</v>
      </c>
      <c r="P835" s="650">
        <v>0</v>
      </c>
      <c r="Q835" s="649">
        <v>57522</v>
      </c>
      <c r="R835" s="649"/>
      <c r="S835" s="650">
        <v>77546</v>
      </c>
      <c r="T835" s="651">
        <v>-20235</v>
      </c>
      <c r="U835" s="651">
        <v>57311</v>
      </c>
    </row>
    <row r="836" spans="1:21" x14ac:dyDescent="0.25">
      <c r="A836" s="646">
        <v>99210</v>
      </c>
      <c r="B836" s="647" t="s">
        <v>3446</v>
      </c>
      <c r="C836" s="648">
        <v>1.5945E-3</v>
      </c>
      <c r="D836" s="648">
        <v>1.6262E-3</v>
      </c>
      <c r="E836" s="649">
        <v>706576</v>
      </c>
      <c r="F836" s="649">
        <v>729829</v>
      </c>
      <c r="G836" s="649">
        <v>3384063</v>
      </c>
      <c r="H836" s="649"/>
      <c r="I836" s="650">
        <v>63581</v>
      </c>
      <c r="J836" s="650">
        <v>2965518</v>
      </c>
      <c r="K836" s="650">
        <v>231778</v>
      </c>
      <c r="L836" s="649">
        <v>80869</v>
      </c>
      <c r="M836" s="649"/>
      <c r="N836" s="650">
        <v>118581</v>
      </c>
      <c r="O836" s="650">
        <v>1094557</v>
      </c>
      <c r="P836" s="650">
        <v>0</v>
      </c>
      <c r="Q836" s="649">
        <v>0</v>
      </c>
      <c r="R836" s="649"/>
      <c r="S836" s="650">
        <v>904510</v>
      </c>
      <c r="T836" s="651">
        <v>27611</v>
      </c>
      <c r="U836" s="651">
        <v>932122</v>
      </c>
    </row>
    <row r="837" spans="1:21" x14ac:dyDescent="0.25">
      <c r="A837" s="646">
        <v>99211</v>
      </c>
      <c r="B837" s="647" t="s">
        <v>3447</v>
      </c>
      <c r="C837" s="648">
        <v>3.8233999999999997E-2</v>
      </c>
      <c r="D837" s="648">
        <v>3.7564199999999999E-2</v>
      </c>
      <c r="E837" s="649">
        <v>14152947</v>
      </c>
      <c r="F837" s="649">
        <v>16858588</v>
      </c>
      <c r="G837" s="649">
        <v>81145356</v>
      </c>
      <c r="H837" s="649"/>
      <c r="I837" s="650">
        <v>1524580.75</v>
      </c>
      <c r="J837" s="650">
        <v>71109199</v>
      </c>
      <c r="K837" s="650">
        <v>5557732</v>
      </c>
      <c r="L837" s="649">
        <v>0</v>
      </c>
      <c r="M837" s="649"/>
      <c r="N837" s="650">
        <v>2843424</v>
      </c>
      <c r="O837" s="650">
        <v>26246035</v>
      </c>
      <c r="P837" s="650">
        <v>0</v>
      </c>
      <c r="Q837" s="649">
        <v>1538962</v>
      </c>
      <c r="R837" s="649"/>
      <c r="S837" s="650">
        <v>21688963</v>
      </c>
      <c r="T837" s="651">
        <v>-519725</v>
      </c>
      <c r="U837" s="651">
        <v>21169238</v>
      </c>
    </row>
    <row r="838" spans="1:21" x14ac:dyDescent="0.25">
      <c r="A838" s="646">
        <v>99212</v>
      </c>
      <c r="B838" s="647" t="s">
        <v>3448</v>
      </c>
      <c r="C838" s="648">
        <v>7.4400000000000006E-5</v>
      </c>
      <c r="D838" s="648">
        <v>1.2750000000000001E-4</v>
      </c>
      <c r="E838" s="649">
        <v>26346.03</v>
      </c>
      <c r="F838" s="649">
        <v>57221</v>
      </c>
      <c r="G838" s="649">
        <v>157902</v>
      </c>
      <c r="H838" s="649"/>
      <c r="I838" s="650">
        <v>2967</v>
      </c>
      <c r="J838" s="650">
        <v>138372</v>
      </c>
      <c r="K838" s="650">
        <v>10815</v>
      </c>
      <c r="L838" s="649">
        <v>0</v>
      </c>
      <c r="M838" s="649"/>
      <c r="N838" s="650">
        <v>5533</v>
      </c>
      <c r="O838" s="650">
        <v>51072</v>
      </c>
      <c r="P838" s="650">
        <v>0</v>
      </c>
      <c r="Q838" s="649">
        <v>49365</v>
      </c>
      <c r="R838" s="649"/>
      <c r="S838" s="650">
        <v>42205</v>
      </c>
      <c r="T838" s="651">
        <v>-15321</v>
      </c>
      <c r="U838" s="651">
        <v>26884</v>
      </c>
    </row>
    <row r="839" spans="1:21" x14ac:dyDescent="0.25">
      <c r="A839" s="646">
        <v>99213</v>
      </c>
      <c r="B839" s="647" t="s">
        <v>3449</v>
      </c>
      <c r="C839" s="648">
        <v>8.0730000000000005E-4</v>
      </c>
      <c r="D839" s="648">
        <v>8.3339999999999998E-4</v>
      </c>
      <c r="E839" s="649">
        <v>326035</v>
      </c>
      <c r="F839" s="649">
        <v>374025</v>
      </c>
      <c r="G839" s="649">
        <v>1713361</v>
      </c>
      <c r="H839" s="649"/>
      <c r="I839" s="650">
        <v>32191</v>
      </c>
      <c r="J839" s="650">
        <v>1501450</v>
      </c>
      <c r="K839" s="650">
        <v>117350</v>
      </c>
      <c r="L839" s="649">
        <v>9384</v>
      </c>
      <c r="M839" s="649"/>
      <c r="N839" s="650">
        <v>60038</v>
      </c>
      <c r="O839" s="650">
        <v>554178</v>
      </c>
      <c r="P839" s="650">
        <v>0</v>
      </c>
      <c r="Q839" s="649">
        <v>21194</v>
      </c>
      <c r="R839" s="649"/>
      <c r="S839" s="650">
        <v>457956</v>
      </c>
      <c r="T839" s="651">
        <v>-2728</v>
      </c>
      <c r="U839" s="651">
        <v>455228</v>
      </c>
    </row>
    <row r="840" spans="1:21" x14ac:dyDescent="0.25">
      <c r="A840" s="646">
        <v>99218</v>
      </c>
      <c r="B840" s="647" t="s">
        <v>3450</v>
      </c>
      <c r="C840" s="648">
        <v>3.1227999999999998E-3</v>
      </c>
      <c r="D840" s="648">
        <v>2.8506999999999998E-3</v>
      </c>
      <c r="E840" s="649">
        <v>1270452.44</v>
      </c>
      <c r="F840" s="649">
        <v>1279377</v>
      </c>
      <c r="G840" s="649">
        <v>6627628</v>
      </c>
      <c r="H840" s="649"/>
      <c r="I840" s="650">
        <v>124521.65</v>
      </c>
      <c r="J840" s="650">
        <v>5807915</v>
      </c>
      <c r="K840" s="650">
        <v>453933</v>
      </c>
      <c r="L840" s="649">
        <v>189764</v>
      </c>
      <c r="M840" s="649"/>
      <c r="N840" s="650">
        <v>232240</v>
      </c>
      <c r="O840" s="650">
        <v>2143671</v>
      </c>
      <c r="P840" s="650">
        <v>0</v>
      </c>
      <c r="Q840" s="649">
        <v>0</v>
      </c>
      <c r="R840" s="649"/>
      <c r="S840" s="650">
        <v>1771468</v>
      </c>
      <c r="T840" s="651">
        <v>55483</v>
      </c>
      <c r="U840" s="651">
        <v>1826951</v>
      </c>
    </row>
    <row r="841" spans="1:21" x14ac:dyDescent="0.25">
      <c r="A841" s="646">
        <v>99221</v>
      </c>
      <c r="B841" s="647" t="s">
        <v>3451</v>
      </c>
      <c r="C841" s="648">
        <v>1.3092700000000001E-2</v>
      </c>
      <c r="D841" s="648">
        <v>1.33233E-2</v>
      </c>
      <c r="E841" s="649">
        <v>4943528</v>
      </c>
      <c r="F841" s="649">
        <v>5979417</v>
      </c>
      <c r="G841" s="649">
        <v>27787095</v>
      </c>
      <c r="H841" s="649"/>
      <c r="I841" s="650">
        <v>522071</v>
      </c>
      <c r="J841" s="650">
        <v>24350353</v>
      </c>
      <c r="K841" s="650">
        <v>1903168</v>
      </c>
      <c r="L841" s="649">
        <v>0</v>
      </c>
      <c r="M841" s="649"/>
      <c r="N841" s="650">
        <v>973691</v>
      </c>
      <c r="O841" s="650">
        <v>8987589</v>
      </c>
      <c r="P841" s="650">
        <v>0</v>
      </c>
      <c r="Q841" s="649">
        <v>703621</v>
      </c>
      <c r="R841" s="649"/>
      <c r="S841" s="650">
        <v>7427083</v>
      </c>
      <c r="T841" s="651">
        <v>-220701</v>
      </c>
      <c r="U841" s="651">
        <v>7206381</v>
      </c>
    </row>
    <row r="842" spans="1:21" x14ac:dyDescent="0.25">
      <c r="A842" s="646">
        <v>99222</v>
      </c>
      <c r="B842" s="647" t="s">
        <v>3452</v>
      </c>
      <c r="C842" s="648">
        <v>4.0099999999999999E-5</v>
      </c>
      <c r="D842" s="648">
        <v>3.82E-5</v>
      </c>
      <c r="E842" s="649">
        <v>13647</v>
      </c>
      <c r="F842" s="649">
        <v>17144</v>
      </c>
      <c r="G842" s="649">
        <v>85106</v>
      </c>
      <c r="H842" s="649"/>
      <c r="I842" s="650">
        <v>1599</v>
      </c>
      <c r="J842" s="650">
        <v>74580</v>
      </c>
      <c r="K842" s="650">
        <v>5829</v>
      </c>
      <c r="L842" s="649">
        <v>3575</v>
      </c>
      <c r="M842" s="649"/>
      <c r="N842" s="650">
        <v>2982</v>
      </c>
      <c r="O842" s="650">
        <v>27527</v>
      </c>
      <c r="P842" s="650">
        <v>0</v>
      </c>
      <c r="Q842" s="649">
        <v>1230</v>
      </c>
      <c r="R842" s="649"/>
      <c r="S842" s="650">
        <v>22747</v>
      </c>
      <c r="T842" s="651">
        <v>949</v>
      </c>
      <c r="U842" s="651">
        <v>23697</v>
      </c>
    </row>
    <row r="843" spans="1:21" x14ac:dyDescent="0.25">
      <c r="A843" s="646">
        <v>99231</v>
      </c>
      <c r="B843" s="647" t="s">
        <v>3453</v>
      </c>
      <c r="C843" s="648">
        <v>3.7869999999999999E-4</v>
      </c>
      <c r="D843" s="648">
        <v>3.7139999999999997E-4</v>
      </c>
      <c r="E843" s="649">
        <v>142098.15</v>
      </c>
      <c r="F843" s="649">
        <v>166682</v>
      </c>
      <c r="G843" s="649">
        <v>803728</v>
      </c>
      <c r="H843" s="649"/>
      <c r="I843" s="650">
        <v>15101</v>
      </c>
      <c r="J843" s="650">
        <v>704322</v>
      </c>
      <c r="K843" s="650">
        <v>55048</v>
      </c>
      <c r="L843" s="649">
        <v>0</v>
      </c>
      <c r="M843" s="649"/>
      <c r="N843" s="650">
        <v>28164</v>
      </c>
      <c r="O843" s="650">
        <v>259962</v>
      </c>
      <c r="P843" s="650">
        <v>0</v>
      </c>
      <c r="Q843" s="649">
        <v>27202</v>
      </c>
      <c r="R843" s="649"/>
      <c r="S843" s="650">
        <v>214825</v>
      </c>
      <c r="T843" s="651">
        <v>-11082</v>
      </c>
      <c r="U843" s="651">
        <v>203743</v>
      </c>
    </row>
    <row r="844" spans="1:21" x14ac:dyDescent="0.25">
      <c r="A844" s="646">
        <v>99241</v>
      </c>
      <c r="B844" s="647" t="s">
        <v>3454</v>
      </c>
      <c r="C844" s="648">
        <v>5.6039999999999996E-4</v>
      </c>
      <c r="D844" s="648">
        <v>5.9259999999999998E-4</v>
      </c>
      <c r="E844" s="649">
        <v>196949</v>
      </c>
      <c r="F844" s="649">
        <v>265955</v>
      </c>
      <c r="G844" s="649">
        <v>1189357</v>
      </c>
      <c r="H844" s="649"/>
      <c r="I844" s="650">
        <v>22346</v>
      </c>
      <c r="J844" s="650">
        <v>1042255</v>
      </c>
      <c r="K844" s="650">
        <v>81460</v>
      </c>
      <c r="L844" s="649">
        <v>0</v>
      </c>
      <c r="M844" s="649"/>
      <c r="N844" s="650">
        <v>41676</v>
      </c>
      <c r="O844" s="650">
        <v>384691</v>
      </c>
      <c r="P844" s="650">
        <v>0</v>
      </c>
      <c r="Q844" s="649">
        <v>122254</v>
      </c>
      <c r="R844" s="649"/>
      <c r="S844" s="650">
        <v>317898</v>
      </c>
      <c r="T844" s="651">
        <v>-45505</v>
      </c>
      <c r="U844" s="651">
        <v>272393</v>
      </c>
    </row>
    <row r="845" spans="1:21" x14ac:dyDescent="0.25">
      <c r="A845" s="646">
        <v>99251</v>
      </c>
      <c r="B845" s="647" t="s">
        <v>3455</v>
      </c>
      <c r="C845" s="648">
        <v>1.6521000000000001E-3</v>
      </c>
      <c r="D845" s="648">
        <v>1.598E-3</v>
      </c>
      <c r="E845" s="649">
        <v>644905</v>
      </c>
      <c r="F845" s="649">
        <v>717173</v>
      </c>
      <c r="G845" s="649">
        <v>3506310</v>
      </c>
      <c r="H845" s="649"/>
      <c r="I845" s="650">
        <v>65877</v>
      </c>
      <c r="J845" s="650">
        <v>3072645</v>
      </c>
      <c r="K845" s="650">
        <v>240151</v>
      </c>
      <c r="L845" s="649">
        <v>3992</v>
      </c>
      <c r="M845" s="649"/>
      <c r="N845" s="650">
        <v>122865</v>
      </c>
      <c r="O845" s="650">
        <v>1134097</v>
      </c>
      <c r="P845" s="650">
        <v>0</v>
      </c>
      <c r="Q845" s="649">
        <v>14191</v>
      </c>
      <c r="R845" s="649"/>
      <c r="S845" s="650">
        <v>937185</v>
      </c>
      <c r="T845" s="651">
        <v>-5897</v>
      </c>
      <c r="U845" s="651">
        <v>931288</v>
      </c>
    </row>
    <row r="846" spans="1:21" x14ac:dyDescent="0.25">
      <c r="A846" s="646">
        <v>99252</v>
      </c>
      <c r="B846" s="647" t="s">
        <v>3456</v>
      </c>
      <c r="C846" s="648">
        <v>5.8279999999999996E-4</v>
      </c>
      <c r="D846" s="648">
        <v>7.4010000000000005E-4</v>
      </c>
      <c r="E846" s="649">
        <v>174600</v>
      </c>
      <c r="F846" s="649">
        <v>332152</v>
      </c>
      <c r="G846" s="649">
        <v>1236897</v>
      </c>
      <c r="H846" s="649"/>
      <c r="I846" s="650">
        <v>23239</v>
      </c>
      <c r="J846" s="650">
        <v>1083916</v>
      </c>
      <c r="K846" s="650">
        <v>84716</v>
      </c>
      <c r="L846" s="649">
        <v>0</v>
      </c>
      <c r="M846" s="649"/>
      <c r="N846" s="650">
        <v>43342</v>
      </c>
      <c r="O846" s="650">
        <v>400068</v>
      </c>
      <c r="P846" s="650">
        <v>0</v>
      </c>
      <c r="Q846" s="649">
        <v>244190</v>
      </c>
      <c r="R846" s="649"/>
      <c r="S846" s="650">
        <v>330604</v>
      </c>
      <c r="T846" s="651">
        <v>-77201</v>
      </c>
      <c r="U846" s="651">
        <v>253403</v>
      </c>
    </row>
    <row r="847" spans="1:21" x14ac:dyDescent="0.25">
      <c r="A847" s="646">
        <v>99261</v>
      </c>
      <c r="B847" s="647" t="s">
        <v>3457</v>
      </c>
      <c r="C847" s="648">
        <v>1.9145E-3</v>
      </c>
      <c r="D847" s="648">
        <v>1.8552E-3</v>
      </c>
      <c r="E847" s="649">
        <v>638819</v>
      </c>
      <c r="F847" s="649">
        <v>832603</v>
      </c>
      <c r="G847" s="649">
        <v>4063210</v>
      </c>
      <c r="H847" s="649"/>
      <c r="I847" s="650">
        <v>76341</v>
      </c>
      <c r="J847" s="650">
        <v>3560668</v>
      </c>
      <c r="K847" s="650">
        <v>278294</v>
      </c>
      <c r="L847" s="649">
        <v>0</v>
      </c>
      <c r="M847" s="649"/>
      <c r="N847" s="650">
        <v>142379</v>
      </c>
      <c r="O847" s="650">
        <v>1314224</v>
      </c>
      <c r="P847" s="650">
        <v>0</v>
      </c>
      <c r="Q847" s="649">
        <v>177810</v>
      </c>
      <c r="R847" s="649"/>
      <c r="S847" s="650">
        <v>1086037</v>
      </c>
      <c r="T847" s="651">
        <v>-61359</v>
      </c>
      <c r="U847" s="651">
        <v>1024677</v>
      </c>
    </row>
    <row r="848" spans="1:21" x14ac:dyDescent="0.25">
      <c r="A848" s="646">
        <v>99271</v>
      </c>
      <c r="B848" s="647" t="s">
        <v>3458</v>
      </c>
      <c r="C848" s="648">
        <v>3.9248E-3</v>
      </c>
      <c r="D848" s="648">
        <v>3.9693000000000003E-3</v>
      </c>
      <c r="E848" s="649">
        <v>1483973.83</v>
      </c>
      <c r="F848" s="649">
        <v>1781398</v>
      </c>
      <c r="G848" s="649">
        <v>8329740</v>
      </c>
      <c r="H848" s="649"/>
      <c r="I848" s="650">
        <v>156501.4</v>
      </c>
      <c r="J848" s="650">
        <v>7299508</v>
      </c>
      <c r="K848" s="650">
        <v>570513</v>
      </c>
      <c r="L848" s="649">
        <v>0</v>
      </c>
      <c r="M848" s="649"/>
      <c r="N848" s="650">
        <v>291883</v>
      </c>
      <c r="O848" s="650">
        <v>2694210</v>
      </c>
      <c r="P848" s="650">
        <v>0</v>
      </c>
      <c r="Q848" s="649">
        <v>151650</v>
      </c>
      <c r="R848" s="649"/>
      <c r="S848" s="650">
        <v>2226417</v>
      </c>
      <c r="T848" s="651">
        <v>-42013</v>
      </c>
      <c r="U848" s="651">
        <v>2184404</v>
      </c>
    </row>
    <row r="849" spans="1:21" x14ac:dyDescent="0.25">
      <c r="A849" s="646">
        <v>99281</v>
      </c>
      <c r="B849" s="647" t="s">
        <v>3459</v>
      </c>
      <c r="C849" s="648">
        <v>2.2824E-3</v>
      </c>
      <c r="D849" s="648">
        <v>2.3207000000000002E-3</v>
      </c>
      <c r="E849" s="649">
        <v>859938</v>
      </c>
      <c r="F849" s="649">
        <v>1041516</v>
      </c>
      <c r="G849" s="649">
        <v>4844017</v>
      </c>
      <c r="H849" s="649"/>
      <c r="I849" s="650">
        <v>91010.7</v>
      </c>
      <c r="J849" s="650">
        <v>4244903</v>
      </c>
      <c r="K849" s="650">
        <v>331772</v>
      </c>
      <c r="L849" s="649">
        <v>13554</v>
      </c>
      <c r="M849" s="649"/>
      <c r="N849" s="650">
        <v>169740</v>
      </c>
      <c r="O849" s="650">
        <v>1566772</v>
      </c>
      <c r="P849" s="650">
        <v>0</v>
      </c>
      <c r="Q849" s="649">
        <v>113243</v>
      </c>
      <c r="R849" s="649"/>
      <c r="S849" s="650">
        <v>1294735</v>
      </c>
      <c r="T849" s="651">
        <v>-25393</v>
      </c>
      <c r="U849" s="651">
        <v>1269342</v>
      </c>
    </row>
    <row r="850" spans="1:21" x14ac:dyDescent="0.25">
      <c r="A850" s="646">
        <v>99291</v>
      </c>
      <c r="B850" s="647" t="s">
        <v>3460</v>
      </c>
      <c r="C850" s="648">
        <v>7.7260000000000002E-4</v>
      </c>
      <c r="D850" s="648">
        <v>8.0780000000000001E-4</v>
      </c>
      <c r="E850" s="649">
        <v>267315.87</v>
      </c>
      <c r="F850" s="649">
        <v>362536</v>
      </c>
      <c r="G850" s="649">
        <v>1639716</v>
      </c>
      <c r="H850" s="649"/>
      <c r="I850" s="650">
        <v>30807</v>
      </c>
      <c r="J850" s="650">
        <v>1436914</v>
      </c>
      <c r="K850" s="650">
        <v>112306</v>
      </c>
      <c r="L850" s="649">
        <v>0</v>
      </c>
      <c r="M850" s="649"/>
      <c r="N850" s="650">
        <v>57457</v>
      </c>
      <c r="O850" s="650">
        <v>530357</v>
      </c>
      <c r="P850" s="650">
        <v>0</v>
      </c>
      <c r="Q850" s="649">
        <v>124026</v>
      </c>
      <c r="R850" s="649"/>
      <c r="S850" s="650">
        <v>438272</v>
      </c>
      <c r="T850" s="651">
        <v>-41703</v>
      </c>
      <c r="U850" s="651">
        <v>396569</v>
      </c>
    </row>
    <row r="851" spans="1:21" x14ac:dyDescent="0.25">
      <c r="A851" s="646">
        <v>99301</v>
      </c>
      <c r="B851" s="647" t="s">
        <v>3461</v>
      </c>
      <c r="C851" s="648">
        <v>1.8458000000000001E-3</v>
      </c>
      <c r="D851" s="648">
        <v>1.7903000000000001E-3</v>
      </c>
      <c r="E851" s="649">
        <v>720012.84</v>
      </c>
      <c r="F851" s="649">
        <v>803476</v>
      </c>
      <c r="G851" s="649">
        <v>3917406</v>
      </c>
      <c r="H851" s="649"/>
      <c r="I851" s="650">
        <v>73601</v>
      </c>
      <c r="J851" s="650">
        <v>3432896</v>
      </c>
      <c r="K851" s="650">
        <v>268307</v>
      </c>
      <c r="L851" s="649">
        <v>122430</v>
      </c>
      <c r="M851" s="649"/>
      <c r="N851" s="650">
        <v>137270</v>
      </c>
      <c r="O851" s="650">
        <v>1267064</v>
      </c>
      <c r="P851" s="650">
        <v>0</v>
      </c>
      <c r="Q851" s="649">
        <v>957</v>
      </c>
      <c r="R851" s="649"/>
      <c r="S851" s="650">
        <v>1047065</v>
      </c>
      <c r="T851" s="651">
        <v>54774</v>
      </c>
      <c r="U851" s="651">
        <v>1101839</v>
      </c>
    </row>
    <row r="852" spans="1:21" x14ac:dyDescent="0.25">
      <c r="A852" s="646">
        <v>99304</v>
      </c>
      <c r="B852" s="647" t="s">
        <v>3462</v>
      </c>
      <c r="C852" s="648">
        <v>9.9000000000000001E-6</v>
      </c>
      <c r="D852" s="648">
        <v>1.0000000000000001E-5</v>
      </c>
      <c r="E852" s="649">
        <v>6537</v>
      </c>
      <c r="F852" s="649">
        <v>4488</v>
      </c>
      <c r="G852" s="649">
        <v>21011</v>
      </c>
      <c r="H852" s="649"/>
      <c r="I852" s="650">
        <v>394.76249999999999</v>
      </c>
      <c r="J852" s="650">
        <v>18412</v>
      </c>
      <c r="K852" s="650">
        <v>1439</v>
      </c>
      <c r="L852" s="649">
        <v>3536</v>
      </c>
      <c r="M852" s="649"/>
      <c r="N852" s="650">
        <v>736</v>
      </c>
      <c r="O852" s="650">
        <v>6796</v>
      </c>
      <c r="P852" s="650">
        <v>0</v>
      </c>
      <c r="Q852" s="649">
        <v>498</v>
      </c>
      <c r="R852" s="649"/>
      <c r="S852" s="650">
        <v>5616</v>
      </c>
      <c r="T852" s="651">
        <v>822</v>
      </c>
      <c r="U852" s="651">
        <v>6438</v>
      </c>
    </row>
    <row r="853" spans="1:21" x14ac:dyDescent="0.25">
      <c r="A853" s="646">
        <v>99311</v>
      </c>
      <c r="B853" s="647" t="s">
        <v>3463</v>
      </c>
      <c r="C853" s="648">
        <v>5.7599999999999997E-5</v>
      </c>
      <c r="D853" s="648">
        <v>6.2100000000000005E-5</v>
      </c>
      <c r="E853" s="649">
        <v>21136.39</v>
      </c>
      <c r="F853" s="649">
        <v>27870</v>
      </c>
      <c r="G853" s="649">
        <v>122246</v>
      </c>
      <c r="H853" s="649"/>
      <c r="I853" s="650">
        <v>2297</v>
      </c>
      <c r="J853" s="650">
        <v>107127</v>
      </c>
      <c r="K853" s="650">
        <v>8373</v>
      </c>
      <c r="L853" s="649">
        <v>0</v>
      </c>
      <c r="M853" s="649"/>
      <c r="N853" s="650">
        <v>4284</v>
      </c>
      <c r="O853" s="650">
        <v>39540</v>
      </c>
      <c r="P853" s="650">
        <v>0</v>
      </c>
      <c r="Q853" s="649">
        <v>7642</v>
      </c>
      <c r="R853" s="649"/>
      <c r="S853" s="650">
        <v>32675</v>
      </c>
      <c r="T853" s="651">
        <v>-2750</v>
      </c>
      <c r="U853" s="651">
        <v>29925</v>
      </c>
    </row>
    <row r="854" spans="1:21" x14ac:dyDescent="0.25">
      <c r="A854" s="646">
        <v>99321</v>
      </c>
      <c r="B854" s="647" t="s">
        <v>3464</v>
      </c>
      <c r="C854" s="648">
        <v>1.1909999999999999E-4</v>
      </c>
      <c r="D854" s="648">
        <v>1.015E-4</v>
      </c>
      <c r="E854" s="649">
        <v>91759.74</v>
      </c>
      <c r="F854" s="649">
        <v>45553</v>
      </c>
      <c r="G854" s="649">
        <v>252770</v>
      </c>
      <c r="H854" s="649"/>
      <c r="I854" s="650">
        <v>4749</v>
      </c>
      <c r="J854" s="650">
        <v>221507</v>
      </c>
      <c r="K854" s="650">
        <v>17312</v>
      </c>
      <c r="L854" s="649">
        <v>97754</v>
      </c>
      <c r="M854" s="649"/>
      <c r="N854" s="650">
        <v>8857</v>
      </c>
      <c r="O854" s="650">
        <v>81757</v>
      </c>
      <c r="P854" s="650">
        <v>0</v>
      </c>
      <c r="Q854" s="649">
        <v>0</v>
      </c>
      <c r="R854" s="649"/>
      <c r="S854" s="650">
        <v>67562</v>
      </c>
      <c r="T854" s="651">
        <v>33905</v>
      </c>
      <c r="U854" s="651">
        <v>101467</v>
      </c>
    </row>
    <row r="855" spans="1:21" x14ac:dyDescent="0.25">
      <c r="A855" s="646">
        <v>99401</v>
      </c>
      <c r="B855" s="647" t="s">
        <v>3465</v>
      </c>
      <c r="C855" s="648">
        <v>9.3869999999999999E-4</v>
      </c>
      <c r="D855" s="648">
        <v>9.0470000000000004E-4</v>
      </c>
      <c r="E855" s="649">
        <v>380574.92</v>
      </c>
      <c r="F855" s="649">
        <v>406024</v>
      </c>
      <c r="G855" s="649">
        <v>1992236</v>
      </c>
      <c r="H855" s="649"/>
      <c r="I855" s="650">
        <v>37431</v>
      </c>
      <c r="J855" s="650">
        <v>1745834</v>
      </c>
      <c r="K855" s="650">
        <v>136450</v>
      </c>
      <c r="L855" s="649">
        <v>60934</v>
      </c>
      <c r="M855" s="649"/>
      <c r="N855" s="650">
        <v>69810</v>
      </c>
      <c r="O855" s="650">
        <v>644378</v>
      </c>
      <c r="P855" s="650">
        <v>0</v>
      </c>
      <c r="Q855" s="649">
        <v>0</v>
      </c>
      <c r="R855" s="649"/>
      <c r="S855" s="650">
        <v>532495</v>
      </c>
      <c r="T855" s="651">
        <v>26694</v>
      </c>
      <c r="U855" s="651">
        <v>559189</v>
      </c>
    </row>
    <row r="856" spans="1:21" x14ac:dyDescent="0.25">
      <c r="A856" s="646">
        <v>99404</v>
      </c>
      <c r="B856" s="647" t="s">
        <v>3466</v>
      </c>
      <c r="C856" s="648">
        <v>9.5999999999999996E-6</v>
      </c>
      <c r="D856" s="648">
        <v>9.9000000000000001E-6</v>
      </c>
      <c r="E856" s="649">
        <v>4863.32</v>
      </c>
      <c r="F856" s="649">
        <v>4443</v>
      </c>
      <c r="G856" s="649">
        <v>20374</v>
      </c>
      <c r="H856" s="649"/>
      <c r="I856" s="650">
        <v>383</v>
      </c>
      <c r="J856" s="650">
        <v>17854</v>
      </c>
      <c r="K856" s="650">
        <v>1395</v>
      </c>
      <c r="L856" s="649">
        <v>890</v>
      </c>
      <c r="M856" s="649"/>
      <c r="N856" s="650">
        <v>714</v>
      </c>
      <c r="O856" s="650">
        <v>6590</v>
      </c>
      <c r="P856" s="650">
        <v>0</v>
      </c>
      <c r="Q856" s="649">
        <v>0</v>
      </c>
      <c r="R856" s="649"/>
      <c r="S856" s="650">
        <v>5446</v>
      </c>
      <c r="T856" s="651">
        <v>284</v>
      </c>
      <c r="U856" s="651">
        <v>5730</v>
      </c>
    </row>
    <row r="857" spans="1:21" x14ac:dyDescent="0.25">
      <c r="A857" s="646">
        <v>99405</v>
      </c>
      <c r="B857" s="647" t="s">
        <v>3467</v>
      </c>
      <c r="C857" s="648">
        <v>5.8100000000000003E-5</v>
      </c>
      <c r="D857" s="648">
        <v>6.3399999999999996E-5</v>
      </c>
      <c r="E857" s="649">
        <v>32556.2</v>
      </c>
      <c r="F857" s="649">
        <v>28454</v>
      </c>
      <c r="G857" s="649">
        <v>123308</v>
      </c>
      <c r="H857" s="649"/>
      <c r="I857" s="650">
        <v>2317</v>
      </c>
      <c r="J857" s="650">
        <v>108057</v>
      </c>
      <c r="K857" s="650">
        <v>8445</v>
      </c>
      <c r="L857" s="649">
        <v>11934</v>
      </c>
      <c r="M857" s="649"/>
      <c r="N857" s="650">
        <v>4321</v>
      </c>
      <c r="O857" s="650">
        <v>39883</v>
      </c>
      <c r="P857" s="650">
        <v>0</v>
      </c>
      <c r="Q857" s="649">
        <v>675</v>
      </c>
      <c r="R857" s="649"/>
      <c r="S857" s="650">
        <v>32958</v>
      </c>
      <c r="T857" s="651">
        <v>3510</v>
      </c>
      <c r="U857" s="651">
        <v>36468</v>
      </c>
    </row>
    <row r="858" spans="1:21" x14ac:dyDescent="0.25">
      <c r="A858" s="646">
        <v>99411</v>
      </c>
      <c r="B858" s="647" t="s">
        <v>3468</v>
      </c>
      <c r="C858" s="648">
        <v>1.2510000000000001E-4</v>
      </c>
      <c r="D858" s="648">
        <v>1.07E-4</v>
      </c>
      <c r="E858" s="649">
        <v>60724</v>
      </c>
      <c r="F858" s="649">
        <v>48021</v>
      </c>
      <c r="G858" s="649">
        <v>265504</v>
      </c>
      <c r="H858" s="649"/>
      <c r="I858" s="650">
        <v>4988</v>
      </c>
      <c r="J858" s="650">
        <v>232666</v>
      </c>
      <c r="K858" s="650">
        <v>18185</v>
      </c>
      <c r="L858" s="649">
        <v>24011</v>
      </c>
      <c r="M858" s="649"/>
      <c r="N858" s="650">
        <v>9304</v>
      </c>
      <c r="O858" s="650">
        <v>85876</v>
      </c>
      <c r="P858" s="650">
        <v>0</v>
      </c>
      <c r="Q858" s="649">
        <v>8844</v>
      </c>
      <c r="R858" s="649"/>
      <c r="S858" s="650">
        <v>70965</v>
      </c>
      <c r="T858" s="651">
        <v>2430</v>
      </c>
      <c r="U858" s="651">
        <v>73395</v>
      </c>
    </row>
    <row r="859" spans="1:21" x14ac:dyDescent="0.25">
      <c r="A859" s="646">
        <v>99413</v>
      </c>
      <c r="B859" s="647" t="s">
        <v>3469</v>
      </c>
      <c r="C859" s="648">
        <v>2.76E-5</v>
      </c>
      <c r="D859" s="648">
        <v>4.21E-5</v>
      </c>
      <c r="E859" s="649">
        <v>17655.62</v>
      </c>
      <c r="F859" s="649">
        <v>18894</v>
      </c>
      <c r="G859" s="649">
        <v>58576</v>
      </c>
      <c r="H859" s="649"/>
      <c r="I859" s="650">
        <v>1100.55</v>
      </c>
      <c r="J859" s="650">
        <v>51332</v>
      </c>
      <c r="K859" s="650">
        <v>4012</v>
      </c>
      <c r="L859" s="649">
        <v>10</v>
      </c>
      <c r="M859" s="649"/>
      <c r="N859" s="650">
        <v>2053</v>
      </c>
      <c r="O859" s="650">
        <v>18946</v>
      </c>
      <c r="P859" s="650">
        <v>0</v>
      </c>
      <c r="Q859" s="649">
        <v>4264</v>
      </c>
      <c r="R859" s="649"/>
      <c r="S859" s="650">
        <v>15657</v>
      </c>
      <c r="T859" s="651">
        <v>-1235</v>
      </c>
      <c r="U859" s="651">
        <v>14422</v>
      </c>
    </row>
    <row r="860" spans="1:21" x14ac:dyDescent="0.25">
      <c r="A860" s="646">
        <v>99421</v>
      </c>
      <c r="B860" s="647" t="s">
        <v>3470</v>
      </c>
      <c r="C860" s="648">
        <v>1.5E-5</v>
      </c>
      <c r="D860" s="648">
        <v>2.2099999999999998E-5</v>
      </c>
      <c r="E860" s="649">
        <v>6577</v>
      </c>
      <c r="F860" s="649">
        <v>9918</v>
      </c>
      <c r="G860" s="649">
        <v>31835</v>
      </c>
      <c r="H860" s="649"/>
      <c r="I860" s="650">
        <v>598.125</v>
      </c>
      <c r="J860" s="650">
        <v>27897.63</v>
      </c>
      <c r="K860" s="650">
        <v>2180.415</v>
      </c>
      <c r="L860" s="649">
        <v>1536</v>
      </c>
      <c r="M860" s="649"/>
      <c r="N860" s="650">
        <v>1116</v>
      </c>
      <c r="O860" s="650">
        <v>10297</v>
      </c>
      <c r="P860" s="650">
        <v>0</v>
      </c>
      <c r="Q860" s="649">
        <v>4910</v>
      </c>
      <c r="R860" s="649"/>
      <c r="S860" s="650">
        <v>8509</v>
      </c>
      <c r="T860" s="651">
        <v>-633</v>
      </c>
      <c r="U860" s="651">
        <v>7876</v>
      </c>
    </row>
    <row r="861" spans="1:21" x14ac:dyDescent="0.25">
      <c r="A861" s="646">
        <v>99431</v>
      </c>
      <c r="B861" s="647" t="s">
        <v>3471</v>
      </c>
      <c r="C861" s="648">
        <v>2.16E-5</v>
      </c>
      <c r="D861" s="648">
        <v>2.09E-5</v>
      </c>
      <c r="E861" s="649">
        <v>6864.37</v>
      </c>
      <c r="F861" s="649">
        <v>9380</v>
      </c>
      <c r="G861" s="649">
        <v>45842</v>
      </c>
      <c r="H861" s="649"/>
      <c r="I861" s="650">
        <v>861.3</v>
      </c>
      <c r="J861" s="650">
        <v>40173</v>
      </c>
      <c r="K861" s="650">
        <v>3140</v>
      </c>
      <c r="L861" s="649">
        <v>2153</v>
      </c>
      <c r="M861" s="649"/>
      <c r="N861" s="650">
        <v>1606</v>
      </c>
      <c r="O861" s="650">
        <v>14827</v>
      </c>
      <c r="P861" s="650">
        <v>0</v>
      </c>
      <c r="Q861" s="649">
        <v>1856</v>
      </c>
      <c r="R861" s="649"/>
      <c r="S861" s="650">
        <v>12253</v>
      </c>
      <c r="T861" s="651">
        <v>541</v>
      </c>
      <c r="U861" s="651">
        <v>12794</v>
      </c>
    </row>
    <row r="862" spans="1:21" x14ac:dyDescent="0.25">
      <c r="A862" s="646">
        <v>99501</v>
      </c>
      <c r="B862" s="647" t="s">
        <v>3472</v>
      </c>
      <c r="C862" s="648">
        <v>1.7390000000000001E-3</v>
      </c>
      <c r="D862" s="648">
        <v>1.7404E-3</v>
      </c>
      <c r="E862" s="649">
        <v>717899.84</v>
      </c>
      <c r="F862" s="649">
        <v>781081</v>
      </c>
      <c r="G862" s="649">
        <v>3690741</v>
      </c>
      <c r="H862" s="649"/>
      <c r="I862" s="650">
        <v>69343</v>
      </c>
      <c r="J862" s="650">
        <v>3234265</v>
      </c>
      <c r="K862" s="650">
        <v>252783</v>
      </c>
      <c r="L862" s="649">
        <v>5725</v>
      </c>
      <c r="M862" s="649"/>
      <c r="N862" s="650">
        <v>129328</v>
      </c>
      <c r="O862" s="650">
        <v>1193750</v>
      </c>
      <c r="P862" s="650">
        <v>0</v>
      </c>
      <c r="Q862" s="649">
        <v>0</v>
      </c>
      <c r="R862" s="649"/>
      <c r="S862" s="650">
        <v>986481</v>
      </c>
      <c r="T862" s="651">
        <v>1961</v>
      </c>
      <c r="U862" s="651">
        <v>988442</v>
      </c>
    </row>
    <row r="863" spans="1:21" x14ac:dyDescent="0.25">
      <c r="A863" s="646">
        <v>99502</v>
      </c>
      <c r="B863" s="647" t="s">
        <v>3473</v>
      </c>
      <c r="C863" s="648">
        <v>1.3779999999999999E-4</v>
      </c>
      <c r="D863" s="648">
        <v>1.628E-4</v>
      </c>
      <c r="E863" s="649">
        <v>87805.53</v>
      </c>
      <c r="F863" s="649">
        <v>73064</v>
      </c>
      <c r="G863" s="649">
        <v>292458</v>
      </c>
      <c r="H863" s="649"/>
      <c r="I863" s="650">
        <v>5495</v>
      </c>
      <c r="J863" s="650">
        <v>256286</v>
      </c>
      <c r="K863" s="650">
        <v>20031</v>
      </c>
      <c r="L863" s="649">
        <v>28542</v>
      </c>
      <c r="M863" s="649"/>
      <c r="N863" s="650">
        <v>10248</v>
      </c>
      <c r="O863" s="650">
        <v>94594</v>
      </c>
      <c r="P863" s="650">
        <v>0</v>
      </c>
      <c r="Q863" s="649">
        <v>143</v>
      </c>
      <c r="R863" s="649"/>
      <c r="S863" s="650">
        <v>78170</v>
      </c>
      <c r="T863" s="651">
        <v>8980</v>
      </c>
      <c r="U863" s="651">
        <v>87150</v>
      </c>
    </row>
    <row r="864" spans="1:21" x14ac:dyDescent="0.25">
      <c r="A864" s="646">
        <v>99508</v>
      </c>
      <c r="B864" s="647" t="s">
        <v>3474</v>
      </c>
      <c r="C864" s="648">
        <v>2.1699999999999999E-5</v>
      </c>
      <c r="D864" s="648">
        <v>2.3200000000000001E-5</v>
      </c>
      <c r="E864" s="649">
        <v>8790.98</v>
      </c>
      <c r="F864" s="649">
        <v>10412</v>
      </c>
      <c r="G864" s="649">
        <v>46055</v>
      </c>
      <c r="H864" s="649"/>
      <c r="I864" s="650">
        <v>865</v>
      </c>
      <c r="J864" s="650">
        <v>40359</v>
      </c>
      <c r="K864" s="650">
        <v>3154</v>
      </c>
      <c r="L864" s="649">
        <v>0</v>
      </c>
      <c r="M864" s="649"/>
      <c r="N864" s="650">
        <v>1614</v>
      </c>
      <c r="O864" s="650">
        <v>14896</v>
      </c>
      <c r="P864" s="650">
        <v>0</v>
      </c>
      <c r="Q864" s="649">
        <v>2564</v>
      </c>
      <c r="R864" s="649"/>
      <c r="S864" s="650">
        <v>12310</v>
      </c>
      <c r="T864" s="651">
        <v>-994</v>
      </c>
      <c r="U864" s="651">
        <v>11316</v>
      </c>
    </row>
    <row r="865" spans="1:21" x14ac:dyDescent="0.25">
      <c r="A865" s="646">
        <v>99509</v>
      </c>
      <c r="B865" s="647" t="s">
        <v>3475</v>
      </c>
      <c r="C865" s="648">
        <v>2.8900000000000001E-5</v>
      </c>
      <c r="D865" s="648">
        <v>2.87E-5</v>
      </c>
      <c r="E865" s="649">
        <v>10373.91</v>
      </c>
      <c r="F865" s="649">
        <v>12880</v>
      </c>
      <c r="G865" s="649">
        <v>61335</v>
      </c>
      <c r="H865" s="649"/>
      <c r="I865" s="650">
        <v>1152.3875</v>
      </c>
      <c r="J865" s="650">
        <v>53749</v>
      </c>
      <c r="K865" s="650">
        <v>4201</v>
      </c>
      <c r="L865" s="649">
        <v>0</v>
      </c>
      <c r="M865" s="649"/>
      <c r="N865" s="650">
        <v>2149</v>
      </c>
      <c r="O865" s="650">
        <v>19839</v>
      </c>
      <c r="P865" s="650">
        <v>0</v>
      </c>
      <c r="Q865" s="649">
        <v>8463</v>
      </c>
      <c r="R865" s="649"/>
      <c r="S865" s="650">
        <v>16394</v>
      </c>
      <c r="T865" s="651">
        <v>-3831</v>
      </c>
      <c r="U865" s="651">
        <v>12563</v>
      </c>
    </row>
    <row r="866" spans="1:21" x14ac:dyDescent="0.25">
      <c r="A866" s="646">
        <v>99511</v>
      </c>
      <c r="B866" s="647" t="s">
        <v>3476</v>
      </c>
      <c r="C866" s="648">
        <v>1.3638000000000001E-3</v>
      </c>
      <c r="D866" s="648">
        <v>1.4238E-3</v>
      </c>
      <c r="E866" s="649">
        <v>513320.93</v>
      </c>
      <c r="F866" s="649">
        <v>638993</v>
      </c>
      <c r="G866" s="649">
        <v>2894440</v>
      </c>
      <c r="H866" s="649"/>
      <c r="I866" s="650">
        <v>54382</v>
      </c>
      <c r="J866" s="650">
        <v>2536453</v>
      </c>
      <c r="K866" s="650">
        <v>198243</v>
      </c>
      <c r="L866" s="649">
        <v>6972</v>
      </c>
      <c r="M866" s="649"/>
      <c r="N866" s="650">
        <v>101424</v>
      </c>
      <c r="O866" s="650">
        <v>936191</v>
      </c>
      <c r="P866" s="650">
        <v>0</v>
      </c>
      <c r="Q866" s="649">
        <v>87693</v>
      </c>
      <c r="R866" s="649"/>
      <c r="S866" s="650">
        <v>773641</v>
      </c>
      <c r="T866" s="651">
        <v>-24491</v>
      </c>
      <c r="U866" s="651">
        <v>749150</v>
      </c>
    </row>
    <row r="867" spans="1:21" x14ac:dyDescent="0.25">
      <c r="A867" s="646">
        <v>99521</v>
      </c>
      <c r="B867" s="647" t="s">
        <v>3477</v>
      </c>
      <c r="C867" s="648">
        <v>4.0180000000000001E-4</v>
      </c>
      <c r="D867" s="648">
        <v>4.0989999999999999E-4</v>
      </c>
      <c r="E867" s="649">
        <v>150146.22</v>
      </c>
      <c r="F867" s="649">
        <v>183961</v>
      </c>
      <c r="G867" s="649">
        <v>852754</v>
      </c>
      <c r="H867" s="649"/>
      <c r="I867" s="650">
        <v>16022</v>
      </c>
      <c r="J867" s="650">
        <v>747285</v>
      </c>
      <c r="K867" s="650">
        <v>58406</v>
      </c>
      <c r="L867" s="649">
        <v>1435</v>
      </c>
      <c r="M867" s="649"/>
      <c r="N867" s="650">
        <v>29881</v>
      </c>
      <c r="O867" s="650">
        <v>275819</v>
      </c>
      <c r="P867" s="650">
        <v>0</v>
      </c>
      <c r="Q867" s="649">
        <v>21691</v>
      </c>
      <c r="R867" s="649"/>
      <c r="S867" s="650">
        <v>227929</v>
      </c>
      <c r="T867" s="651">
        <v>-5406</v>
      </c>
      <c r="U867" s="651">
        <v>222522</v>
      </c>
    </row>
    <row r="868" spans="1:21" x14ac:dyDescent="0.25">
      <c r="A868" s="646">
        <v>99527</v>
      </c>
      <c r="B868" s="647" t="s">
        <v>3478</v>
      </c>
      <c r="C868" s="648">
        <v>1.2099999999999999E-5</v>
      </c>
      <c r="D868" s="648">
        <v>1.1800000000000001E-5</v>
      </c>
      <c r="E868" s="649">
        <v>5273.87</v>
      </c>
      <c r="F868" s="649">
        <v>5296</v>
      </c>
      <c r="G868" s="649">
        <v>25680</v>
      </c>
      <c r="H868" s="649"/>
      <c r="I868" s="650">
        <v>482</v>
      </c>
      <c r="J868" s="650">
        <v>22504</v>
      </c>
      <c r="K868" s="650">
        <v>1759</v>
      </c>
      <c r="L868" s="649">
        <v>1404</v>
      </c>
      <c r="M868" s="649"/>
      <c r="N868" s="650">
        <v>900</v>
      </c>
      <c r="O868" s="650">
        <v>8306</v>
      </c>
      <c r="P868" s="650">
        <v>0</v>
      </c>
      <c r="Q868" s="649">
        <v>0</v>
      </c>
      <c r="R868" s="649"/>
      <c r="S868" s="650">
        <v>6864</v>
      </c>
      <c r="T868" s="651">
        <v>529</v>
      </c>
      <c r="U868" s="651">
        <v>7393</v>
      </c>
    </row>
    <row r="869" spans="1:21" x14ac:dyDescent="0.25">
      <c r="A869" s="646">
        <v>99531</v>
      </c>
      <c r="B869" s="647" t="s">
        <v>3479</v>
      </c>
      <c r="C869" s="648">
        <v>8.7600000000000002E-5</v>
      </c>
      <c r="D869" s="648">
        <v>8.8200000000000003E-5</v>
      </c>
      <c r="E869" s="649">
        <v>67487</v>
      </c>
      <c r="F869" s="649">
        <v>39584</v>
      </c>
      <c r="G869" s="649">
        <v>185917</v>
      </c>
      <c r="H869" s="649"/>
      <c r="I869" s="650">
        <v>3493.05</v>
      </c>
      <c r="J869" s="650">
        <v>162922</v>
      </c>
      <c r="K869" s="650">
        <v>12734</v>
      </c>
      <c r="L869" s="649">
        <v>39764</v>
      </c>
      <c r="M869" s="649"/>
      <c r="N869" s="650">
        <v>6515</v>
      </c>
      <c r="O869" s="650">
        <v>60134</v>
      </c>
      <c r="P869" s="650">
        <v>0</v>
      </c>
      <c r="Q869" s="649">
        <v>0</v>
      </c>
      <c r="R869" s="649"/>
      <c r="S869" s="650">
        <v>49693</v>
      </c>
      <c r="T869" s="651">
        <v>11839</v>
      </c>
      <c r="U869" s="651">
        <v>61531</v>
      </c>
    </row>
    <row r="870" spans="1:21" x14ac:dyDescent="0.25">
      <c r="A870" s="646">
        <v>99601</v>
      </c>
      <c r="B870" s="647" t="s">
        <v>3480</v>
      </c>
      <c r="C870" s="648">
        <v>5.2824999999999999E-3</v>
      </c>
      <c r="D870" s="648">
        <v>5.3274999999999998E-3</v>
      </c>
      <c r="E870" s="649">
        <v>2087469</v>
      </c>
      <c r="F870" s="649">
        <v>2390950</v>
      </c>
      <c r="G870" s="649">
        <v>11211235</v>
      </c>
      <c r="H870" s="649"/>
      <c r="I870" s="650">
        <v>210640</v>
      </c>
      <c r="J870" s="650">
        <v>9824615</v>
      </c>
      <c r="K870" s="650">
        <v>767869</v>
      </c>
      <c r="L870" s="649">
        <v>60572</v>
      </c>
      <c r="M870" s="649"/>
      <c r="N870" s="650">
        <v>392854</v>
      </c>
      <c r="O870" s="650">
        <v>3626214</v>
      </c>
      <c r="P870" s="650">
        <v>0</v>
      </c>
      <c r="Q870" s="649">
        <v>101945</v>
      </c>
      <c r="R870" s="649"/>
      <c r="S870" s="650">
        <v>2996598</v>
      </c>
      <c r="T870" s="651">
        <v>-7395</v>
      </c>
      <c r="U870" s="651">
        <v>2989204</v>
      </c>
    </row>
    <row r="871" spans="1:21" x14ac:dyDescent="0.25">
      <c r="A871" s="646">
        <v>99602</v>
      </c>
      <c r="B871" s="647" t="s">
        <v>3481</v>
      </c>
      <c r="C871" s="648">
        <v>5.1700000000000003E-5</v>
      </c>
      <c r="D871" s="648">
        <v>5.13E-5</v>
      </c>
      <c r="E871" s="649">
        <v>23478.31</v>
      </c>
      <c r="F871" s="649">
        <v>23023</v>
      </c>
      <c r="G871" s="649">
        <v>109725</v>
      </c>
      <c r="H871" s="649"/>
      <c r="I871" s="650">
        <v>2062</v>
      </c>
      <c r="J871" s="650">
        <v>96154</v>
      </c>
      <c r="K871" s="650">
        <v>7515</v>
      </c>
      <c r="L871" s="649">
        <v>5410</v>
      </c>
      <c r="M871" s="649"/>
      <c r="N871" s="650">
        <v>3845</v>
      </c>
      <c r="O871" s="650">
        <v>35490</v>
      </c>
      <c r="P871" s="650">
        <v>0</v>
      </c>
      <c r="Q871" s="649">
        <v>4155</v>
      </c>
      <c r="R871" s="649"/>
      <c r="S871" s="650">
        <v>29328</v>
      </c>
      <c r="T871" s="651">
        <v>-358</v>
      </c>
      <c r="U871" s="651">
        <v>28969</v>
      </c>
    </row>
    <row r="872" spans="1:21" x14ac:dyDescent="0.25">
      <c r="A872" s="646">
        <v>99603</v>
      </c>
      <c r="B872" s="647" t="s">
        <v>3482</v>
      </c>
      <c r="C872" s="648">
        <v>1.4219999999999999E-4</v>
      </c>
      <c r="D872" s="648">
        <v>1.474E-4</v>
      </c>
      <c r="E872" s="649">
        <v>137623</v>
      </c>
      <c r="F872" s="649">
        <v>66152</v>
      </c>
      <c r="G872" s="649">
        <v>301796</v>
      </c>
      <c r="H872" s="649"/>
      <c r="I872" s="650">
        <v>5670</v>
      </c>
      <c r="J872" s="650">
        <v>264470</v>
      </c>
      <c r="K872" s="650">
        <v>20670</v>
      </c>
      <c r="L872" s="649">
        <v>103545</v>
      </c>
      <c r="M872" s="649"/>
      <c r="N872" s="650">
        <v>10575</v>
      </c>
      <c r="O872" s="650">
        <v>97614</v>
      </c>
      <c r="P872" s="650">
        <v>0</v>
      </c>
      <c r="Q872" s="649">
        <v>0</v>
      </c>
      <c r="R872" s="649"/>
      <c r="S872" s="650">
        <v>80666</v>
      </c>
      <c r="T872" s="651">
        <v>31526</v>
      </c>
      <c r="U872" s="651">
        <v>112191</v>
      </c>
    </row>
    <row r="873" spans="1:21" x14ac:dyDescent="0.25">
      <c r="A873" s="646">
        <v>99604</v>
      </c>
      <c r="B873" s="647" t="s">
        <v>3483</v>
      </c>
      <c r="C873" s="648">
        <v>9.6899999999999997E-5</v>
      </c>
      <c r="D873" s="648">
        <v>9.3300000000000005E-5</v>
      </c>
      <c r="E873" s="649">
        <v>45606</v>
      </c>
      <c r="F873" s="649">
        <v>41872</v>
      </c>
      <c r="G873" s="649">
        <v>205654</v>
      </c>
      <c r="H873" s="649"/>
      <c r="I873" s="650">
        <v>3864</v>
      </c>
      <c r="J873" s="650">
        <v>180219</v>
      </c>
      <c r="K873" s="650">
        <v>14085</v>
      </c>
      <c r="L873" s="649">
        <v>20600</v>
      </c>
      <c r="M873" s="649"/>
      <c r="N873" s="650">
        <v>7206</v>
      </c>
      <c r="O873" s="650">
        <v>66518</v>
      </c>
      <c r="P873" s="650">
        <v>0</v>
      </c>
      <c r="Q873" s="649">
        <v>0</v>
      </c>
      <c r="R873" s="649"/>
      <c r="S873" s="650">
        <v>54968</v>
      </c>
      <c r="T873" s="651">
        <v>7597</v>
      </c>
      <c r="U873" s="651">
        <v>62566</v>
      </c>
    </row>
    <row r="874" spans="1:21" x14ac:dyDescent="0.25">
      <c r="A874" s="646">
        <v>99609</v>
      </c>
      <c r="B874" s="647" t="s">
        <v>3484</v>
      </c>
      <c r="C874" s="648">
        <v>2.0999999999999999E-5</v>
      </c>
      <c r="D874" s="648">
        <v>1.98E-5</v>
      </c>
      <c r="E874" s="649">
        <v>10788</v>
      </c>
      <c r="F874" s="649">
        <v>8886</v>
      </c>
      <c r="G874" s="649">
        <v>44569</v>
      </c>
      <c r="H874" s="649"/>
      <c r="I874" s="650">
        <v>837.375</v>
      </c>
      <c r="J874" s="650">
        <v>39057</v>
      </c>
      <c r="K874" s="650">
        <v>3053</v>
      </c>
      <c r="L874" s="649">
        <v>5629</v>
      </c>
      <c r="M874" s="649"/>
      <c r="N874" s="650">
        <v>1562</v>
      </c>
      <c r="O874" s="650">
        <v>14416</v>
      </c>
      <c r="P874" s="650">
        <v>0</v>
      </c>
      <c r="Q874" s="649">
        <v>0</v>
      </c>
      <c r="R874" s="649"/>
      <c r="S874" s="650">
        <v>11913</v>
      </c>
      <c r="T874" s="651">
        <v>2074</v>
      </c>
      <c r="U874" s="651">
        <v>13986</v>
      </c>
    </row>
    <row r="875" spans="1:21" x14ac:dyDescent="0.25">
      <c r="A875" s="646">
        <v>99610</v>
      </c>
      <c r="B875" s="647" t="s">
        <v>3485</v>
      </c>
      <c r="C875" s="648">
        <v>1.9440000000000001E-4</v>
      </c>
      <c r="D875" s="648">
        <v>1.883E-4</v>
      </c>
      <c r="E875" s="649">
        <v>78017.36</v>
      </c>
      <c r="F875" s="649">
        <v>84508</v>
      </c>
      <c r="G875" s="649">
        <v>412582</v>
      </c>
      <c r="H875" s="649"/>
      <c r="I875" s="650">
        <v>7752</v>
      </c>
      <c r="J875" s="650">
        <v>361553</v>
      </c>
      <c r="K875" s="650">
        <v>28258</v>
      </c>
      <c r="L875" s="649">
        <v>4583</v>
      </c>
      <c r="M875" s="649"/>
      <c r="N875" s="650">
        <v>14457</v>
      </c>
      <c r="O875" s="650">
        <v>133447</v>
      </c>
      <c r="P875" s="650">
        <v>0</v>
      </c>
      <c r="Q875" s="649">
        <v>1313</v>
      </c>
      <c r="R875" s="649"/>
      <c r="S875" s="650">
        <v>110277</v>
      </c>
      <c r="T875" s="651">
        <v>1406</v>
      </c>
      <c r="U875" s="651">
        <v>111683</v>
      </c>
    </row>
    <row r="876" spans="1:21" x14ac:dyDescent="0.25">
      <c r="A876" s="646">
        <v>99611</v>
      </c>
      <c r="B876" s="647" t="s">
        <v>3486</v>
      </c>
      <c r="C876" s="648">
        <v>3.1495999999999998E-3</v>
      </c>
      <c r="D876" s="648">
        <v>3.4461000000000001E-3</v>
      </c>
      <c r="E876" s="649">
        <v>1274178.99</v>
      </c>
      <c r="F876" s="649">
        <v>1546589</v>
      </c>
      <c r="G876" s="649">
        <v>6684506</v>
      </c>
      <c r="H876" s="649"/>
      <c r="I876" s="650">
        <v>125590</v>
      </c>
      <c r="J876" s="650">
        <v>5857758</v>
      </c>
      <c r="K876" s="650">
        <v>457829</v>
      </c>
      <c r="L876" s="649">
        <v>0</v>
      </c>
      <c r="M876" s="649"/>
      <c r="N876" s="650">
        <v>234233</v>
      </c>
      <c r="O876" s="650">
        <v>2162068</v>
      </c>
      <c r="P876" s="650">
        <v>0</v>
      </c>
      <c r="Q876" s="649">
        <v>295351</v>
      </c>
      <c r="R876" s="649"/>
      <c r="S876" s="650">
        <v>1786670</v>
      </c>
      <c r="T876" s="651">
        <v>-97649</v>
      </c>
      <c r="U876" s="651">
        <v>1689022</v>
      </c>
    </row>
    <row r="877" spans="1:21" x14ac:dyDescent="0.25">
      <c r="A877" s="646">
        <v>99613</v>
      </c>
      <c r="B877" s="647" t="s">
        <v>3487</v>
      </c>
      <c r="C877" s="648">
        <v>3.369E-4</v>
      </c>
      <c r="D877" s="648">
        <v>2.6350000000000001E-4</v>
      </c>
      <c r="E877" s="649">
        <v>287693.51</v>
      </c>
      <c r="F877" s="649">
        <v>118257</v>
      </c>
      <c r="G877" s="649">
        <v>715015</v>
      </c>
      <c r="H877" s="649"/>
      <c r="I877" s="650">
        <v>13434</v>
      </c>
      <c r="J877" s="650">
        <v>626581</v>
      </c>
      <c r="K877" s="650">
        <v>48972</v>
      </c>
      <c r="L877" s="649">
        <v>227196</v>
      </c>
      <c r="M877" s="649"/>
      <c r="N877" s="650">
        <v>25055</v>
      </c>
      <c r="O877" s="650">
        <v>231268</v>
      </c>
      <c r="P877" s="650">
        <v>0</v>
      </c>
      <c r="Q877" s="649">
        <v>0</v>
      </c>
      <c r="R877" s="649"/>
      <c r="S877" s="650">
        <v>191113</v>
      </c>
      <c r="T877" s="651">
        <v>65914</v>
      </c>
      <c r="U877" s="651">
        <v>257027</v>
      </c>
    </row>
    <row r="878" spans="1:21" x14ac:dyDescent="0.25">
      <c r="A878" s="646">
        <v>99621</v>
      </c>
      <c r="B878" s="647" t="s">
        <v>3488</v>
      </c>
      <c r="C878" s="648">
        <v>3.2850000000000002E-4</v>
      </c>
      <c r="D878" s="648">
        <v>2.9550000000000003E-4</v>
      </c>
      <c r="E878" s="649">
        <v>133172.19</v>
      </c>
      <c r="F878" s="649">
        <v>132619</v>
      </c>
      <c r="G878" s="649">
        <v>697187</v>
      </c>
      <c r="H878" s="649"/>
      <c r="I878" s="650">
        <v>13098.9375</v>
      </c>
      <c r="J878" s="650">
        <v>610958</v>
      </c>
      <c r="K878" s="650">
        <v>47751</v>
      </c>
      <c r="L878" s="649">
        <v>25982</v>
      </c>
      <c r="M878" s="649"/>
      <c r="N878" s="650">
        <v>24430</v>
      </c>
      <c r="O878" s="650">
        <v>225501</v>
      </c>
      <c r="P878" s="650">
        <v>0</v>
      </c>
      <c r="Q878" s="649">
        <v>7236</v>
      </c>
      <c r="R878" s="649"/>
      <c r="S878" s="650">
        <v>186348</v>
      </c>
      <c r="T878" s="651">
        <v>6510</v>
      </c>
      <c r="U878" s="651">
        <v>192858</v>
      </c>
    </row>
    <row r="879" spans="1:21" x14ac:dyDescent="0.25">
      <c r="A879" s="646">
        <v>99623</v>
      </c>
      <c r="B879" s="647" t="s">
        <v>3489</v>
      </c>
      <c r="C879" s="648">
        <v>2.9200000000000002E-5</v>
      </c>
      <c r="D879" s="648">
        <v>2.1299999999999999E-5</v>
      </c>
      <c r="E879" s="649">
        <v>8301.6</v>
      </c>
      <c r="F879" s="649">
        <v>9559</v>
      </c>
      <c r="G879" s="649">
        <v>61972</v>
      </c>
      <c r="H879" s="649"/>
      <c r="I879" s="650">
        <v>1164</v>
      </c>
      <c r="J879" s="650">
        <v>54307</v>
      </c>
      <c r="K879" s="650">
        <v>4245</v>
      </c>
      <c r="L879" s="649">
        <v>3598</v>
      </c>
      <c r="M879" s="649"/>
      <c r="N879" s="650">
        <v>2172</v>
      </c>
      <c r="O879" s="650">
        <v>20045</v>
      </c>
      <c r="P879" s="650">
        <v>0</v>
      </c>
      <c r="Q879" s="649">
        <v>316</v>
      </c>
      <c r="R879" s="649"/>
      <c r="S879" s="650">
        <v>16564</v>
      </c>
      <c r="T879" s="651">
        <v>989</v>
      </c>
      <c r="U879" s="651">
        <v>17554</v>
      </c>
    </row>
    <row r="880" spans="1:21" x14ac:dyDescent="0.25">
      <c r="A880" s="646">
        <v>99631</v>
      </c>
      <c r="B880" s="647" t="s">
        <v>3490</v>
      </c>
      <c r="C880" s="648">
        <v>1.0340000000000001E-4</v>
      </c>
      <c r="D880" s="648">
        <v>9.8599999999999998E-5</v>
      </c>
      <c r="E880" s="649">
        <v>37652</v>
      </c>
      <c r="F880" s="649">
        <v>44251</v>
      </c>
      <c r="G880" s="649">
        <v>219449</v>
      </c>
      <c r="H880" s="649"/>
      <c r="I880" s="650">
        <v>4123</v>
      </c>
      <c r="J880" s="650">
        <v>192308</v>
      </c>
      <c r="K880" s="650">
        <v>15030</v>
      </c>
      <c r="L880" s="649">
        <v>0</v>
      </c>
      <c r="M880" s="649"/>
      <c r="N880" s="650">
        <v>7690</v>
      </c>
      <c r="O880" s="650">
        <v>70980</v>
      </c>
      <c r="P880" s="650">
        <v>0</v>
      </c>
      <c r="Q880" s="649">
        <v>9381</v>
      </c>
      <c r="R880" s="649"/>
      <c r="S880" s="650">
        <v>58656</v>
      </c>
      <c r="T880" s="651">
        <v>-4222</v>
      </c>
      <c r="U880" s="651">
        <v>54433</v>
      </c>
    </row>
    <row r="881" spans="1:21" x14ac:dyDescent="0.25">
      <c r="A881" s="646">
        <v>99651</v>
      </c>
      <c r="B881" s="647" t="s">
        <v>3491</v>
      </c>
      <c r="C881" s="648">
        <v>6.7100000000000005E-5</v>
      </c>
      <c r="D881" s="648">
        <v>5.7500000000000002E-5</v>
      </c>
      <c r="E881" s="649">
        <v>24617</v>
      </c>
      <c r="F881" s="649">
        <v>25806</v>
      </c>
      <c r="G881" s="649">
        <v>142409</v>
      </c>
      <c r="H881" s="649"/>
      <c r="I881" s="650">
        <v>2676</v>
      </c>
      <c r="J881" s="650">
        <v>124795</v>
      </c>
      <c r="K881" s="650">
        <v>9754</v>
      </c>
      <c r="L881" s="649">
        <v>8790</v>
      </c>
      <c r="M881" s="649"/>
      <c r="N881" s="650">
        <v>4990</v>
      </c>
      <c r="O881" s="650">
        <v>46061</v>
      </c>
      <c r="P881" s="650">
        <v>0</v>
      </c>
      <c r="Q881" s="649">
        <v>2840</v>
      </c>
      <c r="R881" s="649"/>
      <c r="S881" s="650">
        <v>38064</v>
      </c>
      <c r="T881" s="651">
        <v>1419</v>
      </c>
      <c r="U881" s="651">
        <v>39483</v>
      </c>
    </row>
    <row r="882" spans="1:21" x14ac:dyDescent="0.25">
      <c r="A882" s="646">
        <v>99661</v>
      </c>
      <c r="B882" s="647" t="s">
        <v>3492</v>
      </c>
      <c r="C882" s="648">
        <v>3.5500000000000002E-5</v>
      </c>
      <c r="D882" s="648">
        <v>3.4900000000000001E-5</v>
      </c>
      <c r="E882" s="649">
        <v>34311.1</v>
      </c>
      <c r="F882" s="649">
        <v>15663</v>
      </c>
      <c r="G882" s="649">
        <v>75343</v>
      </c>
      <c r="H882" s="649"/>
      <c r="I882" s="650">
        <v>1415.5625</v>
      </c>
      <c r="J882" s="650">
        <v>66024</v>
      </c>
      <c r="K882" s="650">
        <v>5160</v>
      </c>
      <c r="L882" s="649">
        <v>30447</v>
      </c>
      <c r="M882" s="649"/>
      <c r="N882" s="650">
        <v>2640</v>
      </c>
      <c r="O882" s="650">
        <v>24369</v>
      </c>
      <c r="P882" s="650">
        <v>0</v>
      </c>
      <c r="Q882" s="649">
        <v>0</v>
      </c>
      <c r="R882" s="649"/>
      <c r="S882" s="650">
        <v>20138</v>
      </c>
      <c r="T882" s="651">
        <v>9415</v>
      </c>
      <c r="U882" s="651">
        <v>29553</v>
      </c>
    </row>
    <row r="883" spans="1:21" x14ac:dyDescent="0.25">
      <c r="A883" s="646">
        <v>99701</v>
      </c>
      <c r="B883" s="647" t="s">
        <v>3493</v>
      </c>
      <c r="C883" s="648">
        <v>2.8774E-3</v>
      </c>
      <c r="D883" s="648">
        <v>2.7742000000000001E-3</v>
      </c>
      <c r="E883" s="649">
        <v>1127825</v>
      </c>
      <c r="F883" s="649">
        <v>1245044</v>
      </c>
      <c r="G883" s="649">
        <v>6106807</v>
      </c>
      <c r="H883" s="649"/>
      <c r="I883" s="650">
        <v>114736</v>
      </c>
      <c r="J883" s="650">
        <v>5351509</v>
      </c>
      <c r="K883" s="650">
        <v>418262</v>
      </c>
      <c r="L883" s="649">
        <v>31037</v>
      </c>
      <c r="M883" s="649"/>
      <c r="N883" s="650">
        <v>213989</v>
      </c>
      <c r="O883" s="650">
        <v>1975214</v>
      </c>
      <c r="P883" s="650">
        <v>0</v>
      </c>
      <c r="Q883" s="649">
        <v>19671</v>
      </c>
      <c r="R883" s="649"/>
      <c r="S883" s="650">
        <v>1632260</v>
      </c>
      <c r="T883" s="651">
        <v>-10</v>
      </c>
      <c r="U883" s="651">
        <v>1632250</v>
      </c>
    </row>
    <row r="884" spans="1:21" x14ac:dyDescent="0.25">
      <c r="A884" s="646">
        <v>99705</v>
      </c>
      <c r="B884" s="647" t="s">
        <v>3494</v>
      </c>
      <c r="C884" s="648">
        <v>1.7259999999999999E-4</v>
      </c>
      <c r="D884" s="648">
        <v>1.7660000000000001E-4</v>
      </c>
      <c r="E884" s="649">
        <v>76713.119999999995</v>
      </c>
      <c r="F884" s="649">
        <v>79257</v>
      </c>
      <c r="G884" s="649">
        <v>366315</v>
      </c>
      <c r="H884" s="649"/>
      <c r="I884" s="650">
        <v>6882</v>
      </c>
      <c r="J884" s="650">
        <v>321009</v>
      </c>
      <c r="K884" s="650">
        <v>25089</v>
      </c>
      <c r="L884" s="649">
        <v>11090</v>
      </c>
      <c r="M884" s="649"/>
      <c r="N884" s="650">
        <v>12836</v>
      </c>
      <c r="O884" s="650">
        <v>118483</v>
      </c>
      <c r="P884" s="650">
        <v>0</v>
      </c>
      <c r="Q884" s="649">
        <v>842</v>
      </c>
      <c r="R884" s="649"/>
      <c r="S884" s="650">
        <v>97911</v>
      </c>
      <c r="T884" s="651">
        <v>4693</v>
      </c>
      <c r="U884" s="651">
        <v>102604</v>
      </c>
    </row>
    <row r="885" spans="1:21" x14ac:dyDescent="0.25">
      <c r="A885" s="646">
        <v>99711</v>
      </c>
      <c r="B885" s="647" t="s">
        <v>3495</v>
      </c>
      <c r="C885" s="648">
        <v>4.3540000000000001E-4</v>
      </c>
      <c r="D885" s="648">
        <v>4.506E-4</v>
      </c>
      <c r="E885" s="649">
        <v>185440.27</v>
      </c>
      <c r="F885" s="649">
        <v>202227</v>
      </c>
      <c r="G885" s="649">
        <v>924065</v>
      </c>
      <c r="H885" s="649"/>
      <c r="I885" s="650">
        <v>17362</v>
      </c>
      <c r="J885" s="650">
        <v>809775</v>
      </c>
      <c r="K885" s="650">
        <v>63290</v>
      </c>
      <c r="L885" s="649">
        <v>1891</v>
      </c>
      <c r="M885" s="649"/>
      <c r="N885" s="650">
        <v>32380</v>
      </c>
      <c r="O885" s="650">
        <v>298884</v>
      </c>
      <c r="P885" s="650">
        <v>0</v>
      </c>
      <c r="Q885" s="649">
        <v>15994</v>
      </c>
      <c r="R885" s="649"/>
      <c r="S885" s="650">
        <v>246989</v>
      </c>
      <c r="T885" s="651">
        <v>-4419</v>
      </c>
      <c r="U885" s="651">
        <v>242569</v>
      </c>
    </row>
    <row r="886" spans="1:21" x14ac:dyDescent="0.25">
      <c r="A886" s="646">
        <v>99717</v>
      </c>
      <c r="B886" s="647" t="s">
        <v>3496</v>
      </c>
      <c r="C886" s="648">
        <v>2.3200000000000001E-5</v>
      </c>
      <c r="D886" s="648">
        <v>2.2399999999999999E-5</v>
      </c>
      <c r="E886" s="649">
        <v>7625</v>
      </c>
      <c r="F886" s="649">
        <v>10053</v>
      </c>
      <c r="G886" s="649">
        <v>49238</v>
      </c>
      <c r="H886" s="649"/>
      <c r="I886" s="650">
        <v>925.1</v>
      </c>
      <c r="J886" s="650">
        <v>43148</v>
      </c>
      <c r="K886" s="650">
        <v>3372</v>
      </c>
      <c r="L886" s="649">
        <v>0</v>
      </c>
      <c r="M886" s="649"/>
      <c r="N886" s="650">
        <v>1725</v>
      </c>
      <c r="O886" s="650">
        <v>15926</v>
      </c>
      <c r="P886" s="650">
        <v>0</v>
      </c>
      <c r="Q886" s="649">
        <v>2122</v>
      </c>
      <c r="R886" s="649"/>
      <c r="S886" s="650">
        <v>13161</v>
      </c>
      <c r="T886" s="651">
        <v>-653</v>
      </c>
      <c r="U886" s="651">
        <v>12508</v>
      </c>
    </row>
    <row r="887" spans="1:21" x14ac:dyDescent="0.25">
      <c r="A887" s="646">
        <v>99721</v>
      </c>
      <c r="B887" s="647" t="s">
        <v>3497</v>
      </c>
      <c r="C887" s="648">
        <v>6.2449999999999995E-4</v>
      </c>
      <c r="D887" s="648">
        <v>5.8460000000000001E-4</v>
      </c>
      <c r="E887" s="649">
        <v>220767.11</v>
      </c>
      <c r="F887" s="649">
        <v>262365</v>
      </c>
      <c r="G887" s="649">
        <v>1325398</v>
      </c>
      <c r="H887" s="649"/>
      <c r="I887" s="650">
        <v>24902</v>
      </c>
      <c r="J887" s="650">
        <v>1161471</v>
      </c>
      <c r="K887" s="650">
        <v>90778</v>
      </c>
      <c r="L887" s="649">
        <v>0</v>
      </c>
      <c r="M887" s="649"/>
      <c r="N887" s="650">
        <v>46443</v>
      </c>
      <c r="O887" s="650">
        <v>428693</v>
      </c>
      <c r="P887" s="650">
        <v>0</v>
      </c>
      <c r="Q887" s="649">
        <v>11340</v>
      </c>
      <c r="R887" s="649"/>
      <c r="S887" s="650">
        <v>354259</v>
      </c>
      <c r="T887" s="651">
        <v>-3889</v>
      </c>
      <c r="U887" s="651">
        <v>350371</v>
      </c>
    </row>
    <row r="888" spans="1:21" x14ac:dyDescent="0.25">
      <c r="A888" s="646">
        <v>99727</v>
      </c>
      <c r="B888" s="647" t="s">
        <v>3498</v>
      </c>
      <c r="C888" s="648">
        <v>2.5299999999999998E-5</v>
      </c>
      <c r="D888" s="648">
        <v>2.8099999999999999E-5</v>
      </c>
      <c r="E888" s="649">
        <v>45027.6</v>
      </c>
      <c r="F888" s="649">
        <v>12611</v>
      </c>
      <c r="G888" s="649">
        <v>53695</v>
      </c>
      <c r="H888" s="649"/>
      <c r="I888" s="650">
        <v>1008.8375</v>
      </c>
      <c r="J888" s="650">
        <v>47054</v>
      </c>
      <c r="K888" s="650">
        <v>3678</v>
      </c>
      <c r="L888" s="649">
        <v>46298</v>
      </c>
      <c r="M888" s="649"/>
      <c r="N888" s="650">
        <v>1882</v>
      </c>
      <c r="O888" s="650">
        <v>17367</v>
      </c>
      <c r="P888" s="650">
        <v>0</v>
      </c>
      <c r="Q888" s="649">
        <v>0</v>
      </c>
      <c r="R888" s="649"/>
      <c r="S888" s="650">
        <v>14352</v>
      </c>
      <c r="T888" s="651">
        <v>14150</v>
      </c>
      <c r="U888" s="651">
        <v>28501</v>
      </c>
    </row>
    <row r="889" spans="1:21" x14ac:dyDescent="0.25">
      <c r="A889" s="646">
        <v>99801</v>
      </c>
      <c r="B889" s="647" t="s">
        <v>3499</v>
      </c>
      <c r="C889" s="648">
        <v>5.1954999999999996E-3</v>
      </c>
      <c r="D889" s="648">
        <v>5.0806999999999996E-3</v>
      </c>
      <c r="E889" s="649">
        <v>2017956.21</v>
      </c>
      <c r="F889" s="649">
        <v>2280188</v>
      </c>
      <c r="G889" s="649">
        <v>11026591</v>
      </c>
      <c r="H889" s="649"/>
      <c r="I889" s="650">
        <v>207171</v>
      </c>
      <c r="J889" s="650">
        <v>9662809</v>
      </c>
      <c r="K889" s="650">
        <v>755223</v>
      </c>
      <c r="L889" s="649">
        <v>34255.86</v>
      </c>
      <c r="M889" s="649"/>
      <c r="N889" s="650">
        <v>386384</v>
      </c>
      <c r="O889" s="650">
        <v>3566493</v>
      </c>
      <c r="P889" s="650">
        <v>0</v>
      </c>
      <c r="Q889" s="649">
        <v>67721</v>
      </c>
      <c r="R889" s="649"/>
      <c r="S889" s="650">
        <v>2947246</v>
      </c>
      <c r="T889" s="651">
        <v>-3738</v>
      </c>
      <c r="U889" s="651">
        <v>2943508</v>
      </c>
    </row>
    <row r="890" spans="1:21" x14ac:dyDescent="0.25">
      <c r="A890" s="646">
        <v>99802</v>
      </c>
      <c r="B890" s="647" t="s">
        <v>3500</v>
      </c>
      <c r="C890" s="648">
        <v>6.4999999999999996E-6</v>
      </c>
      <c r="D890" s="648">
        <v>7.7000000000000008E-6</v>
      </c>
      <c r="E890" s="649">
        <v>3764</v>
      </c>
      <c r="F890" s="649">
        <v>3456</v>
      </c>
      <c r="G890" s="649">
        <v>13795</v>
      </c>
      <c r="H890" s="649"/>
      <c r="I890" s="650">
        <v>259.1875</v>
      </c>
      <c r="J890" s="650">
        <v>12089</v>
      </c>
      <c r="K890" s="650">
        <v>945</v>
      </c>
      <c r="L890" s="649">
        <v>358</v>
      </c>
      <c r="M890" s="649"/>
      <c r="N890" s="650">
        <v>483</v>
      </c>
      <c r="O890" s="650">
        <v>4462</v>
      </c>
      <c r="P890" s="650">
        <v>0</v>
      </c>
      <c r="Q890" s="649">
        <v>107</v>
      </c>
      <c r="R890" s="649"/>
      <c r="S890" s="650">
        <v>3687</v>
      </c>
      <c r="T890" s="651">
        <v>52</v>
      </c>
      <c r="U890" s="651">
        <v>3740</v>
      </c>
    </row>
    <row r="891" spans="1:21" x14ac:dyDescent="0.25">
      <c r="A891" s="646">
        <v>99804</v>
      </c>
      <c r="B891" s="647" t="s">
        <v>3501</v>
      </c>
      <c r="C891" s="648">
        <v>8.6600000000000004E-5</v>
      </c>
      <c r="D891" s="648">
        <v>8.7999999999999998E-5</v>
      </c>
      <c r="E891" s="649">
        <v>41607</v>
      </c>
      <c r="F891" s="649">
        <v>39494</v>
      </c>
      <c r="G891" s="649">
        <v>183794</v>
      </c>
      <c r="H891" s="649"/>
      <c r="I891" s="650">
        <v>3453</v>
      </c>
      <c r="J891" s="650">
        <v>161062</v>
      </c>
      <c r="K891" s="650">
        <v>12588</v>
      </c>
      <c r="L891" s="649">
        <v>10128</v>
      </c>
      <c r="M891" s="649"/>
      <c r="N891" s="650">
        <v>6440</v>
      </c>
      <c r="O891" s="650">
        <v>59447</v>
      </c>
      <c r="P891" s="650">
        <v>0</v>
      </c>
      <c r="Q891" s="649">
        <v>0</v>
      </c>
      <c r="R891" s="649"/>
      <c r="S891" s="650">
        <v>49125</v>
      </c>
      <c r="T891" s="651">
        <v>3221</v>
      </c>
      <c r="U891" s="651">
        <v>52347</v>
      </c>
    </row>
    <row r="892" spans="1:21" x14ac:dyDescent="0.25">
      <c r="A892" s="646">
        <v>99811</v>
      </c>
      <c r="B892" s="647" t="s">
        <v>3502</v>
      </c>
      <c r="C892" s="648">
        <v>6.8415000000000004E-3</v>
      </c>
      <c r="D892" s="648">
        <v>6.9579999999999998E-3</v>
      </c>
      <c r="E892" s="649">
        <v>2561770.62</v>
      </c>
      <c r="F892" s="649">
        <v>3122709</v>
      </c>
      <c r="G892" s="649">
        <v>14519955</v>
      </c>
      <c r="H892" s="649"/>
      <c r="I892" s="650">
        <v>272805</v>
      </c>
      <c r="J892" s="650">
        <v>12724109</v>
      </c>
      <c r="K892" s="650">
        <v>994487</v>
      </c>
      <c r="L892" s="649">
        <v>0</v>
      </c>
      <c r="M892" s="649"/>
      <c r="N892" s="650">
        <v>508796</v>
      </c>
      <c r="O892" s="650">
        <v>4696402</v>
      </c>
      <c r="P892" s="650">
        <v>0</v>
      </c>
      <c r="Q892" s="649">
        <v>526561</v>
      </c>
      <c r="R892" s="649"/>
      <c r="S892" s="650">
        <v>3880971</v>
      </c>
      <c r="T892" s="651">
        <v>-175139</v>
      </c>
      <c r="U892" s="651">
        <v>3705832</v>
      </c>
    </row>
    <row r="893" spans="1:21" x14ac:dyDescent="0.25">
      <c r="A893" s="646">
        <v>99812</v>
      </c>
      <c r="B893" s="647" t="s">
        <v>3503</v>
      </c>
      <c r="C893" s="648">
        <v>2.5599999999999999E-5</v>
      </c>
      <c r="D893" s="648">
        <v>2.7399999999999999E-5</v>
      </c>
      <c r="E893" s="649">
        <v>18003</v>
      </c>
      <c r="F893" s="649">
        <v>12297</v>
      </c>
      <c r="G893" s="649">
        <v>54332</v>
      </c>
      <c r="H893" s="649"/>
      <c r="I893" s="650">
        <v>1020.8</v>
      </c>
      <c r="J893" s="650">
        <v>47612</v>
      </c>
      <c r="K893" s="650">
        <v>3721</v>
      </c>
      <c r="L893" s="649">
        <v>8899</v>
      </c>
      <c r="M893" s="649"/>
      <c r="N893" s="650">
        <v>1904</v>
      </c>
      <c r="O893" s="650">
        <v>17573</v>
      </c>
      <c r="P893" s="650">
        <v>0</v>
      </c>
      <c r="Q893" s="649">
        <v>0</v>
      </c>
      <c r="R893" s="649"/>
      <c r="S893" s="650">
        <v>14522</v>
      </c>
      <c r="T893" s="651">
        <v>2839</v>
      </c>
      <c r="U893" s="651">
        <v>17361</v>
      </c>
    </row>
    <row r="894" spans="1:21" x14ac:dyDescent="0.25">
      <c r="A894" s="646">
        <v>99818</v>
      </c>
      <c r="B894" s="647" t="s">
        <v>3504</v>
      </c>
      <c r="C894" s="648">
        <v>3.7700000000000002E-5</v>
      </c>
      <c r="D894" s="648">
        <v>4.4199999999999997E-5</v>
      </c>
      <c r="E894" s="649">
        <v>16175</v>
      </c>
      <c r="F894" s="649">
        <v>19837</v>
      </c>
      <c r="G894" s="649">
        <v>80012</v>
      </c>
      <c r="H894" s="649"/>
      <c r="I894" s="650">
        <v>1503</v>
      </c>
      <c r="J894" s="650">
        <v>70116</v>
      </c>
      <c r="K894" s="650">
        <v>5480</v>
      </c>
      <c r="L894" s="649">
        <v>5574</v>
      </c>
      <c r="M894" s="649"/>
      <c r="N894" s="650">
        <v>2804</v>
      </c>
      <c r="O894" s="650">
        <v>25879</v>
      </c>
      <c r="P894" s="650">
        <v>0</v>
      </c>
      <c r="Q894" s="649">
        <v>2988</v>
      </c>
      <c r="R894" s="649"/>
      <c r="S894" s="650">
        <v>21386</v>
      </c>
      <c r="T894" s="651">
        <v>1745</v>
      </c>
      <c r="U894" s="651">
        <v>23131</v>
      </c>
    </row>
    <row r="895" spans="1:21" x14ac:dyDescent="0.25">
      <c r="A895" s="646">
        <v>99821</v>
      </c>
      <c r="B895" s="647" t="s">
        <v>3505</v>
      </c>
      <c r="C895" s="648">
        <v>8.2899999999999996E-5</v>
      </c>
      <c r="D895" s="648">
        <v>8.42E-5</v>
      </c>
      <c r="E895" s="649">
        <v>42679.99</v>
      </c>
      <c r="F895" s="649">
        <v>37788</v>
      </c>
      <c r="G895" s="649">
        <v>175942</v>
      </c>
      <c r="H895" s="649"/>
      <c r="I895" s="650">
        <v>3306</v>
      </c>
      <c r="J895" s="650">
        <v>154181</v>
      </c>
      <c r="K895" s="650">
        <v>12050</v>
      </c>
      <c r="L895" s="649">
        <v>17868</v>
      </c>
      <c r="M895" s="649"/>
      <c r="N895" s="650">
        <v>6165</v>
      </c>
      <c r="O895" s="650">
        <v>56907</v>
      </c>
      <c r="P895" s="650">
        <v>0</v>
      </c>
      <c r="Q895" s="649">
        <v>860</v>
      </c>
      <c r="R895" s="649"/>
      <c r="S895" s="650">
        <v>47027</v>
      </c>
      <c r="T895" s="651">
        <v>7184</v>
      </c>
      <c r="U895" s="651">
        <v>54211</v>
      </c>
    </row>
    <row r="896" spans="1:21" x14ac:dyDescent="0.25">
      <c r="A896" s="646">
        <v>99831</v>
      </c>
      <c r="B896" s="647" t="s">
        <v>3506</v>
      </c>
      <c r="C896" s="648">
        <v>5.5899999999999997E-5</v>
      </c>
      <c r="D896" s="648">
        <v>5.0699999999999999E-5</v>
      </c>
      <c r="E896" s="649">
        <v>23539.8</v>
      </c>
      <c r="F896" s="649">
        <v>22754</v>
      </c>
      <c r="G896" s="649">
        <v>118639</v>
      </c>
      <c r="H896" s="649"/>
      <c r="I896" s="650">
        <v>2229</v>
      </c>
      <c r="J896" s="650">
        <v>103965</v>
      </c>
      <c r="K896" s="650">
        <v>8126</v>
      </c>
      <c r="L896" s="649">
        <v>3830</v>
      </c>
      <c r="M896" s="649"/>
      <c r="N896" s="650">
        <v>4157</v>
      </c>
      <c r="O896" s="650">
        <v>38373</v>
      </c>
      <c r="P896" s="650">
        <v>0</v>
      </c>
      <c r="Q896" s="649">
        <v>873</v>
      </c>
      <c r="R896" s="649"/>
      <c r="S896" s="650">
        <v>31710</v>
      </c>
      <c r="T896" s="651">
        <v>823</v>
      </c>
      <c r="U896" s="651">
        <v>32533</v>
      </c>
    </row>
    <row r="897" spans="1:21" x14ac:dyDescent="0.25">
      <c r="A897" s="646">
        <v>99841</v>
      </c>
      <c r="B897" s="647" t="s">
        <v>3507</v>
      </c>
      <c r="C897" s="648">
        <v>4.6E-5</v>
      </c>
      <c r="D897" s="648">
        <v>4.6699999999999997E-5</v>
      </c>
      <c r="E897" s="649">
        <v>18090.39</v>
      </c>
      <c r="F897" s="649">
        <v>20959</v>
      </c>
      <c r="G897" s="649">
        <v>97627.41</v>
      </c>
      <c r="H897" s="649"/>
      <c r="I897" s="650">
        <v>1834.25</v>
      </c>
      <c r="J897" s="650">
        <v>85553</v>
      </c>
      <c r="K897" s="650">
        <v>6687</v>
      </c>
      <c r="L897" s="649">
        <v>1970</v>
      </c>
      <c r="M897" s="649"/>
      <c r="N897" s="650">
        <v>3421</v>
      </c>
      <c r="O897" s="650">
        <v>31577</v>
      </c>
      <c r="P897" s="650">
        <v>0</v>
      </c>
      <c r="Q897" s="649">
        <v>3207</v>
      </c>
      <c r="R897" s="649"/>
      <c r="S897" s="650">
        <v>26094</v>
      </c>
      <c r="T897" s="651">
        <v>-661</v>
      </c>
      <c r="U897" s="651">
        <v>25434</v>
      </c>
    </row>
    <row r="898" spans="1:21" x14ac:dyDescent="0.25">
      <c r="A898" s="646">
        <v>99851</v>
      </c>
      <c r="B898" s="647" t="s">
        <v>3508</v>
      </c>
      <c r="C898" s="648">
        <v>2.1999999999999999E-5</v>
      </c>
      <c r="D898" s="648">
        <v>2.0299999999999999E-5</v>
      </c>
      <c r="E898" s="649">
        <v>6172</v>
      </c>
      <c r="F898" s="649">
        <v>9111</v>
      </c>
      <c r="G898" s="649">
        <v>46691</v>
      </c>
      <c r="H898" s="649"/>
      <c r="I898" s="650">
        <v>877.25</v>
      </c>
      <c r="J898" s="650">
        <v>40917</v>
      </c>
      <c r="K898" s="650">
        <v>3198</v>
      </c>
      <c r="L898" s="649">
        <v>221</v>
      </c>
      <c r="M898" s="649"/>
      <c r="N898" s="650">
        <v>1636</v>
      </c>
      <c r="O898" s="650">
        <v>15102</v>
      </c>
      <c r="P898" s="650">
        <v>0</v>
      </c>
      <c r="Q898" s="649">
        <v>1432</v>
      </c>
      <c r="R898" s="649"/>
      <c r="S898" s="650">
        <v>12480</v>
      </c>
      <c r="T898" s="651">
        <v>-310</v>
      </c>
      <c r="U898" s="651">
        <v>12170</v>
      </c>
    </row>
    <row r="899" spans="1:21" x14ac:dyDescent="0.25">
      <c r="A899" s="646">
        <v>99901</v>
      </c>
      <c r="B899" s="647" t="s">
        <v>3509</v>
      </c>
      <c r="C899" s="648">
        <v>1.6371999999999999E-3</v>
      </c>
      <c r="D899" s="648">
        <v>1.5259E-3</v>
      </c>
      <c r="E899" s="649">
        <v>635103.91</v>
      </c>
      <c r="F899" s="649">
        <v>684815</v>
      </c>
      <c r="G899" s="649">
        <v>3474687</v>
      </c>
      <c r="H899" s="649"/>
      <c r="I899" s="650">
        <v>65283.35</v>
      </c>
      <c r="J899" s="650">
        <v>3044933</v>
      </c>
      <c r="K899" s="650">
        <v>237985</v>
      </c>
      <c r="L899" s="649">
        <v>67178</v>
      </c>
      <c r="M899" s="649"/>
      <c r="N899" s="650">
        <v>121757</v>
      </c>
      <c r="O899" s="650">
        <v>1123869</v>
      </c>
      <c r="P899" s="650">
        <v>0</v>
      </c>
      <c r="Q899" s="649">
        <v>24162.58</v>
      </c>
      <c r="R899" s="649"/>
      <c r="S899" s="650">
        <v>928733</v>
      </c>
      <c r="T899" s="651">
        <v>8817</v>
      </c>
      <c r="U899" s="651">
        <v>937550</v>
      </c>
    </row>
    <row r="900" spans="1:21" x14ac:dyDescent="0.25">
      <c r="A900" s="646">
        <v>99911</v>
      </c>
      <c r="B900" s="647" t="s">
        <v>3510</v>
      </c>
      <c r="C900" s="648">
        <v>2.5520000000000002E-4</v>
      </c>
      <c r="D900" s="648">
        <v>2.766E-4</v>
      </c>
      <c r="E900" s="649">
        <v>106882</v>
      </c>
      <c r="F900" s="649">
        <v>124136</v>
      </c>
      <c r="G900" s="649">
        <v>541620</v>
      </c>
      <c r="H900" s="649"/>
      <c r="I900" s="650">
        <v>10176.1</v>
      </c>
      <c r="J900" s="650">
        <v>474632</v>
      </c>
      <c r="K900" s="650">
        <v>37096</v>
      </c>
      <c r="L900" s="649">
        <v>2863</v>
      </c>
      <c r="M900" s="649"/>
      <c r="N900" s="650">
        <v>18979</v>
      </c>
      <c r="O900" s="650">
        <v>175184</v>
      </c>
      <c r="P900" s="650">
        <v>0</v>
      </c>
      <c r="Q900" s="649">
        <v>20527</v>
      </c>
      <c r="R900" s="649"/>
      <c r="S900" s="650">
        <v>144767</v>
      </c>
      <c r="T900" s="651">
        <v>-6851</v>
      </c>
      <c r="U900" s="651">
        <v>137916</v>
      </c>
    </row>
    <row r="901" spans="1:21" x14ac:dyDescent="0.25">
      <c r="A901" s="646">
        <v>99921</v>
      </c>
      <c r="B901" s="647" t="s">
        <v>3511</v>
      </c>
      <c r="C901" s="652">
        <v>1.5129999999999999E-4</v>
      </c>
      <c r="D901" s="652">
        <v>1.3889999999999999E-4</v>
      </c>
      <c r="E901" s="649">
        <v>55802.77</v>
      </c>
      <c r="F901" s="649">
        <v>62337</v>
      </c>
      <c r="G901" s="653">
        <v>321109</v>
      </c>
      <c r="H901" s="653"/>
      <c r="I901" s="654">
        <v>6033</v>
      </c>
      <c r="J901" s="654">
        <v>281394</v>
      </c>
      <c r="K901" s="654">
        <v>21993</v>
      </c>
      <c r="L901" s="653">
        <v>4809</v>
      </c>
      <c r="M901" s="653"/>
      <c r="N901" s="654">
        <v>11252</v>
      </c>
      <c r="O901" s="654">
        <v>103861</v>
      </c>
      <c r="P901" s="654">
        <v>0</v>
      </c>
      <c r="Q901" s="653">
        <v>7353</v>
      </c>
      <c r="R901" s="653"/>
      <c r="S901" s="654">
        <v>85828</v>
      </c>
      <c r="T901" s="655">
        <v>-2145</v>
      </c>
      <c r="U901" s="655">
        <v>83683</v>
      </c>
    </row>
    <row r="902" spans="1:21" s="641" customFormat="1" x14ac:dyDescent="0.25">
      <c r="A902" s="646">
        <v>99931</v>
      </c>
      <c r="B902" s="656" t="s">
        <v>3512</v>
      </c>
      <c r="C902" s="657">
        <v>2.51E-5</v>
      </c>
      <c r="D902" s="657">
        <v>2.5700000000000001E-5</v>
      </c>
      <c r="E902" s="649">
        <v>9194.32</v>
      </c>
      <c r="F902" s="649">
        <v>11534</v>
      </c>
      <c r="G902" s="658">
        <v>53271</v>
      </c>
      <c r="H902" s="658"/>
      <c r="I902" s="658">
        <v>1000.8625</v>
      </c>
      <c r="J902" s="658">
        <v>46682</v>
      </c>
      <c r="K902" s="658">
        <v>3649</v>
      </c>
      <c r="L902" s="658">
        <v>0</v>
      </c>
      <c r="N902" s="658">
        <v>1867</v>
      </c>
      <c r="O902" s="658">
        <v>17230</v>
      </c>
      <c r="P902" s="659">
        <v>0</v>
      </c>
      <c r="Q902" s="658">
        <v>5581</v>
      </c>
      <c r="R902" s="658"/>
      <c r="S902" s="658">
        <v>14238</v>
      </c>
      <c r="T902" s="658">
        <v>-2038</v>
      </c>
      <c r="U902" s="658">
        <v>12201</v>
      </c>
    </row>
    <row r="903" spans="1:21" x14ac:dyDescent="0.25">
      <c r="A903" s="646">
        <v>99941</v>
      </c>
      <c r="B903" s="642" t="s">
        <v>3513</v>
      </c>
      <c r="C903" s="652">
        <v>7.8200000000000003E-5</v>
      </c>
      <c r="D903" s="652">
        <v>8.7899999999999995E-5</v>
      </c>
      <c r="E903" s="649">
        <v>27969.51</v>
      </c>
      <c r="F903" s="649">
        <v>39449</v>
      </c>
      <c r="G903" s="658">
        <v>165967</v>
      </c>
      <c r="H903" s="658"/>
      <c r="I903" s="658">
        <v>3118</v>
      </c>
      <c r="J903" s="658">
        <v>145440</v>
      </c>
      <c r="K903" s="658">
        <v>11367</v>
      </c>
      <c r="L903" s="658">
        <v>0</v>
      </c>
      <c r="N903" s="658">
        <v>5816</v>
      </c>
      <c r="O903" s="658">
        <v>53681</v>
      </c>
      <c r="P903" s="659">
        <v>0</v>
      </c>
      <c r="Q903" s="658">
        <v>11883</v>
      </c>
      <c r="R903" s="658"/>
      <c r="S903" s="658">
        <v>44360</v>
      </c>
      <c r="T903" s="658">
        <v>-3675</v>
      </c>
      <c r="U903" s="658">
        <v>40686</v>
      </c>
    </row>
    <row r="904" spans="1:21" x14ac:dyDescent="0.25">
      <c r="A904" s="646">
        <v>99991</v>
      </c>
      <c r="B904" s="642" t="s">
        <v>3514</v>
      </c>
      <c r="C904" s="652">
        <v>5.6990000000000003E-4</v>
      </c>
      <c r="D904" s="652">
        <v>5.1539999999999995E-4</v>
      </c>
      <c r="E904" s="649">
        <v>214761.88</v>
      </c>
      <c r="F904" s="649">
        <v>231308</v>
      </c>
      <c r="G904" s="658">
        <v>1209519</v>
      </c>
      <c r="H904" s="658"/>
      <c r="I904" s="658">
        <v>22725</v>
      </c>
      <c r="J904" s="658">
        <v>1059924</v>
      </c>
      <c r="K904" s="658">
        <v>82841</v>
      </c>
      <c r="L904" s="658">
        <v>48305</v>
      </c>
      <c r="N904" s="658">
        <v>42383</v>
      </c>
      <c r="O904" s="658">
        <v>391212</v>
      </c>
      <c r="P904" s="659">
        <v>0</v>
      </c>
      <c r="Q904" s="658">
        <v>0</v>
      </c>
      <c r="R904" s="658"/>
      <c r="S904" s="658">
        <v>323287</v>
      </c>
      <c r="T904" s="658">
        <v>19414</v>
      </c>
      <c r="U904" s="658">
        <v>342701</v>
      </c>
    </row>
    <row r="905" spans="1:21" x14ac:dyDescent="0.25">
      <c r="A905" s="646">
        <v>99999</v>
      </c>
      <c r="B905" s="642" t="s">
        <v>3515</v>
      </c>
      <c r="C905" s="652">
        <v>1.0101000000000001E-3</v>
      </c>
      <c r="D905" s="652">
        <v>9.3599999999999998E-4</v>
      </c>
      <c r="E905" s="649">
        <v>441362</v>
      </c>
      <c r="F905" s="649">
        <v>420071</v>
      </c>
      <c r="G905" s="658">
        <v>2143771</v>
      </c>
      <c r="H905" s="658"/>
      <c r="I905" s="658">
        <v>40278</v>
      </c>
      <c r="J905" s="658">
        <v>1878626</v>
      </c>
      <c r="K905" s="658">
        <v>146829</v>
      </c>
      <c r="L905" s="658">
        <v>111413</v>
      </c>
      <c r="N905" s="658">
        <v>75120</v>
      </c>
      <c r="O905" s="658">
        <v>693391</v>
      </c>
      <c r="P905" s="659">
        <v>0</v>
      </c>
      <c r="Q905" s="658">
        <v>43600.9</v>
      </c>
      <c r="R905" s="658"/>
      <c r="S905" s="658">
        <v>572998</v>
      </c>
      <c r="T905" s="658">
        <v>11793</v>
      </c>
      <c r="U905" s="658">
        <v>584791</v>
      </c>
    </row>
    <row r="906" spans="1:21" x14ac:dyDescent="0.25">
      <c r="A906" s="660" t="s">
        <v>2621</v>
      </c>
      <c r="B906" s="633" t="s">
        <v>2620</v>
      </c>
      <c r="C906" s="648">
        <v>2.3587E-3</v>
      </c>
      <c r="D906" s="648">
        <v>2.3326000000000002E-3</v>
      </c>
      <c r="E906" s="649">
        <v>908617.53</v>
      </c>
      <c r="F906" s="649">
        <v>1046857</v>
      </c>
      <c r="G906" s="649">
        <v>5005952</v>
      </c>
      <c r="H906" s="649"/>
      <c r="I906" s="650">
        <v>94053</v>
      </c>
      <c r="J906" s="650">
        <v>4386809</v>
      </c>
      <c r="K906" s="650">
        <v>342863</v>
      </c>
      <c r="L906" s="649">
        <v>35812.04</v>
      </c>
      <c r="M906" s="649"/>
      <c r="N906" s="650">
        <v>175414</v>
      </c>
      <c r="O906" s="650">
        <v>1619148</v>
      </c>
      <c r="P906" s="650">
        <v>0</v>
      </c>
      <c r="Q906" s="649">
        <v>44222</v>
      </c>
      <c r="R906" s="649"/>
      <c r="S906" s="650">
        <v>1338017</v>
      </c>
      <c r="T906" s="651">
        <v>5621</v>
      </c>
      <c r="U906" s="651">
        <v>1343639</v>
      </c>
    </row>
    <row r="907" spans="1:21" x14ac:dyDescent="0.25">
      <c r="B907" s="662" t="s">
        <v>2025</v>
      </c>
      <c r="C907" s="663">
        <f>SUM(C7:C905)</f>
        <v>1</v>
      </c>
      <c r="D907" s="663">
        <f>SUM(D7:D905)</f>
        <v>1</v>
      </c>
      <c r="E907" s="664">
        <f>SUM(E7:E905)</f>
        <v>411243363</v>
      </c>
      <c r="F907" s="664">
        <f>SUM(F7:F905)</f>
        <v>448793979</v>
      </c>
      <c r="G907" s="664">
        <f>SUM(G7:G905)</f>
        <v>2122335002</v>
      </c>
      <c r="H907" s="664"/>
      <c r="I907" s="664">
        <f>SUM(I7:I905)</f>
        <v>39875005</v>
      </c>
      <c r="J907" s="664">
        <f>SUM(J7:J905)</f>
        <v>1859842000</v>
      </c>
      <c r="K907" s="664">
        <f>SUM(K7:K905)</f>
        <v>145360990</v>
      </c>
      <c r="L907" s="664">
        <f>SUM(L7:L905)</f>
        <v>47059867</v>
      </c>
      <c r="M907" s="664"/>
      <c r="N907" s="664">
        <f>SUM(N7:N905)</f>
        <v>74369003</v>
      </c>
      <c r="O907" s="664">
        <f>SUM(O7:O905)</f>
        <v>686457998</v>
      </c>
      <c r="P907" s="664">
        <f>SUM(P7:P905)</f>
        <v>0</v>
      </c>
      <c r="Q907" s="664">
        <f>SUM(Q7:Q905)</f>
        <v>47059539</v>
      </c>
      <c r="R907" s="664"/>
      <c r="S907" s="664">
        <f>SUM(S7:S905)</f>
        <v>567268993</v>
      </c>
      <c r="T907" s="664">
        <f>SUM(T7:T905)</f>
        <v>95</v>
      </c>
      <c r="U907" s="664">
        <f>SUM(U7:U905)</f>
        <v>567269105</v>
      </c>
    </row>
    <row r="908" spans="1:21" x14ac:dyDescent="0.25">
      <c r="G908" s="665"/>
      <c r="H908" s="665"/>
      <c r="I908" s="665"/>
      <c r="J908" s="665"/>
      <c r="K908" s="665"/>
      <c r="L908" s="665"/>
      <c r="M908" s="665"/>
      <c r="N908" s="665"/>
      <c r="O908" s="665"/>
      <c r="P908" s="665"/>
      <c r="Q908" s="665"/>
      <c r="R908" s="665"/>
      <c r="S908" s="665"/>
      <c r="T908" s="665"/>
      <c r="U908" s="665"/>
    </row>
    <row r="909" spans="1:21" x14ac:dyDescent="0.25">
      <c r="G909" s="666"/>
      <c r="H909" s="666"/>
      <c r="I909" s="666"/>
      <c r="J909" s="666"/>
      <c r="K909" s="666"/>
      <c r="L909" s="666"/>
      <c r="M909" s="666"/>
      <c r="N909" s="666"/>
      <c r="O909" s="666"/>
      <c r="P909" s="666"/>
      <c r="Q909" s="666"/>
      <c r="R909" s="666"/>
      <c r="S909" s="666"/>
      <c r="T909" s="666"/>
      <c r="U909" s="666"/>
    </row>
    <row r="910" spans="1:21" x14ac:dyDescent="0.25">
      <c r="B910" s="642" t="s">
        <v>2086</v>
      </c>
      <c r="C910" s="644" t="s">
        <v>822</v>
      </c>
    </row>
    <row r="911" spans="1:21" x14ac:dyDescent="0.25">
      <c r="B911" s="642" t="s">
        <v>1701</v>
      </c>
      <c r="C911" s="646">
        <v>96331</v>
      </c>
    </row>
    <row r="912" spans="1:21" x14ac:dyDescent="0.25">
      <c r="B912" s="642" t="s">
        <v>1580</v>
      </c>
      <c r="C912" s="646">
        <v>94611</v>
      </c>
    </row>
    <row r="913" spans="2:21" x14ac:dyDescent="0.25">
      <c r="B913" s="642" t="s">
        <v>1462</v>
      </c>
      <c r="C913" s="646">
        <v>93402</v>
      </c>
      <c r="G913" s="641"/>
      <c r="H913" s="641"/>
      <c r="I913" s="641"/>
      <c r="J913" s="641"/>
      <c r="K913" s="641"/>
      <c r="L913" s="641"/>
      <c r="M913" s="641"/>
      <c r="N913" s="641"/>
      <c r="O913" s="641"/>
      <c r="P913" s="641"/>
      <c r="Q913" s="641"/>
      <c r="R913" s="641"/>
      <c r="S913" s="641"/>
      <c r="T913" s="641"/>
      <c r="U913" s="641"/>
    </row>
    <row r="914" spans="2:21" x14ac:dyDescent="0.25">
      <c r="B914" s="642" t="s">
        <v>1523</v>
      </c>
      <c r="C914" s="646">
        <v>94109</v>
      </c>
      <c r="D914" s="667"/>
      <c r="E914" s="667"/>
      <c r="F914" s="667"/>
    </row>
    <row r="915" spans="2:21" x14ac:dyDescent="0.25">
      <c r="B915" s="642" t="s">
        <v>1167</v>
      </c>
      <c r="C915" s="646">
        <v>90101</v>
      </c>
      <c r="D915" s="667"/>
      <c r="E915" s="667"/>
      <c r="F915" s="667"/>
    </row>
    <row r="916" spans="2:21" x14ac:dyDescent="0.25">
      <c r="B916" s="642" t="s">
        <v>3516</v>
      </c>
      <c r="C916" s="646">
        <v>90117</v>
      </c>
      <c r="D916" s="667"/>
      <c r="E916" s="667"/>
      <c r="F916" s="667"/>
    </row>
    <row r="917" spans="2:21" x14ac:dyDescent="0.25">
      <c r="B917" s="642" t="s">
        <v>1173</v>
      </c>
      <c r="C917" s="646">
        <v>90151</v>
      </c>
      <c r="D917" s="667"/>
      <c r="E917" s="667"/>
      <c r="F917" s="667"/>
    </row>
    <row r="918" spans="2:21" x14ac:dyDescent="0.25">
      <c r="B918" s="642" t="s">
        <v>1900</v>
      </c>
      <c r="C918" s="646">
        <v>98417</v>
      </c>
      <c r="D918" s="667"/>
      <c r="E918" s="667"/>
      <c r="F918" s="667"/>
    </row>
    <row r="919" spans="2:21" x14ac:dyDescent="0.25">
      <c r="B919" s="642" t="s">
        <v>1763</v>
      </c>
      <c r="C919" s="646">
        <v>97008</v>
      </c>
      <c r="D919" s="667"/>
      <c r="E919" s="667"/>
      <c r="F919" s="667"/>
    </row>
    <row r="920" spans="2:21" x14ac:dyDescent="0.25">
      <c r="B920" s="642" t="s">
        <v>1764</v>
      </c>
      <c r="C920" s="646">
        <v>97010</v>
      </c>
      <c r="D920" s="667"/>
      <c r="E920" s="667"/>
      <c r="F920" s="667"/>
    </row>
    <row r="921" spans="2:21" x14ac:dyDescent="0.25">
      <c r="B921" s="642" t="s">
        <v>3517</v>
      </c>
      <c r="C921" s="646">
        <v>90096</v>
      </c>
      <c r="D921" s="667"/>
      <c r="E921" s="667"/>
      <c r="F921" s="667"/>
    </row>
    <row r="922" spans="2:21" x14ac:dyDescent="0.25">
      <c r="B922" s="642" t="s">
        <v>1214</v>
      </c>
      <c r="C922" s="646">
        <v>90805</v>
      </c>
      <c r="D922" s="667"/>
      <c r="E922" s="667"/>
      <c r="F922" s="667"/>
    </row>
    <row r="923" spans="2:21" x14ac:dyDescent="0.25">
      <c r="B923" s="642" t="s">
        <v>1354</v>
      </c>
      <c r="C923" s="646">
        <v>92109</v>
      </c>
      <c r="D923" s="667"/>
      <c r="E923" s="667"/>
      <c r="F923" s="667"/>
    </row>
    <row r="924" spans="2:21" x14ac:dyDescent="0.25">
      <c r="B924" s="642" t="s">
        <v>1899</v>
      </c>
      <c r="C924" s="646">
        <v>98411</v>
      </c>
      <c r="D924" s="667"/>
      <c r="E924" s="667"/>
      <c r="F924" s="667"/>
    </row>
    <row r="925" spans="2:21" x14ac:dyDescent="0.25">
      <c r="B925" s="642" t="s">
        <v>1175</v>
      </c>
      <c r="C925" s="646">
        <v>90201</v>
      </c>
      <c r="D925" s="667"/>
      <c r="E925" s="667"/>
      <c r="F925" s="667"/>
    </row>
    <row r="926" spans="2:21" x14ac:dyDescent="0.25">
      <c r="B926" s="642" t="s">
        <v>1176</v>
      </c>
      <c r="C926" s="646">
        <v>90203</v>
      </c>
      <c r="D926" s="667"/>
      <c r="E926" s="667"/>
      <c r="F926" s="667"/>
    </row>
    <row r="927" spans="2:21" x14ac:dyDescent="0.25">
      <c r="B927" s="642" t="s">
        <v>1177</v>
      </c>
      <c r="C927" s="646">
        <v>90205</v>
      </c>
    </row>
    <row r="928" spans="2:21" x14ac:dyDescent="0.25">
      <c r="B928" s="642" t="s">
        <v>1178</v>
      </c>
      <c r="C928" s="646">
        <v>90206</v>
      </c>
      <c r="D928" s="667"/>
      <c r="E928" s="667"/>
      <c r="F928" s="667"/>
    </row>
    <row r="929" spans="2:6" x14ac:dyDescent="0.25">
      <c r="B929" s="642" t="s">
        <v>1180</v>
      </c>
      <c r="C929" s="646">
        <v>90301</v>
      </c>
    </row>
    <row r="930" spans="2:6" x14ac:dyDescent="0.25">
      <c r="B930" s="642" t="s">
        <v>1446</v>
      </c>
      <c r="C930" s="646">
        <v>93209</v>
      </c>
      <c r="D930" s="667"/>
      <c r="E930" s="667"/>
      <c r="F930" s="667"/>
    </row>
    <row r="931" spans="2:6" x14ac:dyDescent="0.25">
      <c r="B931" s="642" t="s">
        <v>1351</v>
      </c>
      <c r="C931" s="646">
        <v>92021</v>
      </c>
    </row>
    <row r="932" spans="2:6" x14ac:dyDescent="0.25">
      <c r="B932" s="642" t="s">
        <v>1554</v>
      </c>
      <c r="C932" s="646">
        <v>94347</v>
      </c>
    </row>
    <row r="933" spans="2:6" x14ac:dyDescent="0.25">
      <c r="B933" s="642" t="s">
        <v>1555</v>
      </c>
      <c r="C933" s="646">
        <v>94351</v>
      </c>
    </row>
    <row r="934" spans="2:6" x14ac:dyDescent="0.25">
      <c r="B934" s="642" t="s">
        <v>1183</v>
      </c>
      <c r="C934" s="646">
        <v>90401</v>
      </c>
    </row>
    <row r="935" spans="2:6" x14ac:dyDescent="0.25">
      <c r="B935" s="642" t="s">
        <v>1190</v>
      </c>
      <c r="C935" s="646">
        <v>90451</v>
      </c>
    </row>
    <row r="936" spans="2:6" x14ac:dyDescent="0.25">
      <c r="B936" s="642" t="s">
        <v>1968</v>
      </c>
      <c r="C936" s="646">
        <v>99271</v>
      </c>
    </row>
    <row r="937" spans="2:6" x14ac:dyDescent="0.25">
      <c r="B937" s="642" t="s">
        <v>1166</v>
      </c>
      <c r="C937" s="646">
        <v>90099</v>
      </c>
    </row>
    <row r="938" spans="2:6" x14ac:dyDescent="0.25">
      <c r="B938" s="642" t="s">
        <v>2003</v>
      </c>
      <c r="C938" s="646">
        <v>99705</v>
      </c>
    </row>
    <row r="939" spans="2:6" x14ac:dyDescent="0.25">
      <c r="B939" s="642" t="s">
        <v>1814</v>
      </c>
      <c r="C939" s="646">
        <v>97651</v>
      </c>
    </row>
    <row r="940" spans="2:6" x14ac:dyDescent="0.25">
      <c r="B940" s="642" t="s">
        <v>1609</v>
      </c>
      <c r="C940" s="646">
        <v>95106</v>
      </c>
    </row>
    <row r="941" spans="2:6" x14ac:dyDescent="0.25">
      <c r="B941" s="642" t="s">
        <v>1192</v>
      </c>
      <c r="C941" s="646">
        <v>90501</v>
      </c>
    </row>
    <row r="942" spans="2:6" x14ac:dyDescent="0.25">
      <c r="B942" s="642" t="s">
        <v>1805</v>
      </c>
      <c r="C942" s="646">
        <v>97607</v>
      </c>
    </row>
    <row r="943" spans="2:6" x14ac:dyDescent="0.25">
      <c r="B943" s="642" t="s">
        <v>1807</v>
      </c>
      <c r="C943" s="646">
        <v>97613</v>
      </c>
    </row>
    <row r="944" spans="2:6" x14ac:dyDescent="0.25">
      <c r="B944" s="642" t="s">
        <v>1806</v>
      </c>
      <c r="C944" s="646">
        <v>97611</v>
      </c>
    </row>
    <row r="945" spans="2:3" x14ac:dyDescent="0.25">
      <c r="B945" s="642" t="s">
        <v>1265</v>
      </c>
      <c r="C945" s="646">
        <v>91127</v>
      </c>
    </row>
    <row r="946" spans="2:3" x14ac:dyDescent="0.25">
      <c r="B946" s="642" t="s">
        <v>1266</v>
      </c>
      <c r="C946" s="646">
        <v>91128</v>
      </c>
    </row>
    <row r="947" spans="2:3" x14ac:dyDescent="0.25">
      <c r="B947" s="642" t="s">
        <v>1264</v>
      </c>
      <c r="C947" s="646">
        <v>91121</v>
      </c>
    </row>
    <row r="948" spans="2:3" x14ac:dyDescent="0.25">
      <c r="B948" s="642" t="s">
        <v>1321</v>
      </c>
      <c r="C948" s="646">
        <v>91681</v>
      </c>
    </row>
    <row r="949" spans="2:3" x14ac:dyDescent="0.25">
      <c r="B949" s="642" t="s">
        <v>1216</v>
      </c>
      <c r="C949" s="646">
        <v>90811</v>
      </c>
    </row>
    <row r="950" spans="2:3" x14ac:dyDescent="0.25">
      <c r="B950" s="642" t="s">
        <v>1208</v>
      </c>
      <c r="C950" s="646">
        <v>90721</v>
      </c>
    </row>
    <row r="951" spans="2:3" x14ac:dyDescent="0.25">
      <c r="B951" s="642" t="s">
        <v>1890</v>
      </c>
      <c r="C951" s="646">
        <v>98271</v>
      </c>
    </row>
    <row r="952" spans="2:3" x14ac:dyDescent="0.25">
      <c r="B952" s="642" t="s">
        <v>1196</v>
      </c>
      <c r="C952" s="646">
        <v>90601</v>
      </c>
    </row>
    <row r="953" spans="2:3" x14ac:dyDescent="0.25">
      <c r="B953" s="642" t="s">
        <v>2099</v>
      </c>
      <c r="C953" s="646">
        <v>90602</v>
      </c>
    </row>
    <row r="954" spans="2:3" x14ac:dyDescent="0.25">
      <c r="B954" s="642" t="s">
        <v>1197</v>
      </c>
      <c r="C954" s="646">
        <v>90605</v>
      </c>
    </row>
    <row r="955" spans="2:3" x14ac:dyDescent="0.25">
      <c r="B955" s="642" t="s">
        <v>1796</v>
      </c>
      <c r="C955" s="646">
        <v>97463</v>
      </c>
    </row>
    <row r="956" spans="2:3" x14ac:dyDescent="0.25">
      <c r="B956" s="642" t="s">
        <v>1795</v>
      </c>
      <c r="C956" s="646">
        <v>97461</v>
      </c>
    </row>
    <row r="957" spans="2:3" x14ac:dyDescent="0.25">
      <c r="B957" s="642" t="s">
        <v>1206</v>
      </c>
      <c r="C957" s="646">
        <v>90705</v>
      </c>
    </row>
    <row r="958" spans="2:3" x14ac:dyDescent="0.25">
      <c r="B958" s="642" t="s">
        <v>1905</v>
      </c>
      <c r="C958" s="646">
        <v>98451</v>
      </c>
    </row>
    <row r="959" spans="2:3" x14ac:dyDescent="0.25">
      <c r="B959" s="642" t="s">
        <v>1715</v>
      </c>
      <c r="C959" s="646">
        <v>96451</v>
      </c>
    </row>
    <row r="960" spans="2:3" x14ac:dyDescent="0.25">
      <c r="B960" s="642" t="s">
        <v>1685</v>
      </c>
      <c r="C960" s="646">
        <v>96121</v>
      </c>
    </row>
    <row r="961" spans="2:3" x14ac:dyDescent="0.25">
      <c r="B961" s="642" t="s">
        <v>1254</v>
      </c>
      <c r="C961" s="646">
        <v>91091</v>
      </c>
    </row>
    <row r="962" spans="2:3" x14ac:dyDescent="0.25">
      <c r="B962" s="642" t="s">
        <v>1198</v>
      </c>
      <c r="C962" s="646">
        <v>90611</v>
      </c>
    </row>
    <row r="963" spans="2:3" x14ac:dyDescent="0.25">
      <c r="B963" s="642" t="s">
        <v>1758</v>
      </c>
      <c r="C963" s="646">
        <v>96918</v>
      </c>
    </row>
    <row r="964" spans="2:3" x14ac:dyDescent="0.25">
      <c r="B964" s="642" t="s">
        <v>1756</v>
      </c>
      <c r="C964" s="646">
        <v>96911</v>
      </c>
    </row>
    <row r="965" spans="2:3" x14ac:dyDescent="0.25">
      <c r="B965" s="642" t="s">
        <v>1955</v>
      </c>
      <c r="C965" s="646">
        <v>99208</v>
      </c>
    </row>
    <row r="966" spans="2:3" x14ac:dyDescent="0.25">
      <c r="B966" s="642" t="s">
        <v>1204</v>
      </c>
      <c r="C966" s="646">
        <v>90701</v>
      </c>
    </row>
    <row r="967" spans="2:3" x14ac:dyDescent="0.25">
      <c r="B967" s="642" t="s">
        <v>1205</v>
      </c>
      <c r="C967" s="646">
        <v>90704</v>
      </c>
    </row>
    <row r="968" spans="2:3" x14ac:dyDescent="0.25">
      <c r="B968" s="642" t="s">
        <v>1316</v>
      </c>
      <c r="C968" s="646">
        <v>91633</v>
      </c>
    </row>
    <row r="969" spans="2:3" x14ac:dyDescent="0.25">
      <c r="B969" s="642" t="s">
        <v>1315</v>
      </c>
      <c r="C969" s="646">
        <v>91631</v>
      </c>
    </row>
    <row r="970" spans="2:3" x14ac:dyDescent="0.25">
      <c r="B970" s="642" t="s">
        <v>1201</v>
      </c>
      <c r="C970" s="646">
        <v>90631</v>
      </c>
    </row>
    <row r="971" spans="2:3" x14ac:dyDescent="0.25">
      <c r="B971" s="642" t="s">
        <v>1209</v>
      </c>
      <c r="C971" s="646">
        <v>90731</v>
      </c>
    </row>
    <row r="972" spans="2:3" x14ac:dyDescent="0.25">
      <c r="B972" s="642" t="s">
        <v>1488</v>
      </c>
      <c r="C972" s="646">
        <v>93623</v>
      </c>
    </row>
    <row r="973" spans="2:3" x14ac:dyDescent="0.25">
      <c r="B973" s="642" t="s">
        <v>1487</v>
      </c>
      <c r="C973" s="646">
        <v>93621</v>
      </c>
    </row>
    <row r="974" spans="2:3" x14ac:dyDescent="0.25">
      <c r="B974" s="642" t="s">
        <v>1239</v>
      </c>
      <c r="C974" s="646">
        <v>91020</v>
      </c>
    </row>
    <row r="975" spans="2:3" x14ac:dyDescent="0.25">
      <c r="B975" s="642" t="s">
        <v>1606</v>
      </c>
      <c r="C975" s="646">
        <v>95103</v>
      </c>
    </row>
    <row r="976" spans="2:3" x14ac:dyDescent="0.25">
      <c r="B976" s="642" t="s">
        <v>1616</v>
      </c>
      <c r="C976" s="646">
        <v>95141</v>
      </c>
    </row>
    <row r="977" spans="2:3" x14ac:dyDescent="0.25">
      <c r="B977" s="642" t="s">
        <v>1427</v>
      </c>
      <c r="C977" s="646">
        <v>93021</v>
      </c>
    </row>
    <row r="978" spans="2:3" x14ac:dyDescent="0.25">
      <c r="B978" s="642" t="s">
        <v>1212</v>
      </c>
      <c r="C978" s="646">
        <v>90801</v>
      </c>
    </row>
    <row r="979" spans="2:3" x14ac:dyDescent="0.25">
      <c r="B979" s="642" t="s">
        <v>1213</v>
      </c>
      <c r="C979" s="646">
        <v>90804</v>
      </c>
    </row>
    <row r="980" spans="2:3" x14ac:dyDescent="0.25">
      <c r="B980" s="642" t="s">
        <v>1215</v>
      </c>
      <c r="C980" s="646">
        <v>90808</v>
      </c>
    </row>
    <row r="981" spans="2:3" x14ac:dyDescent="0.25">
      <c r="B981" s="642" t="s">
        <v>1495</v>
      </c>
      <c r="C981" s="646">
        <v>93677</v>
      </c>
    </row>
    <row r="982" spans="2:3" x14ac:dyDescent="0.25">
      <c r="B982" s="642" t="s">
        <v>1494</v>
      </c>
      <c r="C982" s="646">
        <v>93671</v>
      </c>
    </row>
    <row r="983" spans="2:3" x14ac:dyDescent="0.25">
      <c r="B983" s="642" t="s">
        <v>1793</v>
      </c>
      <c r="C983" s="646">
        <v>97441</v>
      </c>
    </row>
    <row r="984" spans="2:3" x14ac:dyDescent="0.25">
      <c r="B984" s="642" t="s">
        <v>1431</v>
      </c>
      <c r="C984" s="646">
        <v>93111</v>
      </c>
    </row>
    <row r="985" spans="2:3" x14ac:dyDescent="0.25">
      <c r="B985" s="642" t="s">
        <v>1261</v>
      </c>
      <c r="C985" s="646">
        <v>91111</v>
      </c>
    </row>
    <row r="986" spans="2:3" x14ac:dyDescent="0.25">
      <c r="B986" s="642" t="s">
        <v>1690</v>
      </c>
      <c r="C986" s="646">
        <v>96231</v>
      </c>
    </row>
    <row r="987" spans="2:3" x14ac:dyDescent="0.25">
      <c r="B987" s="642" t="s">
        <v>2015</v>
      </c>
      <c r="C987" s="646">
        <v>99831</v>
      </c>
    </row>
    <row r="988" spans="2:3" x14ac:dyDescent="0.25">
      <c r="B988" s="642" t="s">
        <v>1271</v>
      </c>
      <c r="C988" s="646">
        <v>91154</v>
      </c>
    </row>
    <row r="989" spans="2:3" x14ac:dyDescent="0.25">
      <c r="B989" s="642" t="s">
        <v>1270</v>
      </c>
      <c r="C989" s="646">
        <v>91151</v>
      </c>
    </row>
    <row r="990" spans="2:3" x14ac:dyDescent="0.25">
      <c r="B990" s="642" t="s">
        <v>1220</v>
      </c>
      <c r="C990" s="646">
        <v>90901</v>
      </c>
    </row>
    <row r="991" spans="2:3" x14ac:dyDescent="0.25">
      <c r="B991" s="642" t="s">
        <v>1226</v>
      </c>
      <c r="C991" s="646">
        <v>90941</v>
      </c>
    </row>
    <row r="992" spans="2:3" x14ac:dyDescent="0.25">
      <c r="B992" s="642" t="s">
        <v>1988</v>
      </c>
      <c r="C992" s="646">
        <v>99527</v>
      </c>
    </row>
    <row r="993" spans="2:3" x14ac:dyDescent="0.25">
      <c r="B993" s="642" t="s">
        <v>1984</v>
      </c>
      <c r="C993" s="646">
        <v>99508</v>
      </c>
    </row>
    <row r="994" spans="2:3" x14ac:dyDescent="0.25">
      <c r="B994" s="642" t="s">
        <v>1987</v>
      </c>
      <c r="C994" s="646">
        <v>99521</v>
      </c>
    </row>
    <row r="995" spans="2:3" x14ac:dyDescent="0.25">
      <c r="B995" s="642" t="s">
        <v>1573</v>
      </c>
      <c r="C995" s="646">
        <v>94532</v>
      </c>
    </row>
    <row r="996" spans="2:3" x14ac:dyDescent="0.25">
      <c r="B996" s="642" t="s">
        <v>1252</v>
      </c>
      <c r="C996" s="646">
        <v>91077</v>
      </c>
    </row>
    <row r="997" spans="2:3" x14ac:dyDescent="0.25">
      <c r="B997" s="642" t="s">
        <v>1251</v>
      </c>
      <c r="C997" s="646">
        <v>91071</v>
      </c>
    </row>
    <row r="998" spans="2:3" x14ac:dyDescent="0.25">
      <c r="B998" s="642" t="s">
        <v>1364</v>
      </c>
      <c r="C998" s="646">
        <v>92331</v>
      </c>
    </row>
    <row r="999" spans="2:3" x14ac:dyDescent="0.25">
      <c r="B999" s="642" t="s">
        <v>1986</v>
      </c>
      <c r="C999" s="646">
        <v>99511</v>
      </c>
    </row>
    <row r="1000" spans="2:3" x14ac:dyDescent="0.25">
      <c r="B1000" s="642" t="s">
        <v>2022</v>
      </c>
      <c r="C1000" s="646">
        <v>99941</v>
      </c>
    </row>
    <row r="1001" spans="2:3" x14ac:dyDescent="0.25">
      <c r="B1001" s="642" t="s">
        <v>1710</v>
      </c>
      <c r="C1001" s="646">
        <v>96405</v>
      </c>
    </row>
    <row r="1002" spans="2:3" x14ac:dyDescent="0.25">
      <c r="B1002" s="642" t="s">
        <v>1926</v>
      </c>
      <c r="C1002" s="646">
        <v>98817</v>
      </c>
    </row>
    <row r="1003" spans="2:3" x14ac:dyDescent="0.25">
      <c r="B1003" s="642" t="s">
        <v>1925</v>
      </c>
      <c r="C1003" s="646">
        <v>98811</v>
      </c>
    </row>
    <row r="1004" spans="2:3" x14ac:dyDescent="0.25">
      <c r="B1004" s="642" t="s">
        <v>1390</v>
      </c>
      <c r="C1004" s="646">
        <v>92561</v>
      </c>
    </row>
    <row r="1005" spans="2:3" x14ac:dyDescent="0.25">
      <c r="B1005" s="642" t="s">
        <v>1869</v>
      </c>
      <c r="C1005" s="646">
        <v>98102</v>
      </c>
    </row>
    <row r="1006" spans="2:3" x14ac:dyDescent="0.25">
      <c r="B1006" s="642" t="s">
        <v>1630</v>
      </c>
      <c r="C1006" s="646">
        <v>95321</v>
      </c>
    </row>
    <row r="1007" spans="2:3" x14ac:dyDescent="0.25">
      <c r="B1007" s="642" t="s">
        <v>1337</v>
      </c>
      <c r="C1007" s="646">
        <v>91861</v>
      </c>
    </row>
    <row r="1008" spans="2:3" x14ac:dyDescent="0.25">
      <c r="B1008" s="642" t="s">
        <v>1227</v>
      </c>
      <c r="C1008" s="646">
        <v>91001</v>
      </c>
    </row>
    <row r="1009" spans="2:3" x14ac:dyDescent="0.25">
      <c r="B1009" s="642" t="s">
        <v>1230</v>
      </c>
      <c r="C1009" s="646">
        <v>91004</v>
      </c>
    </row>
    <row r="1010" spans="2:3" x14ac:dyDescent="0.25">
      <c r="B1010" s="642" t="s">
        <v>3518</v>
      </c>
      <c r="C1010" s="646">
        <v>91006</v>
      </c>
    </row>
    <row r="1011" spans="2:3" x14ac:dyDescent="0.25">
      <c r="B1011" s="642" t="s">
        <v>1229</v>
      </c>
      <c r="C1011" s="646">
        <v>91003</v>
      </c>
    </row>
    <row r="1012" spans="2:3" x14ac:dyDescent="0.25">
      <c r="B1012" s="642" t="s">
        <v>1233</v>
      </c>
      <c r="C1012" s="646">
        <v>91009</v>
      </c>
    </row>
    <row r="1013" spans="2:3" x14ac:dyDescent="0.25">
      <c r="B1013" s="642" t="s">
        <v>3519</v>
      </c>
      <c r="C1013" s="646">
        <v>91042</v>
      </c>
    </row>
    <row r="1014" spans="2:3" x14ac:dyDescent="0.25">
      <c r="B1014" s="642" t="s">
        <v>1372</v>
      </c>
      <c r="C1014" s="646">
        <v>92421</v>
      </c>
    </row>
    <row r="1015" spans="2:3" x14ac:dyDescent="0.25">
      <c r="B1015" s="642" t="s">
        <v>1923</v>
      </c>
      <c r="C1015" s="646">
        <v>98717</v>
      </c>
    </row>
    <row r="1016" spans="2:3" x14ac:dyDescent="0.25">
      <c r="B1016" s="642" t="s">
        <v>1922</v>
      </c>
      <c r="C1016" s="646">
        <v>98711</v>
      </c>
    </row>
    <row r="1017" spans="2:3" x14ac:dyDescent="0.25">
      <c r="B1017" s="642" t="s">
        <v>1255</v>
      </c>
      <c r="C1017" s="646">
        <v>91101</v>
      </c>
    </row>
    <row r="1018" spans="2:3" x14ac:dyDescent="0.25">
      <c r="B1018" s="642" t="s">
        <v>1479</v>
      </c>
      <c r="C1018" s="646">
        <v>93537</v>
      </c>
    </row>
    <row r="1019" spans="2:3" x14ac:dyDescent="0.25">
      <c r="B1019" s="642" t="s">
        <v>1478</v>
      </c>
      <c r="C1019" s="646">
        <v>93531</v>
      </c>
    </row>
    <row r="1020" spans="2:3" x14ac:dyDescent="0.25">
      <c r="B1020" s="642" t="s">
        <v>1772</v>
      </c>
      <c r="C1020" s="646">
        <v>97111</v>
      </c>
    </row>
    <row r="1021" spans="2:3" x14ac:dyDescent="0.25">
      <c r="B1021" s="642" t="s">
        <v>1274</v>
      </c>
      <c r="C1021" s="646">
        <v>91201</v>
      </c>
    </row>
    <row r="1022" spans="2:3" x14ac:dyDescent="0.25">
      <c r="B1022" s="642" t="s">
        <v>3520</v>
      </c>
      <c r="C1022" s="646">
        <v>91206</v>
      </c>
    </row>
    <row r="1023" spans="2:3" x14ac:dyDescent="0.25">
      <c r="B1023" s="642" t="s">
        <v>1276</v>
      </c>
      <c r="C1023" s="646">
        <v>91203</v>
      </c>
    </row>
    <row r="1024" spans="2:3" x14ac:dyDescent="0.25">
      <c r="B1024" s="642" t="s">
        <v>1277</v>
      </c>
      <c r="C1024" s="646">
        <v>91208</v>
      </c>
    </row>
    <row r="1025" spans="2:3" x14ac:dyDescent="0.25">
      <c r="B1025" s="642" t="s">
        <v>1275</v>
      </c>
      <c r="C1025" s="646">
        <v>91202</v>
      </c>
    </row>
    <row r="1026" spans="2:3" x14ac:dyDescent="0.25">
      <c r="B1026" s="642" t="s">
        <v>1168</v>
      </c>
      <c r="C1026" s="646">
        <v>90111</v>
      </c>
    </row>
    <row r="1027" spans="2:3" x14ac:dyDescent="0.25">
      <c r="B1027" s="642" t="s">
        <v>1163</v>
      </c>
      <c r="C1027" s="646">
        <v>90011</v>
      </c>
    </row>
    <row r="1028" spans="2:3" x14ac:dyDescent="0.25">
      <c r="B1028" s="642" t="s">
        <v>1512</v>
      </c>
      <c r="C1028" s="646">
        <v>93931</v>
      </c>
    </row>
    <row r="1029" spans="2:3" x14ac:dyDescent="0.25">
      <c r="B1029" s="642" t="s">
        <v>1290</v>
      </c>
      <c r="C1029" s="646">
        <v>91306</v>
      </c>
    </row>
    <row r="1030" spans="2:3" x14ac:dyDescent="0.25">
      <c r="B1030" s="642" t="s">
        <v>1291</v>
      </c>
      <c r="C1030" s="646">
        <v>91308</v>
      </c>
    </row>
    <row r="1031" spans="2:3" x14ac:dyDescent="0.25">
      <c r="B1031" s="642" t="s">
        <v>1288</v>
      </c>
      <c r="C1031" s="646">
        <v>91301</v>
      </c>
    </row>
    <row r="1032" spans="2:3" x14ac:dyDescent="0.25">
      <c r="B1032" s="642" t="s">
        <v>1307</v>
      </c>
      <c r="C1032" s="646">
        <v>91461</v>
      </c>
    </row>
    <row r="1033" spans="2:3" x14ac:dyDescent="0.25">
      <c r="B1033" s="642" t="s">
        <v>1231</v>
      </c>
      <c r="C1033" s="646">
        <v>91007</v>
      </c>
    </row>
    <row r="1034" spans="2:3" x14ac:dyDescent="0.25">
      <c r="B1034" s="642" t="s">
        <v>1234</v>
      </c>
      <c r="C1034" s="646">
        <v>91010</v>
      </c>
    </row>
    <row r="1035" spans="2:3" x14ac:dyDescent="0.25">
      <c r="B1035" s="642" t="s">
        <v>1298</v>
      </c>
      <c r="C1035" s="646">
        <v>91401</v>
      </c>
    </row>
    <row r="1036" spans="2:3" x14ac:dyDescent="0.25">
      <c r="B1036" s="642" t="s">
        <v>1440</v>
      </c>
      <c r="C1036" s="646">
        <v>93171</v>
      </c>
    </row>
    <row r="1037" spans="2:3" x14ac:dyDescent="0.25">
      <c r="B1037" s="642" t="s">
        <v>1308</v>
      </c>
      <c r="C1037" s="646">
        <v>91501</v>
      </c>
    </row>
    <row r="1038" spans="2:3" x14ac:dyDescent="0.25">
      <c r="B1038" s="642" t="s">
        <v>1309</v>
      </c>
      <c r="C1038" s="646">
        <v>91504</v>
      </c>
    </row>
    <row r="1039" spans="2:3" x14ac:dyDescent="0.25">
      <c r="B1039" s="642" t="s">
        <v>1699</v>
      </c>
      <c r="C1039" s="646">
        <v>96312</v>
      </c>
    </row>
    <row r="1040" spans="2:3" x14ac:dyDescent="0.25">
      <c r="B1040" s="642" t="s">
        <v>1691</v>
      </c>
      <c r="C1040" s="646">
        <v>96241</v>
      </c>
    </row>
    <row r="1041" spans="2:3" x14ac:dyDescent="0.25">
      <c r="B1041" s="642" t="s">
        <v>1565</v>
      </c>
      <c r="C1041" s="646">
        <v>94437</v>
      </c>
    </row>
    <row r="1042" spans="2:3" x14ac:dyDescent="0.25">
      <c r="B1042" s="642" t="s">
        <v>1564</v>
      </c>
      <c r="C1042" s="646">
        <v>94431</v>
      </c>
    </row>
    <row r="1043" spans="2:3" x14ac:dyDescent="0.25">
      <c r="B1043" s="642" t="s">
        <v>1320</v>
      </c>
      <c r="C1043" s="646">
        <v>91671</v>
      </c>
    </row>
    <row r="1044" spans="2:3" x14ac:dyDescent="0.25">
      <c r="B1044" s="642" t="s">
        <v>1232</v>
      </c>
      <c r="C1044" s="646">
        <v>91008</v>
      </c>
    </row>
    <row r="1045" spans="2:3" x14ac:dyDescent="0.25">
      <c r="B1045" s="642" t="s">
        <v>1724</v>
      </c>
      <c r="C1045" s="646">
        <v>96512</v>
      </c>
    </row>
    <row r="1046" spans="2:3" x14ac:dyDescent="0.25">
      <c r="B1046" s="642" t="s">
        <v>1721</v>
      </c>
      <c r="C1046" s="646">
        <v>96507</v>
      </c>
    </row>
    <row r="1047" spans="2:3" x14ac:dyDescent="0.25">
      <c r="B1047" s="642" t="s">
        <v>1726</v>
      </c>
      <c r="C1047" s="646">
        <v>96521</v>
      </c>
    </row>
    <row r="1048" spans="2:3" x14ac:dyDescent="0.25">
      <c r="B1048" s="642" t="s">
        <v>1241</v>
      </c>
      <c r="C1048" s="646">
        <v>91024</v>
      </c>
    </row>
    <row r="1049" spans="2:3" x14ac:dyDescent="0.25">
      <c r="B1049" s="642" t="s">
        <v>1753</v>
      </c>
      <c r="C1049" s="646">
        <v>96821</v>
      </c>
    </row>
    <row r="1050" spans="2:3" x14ac:dyDescent="0.25">
      <c r="B1050" s="642" t="s">
        <v>1310</v>
      </c>
      <c r="C1050" s="646">
        <v>91601</v>
      </c>
    </row>
    <row r="1051" spans="2:3" x14ac:dyDescent="0.25">
      <c r="B1051" s="642" t="s">
        <v>1311</v>
      </c>
      <c r="C1051" s="646">
        <v>91604</v>
      </c>
    </row>
    <row r="1052" spans="2:3" x14ac:dyDescent="0.25">
      <c r="B1052" s="642" t="s">
        <v>1707</v>
      </c>
      <c r="C1052" s="646">
        <v>96391</v>
      </c>
    </row>
    <row r="1053" spans="2:3" x14ac:dyDescent="0.25">
      <c r="B1053" s="642" t="s">
        <v>1961</v>
      </c>
      <c r="C1053" s="646">
        <v>99221</v>
      </c>
    </row>
    <row r="1054" spans="2:3" x14ac:dyDescent="0.25">
      <c r="B1054" s="642" t="s">
        <v>1247</v>
      </c>
      <c r="C1054" s="646">
        <v>91051</v>
      </c>
    </row>
    <row r="1055" spans="2:3" x14ac:dyDescent="0.25">
      <c r="B1055" s="642" t="s">
        <v>1323</v>
      </c>
      <c r="C1055" s="646">
        <v>91701</v>
      </c>
    </row>
    <row r="1056" spans="2:3" x14ac:dyDescent="0.25">
      <c r="B1056" s="642" t="s">
        <v>1324</v>
      </c>
      <c r="C1056" s="646">
        <v>91704</v>
      </c>
    </row>
    <row r="1057" spans="2:3" x14ac:dyDescent="0.25">
      <c r="B1057" s="642" t="s">
        <v>3521</v>
      </c>
      <c r="C1057" s="646">
        <v>91706</v>
      </c>
    </row>
    <row r="1058" spans="2:3" x14ac:dyDescent="0.25">
      <c r="B1058" s="642" t="s">
        <v>1326</v>
      </c>
      <c r="C1058" s="646">
        <v>91801</v>
      </c>
    </row>
    <row r="1059" spans="2:3" x14ac:dyDescent="0.25">
      <c r="B1059" s="642" t="s">
        <v>1327</v>
      </c>
      <c r="C1059" s="646">
        <v>91804</v>
      </c>
    </row>
    <row r="1060" spans="2:3" x14ac:dyDescent="0.25">
      <c r="B1060" s="642" t="s">
        <v>1339</v>
      </c>
      <c r="C1060" s="646">
        <v>91881</v>
      </c>
    </row>
    <row r="1061" spans="2:3" x14ac:dyDescent="0.25">
      <c r="B1061" s="642" t="s">
        <v>1322</v>
      </c>
      <c r="C1061" s="646">
        <v>91691</v>
      </c>
    </row>
    <row r="1062" spans="2:3" x14ac:dyDescent="0.25">
      <c r="B1062" s="642" t="s">
        <v>1962</v>
      </c>
      <c r="C1062" s="646">
        <v>99222</v>
      </c>
    </row>
    <row r="1063" spans="2:3" x14ac:dyDescent="0.25">
      <c r="B1063" s="642" t="s">
        <v>3522</v>
      </c>
      <c r="C1063" s="646">
        <v>93408</v>
      </c>
    </row>
    <row r="1064" spans="2:3" x14ac:dyDescent="0.25">
      <c r="B1064" s="642" t="s">
        <v>1672</v>
      </c>
      <c r="C1064" s="646">
        <v>96009</v>
      </c>
    </row>
    <row r="1065" spans="2:3" x14ac:dyDescent="0.25">
      <c r="B1065" s="642" t="s">
        <v>1375</v>
      </c>
      <c r="C1065" s="646">
        <v>92441</v>
      </c>
    </row>
    <row r="1066" spans="2:3" x14ac:dyDescent="0.25">
      <c r="B1066" s="642" t="s">
        <v>1752</v>
      </c>
      <c r="C1066" s="646">
        <v>96811</v>
      </c>
    </row>
    <row r="1067" spans="2:3" x14ac:dyDescent="0.25">
      <c r="B1067" s="642" t="s">
        <v>1668</v>
      </c>
      <c r="C1067" s="646">
        <v>96003</v>
      </c>
    </row>
    <row r="1068" spans="2:3" x14ac:dyDescent="0.25">
      <c r="B1068" s="642" t="s">
        <v>1674</v>
      </c>
      <c r="C1068" s="646">
        <v>96018</v>
      </c>
    </row>
    <row r="1069" spans="2:3" x14ac:dyDescent="0.25">
      <c r="B1069" s="642" t="s">
        <v>3523</v>
      </c>
      <c r="C1069" s="646">
        <v>96012</v>
      </c>
    </row>
    <row r="1070" spans="2:3" x14ac:dyDescent="0.25">
      <c r="B1070" s="642" t="s">
        <v>1673</v>
      </c>
      <c r="C1070" s="646">
        <v>96011</v>
      </c>
    </row>
    <row r="1071" spans="2:3" x14ac:dyDescent="0.25">
      <c r="B1071" s="642" t="s">
        <v>1670</v>
      </c>
      <c r="C1071" s="646">
        <v>96005</v>
      </c>
    </row>
    <row r="1072" spans="2:3" x14ac:dyDescent="0.25">
      <c r="B1072" s="642" t="s">
        <v>1340</v>
      </c>
      <c r="C1072" s="646">
        <v>91901</v>
      </c>
    </row>
    <row r="1073" spans="2:3" x14ac:dyDescent="0.25">
      <c r="B1073" s="642" t="s">
        <v>1342</v>
      </c>
      <c r="C1073" s="646">
        <v>91904</v>
      </c>
    </row>
    <row r="1074" spans="2:3" x14ac:dyDescent="0.25">
      <c r="B1074" s="642" t="s">
        <v>1341</v>
      </c>
      <c r="C1074" s="646">
        <v>91903</v>
      </c>
    </row>
    <row r="1075" spans="2:3" x14ac:dyDescent="0.25">
      <c r="B1075" s="642" t="s">
        <v>1347</v>
      </c>
      <c r="C1075" s="646">
        <v>92001</v>
      </c>
    </row>
    <row r="1076" spans="2:3" x14ac:dyDescent="0.25">
      <c r="B1076" s="642" t="s">
        <v>1491</v>
      </c>
      <c r="C1076" s="646">
        <v>93647</v>
      </c>
    </row>
    <row r="1077" spans="2:3" x14ac:dyDescent="0.25">
      <c r="B1077" s="642" t="s">
        <v>1490</v>
      </c>
      <c r="C1077" s="646">
        <v>93641</v>
      </c>
    </row>
    <row r="1078" spans="2:3" x14ac:dyDescent="0.25">
      <c r="B1078" s="642" t="s">
        <v>1862</v>
      </c>
      <c r="C1078" s="646">
        <v>98041</v>
      </c>
    </row>
    <row r="1079" spans="2:3" x14ac:dyDescent="0.25">
      <c r="B1079" s="642" t="s">
        <v>1732</v>
      </c>
      <c r="C1079" s="646">
        <v>96612</v>
      </c>
    </row>
    <row r="1080" spans="2:3" x14ac:dyDescent="0.25">
      <c r="B1080" s="642" t="s">
        <v>1211</v>
      </c>
      <c r="C1080" s="646">
        <v>90751</v>
      </c>
    </row>
    <row r="1081" spans="2:3" x14ac:dyDescent="0.25">
      <c r="B1081" s="642" t="s">
        <v>1352</v>
      </c>
      <c r="C1081" s="646">
        <v>92101</v>
      </c>
    </row>
    <row r="1082" spans="2:3" x14ac:dyDescent="0.25">
      <c r="B1082" s="642" t="s">
        <v>1353</v>
      </c>
      <c r="C1082" s="646">
        <v>92104</v>
      </c>
    </row>
    <row r="1083" spans="2:3" x14ac:dyDescent="0.25">
      <c r="B1083" s="642" t="s">
        <v>2013</v>
      </c>
      <c r="C1083" s="646">
        <v>99818</v>
      </c>
    </row>
    <row r="1084" spans="2:3" x14ac:dyDescent="0.25">
      <c r="B1084" s="642" t="s">
        <v>1333</v>
      </c>
      <c r="C1084" s="646">
        <v>91821</v>
      </c>
    </row>
    <row r="1085" spans="2:3" x14ac:dyDescent="0.25">
      <c r="B1085" s="642" t="s">
        <v>1225</v>
      </c>
      <c r="C1085" s="646">
        <v>90931</v>
      </c>
    </row>
    <row r="1086" spans="2:3" x14ac:dyDescent="0.25">
      <c r="B1086" s="642" t="s">
        <v>1357</v>
      </c>
      <c r="C1086" s="646">
        <v>92201</v>
      </c>
    </row>
    <row r="1087" spans="2:3" x14ac:dyDescent="0.25">
      <c r="B1087" s="642" t="s">
        <v>1615</v>
      </c>
      <c r="C1087" s="646">
        <v>95131</v>
      </c>
    </row>
    <row r="1088" spans="2:3" x14ac:dyDescent="0.25">
      <c r="B1088" s="642" t="s">
        <v>1469</v>
      </c>
      <c r="C1088" s="646">
        <v>93442</v>
      </c>
    </row>
    <row r="1089" spans="2:3" x14ac:dyDescent="0.25">
      <c r="B1089" s="642" t="s">
        <v>1468</v>
      </c>
      <c r="C1089" s="646">
        <v>93441</v>
      </c>
    </row>
    <row r="1090" spans="2:3" x14ac:dyDescent="0.25">
      <c r="B1090" s="642" t="s">
        <v>1358</v>
      </c>
      <c r="C1090" s="646">
        <v>92301</v>
      </c>
    </row>
    <row r="1091" spans="2:3" x14ac:dyDescent="0.25">
      <c r="B1091" s="642" t="s">
        <v>1359</v>
      </c>
      <c r="C1091" s="646">
        <v>92302</v>
      </c>
    </row>
    <row r="1092" spans="2:3" x14ac:dyDescent="0.25">
      <c r="B1092" s="642" t="s">
        <v>1867</v>
      </c>
      <c r="C1092" s="646">
        <v>98091</v>
      </c>
    </row>
    <row r="1093" spans="2:3" x14ac:dyDescent="0.25">
      <c r="B1093" s="642" t="s">
        <v>1883</v>
      </c>
      <c r="C1093" s="646">
        <v>98218</v>
      </c>
    </row>
    <row r="1094" spans="2:3" x14ac:dyDescent="0.25">
      <c r="B1094" s="642" t="s">
        <v>1882</v>
      </c>
      <c r="C1094" s="646">
        <v>98211</v>
      </c>
    </row>
    <row r="1095" spans="2:3" x14ac:dyDescent="0.25">
      <c r="B1095" s="642" t="s">
        <v>1725</v>
      </c>
      <c r="C1095" s="646">
        <v>96519</v>
      </c>
    </row>
    <row r="1096" spans="2:3" x14ac:dyDescent="0.25">
      <c r="B1096" s="642" t="s">
        <v>1384</v>
      </c>
      <c r="C1096" s="646">
        <v>92508</v>
      </c>
    </row>
    <row r="1097" spans="2:3" x14ac:dyDescent="0.25">
      <c r="B1097" s="642" t="s">
        <v>1553</v>
      </c>
      <c r="C1097" s="646">
        <v>94341</v>
      </c>
    </row>
    <row r="1098" spans="2:3" x14ac:dyDescent="0.25">
      <c r="B1098" s="642" t="s">
        <v>1583</v>
      </c>
      <c r="C1098" s="646">
        <v>94641</v>
      </c>
    </row>
    <row r="1099" spans="2:3" x14ac:dyDescent="0.25">
      <c r="B1099" s="642" t="s">
        <v>1218</v>
      </c>
      <c r="C1099" s="646">
        <v>90813</v>
      </c>
    </row>
    <row r="1100" spans="2:3" x14ac:dyDescent="0.25">
      <c r="B1100" s="642" t="s">
        <v>1534</v>
      </c>
      <c r="C1100" s="646">
        <v>94168</v>
      </c>
    </row>
    <row r="1101" spans="2:3" x14ac:dyDescent="0.25">
      <c r="B1101" s="642" t="s">
        <v>1929</v>
      </c>
      <c r="C1101" s="646">
        <v>98911</v>
      </c>
    </row>
    <row r="1102" spans="2:3" x14ac:dyDescent="0.25">
      <c r="B1102" s="642" t="s">
        <v>1367</v>
      </c>
      <c r="C1102" s="646">
        <v>92401</v>
      </c>
    </row>
    <row r="1103" spans="2:3" x14ac:dyDescent="0.25">
      <c r="B1103" s="642" t="s">
        <v>1802</v>
      </c>
      <c r="C1103" s="646">
        <v>97521</v>
      </c>
    </row>
    <row r="1104" spans="2:3" x14ac:dyDescent="0.25">
      <c r="B1104" s="642" t="s">
        <v>1293</v>
      </c>
      <c r="C1104" s="646">
        <v>91317</v>
      </c>
    </row>
    <row r="1105" spans="2:3" x14ac:dyDescent="0.25">
      <c r="B1105" s="642" t="s">
        <v>1292</v>
      </c>
      <c r="C1105" s="646">
        <v>91311</v>
      </c>
    </row>
    <row r="1106" spans="2:3" x14ac:dyDescent="0.25">
      <c r="B1106" s="642" t="s">
        <v>1287</v>
      </c>
      <c r="C1106" s="646">
        <v>91261</v>
      </c>
    </row>
    <row r="1107" spans="2:3" x14ac:dyDescent="0.25">
      <c r="B1107" s="642" t="s">
        <v>1336</v>
      </c>
      <c r="C1107" s="646">
        <v>91851</v>
      </c>
    </row>
    <row r="1108" spans="2:3" x14ac:dyDescent="0.25">
      <c r="B1108" s="642" t="s">
        <v>3524</v>
      </c>
      <c r="C1108" s="646">
        <v>97408</v>
      </c>
    </row>
    <row r="1109" spans="2:3" x14ac:dyDescent="0.25">
      <c r="B1109" s="642" t="s">
        <v>1735</v>
      </c>
      <c r="C1109" s="646">
        <v>96641</v>
      </c>
    </row>
    <row r="1110" spans="2:3" x14ac:dyDescent="0.25">
      <c r="B1110" s="642" t="s">
        <v>1428</v>
      </c>
      <c r="C1110" s="646">
        <v>93027</v>
      </c>
    </row>
    <row r="1111" spans="2:3" x14ac:dyDescent="0.25">
      <c r="B1111" s="642" t="s">
        <v>1429</v>
      </c>
      <c r="C1111" s="646">
        <v>93031</v>
      </c>
    </row>
    <row r="1112" spans="2:3" x14ac:dyDescent="0.25">
      <c r="B1112" s="642" t="s">
        <v>1678</v>
      </c>
      <c r="C1112" s="646">
        <v>96051</v>
      </c>
    </row>
    <row r="1113" spans="2:3" x14ac:dyDescent="0.25">
      <c r="B1113" s="642" t="s">
        <v>1391</v>
      </c>
      <c r="C1113" s="646">
        <v>92571</v>
      </c>
    </row>
    <row r="1114" spans="2:3" x14ac:dyDescent="0.25">
      <c r="B1114" s="642" t="s">
        <v>1489</v>
      </c>
      <c r="C1114" s="646">
        <v>93631</v>
      </c>
    </row>
    <row r="1115" spans="2:3" x14ac:dyDescent="0.25">
      <c r="B1115" s="642" t="s">
        <v>1378</v>
      </c>
      <c r="C1115" s="646">
        <v>92501</v>
      </c>
    </row>
    <row r="1116" spans="2:3" x14ac:dyDescent="0.25">
      <c r="B1116" s="642" t="s">
        <v>1380</v>
      </c>
      <c r="C1116" s="646">
        <v>92504</v>
      </c>
    </row>
    <row r="1117" spans="2:3" x14ac:dyDescent="0.25">
      <c r="B1117" s="642" t="s">
        <v>1382</v>
      </c>
      <c r="C1117" s="646">
        <v>92506</v>
      </c>
    </row>
    <row r="1118" spans="2:3" x14ac:dyDescent="0.25">
      <c r="B1118" s="642" t="s">
        <v>1381</v>
      </c>
      <c r="C1118" s="646">
        <v>92505</v>
      </c>
    </row>
    <row r="1119" spans="2:3" x14ac:dyDescent="0.25">
      <c r="B1119" s="642" t="s">
        <v>1511</v>
      </c>
      <c r="C1119" s="646">
        <v>93921</v>
      </c>
    </row>
    <row r="1120" spans="2:3" x14ac:dyDescent="0.25">
      <c r="B1120" s="642" t="s">
        <v>1981</v>
      </c>
      <c r="C1120" s="646">
        <v>99431</v>
      </c>
    </row>
    <row r="1121" spans="2:3" x14ac:dyDescent="0.25">
      <c r="B1121" s="642" t="s">
        <v>1392</v>
      </c>
      <c r="C1121" s="646">
        <v>92601</v>
      </c>
    </row>
    <row r="1122" spans="2:3" x14ac:dyDescent="0.25">
      <c r="B1122" s="642" t="s">
        <v>1394</v>
      </c>
      <c r="C1122" s="646">
        <v>92604</v>
      </c>
    </row>
    <row r="1123" spans="2:3" x14ac:dyDescent="0.25">
      <c r="B1123" s="642" t="s">
        <v>1395</v>
      </c>
      <c r="C1123" s="646">
        <v>92608</v>
      </c>
    </row>
    <row r="1124" spans="2:3" x14ac:dyDescent="0.25">
      <c r="B1124" s="642" t="s">
        <v>1406</v>
      </c>
      <c r="C1124" s="646">
        <v>92701</v>
      </c>
    </row>
    <row r="1125" spans="2:3" x14ac:dyDescent="0.25">
      <c r="B1125" s="642" t="s">
        <v>1407</v>
      </c>
      <c r="C1125" s="646">
        <v>92704</v>
      </c>
    </row>
    <row r="1126" spans="2:3" x14ac:dyDescent="0.25">
      <c r="B1126" s="642" t="s">
        <v>1492</v>
      </c>
      <c r="C1126" s="646">
        <v>93651</v>
      </c>
    </row>
    <row r="1127" spans="2:3" x14ac:dyDescent="0.25">
      <c r="B1127" s="642" t="s">
        <v>1408</v>
      </c>
      <c r="C1127" s="646">
        <v>92801</v>
      </c>
    </row>
    <row r="1128" spans="2:3" x14ac:dyDescent="0.25">
      <c r="B1128" s="642" t="s">
        <v>1410</v>
      </c>
      <c r="C1128" s="646">
        <v>92804</v>
      </c>
    </row>
    <row r="1129" spans="2:3" x14ac:dyDescent="0.25">
      <c r="B1129" s="642" t="s">
        <v>1409</v>
      </c>
      <c r="C1129" s="646">
        <v>92802</v>
      </c>
    </row>
    <row r="1130" spans="2:3" x14ac:dyDescent="0.25">
      <c r="B1130" s="642" t="s">
        <v>1417</v>
      </c>
      <c r="C1130" s="646">
        <v>92901</v>
      </c>
    </row>
    <row r="1131" spans="2:3" x14ac:dyDescent="0.25">
      <c r="B1131" s="642" t="s">
        <v>1681</v>
      </c>
      <c r="C1131" s="646">
        <v>96081</v>
      </c>
    </row>
    <row r="1132" spans="2:3" x14ac:dyDescent="0.25">
      <c r="B1132" s="642" t="s">
        <v>1424</v>
      </c>
      <c r="C1132" s="646">
        <v>93001</v>
      </c>
    </row>
    <row r="1133" spans="2:3" x14ac:dyDescent="0.25">
      <c r="B1133" s="642" t="s">
        <v>1425</v>
      </c>
      <c r="C1133" s="646">
        <v>93009</v>
      </c>
    </row>
    <row r="1134" spans="2:3" x14ac:dyDescent="0.25">
      <c r="B1134" s="642" t="s">
        <v>1421</v>
      </c>
      <c r="C1134" s="646">
        <v>92921</v>
      </c>
    </row>
    <row r="1135" spans="2:3" x14ac:dyDescent="0.25">
      <c r="B1135" s="642" t="s">
        <v>1916</v>
      </c>
      <c r="C1135" s="646">
        <v>98627</v>
      </c>
    </row>
    <row r="1136" spans="2:3" x14ac:dyDescent="0.25">
      <c r="B1136" s="642" t="s">
        <v>1915</v>
      </c>
      <c r="C1136" s="646">
        <v>98621</v>
      </c>
    </row>
    <row r="1137" spans="2:3" x14ac:dyDescent="0.25">
      <c r="B1137" s="642" t="s">
        <v>1282</v>
      </c>
      <c r="C1137" s="646">
        <v>91221</v>
      </c>
    </row>
    <row r="1138" spans="2:3" x14ac:dyDescent="0.25">
      <c r="B1138" s="642" t="s">
        <v>1416</v>
      </c>
      <c r="C1138" s="646">
        <v>92861</v>
      </c>
    </row>
    <row r="1139" spans="2:3" x14ac:dyDescent="0.25">
      <c r="B1139" s="642" t="s">
        <v>1550</v>
      </c>
      <c r="C1139" s="646">
        <v>94317</v>
      </c>
    </row>
    <row r="1140" spans="2:3" x14ac:dyDescent="0.25">
      <c r="B1140" s="642" t="s">
        <v>1549</v>
      </c>
      <c r="C1140" s="646">
        <v>94313</v>
      </c>
    </row>
    <row r="1141" spans="2:3" x14ac:dyDescent="0.25">
      <c r="B1141" s="642" t="s">
        <v>1548</v>
      </c>
      <c r="C1141" s="646">
        <v>94311</v>
      </c>
    </row>
    <row r="1142" spans="2:3" x14ac:dyDescent="0.25">
      <c r="B1142" s="642" t="s">
        <v>1430</v>
      </c>
      <c r="C1142" s="646">
        <v>93101</v>
      </c>
    </row>
    <row r="1143" spans="2:3" x14ac:dyDescent="0.25">
      <c r="B1143" s="642" t="s">
        <v>2100</v>
      </c>
      <c r="C1143" s="646">
        <v>93103</v>
      </c>
    </row>
    <row r="1144" spans="2:3" x14ac:dyDescent="0.25">
      <c r="B1144" s="642" t="s">
        <v>1448</v>
      </c>
      <c r="C1144" s="646">
        <v>93212</v>
      </c>
    </row>
    <row r="1145" spans="2:3" x14ac:dyDescent="0.25">
      <c r="B1145" s="642" t="s">
        <v>1443</v>
      </c>
      <c r="C1145" s="646">
        <v>93201</v>
      </c>
    </row>
    <row r="1146" spans="2:3" x14ac:dyDescent="0.25">
      <c r="B1146" s="642" t="s">
        <v>1445</v>
      </c>
      <c r="C1146" s="646">
        <v>93204</v>
      </c>
    </row>
    <row r="1147" spans="2:3" x14ac:dyDescent="0.25">
      <c r="B1147" s="642" t="s">
        <v>1958</v>
      </c>
      <c r="C1147" s="646">
        <v>99212</v>
      </c>
    </row>
    <row r="1148" spans="2:3" x14ac:dyDescent="0.25">
      <c r="B1148" s="642" t="s">
        <v>1447</v>
      </c>
      <c r="C1148" s="646">
        <v>93211</v>
      </c>
    </row>
    <row r="1149" spans="2:3" x14ac:dyDescent="0.25">
      <c r="B1149" s="642" t="s">
        <v>1762</v>
      </c>
      <c r="C1149" s="646">
        <v>97005</v>
      </c>
    </row>
    <row r="1150" spans="2:3" x14ac:dyDescent="0.25">
      <c r="B1150" s="642" t="s">
        <v>2021</v>
      </c>
      <c r="C1150" s="646">
        <v>99931</v>
      </c>
    </row>
    <row r="1151" spans="2:3" x14ac:dyDescent="0.25">
      <c r="B1151" s="642" t="s">
        <v>3525</v>
      </c>
      <c r="C1151" s="646">
        <v>92509</v>
      </c>
    </row>
    <row r="1152" spans="2:3" x14ac:dyDescent="0.25">
      <c r="B1152" s="642" t="s">
        <v>1860</v>
      </c>
      <c r="C1152" s="646">
        <v>98023</v>
      </c>
    </row>
    <row r="1153" spans="2:3" x14ac:dyDescent="0.25">
      <c r="B1153" s="642" t="s">
        <v>1859</v>
      </c>
      <c r="C1153" s="646">
        <v>98021</v>
      </c>
    </row>
    <row r="1154" spans="2:3" x14ac:dyDescent="0.25">
      <c r="B1154" s="642" t="s">
        <v>1157</v>
      </c>
      <c r="C1154" s="646">
        <v>70505</v>
      </c>
    </row>
    <row r="1155" spans="2:3" x14ac:dyDescent="0.25">
      <c r="B1155" s="642" t="s">
        <v>1992</v>
      </c>
      <c r="C1155" s="646">
        <v>99603</v>
      </c>
    </row>
    <row r="1156" spans="2:3" x14ac:dyDescent="0.25">
      <c r="B1156" s="642" t="s">
        <v>1995</v>
      </c>
      <c r="C1156" s="646">
        <v>99610</v>
      </c>
    </row>
    <row r="1157" spans="2:3" x14ac:dyDescent="0.25">
      <c r="B1157" s="642" t="s">
        <v>1405</v>
      </c>
      <c r="C1157" s="646">
        <v>92681</v>
      </c>
    </row>
    <row r="1158" spans="2:3" x14ac:dyDescent="0.25">
      <c r="B1158" s="642" t="s">
        <v>3526</v>
      </c>
      <c r="C1158" s="646">
        <v>93108</v>
      </c>
    </row>
    <row r="1159" spans="2:3" x14ac:dyDescent="0.25">
      <c r="B1159" s="642" t="s">
        <v>1852</v>
      </c>
      <c r="C1159" s="646">
        <v>97957</v>
      </c>
    </row>
    <row r="1160" spans="2:3" x14ac:dyDescent="0.25">
      <c r="B1160" s="642" t="s">
        <v>1851</v>
      </c>
      <c r="C1160" s="646">
        <v>97951</v>
      </c>
    </row>
    <row r="1161" spans="2:3" x14ac:dyDescent="0.25">
      <c r="B1161" s="642" t="s">
        <v>1355</v>
      </c>
      <c r="C1161" s="646">
        <v>92111</v>
      </c>
    </row>
    <row r="1162" spans="2:3" x14ac:dyDescent="0.25">
      <c r="B1162" s="642" t="s">
        <v>1450</v>
      </c>
      <c r="C1162" s="646">
        <v>93301</v>
      </c>
    </row>
    <row r="1163" spans="2:3" x14ac:dyDescent="0.25">
      <c r="B1163" s="642" t="s">
        <v>1451</v>
      </c>
      <c r="C1163" s="646">
        <v>93304</v>
      </c>
    </row>
    <row r="1164" spans="2:3" x14ac:dyDescent="0.25">
      <c r="B1164" s="642" t="s">
        <v>1452</v>
      </c>
      <c r="C1164" s="646">
        <v>93305</v>
      </c>
    </row>
    <row r="1165" spans="2:3" x14ac:dyDescent="0.25">
      <c r="B1165" s="642" t="s">
        <v>1956</v>
      </c>
      <c r="C1165" s="646">
        <v>99210</v>
      </c>
    </row>
    <row r="1166" spans="2:3" x14ac:dyDescent="0.25">
      <c r="B1166" s="642" t="s">
        <v>1765</v>
      </c>
      <c r="C1166" s="646">
        <v>97011</v>
      </c>
    </row>
    <row r="1167" spans="2:3" x14ac:dyDescent="0.25">
      <c r="B1167" s="642" t="s">
        <v>1767</v>
      </c>
      <c r="C1167" s="646">
        <v>97013</v>
      </c>
    </row>
    <row r="1168" spans="2:3" x14ac:dyDescent="0.25">
      <c r="B1168" s="642" t="s">
        <v>1766</v>
      </c>
      <c r="C1168" s="646">
        <v>97012</v>
      </c>
    </row>
    <row r="1169" spans="2:3" x14ac:dyDescent="0.25">
      <c r="B1169" s="642" t="s">
        <v>1769</v>
      </c>
      <c r="C1169" s="646">
        <v>97018</v>
      </c>
    </row>
    <row r="1170" spans="2:3" x14ac:dyDescent="0.25">
      <c r="B1170" s="642" t="s">
        <v>1222</v>
      </c>
      <c r="C1170" s="646">
        <v>90917</v>
      </c>
    </row>
    <row r="1171" spans="2:3" x14ac:dyDescent="0.25">
      <c r="B1171" s="642" t="s">
        <v>1221</v>
      </c>
      <c r="C1171" s="646">
        <v>90911</v>
      </c>
    </row>
    <row r="1172" spans="2:3" x14ac:dyDescent="0.25">
      <c r="B1172" s="642" t="s">
        <v>1202</v>
      </c>
      <c r="C1172" s="646">
        <v>90641</v>
      </c>
    </row>
    <row r="1173" spans="2:3" x14ac:dyDescent="0.25">
      <c r="B1173" s="642" t="s">
        <v>1920</v>
      </c>
      <c r="C1173" s="646">
        <v>98647</v>
      </c>
    </row>
    <row r="1174" spans="2:3" x14ac:dyDescent="0.25">
      <c r="B1174" s="642" t="s">
        <v>1919</v>
      </c>
      <c r="C1174" s="646">
        <v>98641</v>
      </c>
    </row>
    <row r="1175" spans="2:3" x14ac:dyDescent="0.25">
      <c r="B1175" s="642" t="s">
        <v>1879</v>
      </c>
      <c r="C1175" s="646">
        <v>98161</v>
      </c>
    </row>
    <row r="1176" spans="2:3" x14ac:dyDescent="0.25">
      <c r="B1176" s="642" t="s">
        <v>1823</v>
      </c>
      <c r="C1176" s="646">
        <v>97731</v>
      </c>
    </row>
    <row r="1177" spans="2:3" x14ac:dyDescent="0.25">
      <c r="B1177" s="642" t="s">
        <v>2017</v>
      </c>
      <c r="C1177" s="646">
        <v>99851</v>
      </c>
    </row>
    <row r="1178" spans="2:3" x14ac:dyDescent="0.25">
      <c r="B1178" s="642" t="s">
        <v>1171</v>
      </c>
      <c r="C1178" s="646">
        <v>90131</v>
      </c>
    </row>
    <row r="1179" spans="2:3" x14ac:dyDescent="0.25">
      <c r="B1179" s="642" t="s">
        <v>1318</v>
      </c>
      <c r="C1179" s="646">
        <v>91651</v>
      </c>
    </row>
    <row r="1180" spans="2:3" x14ac:dyDescent="0.25">
      <c r="B1180" s="642" t="s">
        <v>1541</v>
      </c>
      <c r="C1180" s="646">
        <v>94211</v>
      </c>
    </row>
    <row r="1181" spans="2:3" x14ac:dyDescent="0.25">
      <c r="B1181" s="642" t="s">
        <v>1552</v>
      </c>
      <c r="C1181" s="646">
        <v>94331</v>
      </c>
    </row>
    <row r="1182" spans="2:3" x14ac:dyDescent="0.25">
      <c r="B1182" s="642" t="s">
        <v>1374</v>
      </c>
      <c r="C1182" s="646">
        <v>92431</v>
      </c>
    </row>
    <row r="1183" spans="2:3" x14ac:dyDescent="0.25">
      <c r="B1183" s="642" t="s">
        <v>1832</v>
      </c>
      <c r="C1183" s="646">
        <v>97823</v>
      </c>
    </row>
    <row r="1184" spans="2:3" x14ac:dyDescent="0.25">
      <c r="B1184" s="642" t="s">
        <v>1831</v>
      </c>
      <c r="C1184" s="646">
        <v>97821</v>
      </c>
    </row>
    <row r="1185" spans="2:3" x14ac:dyDescent="0.25">
      <c r="B1185" s="642" t="s">
        <v>1436</v>
      </c>
      <c r="C1185" s="646">
        <v>93141</v>
      </c>
    </row>
    <row r="1186" spans="2:3" x14ac:dyDescent="0.25">
      <c r="B1186" s="642" t="s">
        <v>1866</v>
      </c>
      <c r="C1186" s="646">
        <v>98081</v>
      </c>
    </row>
    <row r="1187" spans="2:3" x14ac:dyDescent="0.25">
      <c r="B1187" s="642" t="s">
        <v>1404</v>
      </c>
      <c r="C1187" s="646">
        <v>92671</v>
      </c>
    </row>
    <row r="1188" spans="2:3" x14ac:dyDescent="0.25">
      <c r="B1188" s="642" t="s">
        <v>1791</v>
      </c>
      <c r="C1188" s="646">
        <v>97423</v>
      </c>
    </row>
    <row r="1189" spans="2:3" x14ac:dyDescent="0.25">
      <c r="B1189" s="642" t="s">
        <v>1790</v>
      </c>
      <c r="C1189" s="646">
        <v>97421</v>
      </c>
    </row>
    <row r="1190" spans="2:3" x14ac:dyDescent="0.25">
      <c r="B1190" s="642" t="s">
        <v>1397</v>
      </c>
      <c r="C1190" s="646">
        <v>92613</v>
      </c>
    </row>
    <row r="1191" spans="2:3" x14ac:dyDescent="0.25">
      <c r="B1191" s="642" t="s">
        <v>1398</v>
      </c>
      <c r="C1191" s="646">
        <v>92614</v>
      </c>
    </row>
    <row r="1192" spans="2:3" x14ac:dyDescent="0.25">
      <c r="B1192" s="642" t="s">
        <v>1396</v>
      </c>
      <c r="C1192" s="646">
        <v>92611</v>
      </c>
    </row>
    <row r="1193" spans="2:3" x14ac:dyDescent="0.25">
      <c r="B1193" s="642" t="s">
        <v>1379</v>
      </c>
      <c r="C1193" s="646">
        <v>92502</v>
      </c>
    </row>
    <row r="1194" spans="2:3" x14ac:dyDescent="0.25">
      <c r="B1194" s="642" t="s">
        <v>1572</v>
      </c>
      <c r="C1194" s="646">
        <v>94531</v>
      </c>
    </row>
    <row r="1195" spans="2:3" x14ac:dyDescent="0.25">
      <c r="B1195" s="642" t="s">
        <v>1575</v>
      </c>
      <c r="C1195" s="646">
        <v>94547</v>
      </c>
    </row>
    <row r="1196" spans="2:3" x14ac:dyDescent="0.25">
      <c r="B1196" s="642" t="s">
        <v>1574</v>
      </c>
      <c r="C1196" s="646">
        <v>94541</v>
      </c>
    </row>
    <row r="1197" spans="2:3" x14ac:dyDescent="0.25">
      <c r="B1197" s="642" t="s">
        <v>1601</v>
      </c>
      <c r="C1197" s="646">
        <v>95005</v>
      </c>
    </row>
    <row r="1198" spans="2:3" x14ac:dyDescent="0.25">
      <c r="B1198" s="642" t="s">
        <v>1873</v>
      </c>
      <c r="C1198" s="646">
        <v>98111</v>
      </c>
    </row>
    <row r="1199" spans="2:3" x14ac:dyDescent="0.25">
      <c r="B1199" s="642" t="s">
        <v>1871</v>
      </c>
      <c r="C1199" s="646">
        <v>98107</v>
      </c>
    </row>
    <row r="1200" spans="2:3" x14ac:dyDescent="0.25">
      <c r="B1200" s="642" t="s">
        <v>1874</v>
      </c>
      <c r="C1200" s="646">
        <v>98113</v>
      </c>
    </row>
    <row r="1201" spans="2:3" x14ac:dyDescent="0.25">
      <c r="B1201" s="642" t="s">
        <v>1991</v>
      </c>
      <c r="C1201" s="646">
        <v>99602</v>
      </c>
    </row>
    <row r="1202" spans="2:3" x14ac:dyDescent="0.25">
      <c r="B1202" s="642" t="s">
        <v>1461</v>
      </c>
      <c r="C1202" s="646">
        <v>93401</v>
      </c>
    </row>
    <row r="1203" spans="2:3" x14ac:dyDescent="0.25">
      <c r="B1203" s="642" t="s">
        <v>1799</v>
      </c>
      <c r="C1203" s="646">
        <v>97491</v>
      </c>
    </row>
    <row r="1204" spans="2:3" x14ac:dyDescent="0.25">
      <c r="B1204" s="642" t="s">
        <v>1617</v>
      </c>
      <c r="C1204" s="646">
        <v>95151</v>
      </c>
    </row>
    <row r="1205" spans="2:3" x14ac:dyDescent="0.25">
      <c r="B1205" s="642" t="s">
        <v>1706</v>
      </c>
      <c r="C1205" s="646">
        <v>96381</v>
      </c>
    </row>
    <row r="1206" spans="2:3" x14ac:dyDescent="0.25">
      <c r="B1206" s="642" t="s">
        <v>1473</v>
      </c>
      <c r="C1206" s="646">
        <v>93501</v>
      </c>
    </row>
    <row r="1207" spans="2:3" x14ac:dyDescent="0.25">
      <c r="B1207" s="642" t="s">
        <v>1646</v>
      </c>
      <c r="C1207" s="646">
        <v>95611</v>
      </c>
    </row>
    <row r="1208" spans="2:3" x14ac:dyDescent="0.25">
      <c r="B1208" s="642" t="s">
        <v>1475</v>
      </c>
      <c r="C1208" s="646">
        <v>93517</v>
      </c>
    </row>
    <row r="1209" spans="2:3" x14ac:dyDescent="0.25">
      <c r="B1209" s="642" t="s">
        <v>1474</v>
      </c>
      <c r="C1209" s="646">
        <v>93511</v>
      </c>
    </row>
    <row r="1210" spans="2:3" x14ac:dyDescent="0.25">
      <c r="B1210" s="642" t="s">
        <v>1999</v>
      </c>
      <c r="C1210" s="646">
        <v>99631</v>
      </c>
    </row>
    <row r="1211" spans="2:3" x14ac:dyDescent="0.25">
      <c r="B1211" s="642" t="s">
        <v>1967</v>
      </c>
      <c r="C1211" s="646">
        <v>99261</v>
      </c>
    </row>
    <row r="1212" spans="2:3" x14ac:dyDescent="0.25">
      <c r="B1212" s="642" t="s">
        <v>1887</v>
      </c>
      <c r="C1212" s="646">
        <v>98241</v>
      </c>
    </row>
    <row r="1213" spans="2:3" x14ac:dyDescent="0.25">
      <c r="B1213" s="642" t="s">
        <v>1966</v>
      </c>
      <c r="C1213" s="646">
        <v>99252</v>
      </c>
    </row>
    <row r="1214" spans="2:3" x14ac:dyDescent="0.25">
      <c r="B1214" s="642" t="s">
        <v>1965</v>
      </c>
      <c r="C1214" s="646">
        <v>99251</v>
      </c>
    </row>
    <row r="1215" spans="2:3" x14ac:dyDescent="0.25">
      <c r="B1215" s="642" t="s">
        <v>1734</v>
      </c>
      <c r="C1215" s="646">
        <v>96631</v>
      </c>
    </row>
    <row r="1216" spans="2:3" x14ac:dyDescent="0.25">
      <c r="B1216" s="642" t="s">
        <v>1486</v>
      </c>
      <c r="C1216" s="646">
        <v>93618</v>
      </c>
    </row>
    <row r="1217" spans="2:3" x14ac:dyDescent="0.25">
      <c r="B1217" s="642" t="s">
        <v>1481</v>
      </c>
      <c r="C1217" s="646">
        <v>93601</v>
      </c>
    </row>
    <row r="1218" spans="2:3" x14ac:dyDescent="0.25">
      <c r="B1218" s="642" t="s">
        <v>1736</v>
      </c>
      <c r="C1218" s="646">
        <v>96651</v>
      </c>
    </row>
    <row r="1219" spans="2:3" x14ac:dyDescent="0.25">
      <c r="B1219" s="642" t="s">
        <v>1485</v>
      </c>
      <c r="C1219" s="646">
        <v>93617</v>
      </c>
    </row>
    <row r="1220" spans="2:3" x14ac:dyDescent="0.25">
      <c r="B1220" s="642" t="s">
        <v>1484</v>
      </c>
      <c r="C1220" s="646">
        <v>93611</v>
      </c>
    </row>
    <row r="1221" spans="2:3" x14ac:dyDescent="0.25">
      <c r="B1221" s="642" t="s">
        <v>1498</v>
      </c>
      <c r="C1221" s="646">
        <v>93701</v>
      </c>
    </row>
    <row r="1222" spans="2:3" x14ac:dyDescent="0.25">
      <c r="B1222" s="642" t="s">
        <v>1499</v>
      </c>
      <c r="C1222" s="646">
        <v>93704</v>
      </c>
    </row>
    <row r="1223" spans="2:3" x14ac:dyDescent="0.25">
      <c r="B1223" s="642" t="s">
        <v>1897</v>
      </c>
      <c r="C1223" s="646">
        <v>98331</v>
      </c>
    </row>
    <row r="1224" spans="2:3" x14ac:dyDescent="0.25">
      <c r="B1224" s="642" t="s">
        <v>1532</v>
      </c>
      <c r="C1224" s="646">
        <v>94157</v>
      </c>
    </row>
    <row r="1225" spans="2:3" x14ac:dyDescent="0.25">
      <c r="B1225" s="642" t="s">
        <v>1531</v>
      </c>
      <c r="C1225" s="646">
        <v>94151</v>
      </c>
    </row>
    <row r="1226" spans="2:3" x14ac:dyDescent="0.25">
      <c r="B1226" s="642" t="s">
        <v>1285</v>
      </c>
      <c r="C1226" s="646">
        <v>91241</v>
      </c>
    </row>
    <row r="1227" spans="2:3" x14ac:dyDescent="0.25">
      <c r="B1227" s="642" t="s">
        <v>1635</v>
      </c>
      <c r="C1227" s="646">
        <v>95412</v>
      </c>
    </row>
    <row r="1228" spans="2:3" x14ac:dyDescent="0.25">
      <c r="B1228" s="642" t="s">
        <v>3527</v>
      </c>
      <c r="C1228" s="646">
        <v>99613</v>
      </c>
    </row>
    <row r="1229" spans="2:3" x14ac:dyDescent="0.25">
      <c r="B1229" s="642" t="s">
        <v>1996</v>
      </c>
      <c r="C1229" s="646">
        <v>99611</v>
      </c>
    </row>
    <row r="1230" spans="2:3" x14ac:dyDescent="0.25">
      <c r="B1230" s="642" t="s">
        <v>1343</v>
      </c>
      <c r="C1230" s="646">
        <v>91908</v>
      </c>
    </row>
    <row r="1231" spans="2:3" x14ac:dyDescent="0.25">
      <c r="B1231" s="642" t="s">
        <v>1500</v>
      </c>
      <c r="C1231" s="646">
        <v>93801</v>
      </c>
    </row>
    <row r="1232" spans="2:3" x14ac:dyDescent="0.25">
      <c r="B1232" s="642" t="s">
        <v>3528</v>
      </c>
      <c r="C1232" s="646">
        <v>93806</v>
      </c>
    </row>
    <row r="1233" spans="2:3" x14ac:dyDescent="0.25">
      <c r="B1233" s="642" t="s">
        <v>1501</v>
      </c>
      <c r="C1233" s="646">
        <v>93803</v>
      </c>
    </row>
    <row r="1234" spans="2:3" x14ac:dyDescent="0.25">
      <c r="B1234" s="642" t="s">
        <v>1170</v>
      </c>
      <c r="C1234" s="646">
        <v>90121</v>
      </c>
    </row>
    <row r="1235" spans="2:3" x14ac:dyDescent="0.25">
      <c r="B1235" s="642" t="s">
        <v>1300</v>
      </c>
      <c r="C1235" s="646">
        <v>91417</v>
      </c>
    </row>
    <row r="1236" spans="2:3" x14ac:dyDescent="0.25">
      <c r="B1236" s="642" t="s">
        <v>1299</v>
      </c>
      <c r="C1236" s="646">
        <v>91411</v>
      </c>
    </row>
    <row r="1237" spans="2:3" x14ac:dyDescent="0.25">
      <c r="B1237" s="642" t="s">
        <v>1864</v>
      </c>
      <c r="C1237" s="646">
        <v>98061</v>
      </c>
    </row>
    <row r="1238" spans="2:3" x14ac:dyDescent="0.25">
      <c r="B1238" s="642" t="s">
        <v>1503</v>
      </c>
      <c r="C1238" s="646">
        <v>93901</v>
      </c>
    </row>
    <row r="1239" spans="2:3" x14ac:dyDescent="0.25">
      <c r="B1239" s="642" t="s">
        <v>1504</v>
      </c>
      <c r="C1239" s="646">
        <v>93904</v>
      </c>
    </row>
    <row r="1240" spans="2:3" x14ac:dyDescent="0.25">
      <c r="B1240" s="642" t="s">
        <v>1505</v>
      </c>
      <c r="C1240" s="646">
        <v>93906</v>
      </c>
    </row>
    <row r="1241" spans="2:3" x14ac:dyDescent="0.25">
      <c r="B1241" s="642" t="s">
        <v>1506</v>
      </c>
      <c r="C1241" s="646">
        <v>93908</v>
      </c>
    </row>
    <row r="1242" spans="2:3" x14ac:dyDescent="0.25">
      <c r="B1242" s="642" t="s">
        <v>1591</v>
      </c>
      <c r="C1242" s="646">
        <v>94908</v>
      </c>
    </row>
    <row r="1243" spans="2:3" x14ac:dyDescent="0.25">
      <c r="B1243" s="642" t="s">
        <v>1174</v>
      </c>
      <c r="C1243" s="646">
        <v>90161</v>
      </c>
    </row>
    <row r="1244" spans="2:3" x14ac:dyDescent="0.25">
      <c r="B1244" s="642" t="s">
        <v>1513</v>
      </c>
      <c r="C1244" s="646">
        <v>94001</v>
      </c>
    </row>
    <row r="1245" spans="2:3" x14ac:dyDescent="0.25">
      <c r="B1245" s="642" t="s">
        <v>1515</v>
      </c>
      <c r="C1245" s="646">
        <v>94004</v>
      </c>
    </row>
    <row r="1246" spans="2:3" x14ac:dyDescent="0.25">
      <c r="B1246" s="642" t="s">
        <v>1526</v>
      </c>
      <c r="C1246" s="646">
        <v>94117</v>
      </c>
    </row>
    <row r="1247" spans="2:3" x14ac:dyDescent="0.25">
      <c r="B1247" s="642" t="s">
        <v>1524</v>
      </c>
      <c r="C1247" s="646">
        <v>94111</v>
      </c>
    </row>
    <row r="1248" spans="2:3" x14ac:dyDescent="0.25">
      <c r="B1248" s="642" t="s">
        <v>1789</v>
      </c>
      <c r="C1248" s="646">
        <v>97413</v>
      </c>
    </row>
    <row r="1249" spans="2:3" x14ac:dyDescent="0.25">
      <c r="B1249" s="642" t="s">
        <v>1788</v>
      </c>
      <c r="C1249" s="646">
        <v>97412</v>
      </c>
    </row>
    <row r="1250" spans="2:3" x14ac:dyDescent="0.25">
      <c r="B1250" s="642" t="s">
        <v>1787</v>
      </c>
      <c r="C1250" s="646">
        <v>97411</v>
      </c>
    </row>
    <row r="1251" spans="2:3" x14ac:dyDescent="0.25">
      <c r="B1251" s="642" t="s">
        <v>1792</v>
      </c>
      <c r="C1251" s="646">
        <v>97431</v>
      </c>
    </row>
    <row r="1252" spans="2:3" x14ac:dyDescent="0.25">
      <c r="B1252" s="642" t="s">
        <v>1797</v>
      </c>
      <c r="C1252" s="646">
        <v>97471</v>
      </c>
    </row>
    <row r="1253" spans="2:3" x14ac:dyDescent="0.25">
      <c r="B1253" s="642" t="s">
        <v>1366</v>
      </c>
      <c r="C1253" s="646">
        <v>92351</v>
      </c>
    </row>
    <row r="1254" spans="2:3" x14ac:dyDescent="0.25">
      <c r="B1254" s="642" t="s">
        <v>1527</v>
      </c>
      <c r="C1254" s="646">
        <v>94118</v>
      </c>
    </row>
    <row r="1255" spans="2:3" x14ac:dyDescent="0.25">
      <c r="B1255" s="642" t="s">
        <v>1520</v>
      </c>
      <c r="C1255" s="646">
        <v>94101</v>
      </c>
    </row>
    <row r="1256" spans="2:3" x14ac:dyDescent="0.25">
      <c r="B1256" s="642" t="s">
        <v>1521</v>
      </c>
      <c r="C1256" s="646">
        <v>94102</v>
      </c>
    </row>
    <row r="1257" spans="2:3" x14ac:dyDescent="0.25">
      <c r="B1257" s="642" t="s">
        <v>1537</v>
      </c>
      <c r="C1257" s="646">
        <v>94201</v>
      </c>
    </row>
    <row r="1258" spans="2:3" x14ac:dyDescent="0.25">
      <c r="B1258" s="642" t="s">
        <v>1538</v>
      </c>
      <c r="C1258" s="646">
        <v>94204</v>
      </c>
    </row>
    <row r="1259" spans="2:3" x14ac:dyDescent="0.25">
      <c r="B1259" s="642" t="s">
        <v>1539</v>
      </c>
      <c r="C1259" s="646">
        <v>94205</v>
      </c>
    </row>
    <row r="1260" spans="2:3" x14ac:dyDescent="0.25">
      <c r="B1260" s="642" t="s">
        <v>1659</v>
      </c>
      <c r="C1260" s="646">
        <v>95831</v>
      </c>
    </row>
    <row r="1261" spans="2:3" x14ac:dyDescent="0.25">
      <c r="B1261" s="642" t="s">
        <v>1820</v>
      </c>
      <c r="C1261" s="646">
        <v>97717</v>
      </c>
    </row>
    <row r="1262" spans="2:3" x14ac:dyDescent="0.25">
      <c r="B1262" s="642" t="s">
        <v>1821</v>
      </c>
      <c r="C1262" s="646">
        <v>97721</v>
      </c>
    </row>
    <row r="1263" spans="2:3" x14ac:dyDescent="0.25">
      <c r="B1263" s="642" t="s">
        <v>1547</v>
      </c>
      <c r="C1263" s="646">
        <v>94301</v>
      </c>
    </row>
    <row r="1264" spans="2:3" x14ac:dyDescent="0.25">
      <c r="B1264" s="642" t="s">
        <v>1304</v>
      </c>
      <c r="C1264" s="646">
        <v>91441</v>
      </c>
    </row>
    <row r="1265" spans="2:3" x14ac:dyDescent="0.25">
      <c r="B1265" s="642" t="s">
        <v>1387</v>
      </c>
      <c r="C1265" s="646">
        <v>92531</v>
      </c>
    </row>
    <row r="1266" spans="2:3" x14ac:dyDescent="0.25">
      <c r="B1266" s="642" t="s">
        <v>1172</v>
      </c>
      <c r="C1266" s="646">
        <v>90141</v>
      </c>
    </row>
    <row r="1267" spans="2:3" x14ac:dyDescent="0.25">
      <c r="B1267" s="642" t="s">
        <v>1556</v>
      </c>
      <c r="C1267" s="646">
        <v>94401</v>
      </c>
    </row>
    <row r="1268" spans="2:3" x14ac:dyDescent="0.25">
      <c r="B1268" s="642" t="s">
        <v>1557</v>
      </c>
      <c r="C1268" s="646">
        <v>94402</v>
      </c>
    </row>
    <row r="1269" spans="2:3" x14ac:dyDescent="0.25">
      <c r="B1269" s="642" t="s">
        <v>1566</v>
      </c>
      <c r="C1269" s="646">
        <v>94501</v>
      </c>
    </row>
    <row r="1270" spans="2:3" x14ac:dyDescent="0.25">
      <c r="B1270" s="642" t="s">
        <v>1948</v>
      </c>
      <c r="C1270" s="646">
        <v>99111</v>
      </c>
    </row>
    <row r="1271" spans="2:3" x14ac:dyDescent="0.25">
      <c r="B1271" s="642" t="s">
        <v>1569</v>
      </c>
      <c r="C1271" s="646">
        <v>94517</v>
      </c>
    </row>
    <row r="1272" spans="2:3" x14ac:dyDescent="0.25">
      <c r="B1272" s="642" t="s">
        <v>1568</v>
      </c>
      <c r="C1272" s="646">
        <v>94512</v>
      </c>
    </row>
    <row r="1273" spans="2:3" x14ac:dyDescent="0.25">
      <c r="B1273" s="642" t="s">
        <v>1567</v>
      </c>
      <c r="C1273" s="646">
        <v>94511</v>
      </c>
    </row>
    <row r="1274" spans="2:3" x14ac:dyDescent="0.25">
      <c r="B1274" s="642" t="s">
        <v>1778</v>
      </c>
      <c r="C1274" s="646">
        <v>97217</v>
      </c>
    </row>
    <row r="1275" spans="2:3" x14ac:dyDescent="0.25">
      <c r="B1275" s="642" t="s">
        <v>1577</v>
      </c>
      <c r="C1275" s="646">
        <v>94601</v>
      </c>
    </row>
    <row r="1276" spans="2:3" x14ac:dyDescent="0.25">
      <c r="B1276" s="642" t="s">
        <v>1578</v>
      </c>
      <c r="C1276" s="646">
        <v>94604</v>
      </c>
    </row>
    <row r="1277" spans="2:3" x14ac:dyDescent="0.25">
      <c r="B1277" s="642" t="s">
        <v>1579</v>
      </c>
      <c r="C1277" s="646">
        <v>94606</v>
      </c>
    </row>
    <row r="1278" spans="2:3" x14ac:dyDescent="0.25">
      <c r="B1278" s="642" t="s">
        <v>1777</v>
      </c>
      <c r="C1278" s="646">
        <v>97213</v>
      </c>
    </row>
    <row r="1279" spans="2:3" x14ac:dyDescent="0.25">
      <c r="B1279" s="642" t="s">
        <v>1776</v>
      </c>
      <c r="C1279" s="646">
        <v>97211</v>
      </c>
    </row>
    <row r="1280" spans="2:3" x14ac:dyDescent="0.25">
      <c r="B1280" s="642" t="s">
        <v>1330</v>
      </c>
      <c r="C1280" s="646">
        <v>91813</v>
      </c>
    </row>
    <row r="1281" spans="2:3" x14ac:dyDescent="0.25">
      <c r="B1281" s="642" t="s">
        <v>1328</v>
      </c>
      <c r="C1281" s="646">
        <v>91811</v>
      </c>
    </row>
    <row r="1282" spans="2:3" x14ac:dyDescent="0.25">
      <c r="B1282" s="642" t="s">
        <v>1329</v>
      </c>
      <c r="C1282" s="646">
        <v>91812</v>
      </c>
    </row>
    <row r="1283" spans="2:3" x14ac:dyDescent="0.25">
      <c r="B1283" s="642" t="s">
        <v>1199</v>
      </c>
      <c r="C1283" s="646">
        <v>90617</v>
      </c>
    </row>
    <row r="1284" spans="2:3" x14ac:dyDescent="0.25">
      <c r="B1284" s="642" t="s">
        <v>1529</v>
      </c>
      <c r="C1284" s="646">
        <v>94127</v>
      </c>
    </row>
    <row r="1285" spans="2:3" x14ac:dyDescent="0.25">
      <c r="B1285" s="642" t="s">
        <v>1528</v>
      </c>
      <c r="C1285" s="646">
        <v>94121</v>
      </c>
    </row>
    <row r="1286" spans="2:3" x14ac:dyDescent="0.25">
      <c r="B1286" s="642" t="s">
        <v>1647</v>
      </c>
      <c r="C1286" s="646">
        <v>95617</v>
      </c>
    </row>
    <row r="1287" spans="2:3" x14ac:dyDescent="0.25">
      <c r="B1287" s="642" t="s">
        <v>1648</v>
      </c>
      <c r="C1287" s="646">
        <v>95621</v>
      </c>
    </row>
    <row r="1288" spans="2:3" x14ac:dyDescent="0.25">
      <c r="B1288" s="642" t="s">
        <v>1286</v>
      </c>
      <c r="C1288" s="646">
        <v>91251</v>
      </c>
    </row>
    <row r="1289" spans="2:3" x14ac:dyDescent="0.25">
      <c r="B1289" s="642" t="s">
        <v>1754</v>
      </c>
      <c r="C1289" s="646">
        <v>96831</v>
      </c>
    </row>
    <row r="1290" spans="2:3" x14ac:dyDescent="0.25">
      <c r="B1290" s="642" t="s">
        <v>1545</v>
      </c>
      <c r="C1290" s="646">
        <v>94251</v>
      </c>
    </row>
    <row r="1291" spans="2:3" x14ac:dyDescent="0.25">
      <c r="B1291" s="642" t="s">
        <v>1584</v>
      </c>
      <c r="C1291" s="646">
        <v>94701</v>
      </c>
    </row>
    <row r="1292" spans="2:3" x14ac:dyDescent="0.25">
      <c r="B1292" s="642" t="s">
        <v>1585</v>
      </c>
      <c r="C1292" s="646">
        <v>94704</v>
      </c>
    </row>
    <row r="1293" spans="2:3" x14ac:dyDescent="0.25">
      <c r="B1293" s="642" t="s">
        <v>1237</v>
      </c>
      <c r="C1293" s="646">
        <v>91014</v>
      </c>
    </row>
    <row r="1294" spans="2:3" x14ac:dyDescent="0.25">
      <c r="B1294" s="642" t="s">
        <v>1746</v>
      </c>
      <c r="C1294" s="646">
        <v>96733</v>
      </c>
    </row>
    <row r="1295" spans="2:3" x14ac:dyDescent="0.25">
      <c r="B1295" s="642" t="s">
        <v>1745</v>
      </c>
      <c r="C1295" s="646">
        <v>96731</v>
      </c>
    </row>
    <row r="1296" spans="2:3" x14ac:dyDescent="0.25">
      <c r="B1296" s="642" t="s">
        <v>1950</v>
      </c>
      <c r="C1296" s="646">
        <v>99202</v>
      </c>
    </row>
    <row r="1297" spans="2:3" x14ac:dyDescent="0.25">
      <c r="B1297" s="642" t="s">
        <v>1517</v>
      </c>
      <c r="C1297" s="646">
        <v>94011</v>
      </c>
    </row>
    <row r="1298" spans="2:3" x14ac:dyDescent="0.25">
      <c r="B1298" s="642" t="s">
        <v>1400</v>
      </c>
      <c r="C1298" s="646">
        <v>92631</v>
      </c>
    </row>
    <row r="1299" spans="2:3" x14ac:dyDescent="0.25">
      <c r="B1299" s="642" t="s">
        <v>1652</v>
      </c>
      <c r="C1299" s="646">
        <v>95733</v>
      </c>
    </row>
    <row r="1300" spans="2:3" x14ac:dyDescent="0.25">
      <c r="B1300" s="642" t="s">
        <v>1303</v>
      </c>
      <c r="C1300" s="646">
        <v>91431</v>
      </c>
    </row>
    <row r="1301" spans="2:3" x14ac:dyDescent="0.25">
      <c r="B1301" s="642" t="s">
        <v>1677</v>
      </c>
      <c r="C1301" s="646">
        <v>96041</v>
      </c>
    </row>
    <row r="1302" spans="2:3" x14ac:dyDescent="0.25">
      <c r="B1302" s="642" t="s">
        <v>1587</v>
      </c>
      <c r="C1302" s="646">
        <v>94801</v>
      </c>
    </row>
    <row r="1303" spans="2:3" x14ac:dyDescent="0.25">
      <c r="B1303" s="642" t="s">
        <v>1588</v>
      </c>
      <c r="C1303" s="646">
        <v>94804</v>
      </c>
    </row>
    <row r="1304" spans="2:3" x14ac:dyDescent="0.25">
      <c r="B1304" s="642" t="s">
        <v>1319</v>
      </c>
      <c r="C1304" s="646">
        <v>91661</v>
      </c>
    </row>
    <row r="1305" spans="2:3" x14ac:dyDescent="0.25">
      <c r="B1305" s="642" t="s">
        <v>3529</v>
      </c>
      <c r="C1305" s="646">
        <v>99014</v>
      </c>
    </row>
    <row r="1306" spans="2:3" x14ac:dyDescent="0.25">
      <c r="B1306" s="642" t="s">
        <v>1939</v>
      </c>
      <c r="C1306" s="646">
        <v>99051</v>
      </c>
    </row>
    <row r="1307" spans="2:3" x14ac:dyDescent="0.25">
      <c r="B1307" s="642" t="s">
        <v>1590</v>
      </c>
      <c r="C1307" s="646">
        <v>94901</v>
      </c>
    </row>
    <row r="1308" spans="2:3" x14ac:dyDescent="0.25">
      <c r="B1308" s="642" t="s">
        <v>1872</v>
      </c>
      <c r="C1308" s="646">
        <v>98109</v>
      </c>
    </row>
    <row r="1309" spans="2:3" x14ac:dyDescent="0.25">
      <c r="B1309" s="642" t="s">
        <v>1881</v>
      </c>
      <c r="C1309" s="646">
        <v>98205</v>
      </c>
    </row>
    <row r="1310" spans="2:3" x14ac:dyDescent="0.25">
      <c r="B1310" s="642" t="s">
        <v>1599</v>
      </c>
      <c r="C1310" s="646">
        <v>95001</v>
      </c>
    </row>
    <row r="1311" spans="2:3" x14ac:dyDescent="0.25">
      <c r="B1311" s="642" t="s">
        <v>3530</v>
      </c>
      <c r="C1311" s="646">
        <v>95017</v>
      </c>
    </row>
    <row r="1312" spans="2:3" x14ac:dyDescent="0.25">
      <c r="B1312" s="642" t="s">
        <v>1737</v>
      </c>
      <c r="C1312" s="646">
        <v>96661</v>
      </c>
    </row>
    <row r="1313" spans="2:3" x14ac:dyDescent="0.25">
      <c r="B1313" s="642" t="s">
        <v>1743</v>
      </c>
      <c r="C1313" s="646">
        <v>96711</v>
      </c>
    </row>
    <row r="1314" spans="2:3" x14ac:dyDescent="0.25">
      <c r="B1314" s="642" t="s">
        <v>1530</v>
      </c>
      <c r="C1314" s="646">
        <v>94131</v>
      </c>
    </row>
    <row r="1315" spans="2:3" x14ac:dyDescent="0.25">
      <c r="B1315" s="642" t="s">
        <v>1660</v>
      </c>
      <c r="C1315" s="646">
        <v>95841</v>
      </c>
    </row>
    <row r="1316" spans="2:3" x14ac:dyDescent="0.25">
      <c r="B1316" s="642" t="s">
        <v>1194</v>
      </c>
      <c r="C1316" s="646">
        <v>90511</v>
      </c>
    </row>
    <row r="1317" spans="2:3" x14ac:dyDescent="0.25">
      <c r="B1317" s="642" t="s">
        <v>1605</v>
      </c>
      <c r="C1317" s="646">
        <v>95101</v>
      </c>
    </row>
    <row r="1318" spans="2:3" x14ac:dyDescent="0.25">
      <c r="B1318" s="642" t="s">
        <v>1607</v>
      </c>
      <c r="C1318" s="646">
        <v>95104</v>
      </c>
    </row>
    <row r="1319" spans="2:3" x14ac:dyDescent="0.25">
      <c r="B1319" s="642" t="s">
        <v>1608</v>
      </c>
      <c r="C1319" s="646">
        <v>95105</v>
      </c>
    </row>
    <row r="1320" spans="2:3" x14ac:dyDescent="0.25">
      <c r="B1320" s="642" t="s">
        <v>3531</v>
      </c>
      <c r="C1320" s="646">
        <v>95110</v>
      </c>
    </row>
    <row r="1321" spans="2:3" x14ac:dyDescent="0.25">
      <c r="B1321" s="642" t="s">
        <v>1622</v>
      </c>
      <c r="C1321" s="646">
        <v>95201</v>
      </c>
    </row>
    <row r="1322" spans="2:3" x14ac:dyDescent="0.25">
      <c r="B1322" s="642" t="s">
        <v>1623</v>
      </c>
      <c r="C1322" s="646">
        <v>95204</v>
      </c>
    </row>
    <row r="1323" spans="2:3" x14ac:dyDescent="0.25">
      <c r="B1323" s="642" t="s">
        <v>2020</v>
      </c>
      <c r="C1323" s="646">
        <v>99921</v>
      </c>
    </row>
    <row r="1324" spans="2:3" x14ac:dyDescent="0.25">
      <c r="B1324" s="642" t="s">
        <v>1558</v>
      </c>
      <c r="C1324" s="646">
        <v>94408</v>
      </c>
    </row>
    <row r="1325" spans="2:3" x14ac:dyDescent="0.25">
      <c r="B1325" s="642" t="s">
        <v>1296</v>
      </c>
      <c r="C1325" s="646">
        <v>91331</v>
      </c>
    </row>
    <row r="1326" spans="2:3" x14ac:dyDescent="0.25">
      <c r="B1326" s="642" t="s">
        <v>1433</v>
      </c>
      <c r="C1326" s="646">
        <v>93127</v>
      </c>
    </row>
    <row r="1327" spans="2:3" x14ac:dyDescent="0.25">
      <c r="B1327" s="642" t="s">
        <v>1432</v>
      </c>
      <c r="C1327" s="646">
        <v>93121</v>
      </c>
    </row>
    <row r="1328" spans="2:3" x14ac:dyDescent="0.25">
      <c r="B1328" s="642" t="s">
        <v>1619</v>
      </c>
      <c r="C1328" s="646">
        <v>95171</v>
      </c>
    </row>
    <row r="1329" spans="2:3" x14ac:dyDescent="0.25">
      <c r="B1329" s="642" t="s">
        <v>1466</v>
      </c>
      <c r="C1329" s="646">
        <v>93421</v>
      </c>
    </row>
    <row r="1330" spans="2:3" x14ac:dyDescent="0.25">
      <c r="B1330" s="642" t="s">
        <v>1947</v>
      </c>
      <c r="C1330" s="646">
        <v>99110</v>
      </c>
    </row>
    <row r="1331" spans="2:3" x14ac:dyDescent="0.25">
      <c r="B1331" s="642" t="s">
        <v>1946</v>
      </c>
      <c r="C1331" s="646">
        <v>99109</v>
      </c>
    </row>
    <row r="1332" spans="2:3" x14ac:dyDescent="0.25">
      <c r="B1332" s="642" t="s">
        <v>1412</v>
      </c>
      <c r="C1332" s="646">
        <v>92821</v>
      </c>
    </row>
    <row r="1333" spans="2:3" x14ac:dyDescent="0.25">
      <c r="B1333" s="642" t="s">
        <v>1910</v>
      </c>
      <c r="C1333" s="646">
        <v>98521</v>
      </c>
    </row>
    <row r="1334" spans="2:3" x14ac:dyDescent="0.25">
      <c r="B1334" s="642" t="s">
        <v>1363</v>
      </c>
      <c r="C1334" s="646">
        <v>92327</v>
      </c>
    </row>
    <row r="1335" spans="2:3" x14ac:dyDescent="0.25">
      <c r="B1335" s="642" t="s">
        <v>1362</v>
      </c>
      <c r="C1335" s="646">
        <v>92321</v>
      </c>
    </row>
    <row r="1336" spans="2:3" x14ac:dyDescent="0.25">
      <c r="B1336" s="642" t="s">
        <v>1636</v>
      </c>
      <c r="C1336" s="646">
        <v>95413</v>
      </c>
    </row>
    <row r="1337" spans="2:3" x14ac:dyDescent="0.25">
      <c r="B1337" s="642" t="s">
        <v>1634</v>
      </c>
      <c r="C1337" s="646">
        <v>95411</v>
      </c>
    </row>
    <row r="1338" spans="2:3" x14ac:dyDescent="0.25">
      <c r="B1338" s="642" t="s">
        <v>1637</v>
      </c>
      <c r="C1338" s="646">
        <v>95415</v>
      </c>
    </row>
    <row r="1339" spans="2:3" x14ac:dyDescent="0.25">
      <c r="B1339" s="642" t="s">
        <v>1415</v>
      </c>
      <c r="C1339" s="646">
        <v>92851</v>
      </c>
    </row>
    <row r="1340" spans="2:3" x14ac:dyDescent="0.25">
      <c r="B1340" s="642" t="s">
        <v>1970</v>
      </c>
      <c r="C1340" s="646">
        <v>99291</v>
      </c>
    </row>
    <row r="1341" spans="2:3" x14ac:dyDescent="0.25">
      <c r="B1341" s="642" t="s">
        <v>1728</v>
      </c>
      <c r="C1341" s="646">
        <v>96541</v>
      </c>
    </row>
    <row r="1342" spans="2:3" x14ac:dyDescent="0.25">
      <c r="B1342" s="642" t="s">
        <v>1639</v>
      </c>
      <c r="C1342" s="646">
        <v>95431</v>
      </c>
    </row>
    <row r="1343" spans="2:3" x14ac:dyDescent="0.25">
      <c r="B1343" s="642" t="s">
        <v>1876</v>
      </c>
      <c r="C1343" s="646">
        <v>98131</v>
      </c>
    </row>
    <row r="1344" spans="2:3" x14ac:dyDescent="0.25">
      <c r="B1344" s="642" t="s">
        <v>1373</v>
      </c>
      <c r="C1344" s="646">
        <v>92427</v>
      </c>
    </row>
    <row r="1345" spans="2:3" x14ac:dyDescent="0.25">
      <c r="B1345" s="642" t="s">
        <v>1377</v>
      </c>
      <c r="C1345" s="646">
        <v>92461</v>
      </c>
    </row>
    <row r="1346" spans="2:3" x14ac:dyDescent="0.25">
      <c r="B1346" s="642" t="s">
        <v>1863</v>
      </c>
      <c r="C1346" s="646">
        <v>98051</v>
      </c>
    </row>
    <row r="1347" spans="2:3" x14ac:dyDescent="0.25">
      <c r="B1347" s="642" t="s">
        <v>1256</v>
      </c>
      <c r="C1347" s="646">
        <v>91102</v>
      </c>
    </row>
    <row r="1348" spans="2:3" x14ac:dyDescent="0.25">
      <c r="B1348" s="642" t="s">
        <v>1571</v>
      </c>
      <c r="C1348" s="646">
        <v>94527</v>
      </c>
    </row>
    <row r="1349" spans="2:3" x14ac:dyDescent="0.25">
      <c r="B1349" s="642" t="s">
        <v>1570</v>
      </c>
      <c r="C1349" s="646">
        <v>94521</v>
      </c>
    </row>
    <row r="1350" spans="2:3" x14ac:dyDescent="0.25">
      <c r="B1350" s="642" t="s">
        <v>1895</v>
      </c>
      <c r="C1350" s="646">
        <v>98313</v>
      </c>
    </row>
    <row r="1351" spans="2:3" x14ac:dyDescent="0.25">
      <c r="B1351" s="642" t="s">
        <v>1894</v>
      </c>
      <c r="C1351" s="646">
        <v>98311</v>
      </c>
    </row>
    <row r="1352" spans="2:3" x14ac:dyDescent="0.25">
      <c r="B1352" s="642" t="s">
        <v>1893</v>
      </c>
      <c r="C1352" s="646">
        <v>98308</v>
      </c>
    </row>
    <row r="1353" spans="2:3" x14ac:dyDescent="0.25">
      <c r="B1353" s="642" t="s">
        <v>1365</v>
      </c>
      <c r="C1353" s="646">
        <v>92341</v>
      </c>
    </row>
    <row r="1354" spans="2:3" x14ac:dyDescent="0.25">
      <c r="B1354" s="642" t="s">
        <v>1627</v>
      </c>
      <c r="C1354" s="646">
        <v>95301</v>
      </c>
    </row>
    <row r="1355" spans="2:3" x14ac:dyDescent="0.25">
      <c r="B1355" s="642" t="s">
        <v>1228</v>
      </c>
      <c r="C1355" s="646">
        <v>91002</v>
      </c>
    </row>
    <row r="1356" spans="2:3" x14ac:dyDescent="0.25">
      <c r="B1356" s="642" t="s">
        <v>1306</v>
      </c>
      <c r="C1356" s="646">
        <v>91457</v>
      </c>
    </row>
    <row r="1357" spans="2:3" x14ac:dyDescent="0.25">
      <c r="B1357" s="642" t="s">
        <v>1631</v>
      </c>
      <c r="C1357" s="646">
        <v>95401</v>
      </c>
    </row>
    <row r="1358" spans="2:3" x14ac:dyDescent="0.25">
      <c r="B1358" s="642" t="s">
        <v>1632</v>
      </c>
      <c r="C1358" s="646">
        <v>95404</v>
      </c>
    </row>
    <row r="1359" spans="2:3" x14ac:dyDescent="0.25">
      <c r="B1359" s="642" t="s">
        <v>1302</v>
      </c>
      <c r="C1359" s="646">
        <v>91423</v>
      </c>
    </row>
    <row r="1360" spans="2:3" x14ac:dyDescent="0.25">
      <c r="B1360" s="642" t="s">
        <v>1305</v>
      </c>
      <c r="C1360" s="646">
        <v>91451</v>
      </c>
    </row>
    <row r="1361" spans="2:3" x14ac:dyDescent="0.25">
      <c r="B1361" s="642" t="s">
        <v>1219</v>
      </c>
      <c r="C1361" s="646">
        <v>90861</v>
      </c>
    </row>
    <row r="1362" spans="2:3" x14ac:dyDescent="0.25">
      <c r="B1362" s="642" t="s">
        <v>1470</v>
      </c>
      <c r="C1362" s="646">
        <v>93451</v>
      </c>
    </row>
    <row r="1363" spans="2:3" x14ac:dyDescent="0.25">
      <c r="B1363" s="642" t="s">
        <v>1420</v>
      </c>
      <c r="C1363" s="646">
        <v>92917</v>
      </c>
    </row>
    <row r="1364" spans="2:3" x14ac:dyDescent="0.25">
      <c r="B1364" s="642" t="s">
        <v>1422</v>
      </c>
      <c r="C1364" s="646">
        <v>92931</v>
      </c>
    </row>
    <row r="1365" spans="2:3" x14ac:dyDescent="0.25">
      <c r="B1365" s="642" t="s">
        <v>1812</v>
      </c>
      <c r="C1365" s="646">
        <v>97637</v>
      </c>
    </row>
    <row r="1366" spans="2:3" x14ac:dyDescent="0.25">
      <c r="B1366" s="642" t="s">
        <v>1811</v>
      </c>
      <c r="C1366" s="646">
        <v>97631</v>
      </c>
    </row>
    <row r="1367" spans="2:3" x14ac:dyDescent="0.25">
      <c r="B1367" s="642" t="s">
        <v>1187</v>
      </c>
      <c r="C1367" s="646">
        <v>90421</v>
      </c>
    </row>
    <row r="1368" spans="2:3" x14ac:dyDescent="0.25">
      <c r="B1368" s="642" t="s">
        <v>1551</v>
      </c>
      <c r="C1368" s="646">
        <v>94321</v>
      </c>
    </row>
    <row r="1369" spans="2:3" x14ac:dyDescent="0.25">
      <c r="B1369" s="642" t="s">
        <v>1640</v>
      </c>
      <c r="C1369" s="646">
        <v>95501</v>
      </c>
    </row>
    <row r="1370" spans="2:3" x14ac:dyDescent="0.25">
      <c r="B1370" s="642" t="s">
        <v>1641</v>
      </c>
      <c r="C1370" s="646">
        <v>95504</v>
      </c>
    </row>
    <row r="1371" spans="2:3" x14ac:dyDescent="0.25">
      <c r="B1371" s="642" t="s">
        <v>1644</v>
      </c>
      <c r="C1371" s="646">
        <v>95517</v>
      </c>
    </row>
    <row r="1372" spans="2:3" x14ac:dyDescent="0.25">
      <c r="B1372" s="642" t="s">
        <v>1643</v>
      </c>
      <c r="C1372" s="646">
        <v>95513</v>
      </c>
    </row>
    <row r="1373" spans="2:3" x14ac:dyDescent="0.25">
      <c r="B1373" s="642" t="s">
        <v>1642</v>
      </c>
      <c r="C1373" s="646">
        <v>95511</v>
      </c>
    </row>
    <row r="1374" spans="2:3" x14ac:dyDescent="0.25">
      <c r="B1374" s="642" t="s">
        <v>1402</v>
      </c>
      <c r="C1374" s="646">
        <v>92651</v>
      </c>
    </row>
    <row r="1375" spans="2:3" x14ac:dyDescent="0.25">
      <c r="B1375" s="642" t="s">
        <v>1546</v>
      </c>
      <c r="C1375" s="646">
        <v>94261</v>
      </c>
    </row>
    <row r="1376" spans="2:3" x14ac:dyDescent="0.25">
      <c r="B1376" s="642" t="s">
        <v>1903</v>
      </c>
      <c r="C1376" s="646">
        <v>98431</v>
      </c>
    </row>
    <row r="1377" spans="2:3" x14ac:dyDescent="0.25">
      <c r="B1377" s="642" t="s">
        <v>1335</v>
      </c>
      <c r="C1377" s="646">
        <v>91841</v>
      </c>
    </row>
    <row r="1378" spans="2:3" x14ac:dyDescent="0.25">
      <c r="B1378" s="642" t="s">
        <v>1477</v>
      </c>
      <c r="C1378" s="646">
        <v>93527</v>
      </c>
    </row>
    <row r="1379" spans="2:3" x14ac:dyDescent="0.25">
      <c r="B1379" s="642" t="s">
        <v>1476</v>
      </c>
      <c r="C1379" s="646">
        <v>93521</v>
      </c>
    </row>
    <row r="1380" spans="2:3" x14ac:dyDescent="0.25">
      <c r="B1380" s="642" t="s">
        <v>1493</v>
      </c>
      <c r="C1380" s="646">
        <v>93661</v>
      </c>
    </row>
    <row r="1381" spans="2:3" x14ac:dyDescent="0.25">
      <c r="B1381" s="642" t="s">
        <v>1722</v>
      </c>
      <c r="C1381" s="646">
        <v>96508</v>
      </c>
    </row>
    <row r="1382" spans="2:3" x14ac:dyDescent="0.25">
      <c r="B1382" s="642" t="s">
        <v>2016</v>
      </c>
      <c r="C1382" s="646">
        <v>99841</v>
      </c>
    </row>
    <row r="1383" spans="2:3" x14ac:dyDescent="0.25">
      <c r="B1383" s="642" t="s">
        <v>1825</v>
      </c>
      <c r="C1383" s="646">
        <v>97802</v>
      </c>
    </row>
    <row r="1384" spans="2:3" x14ac:dyDescent="0.25">
      <c r="B1384" s="642" t="s">
        <v>1829</v>
      </c>
      <c r="C1384" s="646">
        <v>97817</v>
      </c>
    </row>
    <row r="1385" spans="2:3" x14ac:dyDescent="0.25">
      <c r="B1385" s="642" t="s">
        <v>1830</v>
      </c>
      <c r="C1385" s="646">
        <v>97818</v>
      </c>
    </row>
    <row r="1386" spans="2:3" x14ac:dyDescent="0.25">
      <c r="B1386" s="642" t="s">
        <v>1828</v>
      </c>
      <c r="C1386" s="646">
        <v>97811</v>
      </c>
    </row>
    <row r="1387" spans="2:3" x14ac:dyDescent="0.25">
      <c r="B1387" s="642" t="s">
        <v>1459</v>
      </c>
      <c r="C1387" s="646">
        <v>93341</v>
      </c>
    </row>
    <row r="1388" spans="2:3" x14ac:dyDescent="0.25">
      <c r="B1388" s="642" t="s">
        <v>1645</v>
      </c>
      <c r="C1388" s="646">
        <v>95601</v>
      </c>
    </row>
    <row r="1389" spans="2:3" x14ac:dyDescent="0.25">
      <c r="B1389" s="642" t="s">
        <v>1849</v>
      </c>
      <c r="C1389" s="646">
        <v>97947</v>
      </c>
    </row>
    <row r="1390" spans="2:3" x14ac:dyDescent="0.25">
      <c r="B1390" s="642" t="s">
        <v>1649</v>
      </c>
      <c r="C1390" s="646">
        <v>95701</v>
      </c>
    </row>
    <row r="1391" spans="2:3" x14ac:dyDescent="0.25">
      <c r="B1391" s="642" t="s">
        <v>1848</v>
      </c>
      <c r="C1391" s="646">
        <v>97941</v>
      </c>
    </row>
    <row r="1392" spans="2:3" x14ac:dyDescent="0.25">
      <c r="B1392" s="642" t="s">
        <v>1850</v>
      </c>
      <c r="C1392" s="646">
        <v>97948</v>
      </c>
    </row>
    <row r="1393" spans="2:3" x14ac:dyDescent="0.25">
      <c r="B1393" s="642" t="s">
        <v>1562</v>
      </c>
      <c r="C1393" s="646">
        <v>94427</v>
      </c>
    </row>
    <row r="1394" spans="2:3" x14ac:dyDescent="0.25">
      <c r="B1394" s="642" t="s">
        <v>1563</v>
      </c>
      <c r="C1394" s="646">
        <v>94428</v>
      </c>
    </row>
    <row r="1395" spans="2:3" x14ac:dyDescent="0.25">
      <c r="B1395" s="642" t="s">
        <v>1561</v>
      </c>
      <c r="C1395" s="646">
        <v>94421</v>
      </c>
    </row>
    <row r="1396" spans="2:3" x14ac:dyDescent="0.25">
      <c r="B1396" s="642" t="s">
        <v>1442</v>
      </c>
      <c r="C1396" s="646">
        <v>93191</v>
      </c>
    </row>
    <row r="1397" spans="2:3" x14ac:dyDescent="0.25">
      <c r="B1397" s="642" t="s">
        <v>1334</v>
      </c>
      <c r="C1397" s="646">
        <v>91831</v>
      </c>
    </row>
    <row r="1398" spans="2:3" x14ac:dyDescent="0.25">
      <c r="B1398" s="642" t="s">
        <v>1413</v>
      </c>
      <c r="C1398" s="646">
        <v>92831</v>
      </c>
    </row>
    <row r="1399" spans="2:3" x14ac:dyDescent="0.25">
      <c r="B1399" s="642" t="s">
        <v>1665</v>
      </c>
      <c r="C1399" s="646">
        <v>95917</v>
      </c>
    </row>
    <row r="1400" spans="2:3" x14ac:dyDescent="0.25">
      <c r="B1400" s="642" t="s">
        <v>1664</v>
      </c>
      <c r="C1400" s="646">
        <v>95911</v>
      </c>
    </row>
    <row r="1401" spans="2:3" x14ac:dyDescent="0.25">
      <c r="B1401" s="642" t="s">
        <v>1650</v>
      </c>
      <c r="C1401" s="646">
        <v>95711</v>
      </c>
    </row>
    <row r="1402" spans="2:3" x14ac:dyDescent="0.25">
      <c r="B1402" s="642" t="s">
        <v>1651</v>
      </c>
      <c r="C1402" s="646">
        <v>95721</v>
      </c>
    </row>
    <row r="1403" spans="2:3" x14ac:dyDescent="0.25">
      <c r="B1403" s="642" t="s">
        <v>1934</v>
      </c>
      <c r="C1403" s="646">
        <v>99021</v>
      </c>
    </row>
    <row r="1404" spans="2:3" x14ac:dyDescent="0.25">
      <c r="B1404" s="642" t="s">
        <v>1653</v>
      </c>
      <c r="C1404" s="646">
        <v>95801</v>
      </c>
    </row>
    <row r="1405" spans="2:3" x14ac:dyDescent="0.25">
      <c r="B1405" s="642" t="s">
        <v>1655</v>
      </c>
      <c r="C1405" s="646">
        <v>95804</v>
      </c>
    </row>
    <row r="1406" spans="2:3" x14ac:dyDescent="0.25">
      <c r="B1406" s="642" t="s">
        <v>1654</v>
      </c>
      <c r="C1406" s="646">
        <v>95802</v>
      </c>
    </row>
    <row r="1407" spans="2:3" x14ac:dyDescent="0.25">
      <c r="B1407" s="642" t="s">
        <v>1164</v>
      </c>
      <c r="C1407" s="646">
        <v>90092</v>
      </c>
    </row>
    <row r="1408" spans="2:3" x14ac:dyDescent="0.25">
      <c r="B1408" s="642" t="s">
        <v>1942</v>
      </c>
      <c r="C1408" s="646">
        <v>99081</v>
      </c>
    </row>
    <row r="1409" spans="2:3" x14ac:dyDescent="0.25">
      <c r="B1409" s="642" t="s">
        <v>1680</v>
      </c>
      <c r="C1409" s="646">
        <v>96071</v>
      </c>
    </row>
    <row r="1410" spans="2:3" x14ac:dyDescent="0.25">
      <c r="B1410" s="642" t="s">
        <v>1514</v>
      </c>
      <c r="C1410" s="646">
        <v>94002</v>
      </c>
    </row>
    <row r="1411" spans="2:3" x14ac:dyDescent="0.25">
      <c r="B1411" s="642" t="s">
        <v>1836</v>
      </c>
      <c r="C1411" s="646">
        <v>97847</v>
      </c>
    </row>
    <row r="1412" spans="2:3" x14ac:dyDescent="0.25">
      <c r="B1412" s="642" t="s">
        <v>1835</v>
      </c>
      <c r="C1412" s="646">
        <v>97840</v>
      </c>
    </row>
    <row r="1413" spans="2:3" x14ac:dyDescent="0.25">
      <c r="B1413" s="642" t="s">
        <v>1846</v>
      </c>
      <c r="C1413" s="646">
        <v>97921</v>
      </c>
    </row>
    <row r="1414" spans="2:3" x14ac:dyDescent="0.25">
      <c r="B1414" s="642" t="s">
        <v>1626</v>
      </c>
      <c r="C1414" s="646">
        <v>95221</v>
      </c>
    </row>
    <row r="1415" spans="2:3" x14ac:dyDescent="0.25">
      <c r="B1415" s="642" t="s">
        <v>1483</v>
      </c>
      <c r="C1415" s="646">
        <v>93610</v>
      </c>
    </row>
    <row r="1416" spans="2:3" x14ac:dyDescent="0.25">
      <c r="B1416" s="642" t="s">
        <v>3532</v>
      </c>
      <c r="C1416" s="646">
        <v>95901</v>
      </c>
    </row>
    <row r="1417" spans="2:3" x14ac:dyDescent="0.25">
      <c r="B1417" s="642" t="s">
        <v>1169</v>
      </c>
      <c r="C1417" s="646">
        <v>90114</v>
      </c>
    </row>
    <row r="1418" spans="2:3" x14ac:dyDescent="0.25">
      <c r="B1418" s="642" t="s">
        <v>1667</v>
      </c>
      <c r="C1418" s="646">
        <v>96001</v>
      </c>
    </row>
    <row r="1419" spans="2:3" x14ac:dyDescent="0.25">
      <c r="B1419" s="642" t="s">
        <v>1669</v>
      </c>
      <c r="C1419" s="646">
        <v>96004</v>
      </c>
    </row>
    <row r="1420" spans="2:3" x14ac:dyDescent="0.25">
      <c r="B1420" s="642" t="s">
        <v>1671</v>
      </c>
      <c r="C1420" s="646">
        <v>96008</v>
      </c>
    </row>
    <row r="1421" spans="2:3" x14ac:dyDescent="0.25">
      <c r="B1421" s="642" t="s">
        <v>1259</v>
      </c>
      <c r="C1421" s="646">
        <v>91108</v>
      </c>
    </row>
    <row r="1422" spans="2:3" x14ac:dyDescent="0.25">
      <c r="B1422" s="642" t="s">
        <v>1598</v>
      </c>
      <c r="C1422" s="646">
        <v>94941</v>
      </c>
    </row>
    <row r="1423" spans="2:3" x14ac:dyDescent="0.25">
      <c r="B1423" s="642" t="s">
        <v>1613</v>
      </c>
      <c r="C1423" s="646">
        <v>95122</v>
      </c>
    </row>
    <row r="1424" spans="2:3" x14ac:dyDescent="0.25">
      <c r="B1424" s="642" t="s">
        <v>3533</v>
      </c>
      <c r="C1424" s="646">
        <v>92607</v>
      </c>
    </row>
    <row r="1425" spans="2:3" x14ac:dyDescent="0.25">
      <c r="B1425" s="642" t="s">
        <v>1713</v>
      </c>
      <c r="C1425" s="646">
        <v>96431</v>
      </c>
    </row>
    <row r="1426" spans="2:3" x14ac:dyDescent="0.25">
      <c r="B1426" s="642" t="s">
        <v>3534</v>
      </c>
      <c r="C1426" s="646">
        <v>90709</v>
      </c>
    </row>
    <row r="1427" spans="2:3" x14ac:dyDescent="0.25">
      <c r="B1427" s="642" t="s">
        <v>1297</v>
      </c>
      <c r="C1427" s="646">
        <v>91341</v>
      </c>
    </row>
    <row r="1428" spans="2:3" x14ac:dyDescent="0.25">
      <c r="B1428" s="642" t="s">
        <v>1576</v>
      </c>
      <c r="C1428" s="646">
        <v>94551</v>
      </c>
    </row>
    <row r="1429" spans="2:3" x14ac:dyDescent="0.25">
      <c r="B1429" s="642" t="s">
        <v>3535</v>
      </c>
      <c r="C1429" s="646">
        <v>99022</v>
      </c>
    </row>
    <row r="1430" spans="2:3" x14ac:dyDescent="0.25">
      <c r="B1430" s="642" t="s">
        <v>1676</v>
      </c>
      <c r="C1430" s="646">
        <v>96031</v>
      </c>
    </row>
    <row r="1431" spans="2:3" x14ac:dyDescent="0.25">
      <c r="B1431" s="642" t="s">
        <v>1158</v>
      </c>
      <c r="C1431" s="646">
        <v>71786</v>
      </c>
    </row>
    <row r="1432" spans="2:3" x14ac:dyDescent="0.25">
      <c r="B1432" s="642" t="s">
        <v>1682</v>
      </c>
      <c r="C1432" s="646">
        <v>96101</v>
      </c>
    </row>
    <row r="1433" spans="2:3" x14ac:dyDescent="0.25">
      <c r="B1433" s="642" t="s">
        <v>1683</v>
      </c>
      <c r="C1433" s="646">
        <v>96102</v>
      </c>
    </row>
    <row r="1434" spans="2:3" x14ac:dyDescent="0.25">
      <c r="B1434" s="642" t="s">
        <v>1426</v>
      </c>
      <c r="C1434" s="646">
        <v>93011</v>
      </c>
    </row>
    <row r="1435" spans="2:3" x14ac:dyDescent="0.25">
      <c r="B1435" s="642" t="s">
        <v>1933</v>
      </c>
      <c r="C1435" s="646">
        <v>99017</v>
      </c>
    </row>
    <row r="1436" spans="2:3" x14ac:dyDescent="0.25">
      <c r="B1436" s="642" t="s">
        <v>1932</v>
      </c>
      <c r="C1436" s="646">
        <v>99013</v>
      </c>
    </row>
    <row r="1437" spans="2:3" x14ac:dyDescent="0.25">
      <c r="B1437" s="642" t="s">
        <v>1931</v>
      </c>
      <c r="C1437" s="646">
        <v>99011</v>
      </c>
    </row>
    <row r="1438" spans="2:3" x14ac:dyDescent="0.25">
      <c r="B1438" s="642" t="s">
        <v>1686</v>
      </c>
      <c r="C1438" s="646">
        <v>96201</v>
      </c>
    </row>
    <row r="1439" spans="2:3" x14ac:dyDescent="0.25">
      <c r="B1439" s="642" t="s">
        <v>1687</v>
      </c>
      <c r="C1439" s="646">
        <v>96204</v>
      </c>
    </row>
    <row r="1440" spans="2:3" x14ac:dyDescent="0.25">
      <c r="B1440" s="642" t="s">
        <v>1272</v>
      </c>
      <c r="C1440" s="646">
        <v>91161</v>
      </c>
    </row>
    <row r="1441" spans="2:3" x14ac:dyDescent="0.25">
      <c r="B1441" s="642" t="s">
        <v>1693</v>
      </c>
      <c r="C1441" s="646">
        <v>96301</v>
      </c>
    </row>
    <row r="1442" spans="2:3" x14ac:dyDescent="0.25">
      <c r="B1442" s="642" t="s">
        <v>1695</v>
      </c>
      <c r="C1442" s="646">
        <v>96304</v>
      </c>
    </row>
    <row r="1443" spans="2:3" x14ac:dyDescent="0.25">
      <c r="B1443" s="642" t="s">
        <v>1697</v>
      </c>
      <c r="C1443" s="646">
        <v>96310</v>
      </c>
    </row>
    <row r="1444" spans="2:3" x14ac:dyDescent="0.25">
      <c r="B1444" s="642" t="s">
        <v>1696</v>
      </c>
      <c r="C1444" s="646">
        <v>96305</v>
      </c>
    </row>
    <row r="1445" spans="2:3" x14ac:dyDescent="0.25">
      <c r="B1445" s="642" t="s">
        <v>1596</v>
      </c>
      <c r="C1445" s="646">
        <v>94927</v>
      </c>
    </row>
    <row r="1446" spans="2:3" x14ac:dyDescent="0.25">
      <c r="B1446" s="642" t="s">
        <v>1595</v>
      </c>
      <c r="C1446" s="646">
        <v>94923</v>
      </c>
    </row>
    <row r="1447" spans="2:3" x14ac:dyDescent="0.25">
      <c r="B1447" s="642" t="s">
        <v>1594</v>
      </c>
      <c r="C1447" s="646">
        <v>94921</v>
      </c>
    </row>
    <row r="1448" spans="2:3" x14ac:dyDescent="0.25">
      <c r="B1448" s="642" t="s">
        <v>1313</v>
      </c>
      <c r="C1448" s="646">
        <v>91611</v>
      </c>
    </row>
    <row r="1449" spans="2:3" x14ac:dyDescent="0.25">
      <c r="B1449" s="642" t="s">
        <v>1281</v>
      </c>
      <c r="C1449" s="646">
        <v>91217</v>
      </c>
    </row>
    <row r="1450" spans="2:3" x14ac:dyDescent="0.25">
      <c r="B1450" s="642" t="s">
        <v>1284</v>
      </c>
      <c r="C1450" s="646">
        <v>91233</v>
      </c>
    </row>
    <row r="1451" spans="2:3" x14ac:dyDescent="0.25">
      <c r="B1451" s="642" t="s">
        <v>1283</v>
      </c>
      <c r="C1451" s="646">
        <v>91231</v>
      </c>
    </row>
    <row r="1452" spans="2:3" x14ac:dyDescent="0.25">
      <c r="B1452" s="642" t="s">
        <v>1953</v>
      </c>
      <c r="C1452" s="646">
        <v>99206</v>
      </c>
    </row>
    <row r="1453" spans="2:3" x14ac:dyDescent="0.25">
      <c r="B1453" s="642" t="s">
        <v>1191</v>
      </c>
      <c r="C1453" s="646">
        <v>90461</v>
      </c>
    </row>
    <row r="1454" spans="2:3" x14ac:dyDescent="0.25">
      <c r="B1454" s="642" t="s">
        <v>1917</v>
      </c>
      <c r="C1454" s="646">
        <v>98631</v>
      </c>
    </row>
    <row r="1455" spans="2:3" x14ac:dyDescent="0.25">
      <c r="B1455" s="642" t="s">
        <v>1692</v>
      </c>
      <c r="C1455" s="646">
        <v>96251</v>
      </c>
    </row>
    <row r="1456" spans="2:3" x14ac:dyDescent="0.25">
      <c r="B1456" s="642" t="s">
        <v>1998</v>
      </c>
      <c r="C1456" s="646">
        <v>99623</v>
      </c>
    </row>
    <row r="1457" spans="2:3" x14ac:dyDescent="0.25">
      <c r="B1457" s="642" t="s">
        <v>1997</v>
      </c>
      <c r="C1457" s="646">
        <v>99621</v>
      </c>
    </row>
    <row r="1458" spans="2:3" x14ac:dyDescent="0.25">
      <c r="B1458" s="642" t="s">
        <v>1294</v>
      </c>
      <c r="C1458" s="646">
        <v>91321</v>
      </c>
    </row>
    <row r="1459" spans="2:3" x14ac:dyDescent="0.25">
      <c r="B1459" s="642" t="s">
        <v>1918</v>
      </c>
      <c r="C1459" s="646">
        <v>98637</v>
      </c>
    </row>
    <row r="1460" spans="2:3" x14ac:dyDescent="0.25">
      <c r="B1460" s="642" t="s">
        <v>1497</v>
      </c>
      <c r="C1460" s="646">
        <v>93691</v>
      </c>
    </row>
    <row r="1461" spans="2:3" x14ac:dyDescent="0.25">
      <c r="B1461" s="642" t="s">
        <v>1295</v>
      </c>
      <c r="C1461" s="646">
        <v>91327</v>
      </c>
    </row>
    <row r="1462" spans="2:3" x14ac:dyDescent="0.25">
      <c r="B1462" s="642" t="s">
        <v>1581</v>
      </c>
      <c r="C1462" s="646">
        <v>94621</v>
      </c>
    </row>
    <row r="1463" spans="2:3" x14ac:dyDescent="0.25">
      <c r="B1463" s="642" t="s">
        <v>1350</v>
      </c>
      <c r="C1463" s="646">
        <v>92017</v>
      </c>
    </row>
    <row r="1464" spans="2:3" x14ac:dyDescent="0.25">
      <c r="B1464" s="642" t="s">
        <v>1349</v>
      </c>
      <c r="C1464" s="646">
        <v>92011</v>
      </c>
    </row>
    <row r="1465" spans="2:3" x14ac:dyDescent="0.25">
      <c r="B1465" s="642" t="s">
        <v>2023</v>
      </c>
      <c r="C1465" s="646">
        <v>99991</v>
      </c>
    </row>
    <row r="1466" spans="2:3" x14ac:dyDescent="0.25">
      <c r="B1466" s="642" t="s">
        <v>2024</v>
      </c>
      <c r="C1466" s="646">
        <v>99999</v>
      </c>
    </row>
    <row r="1467" spans="2:3" x14ac:dyDescent="0.25">
      <c r="B1467" s="642" t="s">
        <v>1411</v>
      </c>
      <c r="C1467" s="646">
        <v>92811</v>
      </c>
    </row>
    <row r="1468" spans="2:3" x14ac:dyDescent="0.25">
      <c r="B1468" s="642" t="s">
        <v>1348</v>
      </c>
      <c r="C1468" s="646">
        <v>92005</v>
      </c>
    </row>
    <row r="1469" spans="2:3" x14ac:dyDescent="0.25">
      <c r="B1469" s="642" t="s">
        <v>1708</v>
      </c>
      <c r="C1469" s="646">
        <v>96401</v>
      </c>
    </row>
    <row r="1470" spans="2:3" x14ac:dyDescent="0.25">
      <c r="B1470" s="642" t="s">
        <v>1709</v>
      </c>
      <c r="C1470" s="646">
        <v>96404</v>
      </c>
    </row>
    <row r="1471" spans="2:3" x14ac:dyDescent="0.25">
      <c r="B1471" s="642" t="s">
        <v>1712</v>
      </c>
      <c r="C1471" s="646">
        <v>96421</v>
      </c>
    </row>
    <row r="1472" spans="2:3" x14ac:dyDescent="0.25">
      <c r="B1472" s="642" t="s">
        <v>1633</v>
      </c>
      <c r="C1472" s="646">
        <v>95405</v>
      </c>
    </row>
    <row r="1473" spans="2:3" x14ac:dyDescent="0.25">
      <c r="B1473" s="642" t="s">
        <v>1516</v>
      </c>
      <c r="C1473" s="646">
        <v>94005</v>
      </c>
    </row>
    <row r="1474" spans="2:3" x14ac:dyDescent="0.25">
      <c r="B1474" s="642" t="s">
        <v>1624</v>
      </c>
      <c r="C1474" s="646">
        <v>95205</v>
      </c>
    </row>
    <row r="1475" spans="2:3" x14ac:dyDescent="0.25">
      <c r="B1475" s="642" t="s">
        <v>1383</v>
      </c>
      <c r="C1475" s="646">
        <v>92507</v>
      </c>
    </row>
    <row r="1476" spans="2:3" x14ac:dyDescent="0.25">
      <c r="B1476" s="642" t="s">
        <v>1385</v>
      </c>
      <c r="C1476" s="646">
        <v>92511</v>
      </c>
    </row>
    <row r="1477" spans="2:3" x14ac:dyDescent="0.25">
      <c r="B1477" s="642" t="s">
        <v>1718</v>
      </c>
      <c r="C1477" s="646">
        <v>96502</v>
      </c>
    </row>
    <row r="1478" spans="2:3" x14ac:dyDescent="0.25">
      <c r="B1478" s="642" t="s">
        <v>1717</v>
      </c>
      <c r="C1478" s="646">
        <v>96501</v>
      </c>
    </row>
    <row r="1479" spans="2:3" x14ac:dyDescent="0.25">
      <c r="B1479" s="642" t="s">
        <v>1720</v>
      </c>
      <c r="C1479" s="646">
        <v>96504</v>
      </c>
    </row>
    <row r="1480" spans="2:3" x14ac:dyDescent="0.25">
      <c r="B1480" s="642" t="s">
        <v>1844</v>
      </c>
      <c r="C1480" s="646">
        <v>97913</v>
      </c>
    </row>
    <row r="1481" spans="2:3" x14ac:dyDescent="0.25">
      <c r="B1481" s="642" t="s">
        <v>1200</v>
      </c>
      <c r="C1481" s="646">
        <v>90621</v>
      </c>
    </row>
    <row r="1482" spans="2:3" x14ac:dyDescent="0.25">
      <c r="B1482" s="642" t="s">
        <v>1314</v>
      </c>
      <c r="C1482" s="646">
        <v>91621</v>
      </c>
    </row>
    <row r="1483" spans="2:3" x14ac:dyDescent="0.25">
      <c r="B1483" s="642" t="s">
        <v>1885</v>
      </c>
      <c r="C1483" s="646">
        <v>98231</v>
      </c>
    </row>
    <row r="1484" spans="2:3" x14ac:dyDescent="0.25">
      <c r="B1484" s="642" t="s">
        <v>1338</v>
      </c>
      <c r="C1484" s="646">
        <v>91871</v>
      </c>
    </row>
    <row r="1485" spans="2:3" x14ac:dyDescent="0.25">
      <c r="B1485" s="642" t="s">
        <v>1973</v>
      </c>
      <c r="C1485" s="646">
        <v>99311</v>
      </c>
    </row>
    <row r="1486" spans="2:3" x14ac:dyDescent="0.25">
      <c r="B1486" s="642" t="s">
        <v>1748</v>
      </c>
      <c r="C1486" s="646">
        <v>96751</v>
      </c>
    </row>
    <row r="1487" spans="2:3" x14ac:dyDescent="0.25">
      <c r="B1487" s="642" t="s">
        <v>2005</v>
      </c>
      <c r="C1487" s="646">
        <v>99717</v>
      </c>
    </row>
    <row r="1488" spans="2:3" x14ac:dyDescent="0.25">
      <c r="B1488" s="642" t="s">
        <v>2004</v>
      </c>
      <c r="C1488" s="646">
        <v>99711</v>
      </c>
    </row>
    <row r="1489" spans="2:3" x14ac:dyDescent="0.25">
      <c r="B1489" s="642" t="s">
        <v>1729</v>
      </c>
      <c r="C1489" s="646">
        <v>96601</v>
      </c>
    </row>
    <row r="1490" spans="2:3" x14ac:dyDescent="0.25">
      <c r="B1490" s="642" t="s">
        <v>1730</v>
      </c>
      <c r="C1490" s="646">
        <v>96604</v>
      </c>
    </row>
    <row r="1491" spans="2:3" x14ac:dyDescent="0.25">
      <c r="B1491" s="642" t="s">
        <v>1236</v>
      </c>
      <c r="C1491" s="646">
        <v>91012</v>
      </c>
    </row>
    <row r="1492" spans="2:3" x14ac:dyDescent="0.25">
      <c r="B1492" s="642" t="s">
        <v>1181</v>
      </c>
      <c r="C1492" s="646">
        <v>90305</v>
      </c>
    </row>
    <row r="1493" spans="2:3" x14ac:dyDescent="0.25">
      <c r="B1493" s="642" t="s">
        <v>1902</v>
      </c>
      <c r="C1493" s="646">
        <v>98427</v>
      </c>
    </row>
    <row r="1494" spans="2:3" x14ac:dyDescent="0.25">
      <c r="B1494" s="642" t="s">
        <v>1901</v>
      </c>
      <c r="C1494" s="646">
        <v>98421</v>
      </c>
    </row>
    <row r="1495" spans="2:3" x14ac:dyDescent="0.25">
      <c r="B1495" s="642" t="s">
        <v>1658</v>
      </c>
      <c r="C1495" s="646">
        <v>95821</v>
      </c>
    </row>
    <row r="1496" spans="2:3" x14ac:dyDescent="0.25">
      <c r="B1496" s="642" t="s">
        <v>1243</v>
      </c>
      <c r="C1496" s="646">
        <v>91027</v>
      </c>
    </row>
    <row r="1497" spans="2:3" x14ac:dyDescent="0.25">
      <c r="B1497" s="642" t="s">
        <v>1240</v>
      </c>
      <c r="C1497" s="646">
        <v>91021</v>
      </c>
    </row>
    <row r="1498" spans="2:3" x14ac:dyDescent="0.25">
      <c r="B1498" s="642" t="s">
        <v>1533</v>
      </c>
      <c r="C1498" s="646">
        <v>94161</v>
      </c>
    </row>
    <row r="1499" spans="2:3" x14ac:dyDescent="0.25">
      <c r="B1499" s="642" t="s">
        <v>1904</v>
      </c>
      <c r="C1499" s="646">
        <v>98441</v>
      </c>
    </row>
    <row r="1500" spans="2:3" x14ac:dyDescent="0.25">
      <c r="B1500" s="642" t="s">
        <v>1250</v>
      </c>
      <c r="C1500" s="646">
        <v>91067</v>
      </c>
    </row>
    <row r="1501" spans="2:3" x14ac:dyDescent="0.25">
      <c r="B1501" s="642" t="s">
        <v>1249</v>
      </c>
      <c r="C1501" s="646">
        <v>91061</v>
      </c>
    </row>
    <row r="1502" spans="2:3" x14ac:dyDescent="0.25">
      <c r="B1502" s="642" t="s">
        <v>1589</v>
      </c>
      <c r="C1502" s="646">
        <v>94812</v>
      </c>
    </row>
    <row r="1503" spans="2:3" x14ac:dyDescent="0.25">
      <c r="B1503" s="642" t="s">
        <v>1666</v>
      </c>
      <c r="C1503" s="646">
        <v>95921</v>
      </c>
    </row>
    <row r="1504" spans="2:3" x14ac:dyDescent="0.25">
      <c r="B1504" s="642" t="s">
        <v>1740</v>
      </c>
      <c r="C1504" s="646">
        <v>96701</v>
      </c>
    </row>
    <row r="1505" spans="2:3" x14ac:dyDescent="0.25">
      <c r="B1505" s="642" t="s">
        <v>1741</v>
      </c>
      <c r="C1505" s="646">
        <v>96704</v>
      </c>
    </row>
    <row r="1506" spans="2:3" x14ac:dyDescent="0.25">
      <c r="B1506" s="642" t="s">
        <v>1742</v>
      </c>
      <c r="C1506" s="646">
        <v>96708</v>
      </c>
    </row>
    <row r="1507" spans="2:3" x14ac:dyDescent="0.25">
      <c r="B1507" s="642" t="s">
        <v>1749</v>
      </c>
      <c r="C1507" s="646">
        <v>96801</v>
      </c>
    </row>
    <row r="1508" spans="2:3" x14ac:dyDescent="0.25">
      <c r="B1508" s="642" t="s">
        <v>1750</v>
      </c>
      <c r="C1508" s="646">
        <v>96804</v>
      </c>
    </row>
    <row r="1509" spans="2:3" x14ac:dyDescent="0.25">
      <c r="B1509" s="642" t="s">
        <v>1751</v>
      </c>
      <c r="C1509" s="646">
        <v>96808</v>
      </c>
    </row>
    <row r="1510" spans="2:3" x14ac:dyDescent="0.25">
      <c r="B1510" s="642" t="s">
        <v>1757</v>
      </c>
      <c r="C1510" s="646">
        <v>96912</v>
      </c>
    </row>
    <row r="1511" spans="2:3" x14ac:dyDescent="0.25">
      <c r="B1511" s="642" t="s">
        <v>1509</v>
      </c>
      <c r="C1511" s="646">
        <v>93913</v>
      </c>
    </row>
    <row r="1512" spans="2:3" x14ac:dyDescent="0.25">
      <c r="B1512" s="642" t="s">
        <v>1508</v>
      </c>
      <c r="C1512" s="646">
        <v>93911</v>
      </c>
    </row>
    <row r="1513" spans="2:3" x14ac:dyDescent="0.25">
      <c r="B1513" s="642" t="s">
        <v>1755</v>
      </c>
      <c r="C1513" s="646">
        <v>96901</v>
      </c>
    </row>
    <row r="1514" spans="2:3" x14ac:dyDescent="0.25">
      <c r="B1514" s="642" t="s">
        <v>3536</v>
      </c>
      <c r="C1514" s="646">
        <v>97841</v>
      </c>
    </row>
    <row r="1515" spans="2:3" x14ac:dyDescent="0.25">
      <c r="B1515" s="642" t="s">
        <v>1444</v>
      </c>
      <c r="C1515" s="646">
        <v>93202</v>
      </c>
    </row>
    <row r="1516" spans="2:3" x14ac:dyDescent="0.25">
      <c r="B1516" s="642" t="s">
        <v>3537</v>
      </c>
      <c r="C1516" s="646">
        <v>93609</v>
      </c>
    </row>
    <row r="1517" spans="2:3" x14ac:dyDescent="0.25">
      <c r="B1517" s="642" t="s">
        <v>1759</v>
      </c>
      <c r="C1517" s="646">
        <v>97001</v>
      </c>
    </row>
    <row r="1518" spans="2:3" x14ac:dyDescent="0.25">
      <c r="B1518" s="642" t="s">
        <v>1761</v>
      </c>
      <c r="C1518" s="646">
        <v>97004</v>
      </c>
    </row>
    <row r="1519" spans="2:3" x14ac:dyDescent="0.25">
      <c r="B1519" s="642" t="s">
        <v>1760</v>
      </c>
      <c r="C1519" s="646">
        <v>97002</v>
      </c>
    </row>
    <row r="1520" spans="2:3" x14ac:dyDescent="0.25">
      <c r="B1520" s="642" t="s">
        <v>1768</v>
      </c>
      <c r="C1520" s="646">
        <v>97015</v>
      </c>
    </row>
    <row r="1521" spans="2:3" x14ac:dyDescent="0.25">
      <c r="B1521" s="642" t="s">
        <v>1189</v>
      </c>
      <c r="C1521" s="646">
        <v>90441</v>
      </c>
    </row>
    <row r="1522" spans="2:3" x14ac:dyDescent="0.25">
      <c r="B1522" s="642" t="s">
        <v>1838</v>
      </c>
      <c r="C1522" s="646">
        <v>97853</v>
      </c>
    </row>
    <row r="1523" spans="2:3" x14ac:dyDescent="0.25">
      <c r="B1523" s="642" t="s">
        <v>1837</v>
      </c>
      <c r="C1523" s="646">
        <v>97851</v>
      </c>
    </row>
    <row r="1524" spans="2:3" x14ac:dyDescent="0.25">
      <c r="B1524" s="642" t="s">
        <v>1770</v>
      </c>
      <c r="C1524" s="646">
        <v>97101</v>
      </c>
    </row>
    <row r="1525" spans="2:3" x14ac:dyDescent="0.25">
      <c r="B1525" s="642" t="s">
        <v>1771</v>
      </c>
      <c r="C1525" s="646">
        <v>97104</v>
      </c>
    </row>
    <row r="1526" spans="2:3" x14ac:dyDescent="0.25">
      <c r="B1526" s="642" t="s">
        <v>1775</v>
      </c>
      <c r="C1526" s="646">
        <v>97201</v>
      </c>
    </row>
    <row r="1527" spans="2:3" x14ac:dyDescent="0.25">
      <c r="B1527" s="642" t="s">
        <v>1780</v>
      </c>
      <c r="C1527" s="646">
        <v>97301</v>
      </c>
    </row>
    <row r="1528" spans="2:3" x14ac:dyDescent="0.25">
      <c r="B1528" s="642" t="s">
        <v>1781</v>
      </c>
      <c r="C1528" s="646">
        <v>97304</v>
      </c>
    </row>
    <row r="1529" spans="2:3" x14ac:dyDescent="0.25">
      <c r="B1529" s="642" t="s">
        <v>1977</v>
      </c>
      <c r="C1529" s="646">
        <v>99405</v>
      </c>
    </row>
    <row r="1530" spans="2:3" x14ac:dyDescent="0.25">
      <c r="B1530" s="642" t="s">
        <v>1159</v>
      </c>
      <c r="C1530" s="646">
        <v>72265</v>
      </c>
    </row>
    <row r="1531" spans="2:3" x14ac:dyDescent="0.25">
      <c r="B1531" s="642" t="s">
        <v>1463</v>
      </c>
      <c r="C1531" s="646">
        <v>93406</v>
      </c>
    </row>
    <row r="1532" spans="2:3" x14ac:dyDescent="0.25">
      <c r="B1532" s="642" t="s">
        <v>1525</v>
      </c>
      <c r="C1532" s="646">
        <v>94112</v>
      </c>
    </row>
    <row r="1533" spans="2:3" x14ac:dyDescent="0.25">
      <c r="B1533" s="642" t="s">
        <v>2000</v>
      </c>
      <c r="C1533" s="646">
        <v>99651</v>
      </c>
    </row>
    <row r="1534" spans="2:3" x14ac:dyDescent="0.25">
      <c r="B1534" s="642" t="s">
        <v>1912</v>
      </c>
      <c r="C1534" s="646">
        <v>98607</v>
      </c>
    </row>
    <row r="1535" spans="2:3" x14ac:dyDescent="0.25">
      <c r="B1535" s="642" t="s">
        <v>1914</v>
      </c>
      <c r="C1535" s="646">
        <v>98611</v>
      </c>
    </row>
    <row r="1536" spans="2:3" x14ac:dyDescent="0.25">
      <c r="B1536" s="642" t="s">
        <v>1317</v>
      </c>
      <c r="C1536" s="646">
        <v>91641</v>
      </c>
    </row>
    <row r="1537" spans="2:3" x14ac:dyDescent="0.25">
      <c r="B1537" s="642" t="s">
        <v>1618</v>
      </c>
      <c r="C1537" s="646">
        <v>95161</v>
      </c>
    </row>
    <row r="1538" spans="2:3" x14ac:dyDescent="0.25">
      <c r="B1538" s="642" t="s">
        <v>1704</v>
      </c>
      <c r="C1538" s="646">
        <v>96361</v>
      </c>
    </row>
    <row r="1539" spans="2:3" x14ac:dyDescent="0.25">
      <c r="B1539" s="642" t="s">
        <v>1522</v>
      </c>
      <c r="C1539" s="646">
        <v>94108</v>
      </c>
    </row>
    <row r="1540" spans="2:3" x14ac:dyDescent="0.25">
      <c r="B1540" s="642" t="s">
        <v>1703</v>
      </c>
      <c r="C1540" s="646">
        <v>96351</v>
      </c>
    </row>
    <row r="1541" spans="2:3" x14ac:dyDescent="0.25">
      <c r="B1541" s="642" t="s">
        <v>1457</v>
      </c>
      <c r="C1541" s="646">
        <v>93331</v>
      </c>
    </row>
    <row r="1542" spans="2:3" x14ac:dyDescent="0.25">
      <c r="B1542" s="642" t="s">
        <v>1675</v>
      </c>
      <c r="C1542" s="646">
        <v>96021</v>
      </c>
    </row>
    <row r="1543" spans="2:3" x14ac:dyDescent="0.25">
      <c r="B1543" s="642" t="s">
        <v>1638</v>
      </c>
      <c r="C1543" s="646">
        <v>95421</v>
      </c>
    </row>
    <row r="1544" spans="2:3" x14ac:dyDescent="0.25">
      <c r="B1544" s="642" t="s">
        <v>1783</v>
      </c>
      <c r="C1544" s="646">
        <v>97401</v>
      </c>
    </row>
    <row r="1545" spans="2:3" x14ac:dyDescent="0.25">
      <c r="B1545" s="642" t="s">
        <v>1785</v>
      </c>
      <c r="C1545" s="646">
        <v>97404</v>
      </c>
    </row>
    <row r="1546" spans="2:3" x14ac:dyDescent="0.25">
      <c r="B1546" s="642" t="s">
        <v>1784</v>
      </c>
      <c r="C1546" s="646">
        <v>97402</v>
      </c>
    </row>
    <row r="1547" spans="2:3" x14ac:dyDescent="0.25">
      <c r="B1547" s="642" t="s">
        <v>1346</v>
      </c>
      <c r="C1547" s="646">
        <v>91921</v>
      </c>
    </row>
    <row r="1548" spans="2:3" x14ac:dyDescent="0.25">
      <c r="B1548" s="642" t="s">
        <v>1663</v>
      </c>
      <c r="C1548" s="646">
        <v>95908</v>
      </c>
    </row>
    <row r="1549" spans="2:3" x14ac:dyDescent="0.25">
      <c r="B1549" s="642" t="s">
        <v>1979</v>
      </c>
      <c r="C1549" s="646">
        <v>99413</v>
      </c>
    </row>
    <row r="1550" spans="2:3" x14ac:dyDescent="0.25">
      <c r="B1550" s="642" t="s">
        <v>1978</v>
      </c>
      <c r="C1550" s="646">
        <v>99411</v>
      </c>
    </row>
    <row r="1551" spans="2:3" x14ac:dyDescent="0.25">
      <c r="B1551" s="642" t="s">
        <v>1800</v>
      </c>
      <c r="C1551" s="646">
        <v>97501</v>
      </c>
    </row>
    <row r="1552" spans="2:3" x14ac:dyDescent="0.25">
      <c r="B1552" s="642" t="s">
        <v>1188</v>
      </c>
      <c r="C1552" s="646">
        <v>90431</v>
      </c>
    </row>
    <row r="1553" spans="2:3" x14ac:dyDescent="0.25">
      <c r="B1553" s="642" t="s">
        <v>1625</v>
      </c>
      <c r="C1553" s="646">
        <v>95211</v>
      </c>
    </row>
    <row r="1554" spans="2:3" x14ac:dyDescent="0.25">
      <c r="B1554" s="642" t="s">
        <v>1620</v>
      </c>
      <c r="C1554" s="646">
        <v>95181</v>
      </c>
    </row>
    <row r="1555" spans="2:3" x14ac:dyDescent="0.25">
      <c r="B1555" s="642" t="s">
        <v>1460</v>
      </c>
      <c r="C1555" s="646">
        <v>93351</v>
      </c>
    </row>
    <row r="1556" spans="2:3" x14ac:dyDescent="0.25">
      <c r="B1556" s="642" t="s">
        <v>1586</v>
      </c>
      <c r="C1556" s="646">
        <v>94711</v>
      </c>
    </row>
    <row r="1557" spans="2:3" x14ac:dyDescent="0.25">
      <c r="B1557" s="642" t="s">
        <v>1959</v>
      </c>
      <c r="C1557" s="646">
        <v>99213</v>
      </c>
    </row>
    <row r="1558" spans="2:3" x14ac:dyDescent="0.25">
      <c r="B1558" s="642" t="s">
        <v>1957</v>
      </c>
      <c r="C1558" s="646">
        <v>99211</v>
      </c>
    </row>
    <row r="1559" spans="2:3" x14ac:dyDescent="0.25">
      <c r="B1559" s="642" t="s">
        <v>1960</v>
      </c>
      <c r="C1559" s="646">
        <v>99218</v>
      </c>
    </row>
    <row r="1560" spans="2:3" x14ac:dyDescent="0.25">
      <c r="B1560" s="642" t="s">
        <v>1813</v>
      </c>
      <c r="C1560" s="646">
        <v>97641</v>
      </c>
    </row>
    <row r="1561" spans="2:3" x14ac:dyDescent="0.25">
      <c r="B1561" s="642" t="s">
        <v>1810</v>
      </c>
      <c r="C1561" s="646">
        <v>97627</v>
      </c>
    </row>
    <row r="1562" spans="2:3" x14ac:dyDescent="0.25">
      <c r="B1562" s="642" t="s">
        <v>1809</v>
      </c>
      <c r="C1562" s="646">
        <v>97623</v>
      </c>
    </row>
    <row r="1563" spans="2:3" x14ac:dyDescent="0.25">
      <c r="B1563" s="642" t="s">
        <v>1808</v>
      </c>
      <c r="C1563" s="646">
        <v>97621</v>
      </c>
    </row>
    <row r="1564" spans="2:3" x14ac:dyDescent="0.25">
      <c r="B1564" s="642" t="s">
        <v>1804</v>
      </c>
      <c r="C1564" s="646">
        <v>97601</v>
      </c>
    </row>
    <row r="1565" spans="2:3" x14ac:dyDescent="0.25">
      <c r="B1565" s="642" t="s">
        <v>1496</v>
      </c>
      <c r="C1565" s="646">
        <v>93681</v>
      </c>
    </row>
    <row r="1566" spans="2:3" x14ac:dyDescent="0.25">
      <c r="B1566" s="642" t="s">
        <v>1841</v>
      </c>
      <c r="C1566" s="646">
        <v>97877</v>
      </c>
    </row>
    <row r="1567" spans="2:3" x14ac:dyDescent="0.25">
      <c r="B1567" s="642" t="s">
        <v>1840</v>
      </c>
      <c r="C1567" s="646">
        <v>97871</v>
      </c>
    </row>
    <row r="1568" spans="2:3" x14ac:dyDescent="0.25">
      <c r="B1568" s="642" t="s">
        <v>1983</v>
      </c>
      <c r="C1568" s="646">
        <v>99502</v>
      </c>
    </row>
    <row r="1569" spans="2:3" x14ac:dyDescent="0.25">
      <c r="B1569" s="642" t="s">
        <v>1845</v>
      </c>
      <c r="C1569" s="646">
        <v>97917</v>
      </c>
    </row>
    <row r="1570" spans="2:3" x14ac:dyDescent="0.25">
      <c r="B1570" s="642" t="s">
        <v>1843</v>
      </c>
      <c r="C1570" s="646">
        <v>97911</v>
      </c>
    </row>
    <row r="1571" spans="2:3" x14ac:dyDescent="0.25">
      <c r="B1571" s="642" t="s">
        <v>1731</v>
      </c>
      <c r="C1571" s="646">
        <v>96611</v>
      </c>
    </row>
    <row r="1572" spans="2:3" x14ac:dyDescent="0.25">
      <c r="B1572" s="642" t="s">
        <v>1747</v>
      </c>
      <c r="C1572" s="646">
        <v>96741</v>
      </c>
    </row>
    <row r="1573" spans="2:3" x14ac:dyDescent="0.25">
      <c r="B1573" s="642" t="s">
        <v>1816</v>
      </c>
      <c r="C1573" s="646">
        <v>97701</v>
      </c>
    </row>
    <row r="1574" spans="2:3" x14ac:dyDescent="0.25">
      <c r="B1574" s="642" t="s">
        <v>1388</v>
      </c>
      <c r="C1574" s="646">
        <v>92541</v>
      </c>
    </row>
    <row r="1575" spans="2:3" x14ac:dyDescent="0.25">
      <c r="B1575" s="642" t="s">
        <v>1540</v>
      </c>
      <c r="C1575" s="646">
        <v>94209</v>
      </c>
    </row>
    <row r="1576" spans="2:3" x14ac:dyDescent="0.25">
      <c r="B1576" s="642" t="s">
        <v>1542</v>
      </c>
      <c r="C1576" s="646">
        <v>94221</v>
      </c>
    </row>
    <row r="1577" spans="2:3" x14ac:dyDescent="0.25">
      <c r="B1577" s="642" t="s">
        <v>1702</v>
      </c>
      <c r="C1577" s="646">
        <v>96341</v>
      </c>
    </row>
    <row r="1578" spans="2:3" x14ac:dyDescent="0.25">
      <c r="B1578" s="642" t="s">
        <v>1502</v>
      </c>
      <c r="C1578" s="646">
        <v>93821</v>
      </c>
    </row>
    <row r="1579" spans="2:3" x14ac:dyDescent="0.25">
      <c r="B1579" s="642" t="s">
        <v>1662</v>
      </c>
      <c r="C1579" s="646">
        <v>95853</v>
      </c>
    </row>
    <row r="1580" spans="2:3" x14ac:dyDescent="0.25">
      <c r="B1580" s="642" t="s">
        <v>1661</v>
      </c>
      <c r="C1580" s="646">
        <v>95851</v>
      </c>
    </row>
    <row r="1581" spans="2:3" x14ac:dyDescent="0.25">
      <c r="B1581" s="642" t="s">
        <v>1824</v>
      </c>
      <c r="C1581" s="646">
        <v>97801</v>
      </c>
    </row>
    <row r="1582" spans="2:3" x14ac:dyDescent="0.25">
      <c r="B1582" s="642" t="s">
        <v>1826</v>
      </c>
      <c r="C1582" s="646">
        <v>97803</v>
      </c>
    </row>
    <row r="1583" spans="2:3" x14ac:dyDescent="0.25">
      <c r="B1583" s="642" t="s">
        <v>1827</v>
      </c>
      <c r="C1583" s="646">
        <v>97805</v>
      </c>
    </row>
    <row r="1584" spans="2:3" x14ac:dyDescent="0.25">
      <c r="B1584" s="642" t="s">
        <v>1822</v>
      </c>
      <c r="C1584" s="646">
        <v>97727</v>
      </c>
    </row>
    <row r="1585" spans="2:3" x14ac:dyDescent="0.25">
      <c r="B1585" s="642" t="s">
        <v>1842</v>
      </c>
      <c r="C1585" s="646">
        <v>97901</v>
      </c>
    </row>
    <row r="1586" spans="2:3" x14ac:dyDescent="0.25">
      <c r="B1586" s="642" t="s">
        <v>1819</v>
      </c>
      <c r="C1586" s="646">
        <v>97713</v>
      </c>
    </row>
    <row r="1587" spans="2:3" x14ac:dyDescent="0.25">
      <c r="B1587" s="642" t="s">
        <v>1818</v>
      </c>
      <c r="C1587" s="646">
        <v>97711</v>
      </c>
    </row>
    <row r="1588" spans="2:3" x14ac:dyDescent="0.25">
      <c r="B1588" s="642" t="s">
        <v>1865</v>
      </c>
      <c r="C1588" s="646">
        <v>98071</v>
      </c>
    </row>
    <row r="1589" spans="2:3" x14ac:dyDescent="0.25">
      <c r="B1589" s="642" t="s">
        <v>1458</v>
      </c>
      <c r="C1589" s="646">
        <v>93333</v>
      </c>
    </row>
    <row r="1590" spans="2:3" x14ac:dyDescent="0.25">
      <c r="B1590" s="642" t="s">
        <v>1455</v>
      </c>
      <c r="C1590" s="646">
        <v>93321</v>
      </c>
    </row>
    <row r="1591" spans="2:3" x14ac:dyDescent="0.25">
      <c r="B1591" s="642" t="s">
        <v>1456</v>
      </c>
      <c r="C1591" s="646">
        <v>93323</v>
      </c>
    </row>
    <row r="1592" spans="2:3" x14ac:dyDescent="0.25">
      <c r="B1592" s="642" t="s">
        <v>1951</v>
      </c>
      <c r="C1592" s="646">
        <v>99203</v>
      </c>
    </row>
    <row r="1593" spans="2:3" x14ac:dyDescent="0.25">
      <c r="B1593" s="642" t="s">
        <v>1980</v>
      </c>
      <c r="C1593" s="646">
        <v>99421</v>
      </c>
    </row>
    <row r="1594" spans="2:3" x14ac:dyDescent="0.25">
      <c r="B1594" s="642" t="s">
        <v>1439</v>
      </c>
      <c r="C1594" s="646">
        <v>93161</v>
      </c>
    </row>
    <row r="1595" spans="2:3" x14ac:dyDescent="0.25">
      <c r="B1595" s="642" t="s">
        <v>1886</v>
      </c>
      <c r="C1595" s="646">
        <v>98237</v>
      </c>
    </row>
    <row r="1596" spans="2:3" x14ac:dyDescent="0.25">
      <c r="B1596" s="642" t="s">
        <v>1889</v>
      </c>
      <c r="C1596" s="646">
        <v>98261</v>
      </c>
    </row>
    <row r="1597" spans="2:3" x14ac:dyDescent="0.25">
      <c r="B1597" s="642" t="s">
        <v>3538</v>
      </c>
      <c r="C1597" s="646">
        <v>98002</v>
      </c>
    </row>
    <row r="1598" spans="2:3" x14ac:dyDescent="0.25">
      <c r="B1598" s="642" t="s">
        <v>1853</v>
      </c>
      <c r="C1598" s="646">
        <v>98001</v>
      </c>
    </row>
    <row r="1599" spans="2:3" x14ac:dyDescent="0.25">
      <c r="B1599" s="642" t="s">
        <v>1855</v>
      </c>
      <c r="C1599" s="646">
        <v>98004</v>
      </c>
    </row>
    <row r="1600" spans="2:3" x14ac:dyDescent="0.25">
      <c r="B1600" s="642" t="s">
        <v>1854</v>
      </c>
      <c r="C1600" s="646">
        <v>98003</v>
      </c>
    </row>
    <row r="1601" spans="2:3" x14ac:dyDescent="0.25">
      <c r="B1601" s="642" t="s">
        <v>1856</v>
      </c>
      <c r="C1601" s="646">
        <v>98008</v>
      </c>
    </row>
    <row r="1602" spans="2:3" x14ac:dyDescent="0.25">
      <c r="B1602" s="642" t="s">
        <v>1839</v>
      </c>
      <c r="C1602" s="646">
        <v>97861</v>
      </c>
    </row>
    <row r="1603" spans="2:3" x14ac:dyDescent="0.25">
      <c r="B1603" s="642" t="s">
        <v>1782</v>
      </c>
      <c r="C1603" s="646">
        <v>97311</v>
      </c>
    </row>
    <row r="1604" spans="2:3" x14ac:dyDescent="0.25">
      <c r="B1604" s="642" t="s">
        <v>1467</v>
      </c>
      <c r="C1604" s="646">
        <v>93431</v>
      </c>
    </row>
    <row r="1605" spans="2:3" x14ac:dyDescent="0.25">
      <c r="B1605" s="642" t="s">
        <v>1280</v>
      </c>
      <c r="C1605" s="646">
        <v>91214</v>
      </c>
    </row>
    <row r="1606" spans="2:3" x14ac:dyDescent="0.25">
      <c r="B1606" s="642" t="s">
        <v>1868</v>
      </c>
      <c r="C1606" s="646">
        <v>98101</v>
      </c>
    </row>
    <row r="1607" spans="2:3" x14ac:dyDescent="0.25">
      <c r="B1607" s="642" t="s">
        <v>1870</v>
      </c>
      <c r="C1607" s="646">
        <v>98103</v>
      </c>
    </row>
    <row r="1608" spans="2:3" x14ac:dyDescent="0.25">
      <c r="B1608" s="642" t="s">
        <v>1878</v>
      </c>
      <c r="C1608" s="646">
        <v>98147</v>
      </c>
    </row>
    <row r="1609" spans="2:3" x14ac:dyDescent="0.25">
      <c r="B1609" s="642" t="s">
        <v>1877</v>
      </c>
      <c r="C1609" s="646">
        <v>98141</v>
      </c>
    </row>
    <row r="1610" spans="2:3" x14ac:dyDescent="0.25">
      <c r="B1610" s="642" t="s">
        <v>1834</v>
      </c>
      <c r="C1610" s="646">
        <v>97837</v>
      </c>
    </row>
    <row r="1611" spans="2:3" x14ac:dyDescent="0.25">
      <c r="B1611" s="642" t="s">
        <v>1884</v>
      </c>
      <c r="C1611" s="646">
        <v>98221</v>
      </c>
    </row>
    <row r="1612" spans="2:3" x14ac:dyDescent="0.25">
      <c r="B1612" s="642" t="s">
        <v>1858</v>
      </c>
      <c r="C1612" s="646">
        <v>98013</v>
      </c>
    </row>
    <row r="1613" spans="2:3" x14ac:dyDescent="0.25">
      <c r="B1613" s="642" t="s">
        <v>1857</v>
      </c>
      <c r="C1613" s="646">
        <v>98011</v>
      </c>
    </row>
    <row r="1614" spans="2:3" x14ac:dyDescent="0.25">
      <c r="B1614" s="642" t="s">
        <v>1803</v>
      </c>
      <c r="C1614" s="646">
        <v>97531</v>
      </c>
    </row>
    <row r="1615" spans="2:3" x14ac:dyDescent="0.25">
      <c r="B1615" s="642" t="s">
        <v>1880</v>
      </c>
      <c r="C1615" s="646">
        <v>98201</v>
      </c>
    </row>
    <row r="1616" spans="2:3" x14ac:dyDescent="0.25">
      <c r="B1616" s="642" t="s">
        <v>1817</v>
      </c>
      <c r="C1616" s="646">
        <v>97705</v>
      </c>
    </row>
    <row r="1617" spans="2:3" x14ac:dyDescent="0.25">
      <c r="B1617" s="642" t="s">
        <v>3539</v>
      </c>
      <c r="C1617" s="646">
        <v>96318</v>
      </c>
    </row>
    <row r="1618" spans="2:3" x14ac:dyDescent="0.25">
      <c r="B1618" s="642" t="s">
        <v>1629</v>
      </c>
      <c r="C1618" s="646">
        <v>95317</v>
      </c>
    </row>
    <row r="1619" spans="2:3" x14ac:dyDescent="0.25">
      <c r="B1619" s="642" t="s">
        <v>1628</v>
      </c>
      <c r="C1619" s="646">
        <v>95311</v>
      </c>
    </row>
    <row r="1620" spans="2:3" x14ac:dyDescent="0.25">
      <c r="B1620" s="642" t="s">
        <v>1301</v>
      </c>
      <c r="C1620" s="646">
        <v>91421</v>
      </c>
    </row>
    <row r="1621" spans="2:3" x14ac:dyDescent="0.25">
      <c r="B1621" s="642" t="s">
        <v>1891</v>
      </c>
      <c r="C1621" s="646">
        <v>98301</v>
      </c>
    </row>
    <row r="1622" spans="2:3" x14ac:dyDescent="0.25">
      <c r="B1622" s="642" t="s">
        <v>1892</v>
      </c>
      <c r="C1622" s="646">
        <v>98304</v>
      </c>
    </row>
    <row r="1623" spans="2:3" x14ac:dyDescent="0.25">
      <c r="B1623" s="642" t="s">
        <v>1544</v>
      </c>
      <c r="C1623" s="646">
        <v>94241</v>
      </c>
    </row>
    <row r="1624" spans="2:3" x14ac:dyDescent="0.25">
      <c r="B1624" s="642" t="s">
        <v>1739</v>
      </c>
      <c r="C1624" s="646">
        <v>96681</v>
      </c>
    </row>
    <row r="1625" spans="2:3" x14ac:dyDescent="0.25">
      <c r="B1625" s="642" t="s">
        <v>1614</v>
      </c>
      <c r="C1625" s="646">
        <v>95123</v>
      </c>
    </row>
    <row r="1626" spans="2:3" x14ac:dyDescent="0.25">
      <c r="B1626" s="642" t="s">
        <v>1612</v>
      </c>
      <c r="C1626" s="646">
        <v>95121</v>
      </c>
    </row>
    <row r="1627" spans="2:3" x14ac:dyDescent="0.25">
      <c r="B1627" s="642" t="s">
        <v>1989</v>
      </c>
      <c r="C1627" s="646">
        <v>99531</v>
      </c>
    </row>
    <row r="1628" spans="2:3" x14ac:dyDescent="0.25">
      <c r="B1628" s="642" t="s">
        <v>1738</v>
      </c>
      <c r="C1628" s="646">
        <v>96671</v>
      </c>
    </row>
    <row r="1629" spans="2:3" x14ac:dyDescent="0.25">
      <c r="B1629" s="642" t="s">
        <v>1248</v>
      </c>
      <c r="C1629" s="646">
        <v>91057</v>
      </c>
    </row>
    <row r="1630" spans="2:3" x14ac:dyDescent="0.25">
      <c r="B1630" s="642" t="s">
        <v>1253</v>
      </c>
      <c r="C1630" s="646">
        <v>91081</v>
      </c>
    </row>
    <row r="1631" spans="2:3" x14ac:dyDescent="0.25">
      <c r="B1631" s="642" t="s">
        <v>1716</v>
      </c>
      <c r="C1631" s="646">
        <v>96461</v>
      </c>
    </row>
    <row r="1632" spans="2:3" x14ac:dyDescent="0.25">
      <c r="B1632" s="642" t="s">
        <v>1361</v>
      </c>
      <c r="C1632" s="646">
        <v>92317</v>
      </c>
    </row>
    <row r="1633" spans="2:3" x14ac:dyDescent="0.25">
      <c r="B1633" s="642" t="s">
        <v>1360</v>
      </c>
      <c r="C1633" s="646">
        <v>92311</v>
      </c>
    </row>
    <row r="1634" spans="2:3" x14ac:dyDescent="0.25">
      <c r="B1634" s="642" t="s">
        <v>1786</v>
      </c>
      <c r="C1634" s="646">
        <v>97405</v>
      </c>
    </row>
    <row r="1635" spans="2:3" x14ac:dyDescent="0.25">
      <c r="B1635" s="642" t="s">
        <v>1345</v>
      </c>
      <c r="C1635" s="646">
        <v>91917</v>
      </c>
    </row>
    <row r="1636" spans="2:3" x14ac:dyDescent="0.25">
      <c r="B1636" s="642" t="s">
        <v>1344</v>
      </c>
      <c r="C1636" s="646">
        <v>91911</v>
      </c>
    </row>
    <row r="1637" spans="2:3" x14ac:dyDescent="0.25">
      <c r="B1637" s="642" t="s">
        <v>1798</v>
      </c>
      <c r="C1637" s="646">
        <v>97481</v>
      </c>
    </row>
    <row r="1638" spans="2:3" x14ac:dyDescent="0.25">
      <c r="B1638" s="642" t="s">
        <v>1267</v>
      </c>
      <c r="C1638" s="646">
        <v>91138</v>
      </c>
    </row>
    <row r="1639" spans="2:3" x14ac:dyDescent="0.25">
      <c r="B1639" s="642" t="s">
        <v>1611</v>
      </c>
      <c r="C1639" s="646">
        <v>95113</v>
      </c>
    </row>
    <row r="1640" spans="2:3" x14ac:dyDescent="0.25">
      <c r="B1640" s="642" t="s">
        <v>1610</v>
      </c>
      <c r="C1640" s="646">
        <v>95111</v>
      </c>
    </row>
    <row r="1641" spans="2:3" x14ac:dyDescent="0.25">
      <c r="B1641" s="642" t="s">
        <v>1603</v>
      </c>
      <c r="C1641" s="646">
        <v>95009</v>
      </c>
    </row>
    <row r="1642" spans="2:3" x14ac:dyDescent="0.25">
      <c r="B1642" s="642" t="s">
        <v>1518</v>
      </c>
      <c r="C1642" s="646">
        <v>94021</v>
      </c>
    </row>
    <row r="1643" spans="2:3" x14ac:dyDescent="0.25">
      <c r="B1643" s="642" t="s">
        <v>1507</v>
      </c>
      <c r="C1643" s="646">
        <v>93910</v>
      </c>
    </row>
    <row r="1644" spans="2:3" x14ac:dyDescent="0.25">
      <c r="B1644" s="642" t="s">
        <v>3540</v>
      </c>
      <c r="C1644" s="646">
        <v>91013</v>
      </c>
    </row>
    <row r="1645" spans="2:3" x14ac:dyDescent="0.25">
      <c r="B1645" s="642" t="s">
        <v>1223</v>
      </c>
      <c r="C1645" s="646">
        <v>90918</v>
      </c>
    </row>
    <row r="1646" spans="2:3" x14ac:dyDescent="0.25">
      <c r="B1646" s="642" t="s">
        <v>1698</v>
      </c>
      <c r="C1646" s="646">
        <v>96311</v>
      </c>
    </row>
    <row r="1647" spans="2:3" x14ac:dyDescent="0.25">
      <c r="B1647" s="642" t="s">
        <v>1414</v>
      </c>
      <c r="C1647" s="646">
        <v>92841</v>
      </c>
    </row>
    <row r="1648" spans="2:3" x14ac:dyDescent="0.25">
      <c r="B1648" s="642" t="s">
        <v>1994</v>
      </c>
      <c r="C1648" s="646">
        <v>99609</v>
      </c>
    </row>
    <row r="1649" spans="2:3" x14ac:dyDescent="0.25">
      <c r="B1649" s="642" t="s">
        <v>1238</v>
      </c>
      <c r="C1649" s="646">
        <v>91017</v>
      </c>
    </row>
    <row r="1650" spans="2:3" x14ac:dyDescent="0.25">
      <c r="B1650" s="642" t="s">
        <v>1235</v>
      </c>
      <c r="C1650" s="646">
        <v>91011</v>
      </c>
    </row>
    <row r="1651" spans="2:3" x14ac:dyDescent="0.25">
      <c r="B1651" s="642" t="s">
        <v>1602</v>
      </c>
      <c r="C1651" s="646">
        <v>95008</v>
      </c>
    </row>
    <row r="1652" spans="2:3" x14ac:dyDescent="0.25">
      <c r="B1652" s="642" t="s">
        <v>1182</v>
      </c>
      <c r="C1652" s="646">
        <v>90307</v>
      </c>
    </row>
    <row r="1653" spans="2:3" x14ac:dyDescent="0.25">
      <c r="B1653" s="642" t="s">
        <v>1160</v>
      </c>
      <c r="C1653" s="646">
        <v>72657</v>
      </c>
    </row>
    <row r="1654" spans="2:3" x14ac:dyDescent="0.25">
      <c r="B1654" s="642" t="s">
        <v>1861</v>
      </c>
      <c r="C1654" s="646">
        <v>98031</v>
      </c>
    </row>
    <row r="1655" spans="2:3" x14ac:dyDescent="0.25">
      <c r="B1655" s="642" t="s">
        <v>1875</v>
      </c>
      <c r="C1655" s="646">
        <v>98121</v>
      </c>
    </row>
    <row r="1656" spans="2:3" x14ac:dyDescent="0.25">
      <c r="B1656" s="642" t="s">
        <v>1711</v>
      </c>
      <c r="C1656" s="646">
        <v>96411</v>
      </c>
    </row>
    <row r="1657" spans="2:3" x14ac:dyDescent="0.25">
      <c r="B1657" s="642" t="s">
        <v>1403</v>
      </c>
      <c r="C1657" s="646">
        <v>92661</v>
      </c>
    </row>
    <row r="1658" spans="2:3" x14ac:dyDescent="0.25">
      <c r="B1658" s="642" t="s">
        <v>1684</v>
      </c>
      <c r="C1658" s="646">
        <v>96111</v>
      </c>
    </row>
    <row r="1659" spans="2:3" x14ac:dyDescent="0.25">
      <c r="B1659" s="642" t="s">
        <v>1244</v>
      </c>
      <c r="C1659" s="646">
        <v>91032</v>
      </c>
    </row>
    <row r="1660" spans="2:3" x14ac:dyDescent="0.25">
      <c r="B1660" s="642" t="s">
        <v>1833</v>
      </c>
      <c r="C1660" s="646">
        <v>97831</v>
      </c>
    </row>
    <row r="1661" spans="2:3" x14ac:dyDescent="0.25">
      <c r="B1661" s="642" t="s">
        <v>1679</v>
      </c>
      <c r="C1661" s="646">
        <v>96061</v>
      </c>
    </row>
    <row r="1662" spans="2:3" x14ac:dyDescent="0.25">
      <c r="B1662" s="642" t="s">
        <v>1906</v>
      </c>
      <c r="C1662" s="646">
        <v>98481</v>
      </c>
    </row>
    <row r="1663" spans="2:3" x14ac:dyDescent="0.25">
      <c r="B1663" s="642" t="s">
        <v>1482</v>
      </c>
      <c r="C1663" s="646">
        <v>93602</v>
      </c>
    </row>
    <row r="1664" spans="2:3" x14ac:dyDescent="0.25">
      <c r="B1664" s="642" t="s">
        <v>1898</v>
      </c>
      <c r="C1664" s="646">
        <v>98401</v>
      </c>
    </row>
    <row r="1665" spans="2:3" x14ac:dyDescent="0.25">
      <c r="B1665" s="642" t="s">
        <v>2014</v>
      </c>
      <c r="C1665" s="646">
        <v>99821</v>
      </c>
    </row>
    <row r="1666" spans="2:3" x14ac:dyDescent="0.25">
      <c r="B1666" s="642" t="s">
        <v>1688</v>
      </c>
      <c r="C1666" s="646">
        <v>96211</v>
      </c>
    </row>
    <row r="1667" spans="2:3" x14ac:dyDescent="0.25">
      <c r="B1667" s="642" t="s">
        <v>1593</v>
      </c>
      <c r="C1667" s="646">
        <v>94917</v>
      </c>
    </row>
    <row r="1668" spans="2:3" x14ac:dyDescent="0.25">
      <c r="B1668" s="642" t="s">
        <v>1592</v>
      </c>
      <c r="C1668" s="646">
        <v>94911</v>
      </c>
    </row>
    <row r="1669" spans="2:3" x14ac:dyDescent="0.25">
      <c r="B1669" s="642" t="s">
        <v>1399</v>
      </c>
      <c r="C1669" s="646">
        <v>92621</v>
      </c>
    </row>
    <row r="1670" spans="2:3" x14ac:dyDescent="0.25">
      <c r="B1670" s="642" t="s">
        <v>1907</v>
      </c>
      <c r="C1670" s="646">
        <v>98501</v>
      </c>
    </row>
    <row r="1671" spans="2:3" x14ac:dyDescent="0.25">
      <c r="B1671" s="642" t="s">
        <v>1847</v>
      </c>
      <c r="C1671" s="646">
        <v>97931</v>
      </c>
    </row>
    <row r="1672" spans="2:3" x14ac:dyDescent="0.25">
      <c r="B1672" s="642" t="s">
        <v>1510</v>
      </c>
      <c r="C1672" s="646">
        <v>93914</v>
      </c>
    </row>
    <row r="1673" spans="2:3" x14ac:dyDescent="0.25">
      <c r="B1673" s="642" t="s">
        <v>1203</v>
      </c>
      <c r="C1673" s="646">
        <v>90651</v>
      </c>
    </row>
    <row r="1674" spans="2:3" x14ac:dyDescent="0.25">
      <c r="B1674" s="642" t="s">
        <v>1536</v>
      </c>
      <c r="C1674" s="646">
        <v>94172</v>
      </c>
    </row>
    <row r="1675" spans="2:3" x14ac:dyDescent="0.25">
      <c r="B1675" s="642" t="s">
        <v>1535</v>
      </c>
      <c r="C1675" s="646">
        <v>94171</v>
      </c>
    </row>
    <row r="1676" spans="2:3" x14ac:dyDescent="0.25">
      <c r="B1676" s="642" t="s">
        <v>1246</v>
      </c>
      <c r="C1676" s="646">
        <v>91047</v>
      </c>
    </row>
    <row r="1677" spans="2:3" x14ac:dyDescent="0.25">
      <c r="B1677" s="642" t="s">
        <v>1245</v>
      </c>
      <c r="C1677" s="646">
        <v>91041</v>
      </c>
    </row>
    <row r="1678" spans="2:3" x14ac:dyDescent="0.25">
      <c r="B1678" s="642" t="s">
        <v>1774</v>
      </c>
      <c r="C1678" s="646">
        <v>97131</v>
      </c>
    </row>
    <row r="1679" spans="2:3" x14ac:dyDescent="0.25">
      <c r="B1679" s="642" t="s">
        <v>1911</v>
      </c>
      <c r="C1679" s="646">
        <v>98601</v>
      </c>
    </row>
    <row r="1680" spans="2:3" x14ac:dyDescent="0.25">
      <c r="B1680" s="642" t="s">
        <v>1921</v>
      </c>
      <c r="C1680" s="646">
        <v>98701</v>
      </c>
    </row>
    <row r="1681" spans="2:3" x14ac:dyDescent="0.25">
      <c r="B1681" s="642" t="s">
        <v>1744</v>
      </c>
      <c r="C1681" s="646">
        <v>96721</v>
      </c>
    </row>
    <row r="1682" spans="2:3" x14ac:dyDescent="0.25">
      <c r="B1682" s="642" t="s">
        <v>1604</v>
      </c>
      <c r="C1682" s="646">
        <v>95011</v>
      </c>
    </row>
    <row r="1683" spans="2:3" x14ac:dyDescent="0.25">
      <c r="B1683" s="642" t="s">
        <v>1376</v>
      </c>
      <c r="C1683" s="646">
        <v>92451</v>
      </c>
    </row>
    <row r="1684" spans="2:3" x14ac:dyDescent="0.25">
      <c r="B1684" s="642" t="s">
        <v>1454</v>
      </c>
      <c r="C1684" s="646">
        <v>93317</v>
      </c>
    </row>
    <row r="1685" spans="2:3" x14ac:dyDescent="0.25">
      <c r="B1685" s="642" t="s">
        <v>1453</v>
      </c>
      <c r="C1685" s="646">
        <v>93311</v>
      </c>
    </row>
    <row r="1686" spans="2:3" x14ac:dyDescent="0.25">
      <c r="B1686" s="642" t="s">
        <v>1179</v>
      </c>
      <c r="C1686" s="646">
        <v>90211</v>
      </c>
    </row>
    <row r="1687" spans="2:3" x14ac:dyDescent="0.25">
      <c r="B1687" s="642" t="s">
        <v>1694</v>
      </c>
      <c r="C1687" s="646">
        <v>96302</v>
      </c>
    </row>
    <row r="1688" spans="2:3" x14ac:dyDescent="0.25">
      <c r="B1688" s="642" t="s">
        <v>1441</v>
      </c>
      <c r="C1688" s="646">
        <v>93181</v>
      </c>
    </row>
    <row r="1689" spans="2:3" x14ac:dyDescent="0.25">
      <c r="B1689" s="642" t="s">
        <v>1356</v>
      </c>
      <c r="C1689" s="646">
        <v>92113</v>
      </c>
    </row>
    <row r="1690" spans="2:3" x14ac:dyDescent="0.25">
      <c r="B1690" s="642" t="s">
        <v>1419</v>
      </c>
      <c r="C1690" s="646">
        <v>92913</v>
      </c>
    </row>
    <row r="1691" spans="2:3" x14ac:dyDescent="0.25">
      <c r="B1691" s="642" t="s">
        <v>1418</v>
      </c>
      <c r="C1691" s="646">
        <v>92911</v>
      </c>
    </row>
    <row r="1692" spans="2:3" x14ac:dyDescent="0.25">
      <c r="B1692" s="642" t="s">
        <v>1472</v>
      </c>
      <c r="C1692" s="646">
        <v>93471</v>
      </c>
    </row>
    <row r="1693" spans="2:3" x14ac:dyDescent="0.25">
      <c r="B1693" s="642" t="s">
        <v>1165</v>
      </c>
      <c r="C1693" s="646">
        <v>90098</v>
      </c>
    </row>
    <row r="1694" spans="2:3" x14ac:dyDescent="0.25">
      <c r="B1694" s="642" t="s">
        <v>1773</v>
      </c>
      <c r="C1694" s="646">
        <v>97121</v>
      </c>
    </row>
    <row r="1695" spans="2:3" x14ac:dyDescent="0.25">
      <c r="B1695" s="642" t="s">
        <v>1370</v>
      </c>
      <c r="C1695" s="646">
        <v>92414</v>
      </c>
    </row>
    <row r="1696" spans="2:3" x14ac:dyDescent="0.25">
      <c r="B1696" s="642" t="s">
        <v>1423</v>
      </c>
      <c r="C1696" s="646">
        <v>92941</v>
      </c>
    </row>
    <row r="1697" spans="2:3" x14ac:dyDescent="0.25">
      <c r="B1697" s="642" t="s">
        <v>1242</v>
      </c>
      <c r="C1697" s="646">
        <v>91026</v>
      </c>
    </row>
    <row r="1698" spans="2:3" x14ac:dyDescent="0.25">
      <c r="B1698" s="642" t="s">
        <v>1924</v>
      </c>
      <c r="C1698" s="646">
        <v>98801</v>
      </c>
    </row>
    <row r="1699" spans="2:3" x14ac:dyDescent="0.25">
      <c r="B1699" s="642" t="s">
        <v>1386</v>
      </c>
      <c r="C1699" s="646">
        <v>92521</v>
      </c>
    </row>
    <row r="1700" spans="2:3" x14ac:dyDescent="0.25">
      <c r="B1700" s="642" t="s">
        <v>3541</v>
      </c>
      <c r="C1700" s="646">
        <v>93417</v>
      </c>
    </row>
    <row r="1701" spans="2:3" x14ac:dyDescent="0.25">
      <c r="B1701" s="642" t="s">
        <v>1449</v>
      </c>
      <c r="C1701" s="646">
        <v>93219</v>
      </c>
    </row>
    <row r="1702" spans="2:3" x14ac:dyDescent="0.25">
      <c r="B1702" s="642" t="s">
        <v>3542</v>
      </c>
      <c r="C1702" s="646">
        <v>92513</v>
      </c>
    </row>
    <row r="1703" spans="2:3" x14ac:dyDescent="0.25">
      <c r="B1703" s="642" t="s">
        <v>1815</v>
      </c>
      <c r="C1703" s="646">
        <v>97661</v>
      </c>
    </row>
    <row r="1704" spans="2:3" x14ac:dyDescent="0.25">
      <c r="B1704" s="642" t="s">
        <v>1597</v>
      </c>
      <c r="C1704" s="646">
        <v>94931</v>
      </c>
    </row>
    <row r="1705" spans="2:3" x14ac:dyDescent="0.25">
      <c r="B1705" s="642" t="s">
        <v>1689</v>
      </c>
      <c r="C1705" s="646">
        <v>96221</v>
      </c>
    </row>
    <row r="1706" spans="2:3" x14ac:dyDescent="0.25">
      <c r="B1706" s="642" t="s">
        <v>1801</v>
      </c>
      <c r="C1706" s="646">
        <v>97511</v>
      </c>
    </row>
    <row r="1707" spans="2:3" x14ac:dyDescent="0.25">
      <c r="B1707" s="642" t="s">
        <v>1600</v>
      </c>
      <c r="C1707" s="646">
        <v>95002</v>
      </c>
    </row>
    <row r="1708" spans="2:3" x14ac:dyDescent="0.25">
      <c r="B1708" s="642" t="s">
        <v>1888</v>
      </c>
      <c r="C1708" s="646">
        <v>98251</v>
      </c>
    </row>
    <row r="1709" spans="2:3" x14ac:dyDescent="0.25">
      <c r="B1709" s="642" t="s">
        <v>1927</v>
      </c>
      <c r="C1709" s="646">
        <v>98901</v>
      </c>
    </row>
    <row r="1710" spans="2:3" x14ac:dyDescent="0.25">
      <c r="B1710" s="642" t="s">
        <v>1928</v>
      </c>
      <c r="C1710" s="646">
        <v>98904</v>
      </c>
    </row>
    <row r="1711" spans="2:3" x14ac:dyDescent="0.25">
      <c r="B1711" s="642" t="s">
        <v>1930</v>
      </c>
      <c r="C1711" s="646">
        <v>99001</v>
      </c>
    </row>
    <row r="1712" spans="2:3" x14ac:dyDescent="0.25">
      <c r="B1712" s="642" t="s">
        <v>1940</v>
      </c>
      <c r="C1712" s="646">
        <v>99061</v>
      </c>
    </row>
    <row r="1713" spans="2:3" x14ac:dyDescent="0.25">
      <c r="B1713" s="642" t="s">
        <v>3543</v>
      </c>
      <c r="C1713" s="646">
        <v>93309</v>
      </c>
    </row>
    <row r="1714" spans="2:3" x14ac:dyDescent="0.25">
      <c r="B1714" s="642" t="s">
        <v>1279</v>
      </c>
      <c r="C1714" s="646">
        <v>91213</v>
      </c>
    </row>
    <row r="1715" spans="2:3" x14ac:dyDescent="0.25">
      <c r="B1715" s="642" t="s">
        <v>1278</v>
      </c>
      <c r="C1715" s="646">
        <v>91211</v>
      </c>
    </row>
    <row r="1716" spans="2:3" x14ac:dyDescent="0.25">
      <c r="B1716" s="642" t="s">
        <v>1944</v>
      </c>
      <c r="C1716" s="646">
        <v>99101</v>
      </c>
    </row>
    <row r="1717" spans="2:3" x14ac:dyDescent="0.25">
      <c r="B1717" s="642" t="s">
        <v>1945</v>
      </c>
      <c r="C1717" s="646">
        <v>99104</v>
      </c>
    </row>
    <row r="1718" spans="2:3" x14ac:dyDescent="0.25">
      <c r="B1718" s="642" t="s">
        <v>1389</v>
      </c>
      <c r="C1718" s="646">
        <v>92551</v>
      </c>
    </row>
    <row r="1719" spans="2:3" x14ac:dyDescent="0.25">
      <c r="B1719" s="642" t="s">
        <v>1700</v>
      </c>
      <c r="C1719" s="646">
        <v>96321</v>
      </c>
    </row>
    <row r="1720" spans="2:3" x14ac:dyDescent="0.25">
      <c r="B1720" s="642" t="s">
        <v>1401</v>
      </c>
      <c r="C1720" s="646">
        <v>92641</v>
      </c>
    </row>
    <row r="1721" spans="2:3" x14ac:dyDescent="0.25">
      <c r="B1721" s="642" t="s">
        <v>1186</v>
      </c>
      <c r="C1721" s="646">
        <v>90417</v>
      </c>
    </row>
    <row r="1722" spans="2:3" x14ac:dyDescent="0.25">
      <c r="B1722" s="642" t="s">
        <v>1185</v>
      </c>
      <c r="C1722" s="646">
        <v>90413</v>
      </c>
    </row>
    <row r="1723" spans="2:3" x14ac:dyDescent="0.25">
      <c r="B1723" s="642" t="s">
        <v>1184</v>
      </c>
      <c r="C1723" s="646">
        <v>90411</v>
      </c>
    </row>
    <row r="1724" spans="2:3" x14ac:dyDescent="0.25">
      <c r="B1724" s="642" t="s">
        <v>1896</v>
      </c>
      <c r="C1724" s="646">
        <v>98321</v>
      </c>
    </row>
    <row r="1725" spans="2:3" x14ac:dyDescent="0.25">
      <c r="B1725" s="642" t="s">
        <v>1949</v>
      </c>
      <c r="C1725" s="646">
        <v>99201</v>
      </c>
    </row>
    <row r="1726" spans="2:3" x14ac:dyDescent="0.25">
      <c r="B1726" s="642" t="s">
        <v>1952</v>
      </c>
      <c r="C1726" s="646">
        <v>99204</v>
      </c>
    </row>
    <row r="1727" spans="2:3" x14ac:dyDescent="0.25">
      <c r="B1727" s="642" t="s">
        <v>1954</v>
      </c>
      <c r="C1727" s="646">
        <v>99207</v>
      </c>
    </row>
    <row r="1728" spans="2:3" x14ac:dyDescent="0.25">
      <c r="B1728" s="642" t="s">
        <v>1969</v>
      </c>
      <c r="C1728" s="646">
        <v>99281</v>
      </c>
    </row>
    <row r="1729" spans="2:3" x14ac:dyDescent="0.25">
      <c r="B1729" s="642" t="s">
        <v>1471</v>
      </c>
      <c r="C1729" s="646">
        <v>93461</v>
      </c>
    </row>
    <row r="1730" spans="2:3" x14ac:dyDescent="0.25">
      <c r="B1730" s="642" t="s">
        <v>1438</v>
      </c>
      <c r="C1730" s="646">
        <v>93157</v>
      </c>
    </row>
    <row r="1731" spans="2:3" x14ac:dyDescent="0.25">
      <c r="B1731" s="642" t="s">
        <v>1437</v>
      </c>
      <c r="C1731" s="646">
        <v>93151</v>
      </c>
    </row>
    <row r="1732" spans="2:3" x14ac:dyDescent="0.25">
      <c r="B1732" s="642" t="s">
        <v>1909</v>
      </c>
      <c r="C1732" s="646">
        <v>98517</v>
      </c>
    </row>
    <row r="1733" spans="2:3" x14ac:dyDescent="0.25">
      <c r="B1733" s="642" t="s">
        <v>1908</v>
      </c>
      <c r="C1733" s="646">
        <v>98511</v>
      </c>
    </row>
    <row r="1734" spans="2:3" x14ac:dyDescent="0.25">
      <c r="B1734" s="642" t="s">
        <v>2001</v>
      </c>
      <c r="C1734" s="646">
        <v>99661</v>
      </c>
    </row>
    <row r="1735" spans="2:3" x14ac:dyDescent="0.25">
      <c r="B1735" s="642" t="s">
        <v>1519</v>
      </c>
      <c r="C1735" s="646">
        <v>94031</v>
      </c>
    </row>
    <row r="1736" spans="2:3" x14ac:dyDescent="0.25">
      <c r="B1736" s="642" t="s">
        <v>1971</v>
      </c>
      <c r="C1736" s="646">
        <v>99301</v>
      </c>
    </row>
    <row r="1737" spans="2:3" x14ac:dyDescent="0.25">
      <c r="B1737" s="642" t="s">
        <v>1972</v>
      </c>
      <c r="C1737" s="646">
        <v>99304</v>
      </c>
    </row>
    <row r="1738" spans="2:3" x14ac:dyDescent="0.25">
      <c r="B1738" s="642" t="s">
        <v>1974</v>
      </c>
      <c r="C1738" s="646">
        <v>99321</v>
      </c>
    </row>
    <row r="1739" spans="2:3" x14ac:dyDescent="0.25">
      <c r="B1739" s="642" t="s">
        <v>1435</v>
      </c>
      <c r="C1739" s="646">
        <v>93137</v>
      </c>
    </row>
    <row r="1740" spans="2:3" x14ac:dyDescent="0.25">
      <c r="B1740" s="642" t="s">
        <v>1434</v>
      </c>
      <c r="C1740" s="646">
        <v>93131</v>
      </c>
    </row>
    <row r="1741" spans="2:3" x14ac:dyDescent="0.25">
      <c r="B1741" s="642" t="s">
        <v>1975</v>
      </c>
      <c r="C1741" s="646">
        <v>99401</v>
      </c>
    </row>
    <row r="1742" spans="2:3" x14ac:dyDescent="0.25">
      <c r="B1742" s="642" t="s">
        <v>1976</v>
      </c>
      <c r="C1742" s="646">
        <v>99404</v>
      </c>
    </row>
    <row r="1743" spans="2:3" x14ac:dyDescent="0.25">
      <c r="B1743" s="642" t="s">
        <v>1210</v>
      </c>
      <c r="C1743" s="646">
        <v>90741</v>
      </c>
    </row>
    <row r="1744" spans="2:3" x14ac:dyDescent="0.25">
      <c r="B1744" s="642" t="s">
        <v>1207</v>
      </c>
      <c r="C1744" s="646">
        <v>90711</v>
      </c>
    </row>
    <row r="1745" spans="2:3" x14ac:dyDescent="0.25">
      <c r="B1745" s="642" t="s">
        <v>1982</v>
      </c>
      <c r="C1745" s="646">
        <v>99501</v>
      </c>
    </row>
    <row r="1746" spans="2:3" x14ac:dyDescent="0.25">
      <c r="B1746" s="642" t="s">
        <v>1985</v>
      </c>
      <c r="C1746" s="646">
        <v>99509</v>
      </c>
    </row>
    <row r="1747" spans="2:3" x14ac:dyDescent="0.25">
      <c r="B1747" s="642" t="s">
        <v>1289</v>
      </c>
      <c r="C1747" s="646">
        <v>91302</v>
      </c>
    </row>
    <row r="1748" spans="2:3" x14ac:dyDescent="0.25">
      <c r="B1748" s="642" t="s">
        <v>1938</v>
      </c>
      <c r="C1748" s="646">
        <v>99047</v>
      </c>
    </row>
    <row r="1749" spans="2:3" x14ac:dyDescent="0.25">
      <c r="B1749" s="642" t="s">
        <v>1937</v>
      </c>
      <c r="C1749" s="646">
        <v>99041</v>
      </c>
    </row>
    <row r="1750" spans="2:3" x14ac:dyDescent="0.25">
      <c r="B1750" s="642" t="s">
        <v>1990</v>
      </c>
      <c r="C1750" s="646">
        <v>99601</v>
      </c>
    </row>
    <row r="1751" spans="2:3" x14ac:dyDescent="0.25">
      <c r="B1751" s="642" t="s">
        <v>1993</v>
      </c>
      <c r="C1751" s="646">
        <v>99604</v>
      </c>
    </row>
    <row r="1752" spans="2:3" x14ac:dyDescent="0.25">
      <c r="B1752" s="642" t="s">
        <v>1560</v>
      </c>
      <c r="C1752" s="646">
        <v>94412</v>
      </c>
    </row>
    <row r="1753" spans="2:3" x14ac:dyDescent="0.25">
      <c r="B1753" s="642" t="s">
        <v>1559</v>
      </c>
      <c r="C1753" s="646">
        <v>94411</v>
      </c>
    </row>
    <row r="1754" spans="2:3" x14ac:dyDescent="0.25">
      <c r="B1754" s="642" t="s">
        <v>1269</v>
      </c>
      <c r="C1754" s="646">
        <v>91147</v>
      </c>
    </row>
    <row r="1755" spans="2:3" x14ac:dyDescent="0.25">
      <c r="B1755" s="642" t="s">
        <v>1268</v>
      </c>
      <c r="C1755" s="646">
        <v>91141</v>
      </c>
    </row>
    <row r="1756" spans="2:3" x14ac:dyDescent="0.25">
      <c r="B1756" s="642" t="s">
        <v>1941</v>
      </c>
      <c r="C1756" s="646">
        <v>99071</v>
      </c>
    </row>
    <row r="1757" spans="2:3" x14ac:dyDescent="0.25">
      <c r="B1757" s="642" t="s">
        <v>1543</v>
      </c>
      <c r="C1757" s="646">
        <v>94231</v>
      </c>
    </row>
    <row r="1758" spans="2:3" x14ac:dyDescent="0.25">
      <c r="B1758" s="642" t="s">
        <v>1963</v>
      </c>
      <c r="C1758" s="646">
        <v>99231</v>
      </c>
    </row>
    <row r="1759" spans="2:3" x14ac:dyDescent="0.25">
      <c r="B1759" s="642" t="s">
        <v>1943</v>
      </c>
      <c r="C1759" s="646">
        <v>99091</v>
      </c>
    </row>
    <row r="1760" spans="2:3" x14ac:dyDescent="0.25">
      <c r="B1760" s="642" t="s">
        <v>1263</v>
      </c>
      <c r="C1760" s="646">
        <v>91120</v>
      </c>
    </row>
    <row r="1761" spans="2:3" x14ac:dyDescent="0.25">
      <c r="B1761" s="642" t="s">
        <v>3544</v>
      </c>
      <c r="C1761" s="646">
        <v>92444</v>
      </c>
    </row>
    <row r="1762" spans="2:3" x14ac:dyDescent="0.25">
      <c r="B1762" s="642" t="s">
        <v>1193</v>
      </c>
      <c r="C1762" s="646">
        <v>90507</v>
      </c>
    </row>
    <row r="1763" spans="2:3" x14ac:dyDescent="0.25">
      <c r="B1763" s="642" t="s">
        <v>1195</v>
      </c>
      <c r="C1763" s="646">
        <v>90521</v>
      </c>
    </row>
    <row r="1764" spans="2:3" x14ac:dyDescent="0.25">
      <c r="B1764" s="642" t="s">
        <v>1393</v>
      </c>
      <c r="C1764" s="646">
        <v>92602</v>
      </c>
    </row>
    <row r="1765" spans="2:3" x14ac:dyDescent="0.25">
      <c r="B1765" s="642" t="s">
        <v>1312</v>
      </c>
      <c r="C1765" s="646">
        <v>91608</v>
      </c>
    </row>
    <row r="1766" spans="2:3" x14ac:dyDescent="0.25">
      <c r="B1766" s="642" t="s">
        <v>1262</v>
      </c>
      <c r="C1766" s="646">
        <v>91119</v>
      </c>
    </row>
    <row r="1767" spans="2:3" x14ac:dyDescent="0.25">
      <c r="B1767" s="642" t="s">
        <v>1258</v>
      </c>
      <c r="C1767" s="646">
        <v>91107</v>
      </c>
    </row>
    <row r="1768" spans="2:3" x14ac:dyDescent="0.25">
      <c r="B1768" s="642" t="s">
        <v>1331</v>
      </c>
      <c r="C1768" s="646">
        <v>91818</v>
      </c>
    </row>
    <row r="1769" spans="2:3" x14ac:dyDescent="0.25">
      <c r="B1769" s="642" t="s">
        <v>1332</v>
      </c>
      <c r="C1769" s="646">
        <v>91819</v>
      </c>
    </row>
    <row r="1770" spans="2:3" x14ac:dyDescent="0.25">
      <c r="B1770" s="642" t="s">
        <v>1705</v>
      </c>
      <c r="C1770" s="646">
        <v>96371</v>
      </c>
    </row>
    <row r="1771" spans="2:3" x14ac:dyDescent="0.25">
      <c r="B1771" s="642" t="s">
        <v>1714</v>
      </c>
      <c r="C1771" s="646">
        <v>96441</v>
      </c>
    </row>
    <row r="1772" spans="2:3" x14ac:dyDescent="0.25">
      <c r="B1772" s="642" t="s">
        <v>1224</v>
      </c>
      <c r="C1772" s="646">
        <v>90921</v>
      </c>
    </row>
    <row r="1773" spans="2:3" x14ac:dyDescent="0.25">
      <c r="B1773" s="642" t="s">
        <v>1371</v>
      </c>
      <c r="C1773" s="646">
        <v>92417</v>
      </c>
    </row>
    <row r="1774" spans="2:3" x14ac:dyDescent="0.25">
      <c r="B1774" s="642" t="s">
        <v>1368</v>
      </c>
      <c r="C1774" s="646">
        <v>92403</v>
      </c>
    </row>
    <row r="1775" spans="2:3" x14ac:dyDescent="0.25">
      <c r="B1775" s="642" t="s">
        <v>1369</v>
      </c>
      <c r="C1775" s="646">
        <v>92411</v>
      </c>
    </row>
    <row r="1776" spans="2:3" x14ac:dyDescent="0.25">
      <c r="B1776" s="642" t="s">
        <v>2002</v>
      </c>
      <c r="C1776" s="646">
        <v>99701</v>
      </c>
    </row>
    <row r="1777" spans="2:3" x14ac:dyDescent="0.25">
      <c r="B1777" s="642" t="s">
        <v>2007</v>
      </c>
      <c r="C1777" s="646">
        <v>99727</v>
      </c>
    </row>
    <row r="1778" spans="2:3" x14ac:dyDescent="0.25">
      <c r="B1778" s="642" t="s">
        <v>2006</v>
      </c>
      <c r="C1778" s="646">
        <v>99721</v>
      </c>
    </row>
    <row r="1779" spans="2:3" x14ac:dyDescent="0.25">
      <c r="B1779" s="642" t="s">
        <v>1657</v>
      </c>
      <c r="C1779" s="646">
        <v>95813</v>
      </c>
    </row>
    <row r="1780" spans="2:3" x14ac:dyDescent="0.25">
      <c r="B1780" s="642" t="s">
        <v>1656</v>
      </c>
      <c r="C1780" s="646">
        <v>95811</v>
      </c>
    </row>
    <row r="1781" spans="2:3" x14ac:dyDescent="0.25">
      <c r="B1781" s="642" t="s">
        <v>1719</v>
      </c>
      <c r="C1781" s="646">
        <v>96503</v>
      </c>
    </row>
    <row r="1782" spans="2:3" x14ac:dyDescent="0.25">
      <c r="B1782" s="642" t="s">
        <v>1727</v>
      </c>
      <c r="C1782" s="646">
        <v>96531</v>
      </c>
    </row>
    <row r="1783" spans="2:3" x14ac:dyDescent="0.25">
      <c r="B1783" s="642" t="s">
        <v>2008</v>
      </c>
      <c r="C1783" s="646">
        <v>99801</v>
      </c>
    </row>
    <row r="1784" spans="2:3" x14ac:dyDescent="0.25">
      <c r="B1784" s="642" t="s">
        <v>2010</v>
      </c>
      <c r="C1784" s="646">
        <v>99804</v>
      </c>
    </row>
    <row r="1785" spans="2:3" x14ac:dyDescent="0.25">
      <c r="B1785" s="642" t="s">
        <v>2009</v>
      </c>
      <c r="C1785" s="646">
        <v>99802</v>
      </c>
    </row>
    <row r="1786" spans="2:3" x14ac:dyDescent="0.25">
      <c r="B1786" s="642" t="s">
        <v>2012</v>
      </c>
      <c r="C1786" s="646">
        <v>99812</v>
      </c>
    </row>
    <row r="1787" spans="2:3" x14ac:dyDescent="0.25">
      <c r="B1787" s="642" t="s">
        <v>2011</v>
      </c>
      <c r="C1787" s="646">
        <v>99811</v>
      </c>
    </row>
    <row r="1788" spans="2:3" x14ac:dyDescent="0.25">
      <c r="B1788" s="642" t="s">
        <v>1621</v>
      </c>
      <c r="C1788" s="646">
        <v>95191</v>
      </c>
    </row>
    <row r="1789" spans="2:3" x14ac:dyDescent="0.25">
      <c r="B1789" s="642" t="s">
        <v>1217</v>
      </c>
      <c r="C1789" s="646">
        <v>90812</v>
      </c>
    </row>
    <row r="1790" spans="2:3" x14ac:dyDescent="0.25">
      <c r="B1790" s="642" t="s">
        <v>1779</v>
      </c>
      <c r="C1790" s="646">
        <v>97221</v>
      </c>
    </row>
    <row r="1791" spans="2:3" x14ac:dyDescent="0.25">
      <c r="B1791" s="642" t="s">
        <v>1936</v>
      </c>
      <c r="C1791" s="646">
        <v>99031</v>
      </c>
    </row>
    <row r="1792" spans="2:3" x14ac:dyDescent="0.25">
      <c r="B1792" s="642" t="s">
        <v>1465</v>
      </c>
      <c r="C1792" s="646">
        <v>93413</v>
      </c>
    </row>
    <row r="1793" spans="2:3" x14ac:dyDescent="0.25">
      <c r="B1793" s="642" t="s">
        <v>1464</v>
      </c>
      <c r="C1793" s="646">
        <v>93411</v>
      </c>
    </row>
    <row r="1794" spans="2:3" x14ac:dyDescent="0.25">
      <c r="B1794" s="642" t="s">
        <v>1794</v>
      </c>
      <c r="C1794" s="646">
        <v>97451</v>
      </c>
    </row>
    <row r="1795" spans="2:3" x14ac:dyDescent="0.25">
      <c r="B1795" s="642" t="s">
        <v>1582</v>
      </c>
      <c r="C1795" s="646">
        <v>94631</v>
      </c>
    </row>
    <row r="1796" spans="2:3" x14ac:dyDescent="0.25">
      <c r="B1796" s="642" t="s">
        <v>1257</v>
      </c>
      <c r="C1796" s="646">
        <v>91104</v>
      </c>
    </row>
    <row r="1797" spans="2:3" x14ac:dyDescent="0.25">
      <c r="B1797" s="642" t="s">
        <v>1260</v>
      </c>
      <c r="C1797" s="646">
        <v>91109</v>
      </c>
    </row>
    <row r="1798" spans="2:3" x14ac:dyDescent="0.25">
      <c r="B1798" s="642" t="s">
        <v>1273</v>
      </c>
      <c r="C1798" s="646">
        <v>91171</v>
      </c>
    </row>
    <row r="1799" spans="2:3" x14ac:dyDescent="0.25">
      <c r="B1799" s="642" t="s">
        <v>1733</v>
      </c>
      <c r="C1799" s="646">
        <v>96621</v>
      </c>
    </row>
    <row r="1800" spans="2:3" x14ac:dyDescent="0.25">
      <c r="B1800" s="642" t="s">
        <v>1723</v>
      </c>
      <c r="C1800" s="646">
        <v>96511</v>
      </c>
    </row>
    <row r="1801" spans="2:3" x14ac:dyDescent="0.25">
      <c r="B1801" s="642" t="s">
        <v>2018</v>
      </c>
      <c r="C1801" s="646">
        <v>99901</v>
      </c>
    </row>
    <row r="1802" spans="2:3" x14ac:dyDescent="0.25">
      <c r="B1802" s="642" t="s">
        <v>3545</v>
      </c>
      <c r="C1802" s="646">
        <v>98604</v>
      </c>
    </row>
    <row r="1803" spans="2:3" x14ac:dyDescent="0.25">
      <c r="B1803" s="642" t="s">
        <v>1913</v>
      </c>
      <c r="C1803" s="646">
        <v>98608</v>
      </c>
    </row>
    <row r="1804" spans="2:3" x14ac:dyDescent="0.25">
      <c r="B1804" s="642" t="s">
        <v>2019</v>
      </c>
      <c r="C1804" s="646">
        <v>99911</v>
      </c>
    </row>
    <row r="1805" spans="2:3" x14ac:dyDescent="0.25">
      <c r="B1805" s="642" t="s">
        <v>1161</v>
      </c>
      <c r="C1805" s="646">
        <v>90001</v>
      </c>
    </row>
    <row r="1806" spans="2:3" x14ac:dyDescent="0.25">
      <c r="B1806" s="642" t="s">
        <v>1162</v>
      </c>
      <c r="C1806" s="646">
        <v>90002</v>
      </c>
    </row>
    <row r="1807" spans="2:3" x14ac:dyDescent="0.25">
      <c r="B1807" s="642" t="s">
        <v>1325</v>
      </c>
      <c r="C1807" s="646">
        <v>91719</v>
      </c>
    </row>
    <row r="1808" spans="2:3" x14ac:dyDescent="0.25">
      <c r="B1808" s="642" t="s">
        <v>1480</v>
      </c>
      <c r="C1808" s="646">
        <v>93541</v>
      </c>
    </row>
    <row r="1809" spans="2:3" x14ac:dyDescent="0.25">
      <c r="B1809" s="642" t="s">
        <v>1964</v>
      </c>
      <c r="C1809" s="646">
        <v>99241</v>
      </c>
    </row>
    <row r="1810" spans="2:3" x14ac:dyDescent="0.25">
      <c r="B1810" s="642" t="s">
        <v>2620</v>
      </c>
      <c r="C1810" s="668" t="s">
        <v>2621</v>
      </c>
    </row>
  </sheetData>
  <customSheetViews>
    <customSheetView guid="{D2B860EA-92EC-4999-9A59-C624E1F8C7FB}" scale="90" fitToPage="1" state="hidden" topLeftCell="A891">
      <selection activeCell="O7" sqref="O7"/>
      <pageMargins left="0.25" right="0.25" top="0.5" bottom="0.5" header="0.3" footer="0.3"/>
      <pageSetup scale="46" fitToHeight="0" orientation="landscape" r:id="rId1"/>
    </customSheetView>
    <customSheetView guid="{C1197650-3ED8-49E4-8E4C-0D1D4B503FC0}" scale="90" fitToPage="1" state="hidden" topLeftCell="A891">
      <selection activeCell="O7" sqref="O7"/>
      <pageMargins left="0.25" right="0.25" top="0.5" bottom="0.5" header="0.3" footer="0.3"/>
      <pageSetup scale="46" fitToHeight="0" orientation="landscape" r:id="rId2"/>
    </customSheetView>
  </customSheetViews>
  <conditionalFormatting sqref="V2:V3">
    <cfRule type="containsErrors" dxfId="8" priority="1">
      <formula>ISERROR(V2)</formula>
    </cfRule>
  </conditionalFormatting>
  <pageMargins left="0.25" right="0.25" top="0.5" bottom="0.5" header="0.3" footer="0.3"/>
  <pageSetup scale="46" fitToHeight="0"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V118"/>
  <sheetViews>
    <sheetView topLeftCell="A85" zoomScale="80" zoomScaleNormal="80" workbookViewId="0"/>
  </sheetViews>
  <sheetFormatPr defaultRowHeight="12.75" x14ac:dyDescent="0.2"/>
  <cols>
    <col min="1" max="1" width="15.28515625" customWidth="1"/>
    <col min="2" max="2" width="55.5703125" bestFit="1" customWidth="1"/>
    <col min="3" max="3" width="22.5703125" customWidth="1"/>
    <col min="4" max="4" width="21.42578125" customWidth="1"/>
    <col min="5" max="5" width="18.28515625" customWidth="1"/>
    <col min="6" max="6" width="37.42578125" customWidth="1"/>
    <col min="7" max="7" width="18.28515625" customWidth="1"/>
    <col min="8" max="8" width="20" customWidth="1"/>
    <col min="9" max="9" width="19.7109375" customWidth="1"/>
    <col min="10" max="10" width="19.42578125" customWidth="1"/>
    <col min="11" max="11" width="39" customWidth="1"/>
    <col min="12" max="12" width="18.28515625" customWidth="1"/>
    <col min="13" max="13" width="20" customWidth="1"/>
    <col min="14" max="14" width="16.7109375" customWidth="1"/>
    <col min="15" max="15" width="19.42578125" customWidth="1"/>
    <col min="16" max="16" width="38.28515625" customWidth="1"/>
    <col min="17" max="17" width="13.85546875" customWidth="1"/>
    <col min="18" max="18" width="22.42578125" customWidth="1"/>
    <col min="19" max="19" width="12.42578125" customWidth="1"/>
    <col min="20" max="20" width="11.7109375" customWidth="1"/>
    <col min="21" max="21" width="36.28515625" customWidth="1"/>
    <col min="22" max="22" width="15" bestFit="1" customWidth="1"/>
  </cols>
  <sheetData>
    <row r="2" spans="1:3" ht="15.75" x14ac:dyDescent="0.25">
      <c r="A2" s="1243" t="s">
        <v>2035</v>
      </c>
      <c r="B2" s="1244"/>
      <c r="C2" s="1245"/>
    </row>
    <row r="5" spans="1:3" ht="52.15" customHeight="1" x14ac:dyDescent="0.2">
      <c r="A5" s="1249" t="s">
        <v>4185</v>
      </c>
      <c r="B5" s="1249"/>
      <c r="C5" s="1249"/>
    </row>
    <row r="11" spans="1:3" ht="15" x14ac:dyDescent="0.2">
      <c r="A11" s="564" t="s">
        <v>539</v>
      </c>
      <c r="B11" s="565" t="s">
        <v>2036</v>
      </c>
      <c r="C11" s="566"/>
    </row>
    <row r="14" spans="1:3" x14ac:dyDescent="0.2">
      <c r="B14" s="14" t="s">
        <v>2034</v>
      </c>
      <c r="C14" s="617" t="s">
        <v>2622</v>
      </c>
    </row>
    <row r="16" spans="1:3" ht="38.25" x14ac:dyDescent="0.2">
      <c r="A16" s="571" t="s">
        <v>540</v>
      </c>
      <c r="B16" s="619" t="s">
        <v>4088</v>
      </c>
      <c r="C16" s="640">
        <v>3200</v>
      </c>
    </row>
    <row r="18" spans="1:22" x14ac:dyDescent="0.2">
      <c r="C18">
        <v>2</v>
      </c>
      <c r="D18">
        <v>3</v>
      </c>
      <c r="F18">
        <v>4</v>
      </c>
      <c r="G18">
        <v>5</v>
      </c>
      <c r="H18">
        <v>6</v>
      </c>
      <c r="I18">
        <v>7</v>
      </c>
      <c r="J18">
        <v>8</v>
      </c>
      <c r="K18">
        <v>9</v>
      </c>
      <c r="L18">
        <v>10</v>
      </c>
      <c r="M18">
        <v>11</v>
      </c>
      <c r="N18">
        <v>12</v>
      </c>
      <c r="O18">
        <v>13</v>
      </c>
      <c r="P18">
        <v>14</v>
      </c>
      <c r="Q18">
        <v>15</v>
      </c>
      <c r="R18">
        <v>16</v>
      </c>
      <c r="S18">
        <v>17</v>
      </c>
      <c r="T18">
        <v>18</v>
      </c>
      <c r="U18">
        <v>19</v>
      </c>
      <c r="V18">
        <v>20</v>
      </c>
    </row>
    <row r="19" spans="1:22" ht="15" x14ac:dyDescent="0.25">
      <c r="J19" s="562" t="s">
        <v>1144</v>
      </c>
      <c r="K19" s="562"/>
      <c r="L19" s="562"/>
      <c r="M19" s="562"/>
      <c r="O19" s="562" t="s">
        <v>1145</v>
      </c>
      <c r="P19" s="562"/>
      <c r="Q19" s="562"/>
      <c r="R19" s="562"/>
      <c r="T19" s="562" t="s">
        <v>1146</v>
      </c>
      <c r="U19" s="562"/>
      <c r="V19" s="562"/>
    </row>
    <row r="20" spans="1:22" ht="105" x14ac:dyDescent="0.25">
      <c r="A20" s="563"/>
      <c r="B20" s="563" t="s">
        <v>1148</v>
      </c>
      <c r="C20" s="563" t="s">
        <v>2087</v>
      </c>
      <c r="D20" s="563" t="s">
        <v>2088</v>
      </c>
      <c r="E20" s="563" t="s">
        <v>2089</v>
      </c>
      <c r="F20" s="563" t="s">
        <v>2090</v>
      </c>
      <c r="G20" s="563" t="s">
        <v>3581</v>
      </c>
      <c r="H20" s="563" t="s">
        <v>3582</v>
      </c>
      <c r="I20" s="563"/>
      <c r="J20" s="563" t="s">
        <v>1150</v>
      </c>
      <c r="K20" s="563" t="s">
        <v>1151</v>
      </c>
      <c r="L20" s="563" t="s">
        <v>1152</v>
      </c>
      <c r="M20" s="563" t="s">
        <v>1153</v>
      </c>
      <c r="N20" s="563"/>
      <c r="O20" s="563" t="s">
        <v>1150</v>
      </c>
      <c r="P20" s="563" t="s">
        <v>1151</v>
      </c>
      <c r="Q20" s="563" t="s">
        <v>1152</v>
      </c>
      <c r="R20" s="563" t="s">
        <v>1153</v>
      </c>
      <c r="S20" s="563"/>
      <c r="T20" s="563" t="s">
        <v>1154</v>
      </c>
      <c r="U20" s="563" t="s">
        <v>1155</v>
      </c>
      <c r="V20" s="563" t="s">
        <v>2093</v>
      </c>
    </row>
    <row r="21" spans="1:22" ht="15" x14ac:dyDescent="0.25">
      <c r="A21" s="563"/>
      <c r="B21" s="563"/>
      <c r="C21" s="563"/>
      <c r="D21" s="563"/>
      <c r="E21" s="563"/>
      <c r="F21" s="563"/>
      <c r="G21" s="563"/>
      <c r="H21" s="563"/>
      <c r="I21" s="563"/>
      <c r="J21" s="563"/>
      <c r="K21" s="563"/>
      <c r="L21" s="563"/>
      <c r="M21" s="563"/>
      <c r="N21" s="563"/>
      <c r="O21" s="563"/>
      <c r="P21" s="563"/>
      <c r="Q21" s="563"/>
      <c r="R21" s="563"/>
      <c r="S21" s="563"/>
      <c r="T21" s="563"/>
      <c r="U21" s="563"/>
      <c r="V21" s="563"/>
    </row>
    <row r="22" spans="1:22" ht="15" x14ac:dyDescent="0.25">
      <c r="A22" s="563" t="s">
        <v>2094</v>
      </c>
      <c r="B22" s="563"/>
      <c r="C22" s="563"/>
      <c r="D22" s="563"/>
      <c r="E22" s="563"/>
      <c r="F22" s="563"/>
      <c r="G22" s="563"/>
      <c r="H22" s="563"/>
      <c r="I22" s="563"/>
      <c r="J22" s="563"/>
      <c r="K22" s="563"/>
      <c r="L22" s="563"/>
      <c r="M22" s="563"/>
      <c r="N22" s="563"/>
      <c r="O22" s="563"/>
      <c r="P22" s="563"/>
      <c r="Q22" s="563"/>
      <c r="R22" s="563"/>
      <c r="S22" s="563"/>
      <c r="T22" s="563"/>
      <c r="U22" s="563"/>
      <c r="V22" s="563"/>
    </row>
    <row r="23" spans="1:22" x14ac:dyDescent="0.2">
      <c r="B23" s="636" t="str">
        <f>C14</f>
        <v>CAROLINA COUNTY</v>
      </c>
      <c r="C23" s="637">
        <f>VLOOKUP($B$23,'2019 Summary ROD'!$A$6:$R$107,2,FALSE)</f>
        <v>4.5899000000000001E-3</v>
      </c>
      <c r="D23" s="637">
        <f>VLOOKUP($B$23,'2019 Summary ROD'!$A$6:$R$107,3,FALSE)</f>
        <v>4.5522000000000002E-3</v>
      </c>
      <c r="E23" s="637">
        <f>C23-D23</f>
        <v>3.7700000000000002E-5</v>
      </c>
      <c r="F23" s="25">
        <f>VLOOKUP($B$23,'2018 Contributions ROD'!$A$2:$BT$103,2,FALSE)</f>
        <v>3928</v>
      </c>
      <c r="G23" s="25">
        <f>H28</f>
        <v>-77702</v>
      </c>
      <c r="H23" s="25">
        <f>VLOOKUP($B$23,'2019 Summary ROD'!$A$6:$R$107,4,FALSE)</f>
        <v>-76023</v>
      </c>
      <c r="I23" s="25"/>
      <c r="J23" s="25">
        <f>VLOOKUP($B$23,'2019 Summary ROD'!$A$6:$R$107,6,FALSE)</f>
        <v>670</v>
      </c>
      <c r="K23" s="25">
        <f>VLOOKUP($B$23,'2019 Summary ROD'!$A$6:$R$107,7,FALSE)</f>
        <v>12117</v>
      </c>
      <c r="L23" s="25">
        <f>VLOOKUP($B$23,'2019 Summary ROD'!$A$6:$R$107,8,FALSE)</f>
        <v>3576</v>
      </c>
      <c r="M23" s="25">
        <f>VLOOKUP($B$23,'2019 Summary ROD'!$A$6:$R$107,9,FALSE)</f>
        <v>0</v>
      </c>
      <c r="N23" s="25"/>
      <c r="O23" s="25">
        <f>VLOOKUP($B$23,'2019 Summary ROD'!$A$6:$R$107,11,FALSE)</f>
        <v>3470</v>
      </c>
      <c r="P23" s="25">
        <f>VLOOKUP($B$23,'2019 Summary ROD'!$A$6:$R$107,12,FALSE)</f>
        <v>0</v>
      </c>
      <c r="Q23" s="25">
        <f>VLOOKUP($B$23,'2019 Summary ROD'!$A$6:$R$107,13,FALSE)</f>
        <v>0</v>
      </c>
      <c r="R23" s="25">
        <f>VLOOKUP($B$23,'2019 Summary ROD'!$A$6:$R$107,14,FALSE)</f>
        <v>1642</v>
      </c>
      <c r="S23" s="25"/>
      <c r="T23" s="25">
        <f>VLOOKUP($B$23,'2019 Summary ROD'!$A$6:$R$107,16,FALSE)</f>
        <v>14330</v>
      </c>
      <c r="U23" s="25">
        <f>VLOOKUP($B$23,'2019 Summary ROD'!$A$6:$R$107,17,FALSE)</f>
        <v>-2144</v>
      </c>
      <c r="V23" s="25">
        <f>VLOOKUP($B$23,'2019 Summary ROD'!$A$6:$R$107,18,FALSE)</f>
        <v>12186</v>
      </c>
    </row>
    <row r="25" spans="1:22" x14ac:dyDescent="0.2">
      <c r="A25" s="14"/>
      <c r="B25" s="579" t="s">
        <v>4087</v>
      </c>
      <c r="F25" s="635">
        <f>'2018 Contributions ROD'!B104</f>
        <v>855778</v>
      </c>
      <c r="G25" s="635">
        <f>'N.2a ROD 2018 PY'!F107</f>
        <v>-17069002</v>
      </c>
      <c r="H25" s="635">
        <f>'2019 Summary ROD'!D108</f>
        <v>-16563001</v>
      </c>
      <c r="I25" s="635"/>
      <c r="J25" s="635">
        <f>'2019 Summary ROD'!F108</f>
        <v>146001</v>
      </c>
      <c r="K25" s="635">
        <f>'2019 Summary ROD'!G108</f>
        <v>2639999</v>
      </c>
      <c r="L25" s="635">
        <f>'2019 Summary ROD'!H108</f>
        <v>778996</v>
      </c>
      <c r="M25" s="635">
        <f>'2019 Summary ROD'!I108</f>
        <v>819852</v>
      </c>
      <c r="N25" s="635"/>
      <c r="O25" s="635">
        <f>'2019 Summary ROD'!K108</f>
        <v>755999</v>
      </c>
      <c r="P25" s="635">
        <f>'2019 Summary ROD'!L108</f>
        <v>0</v>
      </c>
      <c r="Q25" s="635">
        <f>'2019 Summary ROD'!M108</f>
        <v>0</v>
      </c>
      <c r="R25" s="635">
        <f>'2019 Summary ROD'!N108</f>
        <v>819859</v>
      </c>
      <c r="S25" s="635"/>
      <c r="T25" s="635">
        <f>'2019 Summary ROD'!P108</f>
        <v>3122002</v>
      </c>
      <c r="U25" s="635">
        <f>'2019 Summary ROD'!Q108</f>
        <v>20</v>
      </c>
      <c r="V25" s="635">
        <f>'2019 Summary ROD'!R108</f>
        <v>3122022</v>
      </c>
    </row>
    <row r="26" spans="1:22" x14ac:dyDescent="0.2">
      <c r="A26" s="14"/>
      <c r="F26" s="635"/>
      <c r="G26" s="635"/>
      <c r="H26" s="635"/>
      <c r="J26" s="635"/>
      <c r="K26" s="635"/>
      <c r="L26" s="635"/>
      <c r="M26" s="635"/>
      <c r="O26" s="635"/>
      <c r="P26" s="635"/>
      <c r="Q26" s="635"/>
      <c r="R26" s="635"/>
      <c r="T26" s="635"/>
      <c r="U26" s="635"/>
      <c r="V26" s="635"/>
    </row>
    <row r="27" spans="1:22" ht="15" x14ac:dyDescent="0.25">
      <c r="A27" s="623" t="s">
        <v>2096</v>
      </c>
      <c r="F27" s="635"/>
      <c r="G27" s="635"/>
      <c r="H27" s="635"/>
      <c r="J27" s="635"/>
      <c r="K27" s="635"/>
      <c r="L27" s="635"/>
      <c r="M27" s="635"/>
      <c r="O27" s="635"/>
      <c r="P27" s="635"/>
      <c r="Q27" s="635"/>
      <c r="R27" s="635"/>
      <c r="T27" s="635"/>
      <c r="U27" s="635"/>
      <c r="V27" s="635"/>
    </row>
    <row r="28" spans="1:22" x14ac:dyDescent="0.2">
      <c r="A28" s="14"/>
      <c r="B28" s="636" t="str">
        <f>B23</f>
        <v>CAROLINA COUNTY</v>
      </c>
      <c r="C28" s="637">
        <f>VLOOKUP(B28,'N.2a ROD 2018 PY'!$A$6:$V$107,2,FALSE)</f>
        <v>4.5522000000000002E-3</v>
      </c>
      <c r="D28" s="637">
        <f>VLOOKUP(B28,'N.2a ROD 2018 PY'!$A$6:$V$107,3,FALSE)</f>
        <v>4.4989000000000001E-3</v>
      </c>
      <c r="E28" s="637">
        <f>C28-D28</f>
        <v>5.3300000000000001E-5</v>
      </c>
      <c r="F28" s="25">
        <f>VLOOKUP(B28,'N.2a ROD 2018 PY'!$A$6:$V$107,4,FALSE)</f>
        <v>3955</v>
      </c>
      <c r="G28" s="25">
        <f>VLOOKUP(B28,'N.2a ROD 2018 PY'!$A$6:$V$107,5,FALSE)</f>
        <v>-84111</v>
      </c>
      <c r="H28" s="25">
        <f>VLOOKUP(B28,'N.2a ROD 2018 PY'!$A$6:$V$107,6,FALSE)</f>
        <v>-77702</v>
      </c>
      <c r="I28" s="25"/>
      <c r="J28" s="25">
        <f>VLOOKUP(B28,'N.2a ROD 2018 PY'!$A$6:$V$107,8,FALSE)</f>
        <v>1334</v>
      </c>
      <c r="K28" s="25">
        <f>VLOOKUP(B28,'N.2a ROD 2018 PY'!$A$6:$V$107,9,FALSE)</f>
        <v>9591</v>
      </c>
      <c r="L28" s="25">
        <f>VLOOKUP(B28,'N.2a ROD 2018 PY'!$A$6:$V$107,10,FALSE)</f>
        <v>13110</v>
      </c>
      <c r="M28" s="25">
        <f>VLOOKUP(B28,'N.2a ROD 2018 PY'!$A$6:$V$107,11,FALSE)</f>
        <v>387</v>
      </c>
      <c r="N28" s="25"/>
      <c r="O28" s="25">
        <f>VLOOKUP(B28,'N.2a ROD 2018 PY'!$A$6:$V$107,13,FALSE)</f>
        <v>250</v>
      </c>
      <c r="P28" s="25">
        <f>VLOOKUP(B28,'N.2a ROD 2018 PY'!$A$6:$V$107,14,FALSE)</f>
        <v>2986</v>
      </c>
      <c r="Q28" s="25">
        <f>VLOOKUP(B28,'N.2a ROD 2018 PY'!$A$6:$V$107,15,FALSE)</f>
        <v>0</v>
      </c>
      <c r="R28" s="25">
        <f>VLOOKUP(B28,'N.2a ROD 2018 PY'!$A$6:$V$107,16,FALSE)</f>
        <v>3357</v>
      </c>
      <c r="S28" s="25"/>
      <c r="T28" s="25">
        <f>VLOOKUP(B28,'N.2a ROD 2018 PY'!$A$6:$V$107,18,FALSE)</f>
        <v>12373</v>
      </c>
      <c r="U28" s="25">
        <f>VLOOKUP(B28,'N.2a ROD 2018 PY'!$A$6:$V$107,19,FALSE)</f>
        <v>-221</v>
      </c>
      <c r="V28" s="25">
        <f>VLOOKUP(B28,'N.2a ROD 2018 PY'!$A$6:$V$107,20,FALSE)</f>
        <v>12152</v>
      </c>
    </row>
    <row r="29" spans="1:22" x14ac:dyDescent="0.2">
      <c r="A29" s="14"/>
      <c r="F29" s="635"/>
      <c r="G29" s="635"/>
      <c r="H29" s="635"/>
      <c r="J29" s="635"/>
      <c r="K29" s="635"/>
      <c r="L29" s="635"/>
      <c r="M29" s="635"/>
      <c r="O29" s="635"/>
      <c r="P29" s="635"/>
      <c r="Q29" s="635"/>
      <c r="R29" s="635"/>
      <c r="T29" s="635"/>
      <c r="U29" s="635"/>
      <c r="V29" s="635"/>
    </row>
    <row r="30" spans="1:22" x14ac:dyDescent="0.2">
      <c r="A30" s="14"/>
      <c r="B30" s="579" t="s">
        <v>4086</v>
      </c>
      <c r="F30" s="635">
        <f>'N.2a ROD 2018 PY'!D107</f>
        <v>868856</v>
      </c>
      <c r="G30" s="635">
        <f>'N.2a ROD 2018 PY'!E107</f>
        <v>-18696001</v>
      </c>
      <c r="H30" s="635">
        <f>'N.2a ROD 2018 PY'!F107</f>
        <v>-17069002</v>
      </c>
      <c r="I30" s="635"/>
      <c r="J30" s="635">
        <f>'N.2a ROD 2018 PY'!H107</f>
        <v>293003</v>
      </c>
      <c r="K30" s="635">
        <f>'N.2a ROD 2018 PY'!I107</f>
        <v>2107003</v>
      </c>
      <c r="L30" s="635">
        <f>'N.2a ROD 2018 PY'!J107</f>
        <v>2879999</v>
      </c>
      <c r="M30" s="635">
        <f>'N.2a ROD 2018 PY'!K107</f>
        <v>880444</v>
      </c>
      <c r="N30" s="635"/>
      <c r="O30" s="635">
        <f>'N.2a ROD 2018 PY'!M107</f>
        <v>55001</v>
      </c>
      <c r="P30" s="635">
        <f>'N.2a ROD 2018 PY'!N107</f>
        <v>655997</v>
      </c>
      <c r="Q30" s="635">
        <f>'N.2a ROD 2018 PY'!O107</f>
        <v>0</v>
      </c>
      <c r="R30" s="635">
        <f>'N.2a ROD 2018 PY'!P107</f>
        <v>880446</v>
      </c>
      <c r="S30" s="635"/>
      <c r="T30" s="635">
        <f>'N.2a ROD 2018 PY'!R107</f>
        <v>2718007</v>
      </c>
      <c r="U30" s="635">
        <f>'N.2a ROD 2018 PY'!S107</f>
        <v>-6</v>
      </c>
      <c r="V30" s="635">
        <f>'N.2a ROD 2018 PY'!T107</f>
        <v>2717997</v>
      </c>
    </row>
    <row r="31" spans="1:22" x14ac:dyDescent="0.2">
      <c r="A31" s="14"/>
      <c r="F31" s="635"/>
      <c r="G31" s="635"/>
      <c r="H31" s="635"/>
      <c r="J31" s="635"/>
      <c r="K31" s="635"/>
      <c r="L31" s="635"/>
      <c r="M31" s="635"/>
      <c r="O31" s="635"/>
      <c r="P31" s="635"/>
      <c r="Q31" s="635"/>
      <c r="R31" s="635"/>
      <c r="T31" s="635"/>
      <c r="U31" s="635"/>
      <c r="V31" s="635"/>
    </row>
    <row r="32" spans="1:22" ht="25.5" x14ac:dyDescent="0.2">
      <c r="A32" s="14"/>
      <c r="F32" s="687"/>
      <c r="G32" s="687"/>
      <c r="H32" s="687"/>
      <c r="J32" s="24" t="s">
        <v>3548</v>
      </c>
      <c r="K32" s="5">
        <f>K28-P28</f>
        <v>6605</v>
      </c>
      <c r="L32" s="687"/>
      <c r="M32" s="687"/>
      <c r="O32" s="687"/>
      <c r="P32" s="687"/>
      <c r="Q32" s="687"/>
      <c r="R32" s="687"/>
      <c r="T32" s="687"/>
      <c r="U32" s="687"/>
      <c r="V32" s="687"/>
    </row>
    <row r="33" spans="1:22" ht="15" x14ac:dyDescent="0.25">
      <c r="A33" s="14"/>
      <c r="B33" s="670"/>
      <c r="F33" s="687"/>
      <c r="G33" s="687"/>
      <c r="H33" s="687"/>
      <c r="J33" s="687"/>
      <c r="K33" s="687"/>
      <c r="L33" s="687"/>
      <c r="M33" s="687"/>
      <c r="O33" s="687"/>
      <c r="P33" s="687"/>
      <c r="Q33" s="687"/>
      <c r="R33" s="687"/>
      <c r="T33" s="687"/>
      <c r="U33" s="687"/>
      <c r="V33" s="687"/>
    </row>
    <row r="34" spans="1:22" x14ac:dyDescent="0.2">
      <c r="A34" s="14"/>
      <c r="B34" t="s">
        <v>3583</v>
      </c>
      <c r="D34" s="5"/>
      <c r="E34" s="671">
        <f>-G23</f>
        <v>77702</v>
      </c>
      <c r="F34" s="687"/>
      <c r="G34" s="687"/>
      <c r="H34" s="687"/>
      <c r="J34" s="687"/>
      <c r="K34" s="687"/>
      <c r="L34" s="687"/>
      <c r="M34" s="687"/>
      <c r="O34" s="687"/>
      <c r="P34" s="687"/>
      <c r="Q34" s="687"/>
      <c r="R34" s="687"/>
      <c r="T34" s="687"/>
      <c r="U34" s="687"/>
      <c r="V34" s="687"/>
    </row>
    <row r="35" spans="1:22" ht="15" x14ac:dyDescent="0.25">
      <c r="A35" s="14"/>
      <c r="B35" t="s">
        <v>3584</v>
      </c>
      <c r="D35" s="5">
        <f>-H23</f>
        <v>76023</v>
      </c>
      <c r="E35" s="671"/>
      <c r="F35" s="563"/>
      <c r="G35" s="687"/>
      <c r="I35" s="687"/>
      <c r="J35" s="687"/>
      <c r="K35" s="687"/>
      <c r="L35" s="687"/>
      <c r="N35" s="687"/>
      <c r="P35" s="687"/>
      <c r="Q35" s="687"/>
      <c r="R35" s="687"/>
      <c r="T35" s="687"/>
      <c r="U35" s="687"/>
      <c r="V35" s="687"/>
    </row>
    <row r="36" spans="1:22" x14ac:dyDescent="0.2">
      <c r="A36" s="14"/>
      <c r="B36" t="s">
        <v>3551</v>
      </c>
      <c r="D36" s="5">
        <f>V23</f>
        <v>12186</v>
      </c>
      <c r="E36" s="671"/>
      <c r="F36" s="687"/>
      <c r="G36" s="687"/>
      <c r="I36" s="687"/>
      <c r="J36" s="687"/>
      <c r="K36" s="687"/>
      <c r="L36" s="687"/>
      <c r="N36" s="687"/>
      <c r="P36" s="687"/>
      <c r="Q36" s="687"/>
      <c r="R36" s="687"/>
      <c r="T36" s="687"/>
      <c r="U36" s="687"/>
      <c r="V36" s="687"/>
    </row>
    <row r="37" spans="1:22" x14ac:dyDescent="0.2">
      <c r="A37" s="14"/>
      <c r="B37" t="s">
        <v>3552</v>
      </c>
      <c r="D37" s="5"/>
      <c r="E37" s="671">
        <f>J28</f>
        <v>1334</v>
      </c>
      <c r="F37" s="687"/>
      <c r="G37" s="687"/>
      <c r="I37" s="687"/>
      <c r="J37" s="687"/>
      <c r="K37" s="687"/>
      <c r="L37" s="687"/>
      <c r="N37" s="687"/>
      <c r="P37" s="687"/>
      <c r="Q37" s="687"/>
      <c r="R37" s="687"/>
      <c r="T37" s="687"/>
      <c r="U37" s="687"/>
      <c r="V37" s="687"/>
    </row>
    <row r="38" spans="1:22" x14ac:dyDescent="0.2">
      <c r="A38" s="14"/>
      <c r="B38" t="s">
        <v>3553</v>
      </c>
      <c r="D38" s="5"/>
      <c r="E38" s="671">
        <f>IF(K28-P28&gt;0,K28-P28,0)</f>
        <v>6605</v>
      </c>
      <c r="F38" s="687"/>
      <c r="G38" s="687"/>
      <c r="I38" s="687"/>
      <c r="J38" s="687"/>
      <c r="K38" s="687"/>
      <c r="L38" s="687"/>
      <c r="N38" s="687"/>
      <c r="P38" s="687"/>
      <c r="Q38" s="687"/>
      <c r="R38" s="687"/>
      <c r="T38" s="687"/>
      <c r="U38" s="687"/>
      <c r="V38" s="687"/>
    </row>
    <row r="39" spans="1:22" x14ac:dyDescent="0.2">
      <c r="A39" s="14"/>
      <c r="B39" t="s">
        <v>3554</v>
      </c>
      <c r="D39" s="5"/>
      <c r="E39" s="671">
        <f>L28</f>
        <v>13110</v>
      </c>
      <c r="P39" s="687"/>
      <c r="Q39" s="687"/>
      <c r="R39" s="687"/>
      <c r="T39" s="687"/>
      <c r="U39" s="687"/>
      <c r="V39" s="687"/>
    </row>
    <row r="40" spans="1:22" x14ac:dyDescent="0.2">
      <c r="A40" s="14"/>
      <c r="B40" s="24" t="s">
        <v>3555</v>
      </c>
      <c r="D40" s="5"/>
      <c r="E40" s="671">
        <f>M28</f>
        <v>387</v>
      </c>
      <c r="P40" s="687"/>
      <c r="Q40" s="687"/>
      <c r="R40" s="687"/>
      <c r="T40" s="687"/>
      <c r="U40" s="687"/>
      <c r="V40" s="687"/>
    </row>
    <row r="41" spans="1:22" x14ac:dyDescent="0.2">
      <c r="A41" s="14"/>
      <c r="B41" s="24" t="s">
        <v>3556</v>
      </c>
      <c r="D41" s="5">
        <f>O28</f>
        <v>250</v>
      </c>
      <c r="E41" s="114"/>
      <c r="F41" s="33"/>
      <c r="G41" s="33"/>
      <c r="H41" s="33"/>
      <c r="J41" s="625"/>
      <c r="P41" s="687"/>
      <c r="Q41" s="687"/>
      <c r="R41" s="687"/>
      <c r="T41" s="687"/>
      <c r="U41" s="687"/>
      <c r="V41" s="687"/>
    </row>
    <row r="42" spans="1:22" x14ac:dyDescent="0.2">
      <c r="A42" s="14"/>
      <c r="B42" t="s">
        <v>3557</v>
      </c>
      <c r="D42" s="5">
        <f>IF(P28-K28&gt;0,P28-K28,0)</f>
        <v>0</v>
      </c>
      <c r="E42" s="671"/>
      <c r="F42" s="33"/>
      <c r="G42" s="33"/>
      <c r="H42" s="33"/>
      <c r="J42" s="625"/>
      <c r="P42" s="687"/>
      <c r="Q42" s="687"/>
      <c r="R42" s="687"/>
      <c r="T42" s="687"/>
      <c r="U42" s="687"/>
      <c r="V42" s="687"/>
    </row>
    <row r="43" spans="1:22" ht="15" x14ac:dyDescent="0.25">
      <c r="A43" s="14"/>
      <c r="B43" s="370" t="s">
        <v>3558</v>
      </c>
      <c r="C43" s="672"/>
      <c r="D43" s="676">
        <f>Q28</f>
        <v>0</v>
      </c>
      <c r="E43" s="676"/>
      <c r="F43" s="673"/>
      <c r="G43" s="673"/>
      <c r="H43" s="673"/>
      <c r="I43" s="673"/>
      <c r="J43" s="673"/>
      <c r="K43" s="673"/>
      <c r="L43" s="673"/>
      <c r="M43" s="673"/>
      <c r="N43" s="673"/>
      <c r="P43" s="687"/>
      <c r="Q43" s="687"/>
      <c r="R43" s="687"/>
      <c r="T43" s="687"/>
      <c r="U43" s="687"/>
      <c r="V43" s="687"/>
    </row>
    <row r="44" spans="1:22" x14ac:dyDescent="0.2">
      <c r="A44" s="14"/>
      <c r="B44" s="370" t="s">
        <v>3559</v>
      </c>
      <c r="C44" s="672"/>
      <c r="D44" s="676">
        <f>R28</f>
        <v>3357</v>
      </c>
      <c r="E44" s="676"/>
      <c r="F44" s="688"/>
      <c r="G44" s="688"/>
      <c r="H44" s="688"/>
      <c r="P44" s="687"/>
      <c r="Q44" s="687"/>
      <c r="R44" s="687"/>
      <c r="T44" s="687"/>
      <c r="U44" s="687"/>
      <c r="V44" s="687"/>
    </row>
    <row r="45" spans="1:22" x14ac:dyDescent="0.2">
      <c r="A45" s="14"/>
      <c r="B45" t="s">
        <v>3560</v>
      </c>
      <c r="C45" s="672"/>
      <c r="D45" s="676">
        <f>J23</f>
        <v>670</v>
      </c>
      <c r="E45" s="676"/>
      <c r="P45" s="687"/>
      <c r="Q45" s="687"/>
      <c r="R45" s="687"/>
      <c r="T45" s="687"/>
      <c r="U45" s="687"/>
      <c r="V45" s="687"/>
    </row>
    <row r="46" spans="1:22" x14ac:dyDescent="0.2">
      <c r="A46" s="14"/>
      <c r="B46" t="s">
        <v>3561</v>
      </c>
      <c r="C46" s="672"/>
      <c r="D46" s="676">
        <f>IF(K23-P23&gt;0,K23-P23,0)</f>
        <v>12117</v>
      </c>
      <c r="E46" s="676"/>
      <c r="F46" s="573"/>
      <c r="G46" s="573"/>
      <c r="H46" s="573"/>
      <c r="P46" s="687"/>
      <c r="Q46" s="687"/>
      <c r="R46" s="687"/>
      <c r="T46" s="687"/>
      <c r="U46" s="687"/>
      <c r="V46" s="687"/>
    </row>
    <row r="47" spans="1:22" x14ac:dyDescent="0.2">
      <c r="A47" s="14"/>
      <c r="B47" t="s">
        <v>3562</v>
      </c>
      <c r="C47" s="672"/>
      <c r="D47" s="676">
        <f>L23</f>
        <v>3576</v>
      </c>
      <c r="E47" s="114"/>
      <c r="P47" s="687"/>
      <c r="Q47" s="687"/>
      <c r="R47" s="687"/>
      <c r="T47" s="687"/>
      <c r="U47" s="687"/>
      <c r="V47" s="687"/>
    </row>
    <row r="48" spans="1:22" ht="15" x14ac:dyDescent="0.25">
      <c r="A48" s="14"/>
      <c r="B48" s="24" t="s">
        <v>3563</v>
      </c>
      <c r="C48" s="672"/>
      <c r="D48" s="676">
        <f>M23</f>
        <v>0</v>
      </c>
      <c r="E48" s="114"/>
      <c r="F48" s="669"/>
      <c r="G48" s="669"/>
      <c r="H48" s="669"/>
      <c r="I48" s="670"/>
      <c r="J48" s="670"/>
      <c r="K48" s="670"/>
      <c r="L48" s="670"/>
      <c r="M48" s="670"/>
      <c r="N48" s="670"/>
      <c r="P48" s="687"/>
      <c r="Q48" s="687"/>
      <c r="R48" s="687"/>
      <c r="T48" s="687"/>
      <c r="U48" s="687"/>
      <c r="V48" s="687"/>
    </row>
    <row r="49" spans="1:22" x14ac:dyDescent="0.2">
      <c r="A49" s="14"/>
      <c r="B49" s="24" t="s">
        <v>3564</v>
      </c>
      <c r="C49" s="672"/>
      <c r="D49" s="676"/>
      <c r="E49" s="114">
        <f>O23</f>
        <v>3470</v>
      </c>
      <c r="P49" s="687"/>
      <c r="Q49" s="687"/>
      <c r="R49" s="687"/>
      <c r="T49" s="687"/>
      <c r="U49" s="687"/>
      <c r="V49" s="687"/>
    </row>
    <row r="50" spans="1:22" x14ac:dyDescent="0.2">
      <c r="A50" s="14"/>
      <c r="B50" t="s">
        <v>3565</v>
      </c>
      <c r="D50" s="5"/>
      <c r="E50" s="671">
        <f>IF(P23-K23&gt;0,P23-K23,0)</f>
        <v>0</v>
      </c>
      <c r="L50" s="573"/>
      <c r="P50" s="687"/>
      <c r="Q50" s="687"/>
      <c r="R50" s="687"/>
      <c r="T50" s="687"/>
      <c r="U50" s="687"/>
      <c r="V50" s="687"/>
    </row>
    <row r="51" spans="1:22" x14ac:dyDescent="0.2">
      <c r="A51" s="14"/>
      <c r="B51" s="370" t="s">
        <v>3566</v>
      </c>
      <c r="D51" s="5"/>
      <c r="E51" s="671">
        <f>Q23</f>
        <v>0</v>
      </c>
      <c r="L51" s="573"/>
      <c r="P51" s="687"/>
      <c r="Q51" s="687"/>
      <c r="R51" s="687"/>
      <c r="T51" s="687"/>
      <c r="U51" s="687"/>
      <c r="V51" s="687"/>
    </row>
    <row r="52" spans="1:22" x14ac:dyDescent="0.2">
      <c r="A52" s="14"/>
      <c r="B52" s="370" t="s">
        <v>3567</v>
      </c>
      <c r="D52" s="5"/>
      <c r="E52" s="671">
        <f>R23</f>
        <v>1642</v>
      </c>
      <c r="L52" s="688"/>
      <c r="P52" s="687"/>
      <c r="Q52" s="687"/>
      <c r="R52" s="687"/>
      <c r="T52" s="687"/>
      <c r="U52" s="687"/>
      <c r="V52" s="687"/>
    </row>
    <row r="53" spans="1:22" x14ac:dyDescent="0.2">
      <c r="A53" s="14"/>
      <c r="B53" t="s">
        <v>3568</v>
      </c>
      <c r="D53" s="5"/>
      <c r="E53" s="671">
        <f>C16</f>
        <v>3200</v>
      </c>
      <c r="L53" s="573"/>
      <c r="P53" s="687"/>
      <c r="Q53" s="687"/>
      <c r="R53" s="687"/>
      <c r="T53" s="687"/>
      <c r="U53" s="687"/>
      <c r="V53" s="687"/>
    </row>
    <row r="54" spans="1:22" x14ac:dyDescent="0.2">
      <c r="A54" s="14"/>
      <c r="B54" t="s">
        <v>3569</v>
      </c>
      <c r="D54" s="5">
        <f>IF(C16&gt;F23,C16-F23,0)</f>
        <v>0</v>
      </c>
      <c r="E54" s="671">
        <f>IF(F23&gt;C16,F23-C16,0)</f>
        <v>728</v>
      </c>
      <c r="F54" s="573"/>
      <c r="G54" s="573"/>
      <c r="H54" s="573"/>
      <c r="I54" s="573"/>
      <c r="J54" s="573"/>
      <c r="K54" s="573"/>
      <c r="L54" s="573"/>
      <c r="M54" s="688"/>
      <c r="N54" s="573"/>
      <c r="P54" s="687"/>
      <c r="Q54" s="687"/>
      <c r="R54" s="687"/>
      <c r="T54" s="687"/>
      <c r="U54" s="687"/>
      <c r="V54" s="687"/>
    </row>
    <row r="55" spans="1:22" x14ac:dyDescent="0.2">
      <c r="A55" s="14"/>
      <c r="B55" t="s">
        <v>3570</v>
      </c>
      <c r="D55" s="5">
        <f>IF(SUM(E34:E54)&gt;SUM(D34:D54),SUM(E34:E54)-SUM(D34:D54),0)</f>
        <v>0</v>
      </c>
      <c r="E55" s="671">
        <f>IF(SUM(D34:D54)&gt;SUM(E34:E54),SUM(D34:D54)-SUM(E34:E54),0)</f>
        <v>1</v>
      </c>
      <c r="P55" s="687"/>
      <c r="Q55" s="687"/>
      <c r="R55" s="687"/>
      <c r="T55" s="687"/>
      <c r="U55" s="687"/>
      <c r="V55" s="687"/>
    </row>
    <row r="56" spans="1:22" x14ac:dyDescent="0.2">
      <c r="A56" s="14"/>
      <c r="D56" s="5">
        <f>SUM(D34:D55)</f>
        <v>108179</v>
      </c>
      <c r="E56" s="5">
        <f>SUM(E34:E55)</f>
        <v>108179</v>
      </c>
      <c r="F56" s="688"/>
      <c r="G56" s="688"/>
      <c r="H56" s="688"/>
      <c r="I56" s="688"/>
      <c r="J56" s="688"/>
      <c r="K56" s="688"/>
      <c r="L56" s="688"/>
      <c r="M56" s="688"/>
      <c r="N56" s="688"/>
      <c r="P56" s="687"/>
      <c r="Q56" s="687"/>
      <c r="R56" s="687"/>
      <c r="T56" s="687"/>
      <c r="U56" s="687"/>
      <c r="V56" s="687"/>
    </row>
    <row r="57" spans="1:22" x14ac:dyDescent="0.2">
      <c r="A57" s="569"/>
      <c r="B57" s="24"/>
      <c r="C57" s="24"/>
      <c r="D57" s="24"/>
      <c r="E57" s="24"/>
      <c r="F57" s="688"/>
      <c r="G57" s="688"/>
    </row>
    <row r="58" spans="1:22" x14ac:dyDescent="0.2">
      <c r="A58" s="569"/>
      <c r="B58" s="24"/>
      <c r="C58" s="568"/>
      <c r="D58" s="568"/>
    </row>
    <row r="59" spans="1:22" x14ac:dyDescent="0.2">
      <c r="A59" s="569"/>
      <c r="B59" s="24"/>
      <c r="C59" s="568"/>
      <c r="D59" s="568"/>
    </row>
    <row r="60" spans="1:22" x14ac:dyDescent="0.2">
      <c r="A60" s="569"/>
      <c r="B60" s="24"/>
      <c r="C60" s="570"/>
      <c r="D60" s="570"/>
    </row>
    <row r="61" spans="1:22" x14ac:dyDescent="0.2">
      <c r="A61" s="571" t="s">
        <v>801</v>
      </c>
      <c r="B61" s="1250" t="s">
        <v>2037</v>
      </c>
      <c r="C61" s="1251"/>
      <c r="D61" s="1251"/>
      <c r="E61" s="1251"/>
      <c r="F61" s="1251"/>
      <c r="G61" s="1251"/>
      <c r="H61" s="1251"/>
      <c r="I61" s="1252"/>
    </row>
    <row r="62" spans="1:22" x14ac:dyDescent="0.2">
      <c r="A62" s="571"/>
      <c r="B62" s="128"/>
      <c r="C62" s="128"/>
      <c r="D62" s="128"/>
      <c r="E62" s="128"/>
      <c r="F62" s="128"/>
      <c r="G62" s="128"/>
      <c r="H62" s="128"/>
      <c r="I62" s="128"/>
    </row>
    <row r="63" spans="1:22" hidden="1" x14ac:dyDescent="0.2">
      <c r="A63" s="571"/>
      <c r="B63" s="128" t="s">
        <v>2033</v>
      </c>
      <c r="C63" s="616">
        <v>1</v>
      </c>
      <c r="D63" s="128"/>
      <c r="E63" s="128"/>
      <c r="F63" s="128"/>
      <c r="G63" s="128"/>
      <c r="H63" s="128"/>
      <c r="I63" s="128"/>
    </row>
    <row r="64" spans="1:22" x14ac:dyDescent="0.2">
      <c r="A64" s="569"/>
      <c r="B64" s="4"/>
    </row>
    <row r="65" spans="1:5" x14ac:dyDescent="0.2">
      <c r="A65" s="569"/>
      <c r="B65" s="24"/>
      <c r="C65" s="572" t="s">
        <v>2029</v>
      </c>
      <c r="D65" s="572" t="s">
        <v>2030</v>
      </c>
    </row>
    <row r="66" spans="1:5" x14ac:dyDescent="0.2">
      <c r="A66" s="569"/>
      <c r="B66" s="590" t="s">
        <v>1092</v>
      </c>
      <c r="C66" s="236">
        <f t="shared" ref="C66:C86" si="0">G97</f>
        <v>0</v>
      </c>
      <c r="D66" s="236">
        <f t="shared" ref="D66:D86" si="1">H97</f>
        <v>0</v>
      </c>
    </row>
    <row r="67" spans="1:5" x14ac:dyDescent="0.2">
      <c r="A67" s="569"/>
      <c r="B67" s="590" t="s">
        <v>2097</v>
      </c>
      <c r="C67" s="236">
        <f t="shared" si="0"/>
        <v>0</v>
      </c>
      <c r="D67" s="236">
        <f t="shared" si="1"/>
        <v>1679</v>
      </c>
      <c r="E67" s="573"/>
    </row>
    <row r="68" spans="1:5" x14ac:dyDescent="0.2">
      <c r="A68" s="569"/>
      <c r="B68" s="590" t="s">
        <v>2028</v>
      </c>
      <c r="C68" s="236">
        <f t="shared" si="0"/>
        <v>0</v>
      </c>
      <c r="D68" s="236">
        <f t="shared" si="1"/>
        <v>0</v>
      </c>
      <c r="E68" s="573"/>
    </row>
    <row r="69" spans="1:5" x14ac:dyDescent="0.2">
      <c r="A69" s="569"/>
      <c r="B69" s="590" t="s">
        <v>2063</v>
      </c>
      <c r="C69" s="236">
        <f t="shared" si="0"/>
        <v>11457</v>
      </c>
      <c r="D69" s="236">
        <f t="shared" si="1"/>
        <v>0</v>
      </c>
    </row>
    <row r="70" spans="1:5" x14ac:dyDescent="0.2">
      <c r="A70" s="569"/>
      <c r="B70" s="590" t="s">
        <v>2064</v>
      </c>
      <c r="C70" s="236">
        <f t="shared" si="0"/>
        <v>0</v>
      </c>
      <c r="D70" s="236">
        <f t="shared" si="1"/>
        <v>0</v>
      </c>
    </row>
    <row r="71" spans="1:5" x14ac:dyDescent="0.2">
      <c r="A71" s="569"/>
      <c r="B71" s="590" t="s">
        <v>2065</v>
      </c>
      <c r="C71" s="236">
        <f t="shared" si="0"/>
        <v>0</v>
      </c>
      <c r="D71" s="236">
        <f t="shared" si="1"/>
        <v>0</v>
      </c>
    </row>
    <row r="72" spans="1:5" x14ac:dyDescent="0.2">
      <c r="A72" s="569"/>
      <c r="B72" s="590" t="s">
        <v>2066</v>
      </c>
      <c r="C72" s="236">
        <f t="shared" si="0"/>
        <v>0</v>
      </c>
      <c r="D72" s="236">
        <f t="shared" si="1"/>
        <v>0</v>
      </c>
    </row>
    <row r="73" spans="1:5" x14ac:dyDescent="0.2">
      <c r="A73" s="569"/>
      <c r="B73" s="590" t="s">
        <v>2067</v>
      </c>
      <c r="C73" s="236">
        <f t="shared" si="0"/>
        <v>0</v>
      </c>
      <c r="D73" s="236">
        <f t="shared" si="1"/>
        <v>0</v>
      </c>
    </row>
    <row r="74" spans="1:5" x14ac:dyDescent="0.2">
      <c r="A74" s="569"/>
      <c r="B74" s="590" t="s">
        <v>3585</v>
      </c>
      <c r="C74" s="236">
        <f t="shared" si="0"/>
        <v>0</v>
      </c>
      <c r="D74" s="236">
        <f t="shared" si="1"/>
        <v>0</v>
      </c>
    </row>
    <row r="75" spans="1:5" x14ac:dyDescent="0.2">
      <c r="A75" s="569"/>
      <c r="B75" s="590" t="s">
        <v>2068</v>
      </c>
      <c r="C75" s="236">
        <f t="shared" si="0"/>
        <v>0</v>
      </c>
      <c r="D75" s="236">
        <f t="shared" si="1"/>
        <v>0</v>
      </c>
    </row>
    <row r="76" spans="1:5" x14ac:dyDescent="0.2">
      <c r="A76" s="569"/>
      <c r="B76" s="590" t="s">
        <v>3586</v>
      </c>
      <c r="C76" s="236">
        <f t="shared" si="0"/>
        <v>0</v>
      </c>
      <c r="D76" s="236">
        <f t="shared" si="1"/>
        <v>0</v>
      </c>
    </row>
    <row r="77" spans="1:5" x14ac:dyDescent="0.2">
      <c r="A77" s="569"/>
      <c r="B77" s="590" t="s">
        <v>2069</v>
      </c>
      <c r="C77" s="236">
        <f t="shared" si="0"/>
        <v>0</v>
      </c>
      <c r="D77" s="236">
        <f t="shared" si="1"/>
        <v>0</v>
      </c>
    </row>
    <row r="78" spans="1:5" ht="25.5" x14ac:dyDescent="0.2">
      <c r="A78" s="569"/>
      <c r="B78" s="590" t="s">
        <v>3571</v>
      </c>
      <c r="C78" s="236">
        <f t="shared" si="0"/>
        <v>0</v>
      </c>
      <c r="D78" s="236">
        <f t="shared" si="1"/>
        <v>664</v>
      </c>
    </row>
    <row r="79" spans="1:5" ht="25.5" x14ac:dyDescent="0.2">
      <c r="A79" s="569"/>
      <c r="B79" s="590" t="s">
        <v>2098</v>
      </c>
      <c r="C79" s="236">
        <f t="shared" si="0"/>
        <v>5512</v>
      </c>
      <c r="D79" s="236">
        <f t="shared" si="1"/>
        <v>0</v>
      </c>
    </row>
    <row r="80" spans="1:5" x14ac:dyDescent="0.2">
      <c r="A80" s="569"/>
      <c r="B80" s="590" t="s">
        <v>3572</v>
      </c>
      <c r="C80" s="236">
        <f t="shared" si="0"/>
        <v>0</v>
      </c>
      <c r="D80" s="236">
        <f t="shared" si="1"/>
        <v>9534</v>
      </c>
    </row>
    <row r="81" spans="1:9" ht="38.25" x14ac:dyDescent="0.2">
      <c r="A81" s="569"/>
      <c r="B81" s="590" t="s">
        <v>3573</v>
      </c>
      <c r="C81" s="236">
        <f t="shared" si="0"/>
        <v>0</v>
      </c>
      <c r="D81" s="236">
        <f t="shared" si="1"/>
        <v>387</v>
      </c>
    </row>
    <row r="82" spans="1:9" ht="25.5" x14ac:dyDescent="0.2">
      <c r="A82" s="569"/>
      <c r="B82" s="590" t="s">
        <v>3574</v>
      </c>
      <c r="C82" s="236">
        <f t="shared" si="0"/>
        <v>0</v>
      </c>
      <c r="D82" s="236">
        <f t="shared" si="1"/>
        <v>3220</v>
      </c>
    </row>
    <row r="83" spans="1:9" ht="25.5" x14ac:dyDescent="0.2">
      <c r="A83" s="569"/>
      <c r="B83" s="590" t="s">
        <v>3575</v>
      </c>
      <c r="C83" s="236">
        <f t="shared" si="0"/>
        <v>0</v>
      </c>
      <c r="D83" s="236">
        <f t="shared" si="1"/>
        <v>0</v>
      </c>
    </row>
    <row r="84" spans="1:9" x14ac:dyDescent="0.2">
      <c r="A84" s="569"/>
      <c r="B84" s="590" t="s">
        <v>3576</v>
      </c>
      <c r="C84" s="236">
        <f t="shared" si="0"/>
        <v>0</v>
      </c>
      <c r="D84" s="236">
        <f t="shared" si="1"/>
        <v>0</v>
      </c>
    </row>
    <row r="85" spans="1:9" ht="38.25" x14ac:dyDescent="0.2">
      <c r="A85" s="569"/>
      <c r="B85" s="590" t="s">
        <v>3577</v>
      </c>
      <c r="C85" s="236">
        <f t="shared" si="0"/>
        <v>1715</v>
      </c>
      <c r="D85" s="236">
        <f t="shared" si="1"/>
        <v>0</v>
      </c>
    </row>
    <row r="86" spans="1:9" x14ac:dyDescent="0.2">
      <c r="A86" s="569"/>
      <c r="B86" s="590" t="s">
        <v>2031</v>
      </c>
      <c r="C86" s="236">
        <f t="shared" si="0"/>
        <v>0</v>
      </c>
      <c r="D86" s="236">
        <f t="shared" si="1"/>
        <v>3200</v>
      </c>
    </row>
    <row r="87" spans="1:9" x14ac:dyDescent="0.2">
      <c r="A87" s="569"/>
      <c r="B87" s="24"/>
      <c r="C87" s="570"/>
      <c r="D87" s="570"/>
      <c r="G87" s="158"/>
      <c r="H87" s="158"/>
      <c r="I87" s="158"/>
    </row>
    <row r="88" spans="1:9" ht="13.5" thickBot="1" x14ac:dyDescent="0.25">
      <c r="A88" s="569"/>
      <c r="B88" s="24"/>
      <c r="C88" s="574">
        <f>SUM(C66:C87)</f>
        <v>18684</v>
      </c>
      <c r="D88" s="574">
        <f>SUM(D66:D87)</f>
        <v>18684</v>
      </c>
      <c r="G88" s="158"/>
      <c r="H88" s="158"/>
      <c r="I88" s="158"/>
    </row>
    <row r="89" spans="1:9" ht="13.5" thickTop="1" x14ac:dyDescent="0.2">
      <c r="A89" s="569"/>
      <c r="B89" s="24"/>
      <c r="C89" s="570"/>
      <c r="D89" s="570"/>
    </row>
    <row r="90" spans="1:9" x14ac:dyDescent="0.2">
      <c r="A90" s="569"/>
      <c r="B90" s="24"/>
      <c r="C90" s="570"/>
      <c r="D90" s="570"/>
    </row>
    <row r="91" spans="1:9" x14ac:dyDescent="0.2">
      <c r="A91" s="569"/>
      <c r="B91" s="1256" t="s">
        <v>2072</v>
      </c>
      <c r="C91" s="1256"/>
      <c r="D91" s="1256"/>
      <c r="E91" s="1256"/>
      <c r="F91" s="1256"/>
      <c r="G91" s="1256"/>
      <c r="H91" s="1256"/>
    </row>
    <row r="92" spans="1:9" x14ac:dyDescent="0.2">
      <c r="A92" s="569"/>
      <c r="B92" s="1256"/>
      <c r="C92" s="1256"/>
      <c r="D92" s="1256"/>
      <c r="E92" s="1256"/>
      <c r="F92" s="1256"/>
      <c r="G92" s="1256"/>
      <c r="H92" s="1256"/>
    </row>
    <row r="93" spans="1:9" ht="18" x14ac:dyDescent="0.25">
      <c r="B93" s="592"/>
      <c r="C93" s="592"/>
      <c r="D93" s="592"/>
      <c r="E93" s="592"/>
      <c r="F93" s="592"/>
      <c r="G93" s="592"/>
      <c r="H93" s="591"/>
    </row>
    <row r="94" spans="1:9" ht="18" x14ac:dyDescent="0.2">
      <c r="B94" s="592"/>
      <c r="C94" s="593"/>
      <c r="D94" s="595"/>
      <c r="E94" s="596"/>
      <c r="F94" s="592"/>
      <c r="G94" s="1118" t="s">
        <v>902</v>
      </c>
      <c r="H94" s="1119"/>
    </row>
    <row r="95" spans="1:9" x14ac:dyDescent="0.2">
      <c r="B95" s="24"/>
      <c r="C95" s="627"/>
      <c r="D95" s="628"/>
      <c r="E95" s="213"/>
      <c r="G95" s="171"/>
      <c r="H95" s="172"/>
    </row>
    <row r="96" spans="1:9" x14ac:dyDescent="0.2">
      <c r="B96" s="24"/>
      <c r="C96" s="594" t="s">
        <v>509</v>
      </c>
      <c r="D96" s="122" t="s">
        <v>510</v>
      </c>
      <c r="E96" s="214" t="s">
        <v>2070</v>
      </c>
      <c r="G96" s="50" t="s">
        <v>509</v>
      </c>
      <c r="H96" s="51" t="s">
        <v>510</v>
      </c>
    </row>
    <row r="97" spans="2:8" x14ac:dyDescent="0.2">
      <c r="B97" s="590" t="s">
        <v>1092</v>
      </c>
      <c r="C97" s="674">
        <v>0</v>
      </c>
      <c r="D97" s="629">
        <v>0</v>
      </c>
      <c r="E97" s="597">
        <f>C97-D97</f>
        <v>0</v>
      </c>
      <c r="G97" s="87">
        <f t="shared" ref="G97:G117" si="2">IF(E97&lt;0,0,E97)</f>
        <v>0</v>
      </c>
      <c r="H97" s="599">
        <f t="shared" ref="H97:H117" si="3">IF(E97&gt;0,0,E97*-1)</f>
        <v>0</v>
      </c>
    </row>
    <row r="98" spans="2:8" x14ac:dyDescent="0.2">
      <c r="B98" s="590" t="s">
        <v>2097</v>
      </c>
      <c r="C98" s="631">
        <f>1*(D34+D35)</f>
        <v>76023</v>
      </c>
      <c r="D98" s="630">
        <f>1*(E34+E35)</f>
        <v>77702</v>
      </c>
      <c r="E98" s="597">
        <f t="shared" ref="E98:E117" si="4">C98-D98</f>
        <v>-1679</v>
      </c>
      <c r="G98" s="87">
        <f t="shared" si="2"/>
        <v>0</v>
      </c>
      <c r="H98" s="599">
        <f>IF(E98&gt;0,0,E98*-1)</f>
        <v>1679</v>
      </c>
    </row>
    <row r="99" spans="2:8" x14ac:dyDescent="0.2">
      <c r="B99" s="590" t="s">
        <v>2028</v>
      </c>
      <c r="C99" s="631">
        <v>0</v>
      </c>
      <c r="D99" s="630">
        <v>0</v>
      </c>
      <c r="E99" s="597">
        <f t="shared" si="4"/>
        <v>0</v>
      </c>
      <c r="G99" s="87">
        <f t="shared" si="2"/>
        <v>0</v>
      </c>
      <c r="H99" s="599">
        <f>IF(E99&gt;0,0,E99*-1)</f>
        <v>0</v>
      </c>
    </row>
    <row r="100" spans="2:8" x14ac:dyDescent="0.2">
      <c r="B100" s="590" t="s">
        <v>2063</v>
      </c>
      <c r="C100" s="631">
        <f>1*(D36+D54+D55)</f>
        <v>12186</v>
      </c>
      <c r="D100" s="630">
        <f>1*(E36+E54+E55)</f>
        <v>729</v>
      </c>
      <c r="E100" s="597">
        <f t="shared" si="4"/>
        <v>11457</v>
      </c>
      <c r="G100" s="87">
        <f>IF(E100&lt;0,0,E100)-E118</f>
        <v>11457</v>
      </c>
      <c r="H100" s="599">
        <f t="shared" si="3"/>
        <v>0</v>
      </c>
    </row>
    <row r="101" spans="2:8" x14ac:dyDescent="0.2">
      <c r="B101" s="590" t="s">
        <v>2064</v>
      </c>
      <c r="C101" s="631">
        <v>0</v>
      </c>
      <c r="D101" s="630">
        <v>0</v>
      </c>
      <c r="E101" s="597">
        <f t="shared" si="4"/>
        <v>0</v>
      </c>
      <c r="G101" s="87">
        <f t="shared" si="2"/>
        <v>0</v>
      </c>
      <c r="H101" s="599">
        <f t="shared" si="3"/>
        <v>0</v>
      </c>
    </row>
    <row r="102" spans="2:8" x14ac:dyDescent="0.2">
      <c r="B102" s="590" t="s">
        <v>2065</v>
      </c>
      <c r="C102" s="631">
        <v>0</v>
      </c>
      <c r="D102" s="630">
        <v>0</v>
      </c>
      <c r="E102" s="597">
        <f t="shared" si="4"/>
        <v>0</v>
      </c>
      <c r="G102" s="87">
        <f t="shared" si="2"/>
        <v>0</v>
      </c>
      <c r="H102" s="599">
        <f t="shared" si="3"/>
        <v>0</v>
      </c>
    </row>
    <row r="103" spans="2:8" x14ac:dyDescent="0.2">
      <c r="B103" s="590" t="s">
        <v>2066</v>
      </c>
      <c r="C103" s="631">
        <v>0</v>
      </c>
      <c r="D103" s="630">
        <v>0</v>
      </c>
      <c r="E103" s="597">
        <f t="shared" si="4"/>
        <v>0</v>
      </c>
      <c r="G103" s="87">
        <f t="shared" si="2"/>
        <v>0</v>
      </c>
      <c r="H103" s="599">
        <f t="shared" si="3"/>
        <v>0</v>
      </c>
    </row>
    <row r="104" spans="2:8" x14ac:dyDescent="0.2">
      <c r="B104" s="590" t="s">
        <v>2067</v>
      </c>
      <c r="C104" s="631">
        <v>0</v>
      </c>
      <c r="D104" s="630">
        <v>0</v>
      </c>
      <c r="E104" s="597">
        <f t="shared" si="4"/>
        <v>0</v>
      </c>
      <c r="G104" s="87">
        <f t="shared" si="2"/>
        <v>0</v>
      </c>
      <c r="H104" s="599">
        <f t="shared" si="3"/>
        <v>0</v>
      </c>
    </row>
    <row r="105" spans="2:8" x14ac:dyDescent="0.2">
      <c r="B105" s="590" t="s">
        <v>3585</v>
      </c>
      <c r="C105" s="631">
        <v>0</v>
      </c>
      <c r="D105" s="630">
        <v>0</v>
      </c>
      <c r="E105" s="597">
        <f t="shared" si="4"/>
        <v>0</v>
      </c>
      <c r="G105" s="87">
        <f t="shared" si="2"/>
        <v>0</v>
      </c>
      <c r="H105" s="599">
        <f t="shared" si="3"/>
        <v>0</v>
      </c>
    </row>
    <row r="106" spans="2:8" x14ac:dyDescent="0.2">
      <c r="B106" s="590" t="s">
        <v>2068</v>
      </c>
      <c r="C106" s="631">
        <v>0</v>
      </c>
      <c r="D106" s="630">
        <v>0</v>
      </c>
      <c r="E106" s="597">
        <f t="shared" si="4"/>
        <v>0</v>
      </c>
      <c r="G106" s="87">
        <f t="shared" si="2"/>
        <v>0</v>
      </c>
      <c r="H106" s="599">
        <f t="shared" si="3"/>
        <v>0</v>
      </c>
    </row>
    <row r="107" spans="2:8" x14ac:dyDescent="0.2">
      <c r="B107" s="590" t="s">
        <v>3586</v>
      </c>
      <c r="C107" s="631">
        <v>0</v>
      </c>
      <c r="D107" s="630">
        <v>0</v>
      </c>
      <c r="E107" s="597">
        <f t="shared" si="4"/>
        <v>0</v>
      </c>
      <c r="G107" s="87">
        <f t="shared" si="2"/>
        <v>0</v>
      </c>
      <c r="H107" s="599">
        <f t="shared" si="3"/>
        <v>0</v>
      </c>
    </row>
    <row r="108" spans="2:8" x14ac:dyDescent="0.2">
      <c r="B108" s="590" t="s">
        <v>2069</v>
      </c>
      <c r="C108" s="631">
        <v>0</v>
      </c>
      <c r="D108" s="630">
        <v>0</v>
      </c>
      <c r="E108" s="597">
        <f t="shared" si="4"/>
        <v>0</v>
      </c>
      <c r="G108" s="87">
        <f t="shared" si="2"/>
        <v>0</v>
      </c>
      <c r="H108" s="599">
        <f t="shared" si="3"/>
        <v>0</v>
      </c>
    </row>
    <row r="109" spans="2:8" ht="25.5" x14ac:dyDescent="0.2">
      <c r="B109" s="590" t="s">
        <v>3571</v>
      </c>
      <c r="C109" s="631">
        <f t="shared" ref="C109:D116" si="5">1*(D37+D45)</f>
        <v>670</v>
      </c>
      <c r="D109" s="690">
        <f t="shared" si="5"/>
        <v>1334</v>
      </c>
      <c r="E109" s="689">
        <f t="shared" si="4"/>
        <v>-664</v>
      </c>
      <c r="G109" s="87">
        <f t="shared" si="2"/>
        <v>0</v>
      </c>
      <c r="H109" s="599">
        <f t="shared" si="3"/>
        <v>664</v>
      </c>
    </row>
    <row r="110" spans="2:8" ht="25.5" x14ac:dyDescent="0.2">
      <c r="B110" s="590" t="s">
        <v>2098</v>
      </c>
      <c r="C110" s="631">
        <f t="shared" si="5"/>
        <v>12117</v>
      </c>
      <c r="D110" s="690">
        <f t="shared" si="5"/>
        <v>6605</v>
      </c>
      <c r="E110" s="689">
        <f t="shared" si="4"/>
        <v>5512</v>
      </c>
      <c r="G110" s="87">
        <f t="shared" si="2"/>
        <v>5512</v>
      </c>
      <c r="H110" s="599">
        <f t="shared" si="3"/>
        <v>0</v>
      </c>
    </row>
    <row r="111" spans="2:8" x14ac:dyDescent="0.2">
      <c r="B111" s="590" t="s">
        <v>3572</v>
      </c>
      <c r="C111" s="631">
        <f t="shared" si="5"/>
        <v>3576</v>
      </c>
      <c r="D111" s="690">
        <f t="shared" si="5"/>
        <v>13110</v>
      </c>
      <c r="E111" s="689">
        <f t="shared" si="4"/>
        <v>-9534</v>
      </c>
      <c r="G111" s="87">
        <f t="shared" si="2"/>
        <v>0</v>
      </c>
      <c r="H111" s="599">
        <f t="shared" si="3"/>
        <v>9534</v>
      </c>
    </row>
    <row r="112" spans="2:8" ht="38.25" x14ac:dyDescent="0.2">
      <c r="B112" s="590" t="s">
        <v>3573</v>
      </c>
      <c r="C112" s="631">
        <f t="shared" si="5"/>
        <v>0</v>
      </c>
      <c r="D112" s="690">
        <f t="shared" si="5"/>
        <v>387</v>
      </c>
      <c r="E112" s="689">
        <f t="shared" si="4"/>
        <v>-387</v>
      </c>
      <c r="G112" s="87">
        <f t="shared" si="2"/>
        <v>0</v>
      </c>
      <c r="H112" s="599">
        <f t="shared" si="3"/>
        <v>387</v>
      </c>
    </row>
    <row r="113" spans="2:8" ht="25.5" x14ac:dyDescent="0.2">
      <c r="B113" s="590" t="s">
        <v>3574</v>
      </c>
      <c r="C113" s="631">
        <f t="shared" si="5"/>
        <v>250</v>
      </c>
      <c r="D113" s="690">
        <f t="shared" si="5"/>
        <v>3470</v>
      </c>
      <c r="E113" s="689">
        <f t="shared" si="4"/>
        <v>-3220</v>
      </c>
      <c r="G113" s="87">
        <f t="shared" si="2"/>
        <v>0</v>
      </c>
      <c r="H113" s="599">
        <f t="shared" si="3"/>
        <v>3220</v>
      </c>
    </row>
    <row r="114" spans="2:8" ht="25.5" x14ac:dyDescent="0.2">
      <c r="B114" s="590" t="s">
        <v>3575</v>
      </c>
      <c r="C114" s="631">
        <f t="shared" si="5"/>
        <v>0</v>
      </c>
      <c r="D114" s="690">
        <f t="shared" si="5"/>
        <v>0</v>
      </c>
      <c r="E114" s="689">
        <f t="shared" si="4"/>
        <v>0</v>
      </c>
      <c r="G114" s="87">
        <f t="shared" si="2"/>
        <v>0</v>
      </c>
      <c r="H114" s="599">
        <f t="shared" si="3"/>
        <v>0</v>
      </c>
    </row>
    <row r="115" spans="2:8" x14ac:dyDescent="0.2">
      <c r="B115" s="590" t="s">
        <v>3576</v>
      </c>
      <c r="C115" s="631">
        <f t="shared" si="5"/>
        <v>0</v>
      </c>
      <c r="D115" s="690">
        <f t="shared" si="5"/>
        <v>0</v>
      </c>
      <c r="E115" s="689">
        <f t="shared" si="4"/>
        <v>0</v>
      </c>
      <c r="G115" s="87">
        <f t="shared" si="2"/>
        <v>0</v>
      </c>
      <c r="H115" s="599">
        <f t="shared" si="3"/>
        <v>0</v>
      </c>
    </row>
    <row r="116" spans="2:8" ht="38.25" x14ac:dyDescent="0.2">
      <c r="B116" s="590" t="s">
        <v>3577</v>
      </c>
      <c r="C116" s="631">
        <f t="shared" si="5"/>
        <v>3357</v>
      </c>
      <c r="D116" s="690">
        <f t="shared" si="5"/>
        <v>1642</v>
      </c>
      <c r="E116" s="689">
        <f t="shared" si="4"/>
        <v>1715</v>
      </c>
      <c r="G116" s="87">
        <f t="shared" si="2"/>
        <v>1715</v>
      </c>
      <c r="H116" s="599">
        <f t="shared" si="3"/>
        <v>0</v>
      </c>
    </row>
    <row r="117" spans="2:8" x14ac:dyDescent="0.2">
      <c r="B117" s="590" t="s">
        <v>2031</v>
      </c>
      <c r="C117" s="631">
        <f>1*D53</f>
        <v>0</v>
      </c>
      <c r="D117" s="630">
        <f>1*E53</f>
        <v>3200</v>
      </c>
      <c r="E117" s="597">
        <f t="shared" si="4"/>
        <v>-3200</v>
      </c>
      <c r="G117" s="87">
        <f t="shared" si="2"/>
        <v>0</v>
      </c>
      <c r="H117" s="599">
        <f t="shared" si="3"/>
        <v>3200</v>
      </c>
    </row>
    <row r="118" spans="2:8" x14ac:dyDescent="0.2">
      <c r="C118" s="600">
        <f>SUM(C96:C117)</f>
        <v>108179</v>
      </c>
      <c r="D118" s="601">
        <f>SUM(D96:D117)</f>
        <v>108179</v>
      </c>
      <c r="E118" s="598">
        <f>SUM(E96:E117)</f>
        <v>0</v>
      </c>
      <c r="F118" s="8"/>
      <c r="G118" s="600">
        <f>SUM(G96:G117)</f>
        <v>18684</v>
      </c>
      <c r="H118" s="601">
        <f>SUM(H96:H117)</f>
        <v>18684</v>
      </c>
    </row>
  </sheetData>
  <customSheetViews>
    <customSheetView guid="{D2B860EA-92EC-4999-9A59-C624E1F8C7FB}" scale="90" fitToPage="1" hiddenRows="1" topLeftCell="A18">
      <selection activeCell="A34" sqref="A34:XFD56"/>
      <pageMargins left="0.7" right="0.7" top="0.75" bottom="0.75" header="0.3" footer="0.3"/>
      <pageSetup scale="47" fitToWidth="2" fitToHeight="4" orientation="landscape" r:id="rId1"/>
    </customSheetView>
    <customSheetView guid="{C1197650-3ED8-49E4-8E4C-0D1D4B503FC0}" scale="90" fitToPage="1" hiddenRows="1" topLeftCell="A18">
      <selection activeCell="A34" sqref="A34:XFD56"/>
      <pageMargins left="0.7" right="0.7" top="0.75" bottom="0.75" header="0.3" footer="0.3"/>
      <pageSetup scale="47" fitToWidth="2" fitToHeight="4" orientation="landscape" r:id="rId2"/>
    </customSheetView>
  </customSheetViews>
  <mergeCells count="5">
    <mergeCell ref="B91:H92"/>
    <mergeCell ref="G94:H94"/>
    <mergeCell ref="A2:C2"/>
    <mergeCell ref="A5:C5"/>
    <mergeCell ref="B61:I61"/>
  </mergeCells>
  <conditionalFormatting sqref="B35:E56">
    <cfRule type="expression" dxfId="7" priority="1">
      <formula>#REF!=2</formula>
    </cfRule>
  </conditionalFormatting>
  <pageMargins left="0.7" right="0.7" top="0.75" bottom="0.75" header="0.3" footer="0.3"/>
  <pageSetup scale="47" fitToWidth="2" fitToHeight="4"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'N.2a ROD 2018 PY'!$A$6:$A$106</xm:f>
          </x14:formula1>
          <xm:sqref>C14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U106"/>
  <sheetViews>
    <sheetView workbookViewId="0"/>
  </sheetViews>
  <sheetFormatPr defaultColWidth="9.140625" defaultRowHeight="15" x14ac:dyDescent="0.25"/>
  <cols>
    <col min="1" max="1" width="3.42578125" style="677" customWidth="1"/>
    <col min="2" max="2" width="18.7109375" style="677" bestFit="1" customWidth="1"/>
    <col min="3" max="6" width="13.85546875" style="677" customWidth="1"/>
    <col min="7" max="7" width="19" style="677" customWidth="1"/>
    <col min="8" max="8" width="5.42578125" style="677" customWidth="1"/>
    <col min="9" max="9" width="18.28515625" style="677" customWidth="1"/>
    <col min="10" max="10" width="20" style="677" customWidth="1"/>
    <col min="11" max="11" width="14.42578125" style="677" customWidth="1"/>
    <col min="12" max="12" width="19.42578125" style="677" customWidth="1"/>
    <col min="13" max="13" width="3.85546875" style="677" customWidth="1"/>
    <col min="14" max="14" width="18.28515625" style="677" customWidth="1"/>
    <col min="15" max="15" width="20" style="677" customWidth="1"/>
    <col min="16" max="16" width="12" style="677" customWidth="1"/>
    <col min="17" max="17" width="19.42578125" style="677" customWidth="1"/>
    <col min="18" max="18" width="3.85546875" style="677" customWidth="1"/>
    <col min="19" max="19" width="14.7109375" style="677" customWidth="1"/>
    <col min="20" max="20" width="22.42578125" style="677" customWidth="1"/>
    <col min="21" max="21" width="12.42578125" style="677" customWidth="1"/>
    <col min="22" max="16384" width="9.140625" style="677"/>
  </cols>
  <sheetData>
    <row r="1" spans="2:21" x14ac:dyDescent="0.25">
      <c r="I1" s="678" t="s">
        <v>1144</v>
      </c>
      <c r="J1" s="678"/>
      <c r="K1" s="678"/>
      <c r="L1" s="678"/>
      <c r="N1" s="678" t="s">
        <v>1145</v>
      </c>
      <c r="O1" s="678"/>
      <c r="P1" s="678"/>
      <c r="Q1" s="678"/>
      <c r="S1" s="678" t="s">
        <v>1146</v>
      </c>
      <c r="T1" s="678"/>
      <c r="U1" s="678"/>
    </row>
    <row r="2" spans="2:21" ht="120" x14ac:dyDescent="0.25">
      <c r="B2" s="679" t="s">
        <v>2511</v>
      </c>
      <c r="C2" s="679" t="s">
        <v>2087</v>
      </c>
      <c r="D2" s="679" t="s">
        <v>2088</v>
      </c>
      <c r="E2" s="679" t="s">
        <v>2512</v>
      </c>
      <c r="F2" s="679" t="s">
        <v>3579</v>
      </c>
      <c r="G2" s="679" t="s">
        <v>3580</v>
      </c>
      <c r="H2" s="679"/>
      <c r="I2" s="679" t="s">
        <v>1150</v>
      </c>
      <c r="J2" s="679" t="s">
        <v>1151</v>
      </c>
      <c r="K2" s="679" t="s">
        <v>1152</v>
      </c>
      <c r="L2" s="679" t="s">
        <v>1153</v>
      </c>
      <c r="M2" s="679"/>
      <c r="N2" s="679" t="s">
        <v>1150</v>
      </c>
      <c r="O2" s="679" t="s">
        <v>1151</v>
      </c>
      <c r="P2" s="679" t="s">
        <v>1152</v>
      </c>
      <c r="Q2" s="679" t="s">
        <v>1153</v>
      </c>
      <c r="R2" s="679"/>
      <c r="S2" s="679" t="s">
        <v>1154</v>
      </c>
      <c r="T2" s="679" t="s">
        <v>1155</v>
      </c>
      <c r="U2" s="679" t="s">
        <v>1156</v>
      </c>
    </row>
    <row r="3" spans="2:21" x14ac:dyDescent="0.25">
      <c r="B3" s="661" t="s">
        <v>2513</v>
      </c>
      <c r="C3" s="652">
        <v>1.5880399999999999E-2</v>
      </c>
      <c r="D3" s="652">
        <v>1.57255E-2</v>
      </c>
      <c r="E3" s="653">
        <v>12973</v>
      </c>
      <c r="F3" s="653">
        <v>-364423</v>
      </c>
      <c r="G3" s="653">
        <v>-296900</v>
      </c>
      <c r="H3" s="680"/>
      <c r="I3" s="681">
        <v>318</v>
      </c>
      <c r="J3" s="681">
        <v>14753</v>
      </c>
      <c r="K3" s="681">
        <v>79100</v>
      </c>
      <c r="L3" s="653">
        <v>173311</v>
      </c>
      <c r="M3" s="653"/>
      <c r="N3" s="681">
        <v>3843</v>
      </c>
      <c r="O3" s="681">
        <v>14245</v>
      </c>
      <c r="P3" s="681">
        <v>0</v>
      </c>
      <c r="Q3" s="653">
        <v>11285</v>
      </c>
      <c r="R3" s="653"/>
      <c r="S3" s="681">
        <v>21963</v>
      </c>
      <c r="T3" s="682">
        <v>99999</v>
      </c>
      <c r="U3" s="682">
        <v>121961</v>
      </c>
    </row>
    <row r="4" spans="2:21" x14ac:dyDescent="0.25">
      <c r="B4" s="661" t="s">
        <v>2514</v>
      </c>
      <c r="C4" s="652">
        <v>2.8471999999999998E-3</v>
      </c>
      <c r="D4" s="652">
        <v>2.8473999999999999E-3</v>
      </c>
      <c r="E4" s="653">
        <v>2326</v>
      </c>
      <c r="F4" s="653">
        <v>-65986</v>
      </c>
      <c r="G4" s="653">
        <v>-53231</v>
      </c>
      <c r="H4" s="680"/>
      <c r="I4" s="681">
        <v>57</v>
      </c>
      <c r="J4" s="681">
        <v>2645</v>
      </c>
      <c r="K4" s="681">
        <v>14182</v>
      </c>
      <c r="L4" s="653">
        <v>618</v>
      </c>
      <c r="M4" s="653"/>
      <c r="N4" s="681">
        <v>689</v>
      </c>
      <c r="O4" s="681">
        <v>2554</v>
      </c>
      <c r="P4" s="681">
        <v>0</v>
      </c>
      <c r="Q4" s="653">
        <v>412</v>
      </c>
      <c r="R4" s="653"/>
      <c r="S4" s="681">
        <v>3938</v>
      </c>
      <c r="T4" s="682">
        <v>-1546</v>
      </c>
      <c r="U4" s="682">
        <v>2392</v>
      </c>
    </row>
    <row r="5" spans="2:21" x14ac:dyDescent="0.25">
      <c r="B5" s="661" t="s">
        <v>2515</v>
      </c>
      <c r="C5" s="652">
        <v>1.4815E-3</v>
      </c>
      <c r="D5" s="652">
        <v>1.5223999999999999E-3</v>
      </c>
      <c r="E5" s="653">
        <v>1210</v>
      </c>
      <c r="F5" s="653">
        <v>-35280</v>
      </c>
      <c r="G5" s="653">
        <v>-27698</v>
      </c>
      <c r="H5" s="680"/>
      <c r="I5" s="681">
        <v>29.63</v>
      </c>
      <c r="J5" s="681">
        <v>1376</v>
      </c>
      <c r="K5" s="681">
        <v>7379</v>
      </c>
      <c r="L5" s="653">
        <v>692</v>
      </c>
      <c r="M5" s="653"/>
      <c r="N5" s="681">
        <v>359</v>
      </c>
      <c r="O5" s="681">
        <v>1329</v>
      </c>
      <c r="P5" s="681">
        <v>0</v>
      </c>
      <c r="Q5" s="653">
        <v>102</v>
      </c>
      <c r="R5" s="653"/>
      <c r="S5" s="681">
        <v>2049</v>
      </c>
      <c r="T5" s="682">
        <v>-106</v>
      </c>
      <c r="U5" s="682">
        <v>1943</v>
      </c>
    </row>
    <row r="6" spans="2:21" x14ac:dyDescent="0.25">
      <c r="B6" s="661" t="s">
        <v>2516</v>
      </c>
      <c r="C6" s="652">
        <v>1.7148E-3</v>
      </c>
      <c r="D6" s="652">
        <v>1.7566999999999999E-3</v>
      </c>
      <c r="E6" s="653">
        <v>1401</v>
      </c>
      <c r="F6" s="653">
        <v>-40710</v>
      </c>
      <c r="G6" s="653">
        <v>-32060</v>
      </c>
      <c r="H6" s="680"/>
      <c r="I6" s="681">
        <v>34</v>
      </c>
      <c r="J6" s="681">
        <v>1593</v>
      </c>
      <c r="K6" s="681">
        <v>8541</v>
      </c>
      <c r="L6" s="653">
        <v>905</v>
      </c>
      <c r="M6" s="653"/>
      <c r="N6" s="681">
        <v>415</v>
      </c>
      <c r="O6" s="681">
        <v>1538</v>
      </c>
      <c r="P6" s="681">
        <v>0</v>
      </c>
      <c r="Q6" s="653">
        <v>117</v>
      </c>
      <c r="R6" s="653"/>
      <c r="S6" s="681">
        <v>2372</v>
      </c>
      <c r="T6" s="682">
        <v>-122</v>
      </c>
      <c r="U6" s="682">
        <v>2249</v>
      </c>
    </row>
    <row r="7" spans="2:21" x14ac:dyDescent="0.25">
      <c r="B7" s="661" t="s">
        <v>2517</v>
      </c>
      <c r="C7" s="652">
        <v>3.5569999999999998E-3</v>
      </c>
      <c r="D7" s="652">
        <v>3.5098999999999998E-3</v>
      </c>
      <c r="E7" s="653">
        <v>2906</v>
      </c>
      <c r="F7" s="653">
        <v>-81338</v>
      </c>
      <c r="G7" s="653">
        <v>-66502</v>
      </c>
      <c r="H7" s="680"/>
      <c r="I7" s="681">
        <v>71.14</v>
      </c>
      <c r="J7" s="681">
        <v>3304</v>
      </c>
      <c r="K7" s="681">
        <v>17717</v>
      </c>
      <c r="L7" s="653">
        <v>0</v>
      </c>
      <c r="M7" s="653"/>
      <c r="N7" s="681">
        <v>861</v>
      </c>
      <c r="O7" s="681">
        <v>3191</v>
      </c>
      <c r="P7" s="681">
        <v>0</v>
      </c>
      <c r="Q7" s="653">
        <v>2159</v>
      </c>
      <c r="R7" s="653"/>
      <c r="S7" s="681">
        <v>4919</v>
      </c>
      <c r="T7" s="682">
        <v>-1633</v>
      </c>
      <c r="U7" s="682">
        <v>3287</v>
      </c>
    </row>
    <row r="8" spans="2:21" x14ac:dyDescent="0.25">
      <c r="B8" s="661" t="s">
        <v>2518</v>
      </c>
      <c r="C8" s="652">
        <v>2.8322E-3</v>
      </c>
      <c r="D8" s="652">
        <v>2.6254E-3</v>
      </c>
      <c r="E8" s="653">
        <v>2314</v>
      </c>
      <c r="F8" s="653">
        <v>-60841</v>
      </c>
      <c r="G8" s="653">
        <v>-52951</v>
      </c>
      <c r="H8" s="680"/>
      <c r="I8" s="681">
        <v>57</v>
      </c>
      <c r="J8" s="681">
        <v>2631</v>
      </c>
      <c r="K8" s="681">
        <v>14107</v>
      </c>
      <c r="L8" s="653">
        <v>2219</v>
      </c>
      <c r="M8" s="653"/>
      <c r="N8" s="681">
        <v>685</v>
      </c>
      <c r="O8" s="681">
        <v>2540</v>
      </c>
      <c r="P8" s="681">
        <v>0</v>
      </c>
      <c r="Q8" s="653">
        <v>3563</v>
      </c>
      <c r="R8" s="653"/>
      <c r="S8" s="681">
        <v>3917</v>
      </c>
      <c r="T8" s="682">
        <v>49</v>
      </c>
      <c r="U8" s="682">
        <v>3966</v>
      </c>
    </row>
    <row r="9" spans="2:21" x14ac:dyDescent="0.25">
      <c r="B9" s="661" t="s">
        <v>2519</v>
      </c>
      <c r="C9" s="652">
        <v>4.4989000000000001E-3</v>
      </c>
      <c r="D9" s="652">
        <v>4.2408999999999997E-3</v>
      </c>
      <c r="E9" s="653">
        <v>3675.28125</v>
      </c>
      <c r="F9" s="653">
        <v>-98279</v>
      </c>
      <c r="G9" s="653">
        <v>-84111</v>
      </c>
      <c r="H9" s="680"/>
      <c r="I9" s="681">
        <v>90</v>
      </c>
      <c r="J9" s="681">
        <v>4179</v>
      </c>
      <c r="K9" s="681">
        <v>22409</v>
      </c>
      <c r="L9" s="653">
        <v>2424</v>
      </c>
      <c r="M9" s="653"/>
      <c r="N9" s="681">
        <v>1089</v>
      </c>
      <c r="O9" s="681">
        <v>4036</v>
      </c>
      <c r="P9" s="681">
        <v>0</v>
      </c>
      <c r="Q9" s="653">
        <v>4364</v>
      </c>
      <c r="R9" s="653"/>
      <c r="S9" s="681">
        <v>6222</v>
      </c>
      <c r="T9" s="682">
        <v>615</v>
      </c>
      <c r="U9" s="682">
        <v>6837</v>
      </c>
    </row>
    <row r="10" spans="2:21" x14ac:dyDescent="0.25">
      <c r="B10" s="661" t="s">
        <v>2520</v>
      </c>
      <c r="C10" s="652">
        <v>1.1913E-3</v>
      </c>
      <c r="D10" s="652">
        <v>1.1998E-3</v>
      </c>
      <c r="E10" s="653">
        <v>973</v>
      </c>
      <c r="F10" s="653">
        <v>-27804</v>
      </c>
      <c r="G10" s="653">
        <v>-22273</v>
      </c>
      <c r="H10" s="680"/>
      <c r="I10" s="681">
        <v>24</v>
      </c>
      <c r="J10" s="681">
        <v>1107</v>
      </c>
      <c r="K10" s="681">
        <v>5934</v>
      </c>
      <c r="L10" s="653">
        <v>387</v>
      </c>
      <c r="M10" s="653"/>
      <c r="N10" s="681">
        <v>288</v>
      </c>
      <c r="O10" s="681">
        <v>1069</v>
      </c>
      <c r="P10" s="681">
        <v>0</v>
      </c>
      <c r="Q10" s="653">
        <v>54</v>
      </c>
      <c r="R10" s="653"/>
      <c r="S10" s="681">
        <v>1648</v>
      </c>
      <c r="T10" s="682">
        <v>-7</v>
      </c>
      <c r="U10" s="682">
        <v>1641</v>
      </c>
    </row>
    <row r="11" spans="2:21" x14ac:dyDescent="0.25">
      <c r="B11" s="661" t="s">
        <v>2521</v>
      </c>
      <c r="C11" s="652">
        <v>2.5176999999999999E-3</v>
      </c>
      <c r="D11" s="652">
        <v>2.5879000000000002E-3</v>
      </c>
      <c r="E11" s="653">
        <v>2057</v>
      </c>
      <c r="F11" s="653">
        <v>-59972</v>
      </c>
      <c r="G11" s="653">
        <v>-47071</v>
      </c>
      <c r="H11" s="680"/>
      <c r="I11" s="681">
        <v>50</v>
      </c>
      <c r="J11" s="681">
        <v>2339</v>
      </c>
      <c r="K11" s="681">
        <v>12541</v>
      </c>
      <c r="L11" s="653">
        <v>1187</v>
      </c>
      <c r="M11" s="653"/>
      <c r="N11" s="681">
        <v>609</v>
      </c>
      <c r="O11" s="681">
        <v>2258</v>
      </c>
      <c r="P11" s="681">
        <v>0</v>
      </c>
      <c r="Q11" s="653">
        <v>439</v>
      </c>
      <c r="R11" s="653"/>
      <c r="S11" s="681">
        <v>3482</v>
      </c>
      <c r="T11" s="682">
        <v>-1669</v>
      </c>
      <c r="U11" s="682">
        <v>1813</v>
      </c>
    </row>
    <row r="12" spans="2:21" x14ac:dyDescent="0.25">
      <c r="B12" s="661" t="s">
        <v>2522</v>
      </c>
      <c r="C12" s="652">
        <v>1.9386E-2</v>
      </c>
      <c r="D12" s="652">
        <v>2.1004100000000001E-2</v>
      </c>
      <c r="E12" s="653">
        <v>15837</v>
      </c>
      <c r="F12" s="653">
        <v>-486749</v>
      </c>
      <c r="G12" s="653">
        <v>-362441</v>
      </c>
      <c r="H12" s="680"/>
      <c r="I12" s="681">
        <v>387.72</v>
      </c>
      <c r="J12" s="681">
        <v>18010</v>
      </c>
      <c r="K12" s="681">
        <v>96562</v>
      </c>
      <c r="L12" s="653">
        <v>27371</v>
      </c>
      <c r="M12" s="653"/>
      <c r="N12" s="681">
        <v>4691</v>
      </c>
      <c r="O12" s="681">
        <v>17389</v>
      </c>
      <c r="P12" s="681">
        <v>0</v>
      </c>
      <c r="Q12" s="653">
        <v>1414</v>
      </c>
      <c r="R12" s="653"/>
      <c r="S12" s="681">
        <v>26811</v>
      </c>
      <c r="T12" s="682">
        <v>4716</v>
      </c>
      <c r="U12" s="682">
        <v>31527</v>
      </c>
    </row>
    <row r="13" spans="2:21" x14ac:dyDescent="0.25">
      <c r="B13" s="661" t="s">
        <v>2523</v>
      </c>
      <c r="C13" s="652">
        <v>3.46618E-2</v>
      </c>
      <c r="D13" s="652">
        <v>3.4609599999999997E-2</v>
      </c>
      <c r="E13" s="653">
        <v>28316</v>
      </c>
      <c r="F13" s="653">
        <v>-802043</v>
      </c>
      <c r="G13" s="653">
        <v>-648037</v>
      </c>
      <c r="H13" s="680"/>
      <c r="I13" s="681">
        <v>693</v>
      </c>
      <c r="J13" s="681">
        <v>32201</v>
      </c>
      <c r="K13" s="681">
        <v>172650</v>
      </c>
      <c r="L13" s="653">
        <v>0</v>
      </c>
      <c r="M13" s="653"/>
      <c r="N13" s="681">
        <v>8388</v>
      </c>
      <c r="O13" s="681">
        <v>31092</v>
      </c>
      <c r="P13" s="681">
        <v>0</v>
      </c>
      <c r="Q13" s="653">
        <v>28739</v>
      </c>
      <c r="R13" s="653"/>
      <c r="S13" s="681">
        <v>47937</v>
      </c>
      <c r="T13" s="682">
        <v>-28500</v>
      </c>
      <c r="U13" s="682">
        <v>19438</v>
      </c>
    </row>
    <row r="14" spans="2:21" x14ac:dyDescent="0.25">
      <c r="B14" s="661" t="s">
        <v>2524</v>
      </c>
      <c r="C14" s="652">
        <v>1.0696499999999999E-2</v>
      </c>
      <c r="D14" s="652">
        <v>8.3555000000000001E-3</v>
      </c>
      <c r="E14" s="653">
        <v>8738</v>
      </c>
      <c r="F14" s="653">
        <v>-193630</v>
      </c>
      <c r="G14" s="653">
        <v>-199982</v>
      </c>
      <c r="H14" s="680"/>
      <c r="I14" s="681">
        <v>214</v>
      </c>
      <c r="J14" s="681">
        <v>9937</v>
      </c>
      <c r="K14" s="681">
        <v>53279</v>
      </c>
      <c r="L14" s="653">
        <v>0</v>
      </c>
      <c r="M14" s="653"/>
      <c r="N14" s="681">
        <v>2589</v>
      </c>
      <c r="O14" s="681">
        <v>9595</v>
      </c>
      <c r="P14" s="681">
        <v>0</v>
      </c>
      <c r="Q14" s="653">
        <v>46343</v>
      </c>
      <c r="R14" s="653"/>
      <c r="S14" s="681">
        <v>14793</v>
      </c>
      <c r="T14" s="682">
        <v>-26324</v>
      </c>
      <c r="U14" s="682">
        <v>-11531</v>
      </c>
    </row>
    <row r="15" spans="2:21" x14ac:dyDescent="0.25">
      <c r="B15" s="661" t="s">
        <v>2525</v>
      </c>
      <c r="C15" s="652">
        <v>2.39884E-2</v>
      </c>
      <c r="D15" s="652">
        <v>2.2662600000000001E-2</v>
      </c>
      <c r="E15" s="653">
        <v>19597.03</v>
      </c>
      <c r="F15" s="653">
        <v>-525183</v>
      </c>
      <c r="G15" s="653">
        <v>-448487</v>
      </c>
      <c r="H15" s="680"/>
      <c r="I15" s="681">
        <v>480</v>
      </c>
      <c r="J15" s="681">
        <v>22285</v>
      </c>
      <c r="K15" s="681">
        <v>119486</v>
      </c>
      <c r="L15" s="653">
        <v>276</v>
      </c>
      <c r="M15" s="653"/>
      <c r="N15" s="681">
        <v>5805</v>
      </c>
      <c r="O15" s="681">
        <v>21518</v>
      </c>
      <c r="P15" s="681">
        <v>0</v>
      </c>
      <c r="Q15" s="653">
        <v>32965</v>
      </c>
      <c r="R15" s="653"/>
      <c r="S15" s="681">
        <v>33176</v>
      </c>
      <c r="T15" s="682">
        <v>-16866</v>
      </c>
      <c r="U15" s="682">
        <v>16310</v>
      </c>
    </row>
    <row r="16" spans="2:21" x14ac:dyDescent="0.25">
      <c r="B16" s="661" t="s">
        <v>2526</v>
      </c>
      <c r="C16" s="652">
        <v>7.5778E-3</v>
      </c>
      <c r="D16" s="652">
        <v>7.2118E-3</v>
      </c>
      <c r="E16" s="653">
        <v>6191</v>
      </c>
      <c r="F16" s="653">
        <v>-167126</v>
      </c>
      <c r="G16" s="653">
        <v>-141675</v>
      </c>
      <c r="H16" s="680"/>
      <c r="I16" s="681">
        <v>152</v>
      </c>
      <c r="J16" s="681">
        <v>7040</v>
      </c>
      <c r="K16" s="681">
        <v>37745</v>
      </c>
      <c r="L16" s="653">
        <v>3800</v>
      </c>
      <c r="M16" s="653"/>
      <c r="N16" s="681">
        <v>1834</v>
      </c>
      <c r="O16" s="681">
        <v>6797</v>
      </c>
      <c r="P16" s="681">
        <v>0</v>
      </c>
      <c r="Q16" s="653">
        <v>7320</v>
      </c>
      <c r="R16" s="653"/>
      <c r="S16" s="681">
        <v>10480</v>
      </c>
      <c r="T16" s="682">
        <v>-5091</v>
      </c>
      <c r="U16" s="682">
        <v>5389</v>
      </c>
    </row>
    <row r="17" spans="2:21" x14ac:dyDescent="0.25">
      <c r="B17" s="661" t="s">
        <v>2527</v>
      </c>
      <c r="C17" s="652">
        <v>1.103E-3</v>
      </c>
      <c r="D17" s="652">
        <v>9.5220000000000005E-4</v>
      </c>
      <c r="E17" s="653">
        <v>901</v>
      </c>
      <c r="F17" s="653">
        <v>-22066</v>
      </c>
      <c r="G17" s="653">
        <v>-20622</v>
      </c>
      <c r="H17" s="680"/>
      <c r="I17" s="681">
        <v>22</v>
      </c>
      <c r="J17" s="681">
        <v>1025</v>
      </c>
      <c r="K17" s="681">
        <v>5494</v>
      </c>
      <c r="L17" s="653">
        <v>660</v>
      </c>
      <c r="M17" s="653"/>
      <c r="N17" s="681">
        <v>267</v>
      </c>
      <c r="O17" s="681">
        <v>989</v>
      </c>
      <c r="P17" s="681">
        <v>0</v>
      </c>
      <c r="Q17" s="653">
        <v>2551</v>
      </c>
      <c r="R17" s="653"/>
      <c r="S17" s="681">
        <v>1525</v>
      </c>
      <c r="T17" s="682">
        <v>142</v>
      </c>
      <c r="U17" s="682">
        <v>1667</v>
      </c>
    </row>
    <row r="18" spans="2:21" x14ac:dyDescent="0.25">
      <c r="B18" s="661" t="s">
        <v>2528</v>
      </c>
      <c r="C18" s="652">
        <v>1.33673E-2</v>
      </c>
      <c r="D18" s="652">
        <v>1.09128E-2</v>
      </c>
      <c r="E18" s="653">
        <v>10920</v>
      </c>
      <c r="F18" s="653">
        <v>-252893</v>
      </c>
      <c r="G18" s="653">
        <v>-249915</v>
      </c>
      <c r="H18" s="680"/>
      <c r="I18" s="681">
        <v>267</v>
      </c>
      <c r="J18" s="681">
        <v>12418</v>
      </c>
      <c r="K18" s="681">
        <v>66583</v>
      </c>
      <c r="L18" s="653">
        <v>1177</v>
      </c>
      <c r="M18" s="653"/>
      <c r="N18" s="681">
        <v>3235</v>
      </c>
      <c r="O18" s="681">
        <v>11990</v>
      </c>
      <c r="P18" s="681">
        <v>0</v>
      </c>
      <c r="Q18" s="653">
        <v>41519</v>
      </c>
      <c r="R18" s="653"/>
      <c r="S18" s="681">
        <v>18487</v>
      </c>
      <c r="T18" s="682">
        <v>-14988</v>
      </c>
      <c r="U18" s="682">
        <v>3499</v>
      </c>
    </row>
    <row r="19" spans="2:21" x14ac:dyDescent="0.25">
      <c r="B19" s="661" t="s">
        <v>2529</v>
      </c>
      <c r="C19" s="652">
        <v>1.7351999999999999E-3</v>
      </c>
      <c r="D19" s="652">
        <v>1.6876E-3</v>
      </c>
      <c r="E19" s="653">
        <v>1418</v>
      </c>
      <c r="F19" s="653">
        <v>-39108</v>
      </c>
      <c r="G19" s="653">
        <v>-32441</v>
      </c>
      <c r="H19" s="680"/>
      <c r="I19" s="681">
        <v>35</v>
      </c>
      <c r="J19" s="681">
        <v>1612</v>
      </c>
      <c r="K19" s="681">
        <v>8643</v>
      </c>
      <c r="L19" s="653">
        <v>89</v>
      </c>
      <c r="M19" s="653"/>
      <c r="N19" s="681">
        <v>420</v>
      </c>
      <c r="O19" s="681">
        <v>1556</v>
      </c>
      <c r="P19" s="681">
        <v>0</v>
      </c>
      <c r="Q19" s="653">
        <v>1071</v>
      </c>
      <c r="R19" s="653"/>
      <c r="S19" s="681">
        <v>2400</v>
      </c>
      <c r="T19" s="682">
        <v>-1594</v>
      </c>
      <c r="U19" s="682">
        <v>806</v>
      </c>
    </row>
    <row r="20" spans="2:21" x14ac:dyDescent="0.25">
      <c r="B20" s="661" t="s">
        <v>2530</v>
      </c>
      <c r="C20" s="652">
        <v>1.6867199999999999E-2</v>
      </c>
      <c r="D20" s="652">
        <v>1.65814E-2</v>
      </c>
      <c r="E20" s="653">
        <v>13779</v>
      </c>
      <c r="F20" s="653">
        <v>-384257</v>
      </c>
      <c r="G20" s="653">
        <v>-315349</v>
      </c>
      <c r="H20" s="680"/>
      <c r="I20" s="681">
        <v>337</v>
      </c>
      <c r="J20" s="681">
        <v>15670</v>
      </c>
      <c r="K20" s="681">
        <v>84016</v>
      </c>
      <c r="L20" s="653">
        <v>0</v>
      </c>
      <c r="M20" s="653"/>
      <c r="N20" s="681">
        <v>4082</v>
      </c>
      <c r="O20" s="681">
        <v>15130</v>
      </c>
      <c r="P20" s="681">
        <v>0</v>
      </c>
      <c r="Q20" s="653">
        <v>8888</v>
      </c>
      <c r="R20" s="653"/>
      <c r="S20" s="681">
        <v>23327</v>
      </c>
      <c r="T20" s="682">
        <v>-6759</v>
      </c>
      <c r="U20" s="682">
        <v>16569</v>
      </c>
    </row>
    <row r="21" spans="2:21" x14ac:dyDescent="0.25">
      <c r="B21" s="661" t="s">
        <v>2531</v>
      </c>
      <c r="C21" s="652">
        <v>8.1905999999999993E-3</v>
      </c>
      <c r="D21" s="652">
        <v>8.4030000000000007E-3</v>
      </c>
      <c r="E21" s="653">
        <v>6691</v>
      </c>
      <c r="F21" s="653">
        <v>-194731</v>
      </c>
      <c r="G21" s="653">
        <v>-153131</v>
      </c>
      <c r="H21" s="680"/>
      <c r="I21" s="681">
        <v>164</v>
      </c>
      <c r="J21" s="681">
        <v>7609</v>
      </c>
      <c r="K21" s="681">
        <v>40797</v>
      </c>
      <c r="L21" s="653">
        <v>3593</v>
      </c>
      <c r="M21" s="653"/>
      <c r="N21" s="681">
        <v>1982</v>
      </c>
      <c r="O21" s="681">
        <v>7347</v>
      </c>
      <c r="P21" s="681">
        <v>0</v>
      </c>
      <c r="Q21" s="653">
        <v>1438</v>
      </c>
      <c r="R21" s="653"/>
      <c r="S21" s="681">
        <v>11328</v>
      </c>
      <c r="T21" s="682">
        <v>-1210</v>
      </c>
      <c r="U21" s="682">
        <v>10117</v>
      </c>
    </row>
    <row r="22" spans="2:21" x14ac:dyDescent="0.25">
      <c r="B22" s="661" t="s">
        <v>2532</v>
      </c>
      <c r="C22" s="652">
        <v>3.8235000000000001E-3</v>
      </c>
      <c r="D22" s="652">
        <v>3.7967000000000001E-3</v>
      </c>
      <c r="E22" s="653">
        <v>3124</v>
      </c>
      <c r="F22" s="653">
        <v>-87985</v>
      </c>
      <c r="G22" s="653">
        <v>-71484</v>
      </c>
      <c r="H22" s="680"/>
      <c r="I22" s="681">
        <v>76.47</v>
      </c>
      <c r="J22" s="681">
        <v>3552</v>
      </c>
      <c r="K22" s="681">
        <v>19045</v>
      </c>
      <c r="L22" s="653">
        <v>62</v>
      </c>
      <c r="M22" s="653"/>
      <c r="N22" s="681">
        <v>925</v>
      </c>
      <c r="O22" s="681">
        <v>3430</v>
      </c>
      <c r="P22" s="681">
        <v>0</v>
      </c>
      <c r="Q22" s="653">
        <v>2434</v>
      </c>
      <c r="R22" s="653"/>
      <c r="S22" s="681">
        <v>5288</v>
      </c>
      <c r="T22" s="682">
        <v>-1532</v>
      </c>
      <c r="U22" s="682">
        <v>3756</v>
      </c>
    </row>
    <row r="23" spans="2:21" x14ac:dyDescent="0.25">
      <c r="B23" s="661" t="s">
        <v>2533</v>
      </c>
      <c r="C23" s="652">
        <v>1.5716E-3</v>
      </c>
      <c r="D23" s="652">
        <v>1.6087E-3</v>
      </c>
      <c r="E23" s="653">
        <v>1283.895</v>
      </c>
      <c r="F23" s="653">
        <v>-37280</v>
      </c>
      <c r="G23" s="653">
        <v>-29383</v>
      </c>
      <c r="H23" s="680"/>
      <c r="I23" s="681">
        <v>31</v>
      </c>
      <c r="J23" s="681">
        <v>1460</v>
      </c>
      <c r="K23" s="681">
        <v>7828</v>
      </c>
      <c r="L23" s="653">
        <v>987</v>
      </c>
      <c r="M23" s="653"/>
      <c r="N23" s="681">
        <v>380</v>
      </c>
      <c r="O23" s="681">
        <v>1410</v>
      </c>
      <c r="P23" s="681">
        <v>0</v>
      </c>
      <c r="Q23" s="653">
        <v>128</v>
      </c>
      <c r="R23" s="653"/>
      <c r="S23" s="681">
        <v>2174</v>
      </c>
      <c r="T23" s="682">
        <v>-76</v>
      </c>
      <c r="U23" s="682">
        <v>2098</v>
      </c>
    </row>
    <row r="24" spans="2:21" x14ac:dyDescent="0.25">
      <c r="B24" s="661" t="s">
        <v>2534</v>
      </c>
      <c r="C24" s="652">
        <v>1.5135000000000001E-3</v>
      </c>
      <c r="D24" s="652">
        <v>1.588E-3</v>
      </c>
      <c r="E24" s="653">
        <v>1236</v>
      </c>
      <c r="F24" s="653">
        <v>-36800</v>
      </c>
      <c r="G24" s="653">
        <v>-28296</v>
      </c>
      <c r="H24" s="680"/>
      <c r="I24" s="681">
        <v>30</v>
      </c>
      <c r="J24" s="681">
        <v>1406</v>
      </c>
      <c r="K24" s="681">
        <v>7539</v>
      </c>
      <c r="L24" s="653">
        <v>2566</v>
      </c>
      <c r="M24" s="653"/>
      <c r="N24" s="681">
        <v>366</v>
      </c>
      <c r="O24" s="681">
        <v>1358</v>
      </c>
      <c r="P24" s="681">
        <v>0</v>
      </c>
      <c r="Q24" s="653">
        <v>81</v>
      </c>
      <c r="R24" s="653"/>
      <c r="S24" s="681">
        <v>2093</v>
      </c>
      <c r="T24" s="682">
        <v>1215</v>
      </c>
      <c r="U24" s="682">
        <v>3308</v>
      </c>
    </row>
    <row r="25" spans="2:21" x14ac:dyDescent="0.25">
      <c r="B25" s="661" t="s">
        <v>2535</v>
      </c>
      <c r="C25" s="652">
        <v>6.5862000000000004E-3</v>
      </c>
      <c r="D25" s="652">
        <v>6.7035999999999997E-3</v>
      </c>
      <c r="E25" s="653">
        <v>5380</v>
      </c>
      <c r="F25" s="653">
        <v>-155349</v>
      </c>
      <c r="G25" s="653">
        <v>-123136</v>
      </c>
      <c r="H25" s="680"/>
      <c r="I25" s="681">
        <v>132</v>
      </c>
      <c r="J25" s="681">
        <v>6119</v>
      </c>
      <c r="K25" s="681">
        <v>32806</v>
      </c>
      <c r="L25" s="653">
        <v>1986</v>
      </c>
      <c r="M25" s="653"/>
      <c r="N25" s="681">
        <v>1594</v>
      </c>
      <c r="O25" s="681">
        <v>5908</v>
      </c>
      <c r="P25" s="681">
        <v>0</v>
      </c>
      <c r="Q25" s="653">
        <v>3022</v>
      </c>
      <c r="R25" s="653"/>
      <c r="S25" s="681">
        <v>9109</v>
      </c>
      <c r="T25" s="682">
        <v>-3336</v>
      </c>
      <c r="U25" s="682">
        <v>5773</v>
      </c>
    </row>
    <row r="26" spans="2:21" x14ac:dyDescent="0.25">
      <c r="B26" s="661" t="s">
        <v>2536</v>
      </c>
      <c r="C26" s="652">
        <v>4.1635999999999999E-3</v>
      </c>
      <c r="D26" s="652">
        <v>4.5163E-3</v>
      </c>
      <c r="E26" s="653">
        <v>3401</v>
      </c>
      <c r="F26" s="653">
        <v>-104661</v>
      </c>
      <c r="G26" s="653">
        <v>-77843</v>
      </c>
      <c r="H26" s="680"/>
      <c r="I26" s="681">
        <v>83</v>
      </c>
      <c r="J26" s="681">
        <v>3868</v>
      </c>
      <c r="K26" s="681">
        <v>20739</v>
      </c>
      <c r="L26" s="653">
        <v>6561</v>
      </c>
      <c r="M26" s="653"/>
      <c r="N26" s="681">
        <v>1008</v>
      </c>
      <c r="O26" s="681">
        <v>3735</v>
      </c>
      <c r="P26" s="681">
        <v>0</v>
      </c>
      <c r="Q26" s="653">
        <v>1735</v>
      </c>
      <c r="R26" s="653"/>
      <c r="S26" s="681">
        <v>5758</v>
      </c>
      <c r="T26" s="682">
        <v>-5660</v>
      </c>
      <c r="U26" s="682">
        <v>98</v>
      </c>
    </row>
    <row r="27" spans="2:21" x14ac:dyDescent="0.25">
      <c r="B27" s="661" t="s">
        <v>2537</v>
      </c>
      <c r="C27" s="652">
        <v>1.21683E-2</v>
      </c>
      <c r="D27" s="652">
        <v>1.1118100000000001E-2</v>
      </c>
      <c r="E27" s="653">
        <v>9941</v>
      </c>
      <c r="F27" s="653">
        <v>-257651</v>
      </c>
      <c r="G27" s="653">
        <v>-227499</v>
      </c>
      <c r="H27" s="680"/>
      <c r="I27" s="681">
        <v>243</v>
      </c>
      <c r="J27" s="681">
        <v>11304</v>
      </c>
      <c r="K27" s="681">
        <v>60610</v>
      </c>
      <c r="L27" s="653">
        <v>193</v>
      </c>
      <c r="M27" s="653"/>
      <c r="N27" s="681">
        <v>2945</v>
      </c>
      <c r="O27" s="681">
        <v>10915</v>
      </c>
      <c r="P27" s="681">
        <v>0</v>
      </c>
      <c r="Q27" s="653">
        <v>18066</v>
      </c>
      <c r="R27" s="653"/>
      <c r="S27" s="681">
        <v>16829</v>
      </c>
      <c r="T27" s="682">
        <v>-6784</v>
      </c>
      <c r="U27" s="682">
        <v>10045</v>
      </c>
    </row>
    <row r="28" spans="2:21" x14ac:dyDescent="0.25">
      <c r="B28" s="661" t="s">
        <v>2538</v>
      </c>
      <c r="C28" s="652">
        <v>3.3197299999999999E-2</v>
      </c>
      <c r="D28" s="652">
        <v>3.4555299999999997E-2</v>
      </c>
      <c r="E28" s="653">
        <v>27120</v>
      </c>
      <c r="F28" s="653">
        <v>-800785</v>
      </c>
      <c r="G28" s="653">
        <v>-620657</v>
      </c>
      <c r="H28" s="680"/>
      <c r="I28" s="681">
        <v>664</v>
      </c>
      <c r="J28" s="681">
        <v>30840</v>
      </c>
      <c r="K28" s="681">
        <v>165356</v>
      </c>
      <c r="L28" s="653">
        <v>27988</v>
      </c>
      <c r="M28" s="653"/>
      <c r="N28" s="681">
        <v>8034</v>
      </c>
      <c r="O28" s="681">
        <v>29778</v>
      </c>
      <c r="P28" s="681">
        <v>0</v>
      </c>
      <c r="Q28" s="653">
        <v>189</v>
      </c>
      <c r="R28" s="653"/>
      <c r="S28" s="681">
        <v>45912</v>
      </c>
      <c r="T28" s="682">
        <v>12930</v>
      </c>
      <c r="U28" s="682">
        <v>58842</v>
      </c>
    </row>
    <row r="29" spans="2:21" x14ac:dyDescent="0.25">
      <c r="B29" s="661" t="s">
        <v>2539</v>
      </c>
      <c r="C29" s="652">
        <v>4.1034000000000001E-3</v>
      </c>
      <c r="D29" s="652">
        <v>4.2293000000000001E-3</v>
      </c>
      <c r="E29" s="653">
        <v>3352</v>
      </c>
      <c r="F29" s="653">
        <v>-98010</v>
      </c>
      <c r="G29" s="653">
        <v>-76717</v>
      </c>
      <c r="H29" s="680"/>
      <c r="I29" s="681">
        <v>82</v>
      </c>
      <c r="J29" s="681">
        <v>3812</v>
      </c>
      <c r="K29" s="681">
        <v>20439</v>
      </c>
      <c r="L29" s="653">
        <v>2902</v>
      </c>
      <c r="M29" s="653"/>
      <c r="N29" s="681">
        <v>993</v>
      </c>
      <c r="O29" s="681">
        <v>3681</v>
      </c>
      <c r="P29" s="681">
        <v>0</v>
      </c>
      <c r="Q29" s="653">
        <v>0</v>
      </c>
      <c r="R29" s="653"/>
      <c r="S29" s="681">
        <v>5675</v>
      </c>
      <c r="T29" s="682">
        <v>3084</v>
      </c>
      <c r="U29" s="682">
        <v>8759</v>
      </c>
    </row>
    <row r="30" spans="2:21" x14ac:dyDescent="0.25">
      <c r="B30" s="661" t="s">
        <v>2540</v>
      </c>
      <c r="C30" s="652">
        <v>9.5162000000000007E-3</v>
      </c>
      <c r="D30" s="652">
        <v>9.1173000000000001E-3</v>
      </c>
      <c r="E30" s="653">
        <v>7774</v>
      </c>
      <c r="F30" s="653">
        <v>-211284</v>
      </c>
      <c r="G30" s="653">
        <v>-177915</v>
      </c>
      <c r="H30" s="680"/>
      <c r="I30" s="681">
        <v>190</v>
      </c>
      <c r="J30" s="681">
        <v>8841</v>
      </c>
      <c r="K30" s="681">
        <v>47400</v>
      </c>
      <c r="L30" s="653">
        <v>2644</v>
      </c>
      <c r="M30" s="653"/>
      <c r="N30" s="681">
        <v>2303</v>
      </c>
      <c r="O30" s="681">
        <v>8536</v>
      </c>
      <c r="P30" s="681">
        <v>0</v>
      </c>
      <c r="Q30" s="653">
        <v>6748</v>
      </c>
      <c r="R30" s="653"/>
      <c r="S30" s="681">
        <v>13161</v>
      </c>
      <c r="T30" s="682">
        <v>505</v>
      </c>
      <c r="U30" s="682">
        <v>13666</v>
      </c>
    </row>
    <row r="31" spans="2:21" x14ac:dyDescent="0.25">
      <c r="B31" s="661" t="s">
        <v>2541</v>
      </c>
      <c r="C31" s="652">
        <v>1.08719E-2</v>
      </c>
      <c r="D31" s="652">
        <v>1.2908599999999999E-2</v>
      </c>
      <c r="E31" s="653">
        <v>8882</v>
      </c>
      <c r="F31" s="653">
        <v>-299144</v>
      </c>
      <c r="G31" s="653">
        <v>-203261</v>
      </c>
      <c r="H31" s="680"/>
      <c r="I31" s="681">
        <v>217</v>
      </c>
      <c r="J31" s="681">
        <v>10100</v>
      </c>
      <c r="K31" s="681">
        <v>54153</v>
      </c>
      <c r="L31" s="653">
        <v>41077</v>
      </c>
      <c r="M31" s="653"/>
      <c r="N31" s="681">
        <v>2631</v>
      </c>
      <c r="O31" s="681">
        <v>9752</v>
      </c>
      <c r="P31" s="681">
        <v>0</v>
      </c>
      <c r="Q31" s="653">
        <v>0</v>
      </c>
      <c r="R31" s="653"/>
      <c r="S31" s="681">
        <v>15036</v>
      </c>
      <c r="T31" s="682">
        <v>42387</v>
      </c>
      <c r="U31" s="682">
        <v>57423</v>
      </c>
    </row>
    <row r="32" spans="2:21" x14ac:dyDescent="0.25">
      <c r="B32" s="661" t="s">
        <v>2542</v>
      </c>
      <c r="C32" s="652">
        <v>4.0918999999999999E-3</v>
      </c>
      <c r="D32" s="652">
        <v>4.2021000000000003E-3</v>
      </c>
      <c r="E32" s="653">
        <v>3343</v>
      </c>
      <c r="F32" s="653">
        <v>-97379</v>
      </c>
      <c r="G32" s="653">
        <v>-76502</v>
      </c>
      <c r="H32" s="680"/>
      <c r="I32" s="681">
        <v>82</v>
      </c>
      <c r="J32" s="681">
        <v>3801</v>
      </c>
      <c r="K32" s="681">
        <v>20382</v>
      </c>
      <c r="L32" s="653">
        <v>1864</v>
      </c>
      <c r="M32" s="653"/>
      <c r="N32" s="681">
        <v>990</v>
      </c>
      <c r="O32" s="681">
        <v>3670</v>
      </c>
      <c r="P32" s="681">
        <v>0</v>
      </c>
      <c r="Q32" s="653">
        <v>1863</v>
      </c>
      <c r="R32" s="653"/>
      <c r="S32" s="681">
        <v>5659</v>
      </c>
      <c r="T32" s="682">
        <v>-1331</v>
      </c>
      <c r="U32" s="682">
        <v>4328</v>
      </c>
    </row>
    <row r="33" spans="2:21" x14ac:dyDescent="0.25">
      <c r="B33" s="661" t="s">
        <v>2543</v>
      </c>
      <c r="C33" s="652">
        <v>4.2513000000000004E-3</v>
      </c>
      <c r="D33" s="652">
        <v>4.1583999999999996E-3</v>
      </c>
      <c r="E33" s="653">
        <v>3473</v>
      </c>
      <c r="F33" s="653">
        <v>-96367</v>
      </c>
      <c r="G33" s="653">
        <v>-79482</v>
      </c>
      <c r="H33" s="680"/>
      <c r="I33" s="681">
        <v>85</v>
      </c>
      <c r="J33" s="681">
        <v>3949</v>
      </c>
      <c r="K33" s="681">
        <v>21176</v>
      </c>
      <c r="L33" s="653">
        <v>0</v>
      </c>
      <c r="M33" s="653"/>
      <c r="N33" s="681">
        <v>1029</v>
      </c>
      <c r="O33" s="681">
        <v>3813</v>
      </c>
      <c r="P33" s="681">
        <v>0</v>
      </c>
      <c r="Q33" s="653">
        <v>2037</v>
      </c>
      <c r="R33" s="653"/>
      <c r="S33" s="681">
        <v>5880</v>
      </c>
      <c r="T33" s="682">
        <v>-2586</v>
      </c>
      <c r="U33" s="682">
        <v>3293</v>
      </c>
    </row>
    <row r="34" spans="2:21" x14ac:dyDescent="0.25">
      <c r="B34" s="661" t="s">
        <v>2544</v>
      </c>
      <c r="C34" s="652">
        <v>3.1125E-2</v>
      </c>
      <c r="D34" s="652">
        <v>3.0139099999999999E-2</v>
      </c>
      <c r="E34" s="653">
        <v>25427</v>
      </c>
      <c r="F34" s="653">
        <v>-698444</v>
      </c>
      <c r="G34" s="653">
        <v>-581913</v>
      </c>
      <c r="H34" s="680"/>
      <c r="I34" s="681">
        <v>622.5</v>
      </c>
      <c r="J34" s="681">
        <v>28915.125</v>
      </c>
      <c r="K34" s="681">
        <v>155034</v>
      </c>
      <c r="L34" s="653">
        <v>0</v>
      </c>
      <c r="M34" s="653"/>
      <c r="N34" s="681">
        <v>7532.25</v>
      </c>
      <c r="O34" s="681">
        <v>27919.125</v>
      </c>
      <c r="P34" s="681">
        <v>0</v>
      </c>
      <c r="Q34" s="653">
        <v>28285</v>
      </c>
      <c r="R34" s="653"/>
      <c r="S34" s="681">
        <v>43045.875</v>
      </c>
      <c r="T34" s="682">
        <v>-23643</v>
      </c>
      <c r="U34" s="682">
        <v>19402</v>
      </c>
    </row>
    <row r="35" spans="2:21" x14ac:dyDescent="0.25">
      <c r="B35" s="661" t="s">
        <v>2545</v>
      </c>
      <c r="C35" s="652">
        <v>3.4244000000000002E-3</v>
      </c>
      <c r="D35" s="652">
        <v>3.5536000000000001E-3</v>
      </c>
      <c r="E35" s="653">
        <v>2798</v>
      </c>
      <c r="F35" s="653">
        <v>-82351</v>
      </c>
      <c r="G35" s="653">
        <v>-64023</v>
      </c>
      <c r="H35" s="680"/>
      <c r="I35" s="681">
        <v>68</v>
      </c>
      <c r="J35" s="681">
        <v>3181</v>
      </c>
      <c r="K35" s="681">
        <v>17057</v>
      </c>
      <c r="L35" s="653">
        <v>2185</v>
      </c>
      <c r="M35" s="653"/>
      <c r="N35" s="681">
        <v>829</v>
      </c>
      <c r="O35" s="681">
        <v>3072</v>
      </c>
      <c r="P35" s="681">
        <v>0</v>
      </c>
      <c r="Q35" s="653">
        <v>785</v>
      </c>
      <c r="R35" s="653"/>
      <c r="S35" s="681">
        <v>4736</v>
      </c>
      <c r="T35" s="682">
        <v>-517</v>
      </c>
      <c r="U35" s="682">
        <v>4219</v>
      </c>
    </row>
    <row r="36" spans="2:21" x14ac:dyDescent="0.25">
      <c r="B36" s="661" t="s">
        <v>2546</v>
      </c>
      <c r="C36" s="652">
        <v>3.9605899999999999E-2</v>
      </c>
      <c r="D36" s="652">
        <v>3.9285199999999999E-2</v>
      </c>
      <c r="E36" s="653">
        <v>32356</v>
      </c>
      <c r="F36" s="653">
        <v>-910395</v>
      </c>
      <c r="G36" s="653">
        <v>-740472</v>
      </c>
      <c r="H36" s="680"/>
      <c r="I36" s="681">
        <v>792</v>
      </c>
      <c r="J36" s="681">
        <v>36794</v>
      </c>
      <c r="K36" s="681">
        <v>197277</v>
      </c>
      <c r="L36" s="653">
        <v>0</v>
      </c>
      <c r="M36" s="653"/>
      <c r="N36" s="681">
        <v>9585</v>
      </c>
      <c r="O36" s="681">
        <v>35526</v>
      </c>
      <c r="P36" s="681">
        <v>0</v>
      </c>
      <c r="Q36" s="653">
        <v>11427</v>
      </c>
      <c r="R36" s="653"/>
      <c r="S36" s="681">
        <v>54775</v>
      </c>
      <c r="T36" s="682">
        <v>-11290</v>
      </c>
      <c r="U36" s="682">
        <v>43485</v>
      </c>
    </row>
    <row r="37" spans="2:21" x14ac:dyDescent="0.25">
      <c r="B37" s="661" t="s">
        <v>2547</v>
      </c>
      <c r="C37" s="652">
        <v>5.6988999999999998E-3</v>
      </c>
      <c r="D37" s="652">
        <v>5.2674999999999996E-3</v>
      </c>
      <c r="E37" s="653">
        <v>4656</v>
      </c>
      <c r="F37" s="653">
        <v>-122069</v>
      </c>
      <c r="G37" s="653">
        <v>-106547</v>
      </c>
      <c r="H37" s="680"/>
      <c r="I37" s="681">
        <v>114</v>
      </c>
      <c r="J37" s="681">
        <v>5294</v>
      </c>
      <c r="K37" s="681">
        <v>28386</v>
      </c>
      <c r="L37" s="653">
        <v>0</v>
      </c>
      <c r="M37" s="653"/>
      <c r="N37" s="681">
        <v>1379</v>
      </c>
      <c r="O37" s="681">
        <v>5112</v>
      </c>
      <c r="P37" s="681">
        <v>0</v>
      </c>
      <c r="Q37" s="653">
        <v>7956</v>
      </c>
      <c r="R37" s="653"/>
      <c r="S37" s="681">
        <v>7882</v>
      </c>
      <c r="T37" s="682">
        <v>-4779</v>
      </c>
      <c r="U37" s="682">
        <v>3103</v>
      </c>
    </row>
    <row r="38" spans="2:21" x14ac:dyDescent="0.25">
      <c r="B38" s="661" t="s">
        <v>2548</v>
      </c>
      <c r="C38" s="652">
        <v>1.13299E-2</v>
      </c>
      <c r="D38" s="652">
        <v>1.34155E-2</v>
      </c>
      <c r="E38" s="653">
        <v>9256</v>
      </c>
      <c r="F38" s="653">
        <v>-310891</v>
      </c>
      <c r="G38" s="653">
        <v>-211824</v>
      </c>
      <c r="H38" s="680"/>
      <c r="I38" s="681">
        <v>227</v>
      </c>
      <c r="J38" s="681">
        <v>10525</v>
      </c>
      <c r="K38" s="681">
        <v>56434</v>
      </c>
      <c r="L38" s="653">
        <v>42086</v>
      </c>
      <c r="M38" s="653"/>
      <c r="N38" s="681">
        <v>2742</v>
      </c>
      <c r="O38" s="681">
        <v>10163</v>
      </c>
      <c r="P38" s="681">
        <v>0</v>
      </c>
      <c r="Q38" s="653">
        <v>299</v>
      </c>
      <c r="R38" s="653"/>
      <c r="S38" s="681">
        <v>15669</v>
      </c>
      <c r="T38" s="682">
        <v>19065</v>
      </c>
      <c r="U38" s="682">
        <v>34734</v>
      </c>
    </row>
    <row r="39" spans="2:21" x14ac:dyDescent="0.25">
      <c r="B39" s="661" t="s">
        <v>2549</v>
      </c>
      <c r="C39" s="652">
        <v>9.5730000000000001E-4</v>
      </c>
      <c r="D39" s="652">
        <v>9.4289999999999999E-4</v>
      </c>
      <c r="E39" s="653">
        <v>782</v>
      </c>
      <c r="F39" s="653">
        <v>-21851</v>
      </c>
      <c r="G39" s="653">
        <v>-17898</v>
      </c>
      <c r="H39" s="680"/>
      <c r="I39" s="681">
        <v>19</v>
      </c>
      <c r="J39" s="681">
        <v>889</v>
      </c>
      <c r="K39" s="681">
        <v>4768</v>
      </c>
      <c r="L39" s="653">
        <v>468</v>
      </c>
      <c r="M39" s="653"/>
      <c r="N39" s="681">
        <v>232</v>
      </c>
      <c r="O39" s="681">
        <v>859</v>
      </c>
      <c r="P39" s="681">
        <v>0</v>
      </c>
      <c r="Q39" s="653">
        <v>305</v>
      </c>
      <c r="R39" s="653"/>
      <c r="S39" s="681">
        <v>1324</v>
      </c>
      <c r="T39" s="682">
        <v>-20</v>
      </c>
      <c r="U39" s="682">
        <v>1304</v>
      </c>
    </row>
    <row r="40" spans="2:21" x14ac:dyDescent="0.25">
      <c r="B40" s="661" t="s">
        <v>2550</v>
      </c>
      <c r="C40" s="652">
        <v>6.8349999999999997E-4</v>
      </c>
      <c r="D40" s="652">
        <v>6.3060000000000004E-4</v>
      </c>
      <c r="E40" s="653">
        <v>558</v>
      </c>
      <c r="F40" s="653">
        <v>-14614</v>
      </c>
      <c r="G40" s="653">
        <v>-12779</v>
      </c>
      <c r="H40" s="680"/>
      <c r="I40" s="681">
        <v>13.67</v>
      </c>
      <c r="J40" s="681">
        <v>635</v>
      </c>
      <c r="K40" s="681">
        <v>3405</v>
      </c>
      <c r="L40" s="653">
        <v>355</v>
      </c>
      <c r="M40" s="653"/>
      <c r="N40" s="681">
        <v>165</v>
      </c>
      <c r="O40" s="681">
        <v>613</v>
      </c>
      <c r="P40" s="681">
        <v>0</v>
      </c>
      <c r="Q40" s="653">
        <v>899</v>
      </c>
      <c r="R40" s="653"/>
      <c r="S40" s="681">
        <v>945</v>
      </c>
      <c r="T40" s="682">
        <v>-104</v>
      </c>
      <c r="U40" s="682">
        <v>841</v>
      </c>
    </row>
    <row r="41" spans="2:21" x14ac:dyDescent="0.25">
      <c r="B41" s="661" t="s">
        <v>2551</v>
      </c>
      <c r="C41" s="652">
        <v>4.3911999999999996E-3</v>
      </c>
      <c r="D41" s="652">
        <v>4.5859000000000004E-3</v>
      </c>
      <c r="E41" s="653">
        <v>3587.31</v>
      </c>
      <c r="F41" s="653">
        <v>-106274</v>
      </c>
      <c r="G41" s="653">
        <v>-82098</v>
      </c>
      <c r="H41" s="680"/>
      <c r="I41" s="681">
        <v>88</v>
      </c>
      <c r="J41" s="681">
        <v>4079</v>
      </c>
      <c r="K41" s="681">
        <v>21873</v>
      </c>
      <c r="L41" s="653">
        <v>3293</v>
      </c>
      <c r="M41" s="653"/>
      <c r="N41" s="681">
        <v>1063</v>
      </c>
      <c r="O41" s="681">
        <v>3939</v>
      </c>
      <c r="P41" s="681">
        <v>0</v>
      </c>
      <c r="Q41" s="653">
        <v>513</v>
      </c>
      <c r="R41" s="653"/>
      <c r="S41" s="681">
        <v>6073</v>
      </c>
      <c r="T41" s="682">
        <v>-725</v>
      </c>
      <c r="U41" s="682">
        <v>5348</v>
      </c>
    </row>
    <row r="42" spans="2:21" x14ac:dyDescent="0.25">
      <c r="B42" s="661" t="s">
        <v>2552</v>
      </c>
      <c r="C42" s="652">
        <v>1.2329000000000001E-3</v>
      </c>
      <c r="D42" s="652">
        <v>1.1410999999999999E-3</v>
      </c>
      <c r="E42" s="653">
        <v>1007</v>
      </c>
      <c r="F42" s="653">
        <v>-26444</v>
      </c>
      <c r="G42" s="653">
        <v>-23050</v>
      </c>
      <c r="H42" s="680"/>
      <c r="I42" s="681">
        <v>25</v>
      </c>
      <c r="J42" s="681">
        <v>1145</v>
      </c>
      <c r="K42" s="681">
        <v>6141</v>
      </c>
      <c r="L42" s="653">
        <v>457</v>
      </c>
      <c r="M42" s="653"/>
      <c r="N42" s="681">
        <v>298</v>
      </c>
      <c r="O42" s="681">
        <v>1106</v>
      </c>
      <c r="P42" s="681">
        <v>0</v>
      </c>
      <c r="Q42" s="653">
        <v>1846</v>
      </c>
      <c r="R42" s="653"/>
      <c r="S42" s="681">
        <v>1705</v>
      </c>
      <c r="T42" s="682">
        <v>-1740</v>
      </c>
      <c r="U42" s="682">
        <v>-35</v>
      </c>
    </row>
    <row r="43" spans="2:21" x14ac:dyDescent="0.25">
      <c r="B43" s="661" t="s">
        <v>2553</v>
      </c>
      <c r="C43" s="652">
        <v>4.39733E-2</v>
      </c>
      <c r="D43" s="652">
        <v>4.36596E-2</v>
      </c>
      <c r="E43" s="653">
        <v>35923</v>
      </c>
      <c r="F43" s="653">
        <v>-1011768</v>
      </c>
      <c r="G43" s="653">
        <v>-822125</v>
      </c>
      <c r="H43" s="680"/>
      <c r="I43" s="681">
        <v>879</v>
      </c>
      <c r="J43" s="681">
        <v>40851</v>
      </c>
      <c r="K43" s="681">
        <v>219031</v>
      </c>
      <c r="L43" s="653">
        <v>0</v>
      </c>
      <c r="M43" s="653"/>
      <c r="N43" s="681">
        <v>10642</v>
      </c>
      <c r="O43" s="681">
        <v>39444</v>
      </c>
      <c r="P43" s="681">
        <v>0</v>
      </c>
      <c r="Q43" s="653">
        <v>10687</v>
      </c>
      <c r="R43" s="653"/>
      <c r="S43" s="681">
        <v>60815</v>
      </c>
      <c r="T43" s="682">
        <v>-7278</v>
      </c>
      <c r="U43" s="682">
        <v>53537</v>
      </c>
    </row>
    <row r="44" spans="2:21" x14ac:dyDescent="0.25">
      <c r="B44" s="661" t="s">
        <v>2554</v>
      </c>
      <c r="C44" s="652">
        <v>4.2215000000000004E-3</v>
      </c>
      <c r="D44" s="652">
        <v>4.3917000000000001E-3</v>
      </c>
      <c r="E44" s="653">
        <v>3449</v>
      </c>
      <c r="F44" s="653">
        <v>-101773</v>
      </c>
      <c r="G44" s="653">
        <v>-78925</v>
      </c>
      <c r="H44" s="680"/>
      <c r="I44" s="681">
        <v>84.43</v>
      </c>
      <c r="J44" s="681">
        <v>3922</v>
      </c>
      <c r="K44" s="681">
        <v>21027</v>
      </c>
      <c r="L44" s="653">
        <v>2879</v>
      </c>
      <c r="M44" s="653"/>
      <c r="N44" s="681">
        <v>1022</v>
      </c>
      <c r="O44" s="681">
        <v>3787</v>
      </c>
      <c r="P44" s="681">
        <v>0</v>
      </c>
      <c r="Q44" s="653">
        <v>1256</v>
      </c>
      <c r="R44" s="653"/>
      <c r="S44" s="681">
        <v>5838</v>
      </c>
      <c r="T44" s="682">
        <v>-1320</v>
      </c>
      <c r="U44" s="682">
        <v>4518</v>
      </c>
    </row>
    <row r="45" spans="2:21" x14ac:dyDescent="0.25">
      <c r="B45" s="661" t="s">
        <v>2555</v>
      </c>
      <c r="C45" s="652">
        <v>1.2143599999999999E-2</v>
      </c>
      <c r="D45" s="652">
        <v>1.2464599999999999E-2</v>
      </c>
      <c r="E45" s="653">
        <v>9921</v>
      </c>
      <c r="F45" s="653">
        <v>-288855</v>
      </c>
      <c r="G45" s="653">
        <v>-227037</v>
      </c>
      <c r="H45" s="680"/>
      <c r="I45" s="681">
        <v>243</v>
      </c>
      <c r="J45" s="681">
        <v>11281</v>
      </c>
      <c r="K45" s="681">
        <v>60487</v>
      </c>
      <c r="L45" s="653">
        <v>6235</v>
      </c>
      <c r="M45" s="653"/>
      <c r="N45" s="681">
        <v>2939</v>
      </c>
      <c r="O45" s="681">
        <v>10893</v>
      </c>
      <c r="P45" s="681">
        <v>0</v>
      </c>
      <c r="Q45" s="653">
        <v>2427</v>
      </c>
      <c r="R45" s="653"/>
      <c r="S45" s="681">
        <v>16795</v>
      </c>
      <c r="T45" s="682">
        <v>4293</v>
      </c>
      <c r="U45" s="682">
        <v>21088</v>
      </c>
    </row>
    <row r="46" spans="2:21" x14ac:dyDescent="0.25">
      <c r="B46" s="661" t="s">
        <v>2556</v>
      </c>
      <c r="C46" s="652">
        <v>7.4390999999999997E-3</v>
      </c>
      <c r="D46" s="652">
        <v>7.5659999999999998E-3</v>
      </c>
      <c r="E46" s="653">
        <v>6077</v>
      </c>
      <c r="F46" s="653">
        <v>-175334</v>
      </c>
      <c r="G46" s="653">
        <v>-139081</v>
      </c>
      <c r="H46" s="680"/>
      <c r="I46" s="681">
        <v>149</v>
      </c>
      <c r="J46" s="681">
        <v>6911</v>
      </c>
      <c r="K46" s="681">
        <v>37054</v>
      </c>
      <c r="L46" s="653">
        <v>2245</v>
      </c>
      <c r="M46" s="653"/>
      <c r="N46" s="681">
        <v>1800</v>
      </c>
      <c r="O46" s="681">
        <v>6673</v>
      </c>
      <c r="P46" s="681">
        <v>0</v>
      </c>
      <c r="Q46" s="653">
        <v>4267</v>
      </c>
      <c r="R46" s="653"/>
      <c r="S46" s="681">
        <v>10288</v>
      </c>
      <c r="T46" s="682">
        <v>-2157</v>
      </c>
      <c r="U46" s="682">
        <v>8131</v>
      </c>
    </row>
    <row r="47" spans="2:21" x14ac:dyDescent="0.25">
      <c r="B47" s="661" t="s">
        <v>2557</v>
      </c>
      <c r="C47" s="652">
        <v>1.4215500000000001E-2</v>
      </c>
      <c r="D47" s="652">
        <v>1.3649100000000001E-2</v>
      </c>
      <c r="E47" s="653">
        <v>11613</v>
      </c>
      <c r="F47" s="653">
        <v>-316304</v>
      </c>
      <c r="G47" s="653">
        <v>-265773</v>
      </c>
      <c r="H47" s="680"/>
      <c r="I47" s="681">
        <v>284.31</v>
      </c>
      <c r="J47" s="681">
        <v>13206</v>
      </c>
      <c r="K47" s="681">
        <v>70807</v>
      </c>
      <c r="L47" s="653">
        <v>0</v>
      </c>
      <c r="M47" s="653"/>
      <c r="N47" s="681">
        <v>3440</v>
      </c>
      <c r="O47" s="681">
        <v>12751</v>
      </c>
      <c r="P47" s="681">
        <v>0</v>
      </c>
      <c r="Q47" s="653">
        <v>14393</v>
      </c>
      <c r="R47" s="653"/>
      <c r="S47" s="681">
        <v>19660</v>
      </c>
      <c r="T47" s="682">
        <v>-11680</v>
      </c>
      <c r="U47" s="682">
        <v>7980</v>
      </c>
    </row>
    <row r="48" spans="2:21" x14ac:dyDescent="0.25">
      <c r="B48" s="661" t="s">
        <v>2558</v>
      </c>
      <c r="C48" s="652">
        <v>1.8568E-3</v>
      </c>
      <c r="D48" s="652">
        <v>1.8614E-3</v>
      </c>
      <c r="E48" s="653">
        <v>1517</v>
      </c>
      <c r="F48" s="653">
        <v>-43136</v>
      </c>
      <c r="G48" s="653">
        <v>-34715</v>
      </c>
      <c r="H48" s="680"/>
      <c r="I48" s="681">
        <v>37</v>
      </c>
      <c r="J48" s="681">
        <v>1725</v>
      </c>
      <c r="K48" s="681">
        <v>9249</v>
      </c>
      <c r="L48" s="653">
        <v>594</v>
      </c>
      <c r="M48" s="653"/>
      <c r="N48" s="681">
        <v>449</v>
      </c>
      <c r="O48" s="681">
        <v>1666</v>
      </c>
      <c r="P48" s="681">
        <v>0</v>
      </c>
      <c r="Q48" s="653">
        <v>115</v>
      </c>
      <c r="R48" s="653"/>
      <c r="S48" s="681">
        <v>2568</v>
      </c>
      <c r="T48" s="682">
        <v>-112</v>
      </c>
      <c r="U48" s="682">
        <v>2456</v>
      </c>
    </row>
    <row r="49" spans="2:21" x14ac:dyDescent="0.25">
      <c r="B49" s="661" t="s">
        <v>2559</v>
      </c>
      <c r="C49" s="652">
        <v>5.0083999999999997E-3</v>
      </c>
      <c r="D49" s="652">
        <v>4.7543999999999998E-3</v>
      </c>
      <c r="E49" s="653">
        <v>4092</v>
      </c>
      <c r="F49" s="653">
        <v>-110178</v>
      </c>
      <c r="G49" s="653">
        <v>-93637</v>
      </c>
      <c r="H49" s="680"/>
      <c r="I49" s="681">
        <v>100</v>
      </c>
      <c r="J49" s="681">
        <v>4653</v>
      </c>
      <c r="K49" s="681">
        <v>24947</v>
      </c>
      <c r="L49" s="653">
        <v>2539</v>
      </c>
      <c r="M49" s="653"/>
      <c r="N49" s="681">
        <v>1212</v>
      </c>
      <c r="O49" s="681">
        <v>4493</v>
      </c>
      <c r="P49" s="681">
        <v>0</v>
      </c>
      <c r="Q49" s="653">
        <v>4297</v>
      </c>
      <c r="R49" s="653"/>
      <c r="S49" s="681">
        <v>6927</v>
      </c>
      <c r="T49" s="682">
        <v>881</v>
      </c>
      <c r="U49" s="682">
        <v>7808</v>
      </c>
    </row>
    <row r="50" spans="2:21" x14ac:dyDescent="0.25">
      <c r="B50" s="661" t="s">
        <v>2560</v>
      </c>
      <c r="C50" s="652">
        <v>4.6650000000000001E-4</v>
      </c>
      <c r="D50" s="652">
        <v>4.6450000000000001E-4</v>
      </c>
      <c r="E50" s="653">
        <v>381</v>
      </c>
      <c r="F50" s="653">
        <v>-10764</v>
      </c>
      <c r="G50" s="653">
        <v>-8722</v>
      </c>
      <c r="H50" s="680"/>
      <c r="I50" s="681">
        <v>9.33</v>
      </c>
      <c r="J50" s="681">
        <v>433</v>
      </c>
      <c r="K50" s="681">
        <v>2324</v>
      </c>
      <c r="L50" s="653">
        <v>52</v>
      </c>
      <c r="M50" s="653"/>
      <c r="N50" s="681">
        <v>113</v>
      </c>
      <c r="O50" s="681">
        <v>418</v>
      </c>
      <c r="P50" s="681">
        <v>0</v>
      </c>
      <c r="Q50" s="653">
        <v>602</v>
      </c>
      <c r="R50" s="653"/>
      <c r="S50" s="681">
        <v>645</v>
      </c>
      <c r="T50" s="682">
        <v>-228</v>
      </c>
      <c r="U50" s="682">
        <v>417</v>
      </c>
    </row>
    <row r="51" spans="2:21" x14ac:dyDescent="0.25">
      <c r="B51" s="661" t="s">
        <v>2561</v>
      </c>
      <c r="C51" s="652">
        <v>2.0577100000000001E-2</v>
      </c>
      <c r="D51" s="652">
        <v>1.9471499999999999E-2</v>
      </c>
      <c r="E51" s="653">
        <v>16810</v>
      </c>
      <c r="F51" s="653">
        <v>-451233</v>
      </c>
      <c r="G51" s="653">
        <v>-384709</v>
      </c>
      <c r="H51" s="680"/>
      <c r="I51" s="681">
        <v>412</v>
      </c>
      <c r="J51" s="681">
        <v>19116</v>
      </c>
      <c r="K51" s="681">
        <v>102495</v>
      </c>
      <c r="L51" s="653">
        <v>329</v>
      </c>
      <c r="M51" s="653"/>
      <c r="N51" s="681">
        <v>4980</v>
      </c>
      <c r="O51" s="681">
        <v>18458</v>
      </c>
      <c r="P51" s="681">
        <v>0</v>
      </c>
      <c r="Q51" s="653">
        <v>25182</v>
      </c>
      <c r="R51" s="653"/>
      <c r="S51" s="681">
        <v>28458</v>
      </c>
      <c r="T51" s="682">
        <v>-11646</v>
      </c>
      <c r="U51" s="682">
        <v>16812</v>
      </c>
    </row>
    <row r="52" spans="2:21" x14ac:dyDescent="0.25">
      <c r="B52" s="661" t="s">
        <v>2562</v>
      </c>
      <c r="C52" s="652">
        <v>6.6058000000000002E-3</v>
      </c>
      <c r="D52" s="652">
        <v>4.7653000000000001E-3</v>
      </c>
      <c r="E52" s="653">
        <v>5396</v>
      </c>
      <c r="F52" s="653">
        <v>-110431</v>
      </c>
      <c r="G52" s="653">
        <v>-123502</v>
      </c>
      <c r="H52" s="680"/>
      <c r="I52" s="681">
        <v>132</v>
      </c>
      <c r="J52" s="681">
        <v>6137</v>
      </c>
      <c r="K52" s="681">
        <v>32903</v>
      </c>
      <c r="L52" s="653">
        <v>0</v>
      </c>
      <c r="M52" s="653"/>
      <c r="N52" s="681">
        <v>1599</v>
      </c>
      <c r="O52" s="681">
        <v>5925</v>
      </c>
      <c r="P52" s="681">
        <v>0</v>
      </c>
      <c r="Q52" s="653">
        <v>32496</v>
      </c>
      <c r="R52" s="653"/>
      <c r="S52" s="681">
        <v>9136</v>
      </c>
      <c r="T52" s="682">
        <v>-14442</v>
      </c>
      <c r="U52" s="682">
        <v>-5307</v>
      </c>
    </row>
    <row r="53" spans="2:21" x14ac:dyDescent="0.25">
      <c r="B53" s="661" t="s">
        <v>2563</v>
      </c>
      <c r="C53" s="652">
        <v>1.98465E-2</v>
      </c>
      <c r="D53" s="652">
        <v>1.8983E-2</v>
      </c>
      <c r="E53" s="653">
        <v>16213</v>
      </c>
      <c r="F53" s="653">
        <v>-439912</v>
      </c>
      <c r="G53" s="653">
        <v>-371050</v>
      </c>
      <c r="H53" s="680"/>
      <c r="I53" s="681">
        <v>396.93</v>
      </c>
      <c r="J53" s="681">
        <v>18437</v>
      </c>
      <c r="K53" s="681">
        <v>98855</v>
      </c>
      <c r="L53" s="653">
        <v>2465</v>
      </c>
      <c r="M53" s="653"/>
      <c r="N53" s="681">
        <v>4803</v>
      </c>
      <c r="O53" s="681">
        <v>17802</v>
      </c>
      <c r="P53" s="681">
        <v>0</v>
      </c>
      <c r="Q53" s="653">
        <v>15881</v>
      </c>
      <c r="R53" s="653"/>
      <c r="S53" s="681">
        <v>27448</v>
      </c>
      <c r="T53" s="682">
        <v>-10480</v>
      </c>
      <c r="U53" s="682">
        <v>16968</v>
      </c>
    </row>
    <row r="54" spans="2:21" x14ac:dyDescent="0.25">
      <c r="B54" s="661" t="s">
        <v>2564</v>
      </c>
      <c r="C54" s="652">
        <v>8.3480000000000002E-4</v>
      </c>
      <c r="D54" s="652">
        <v>1.0701E-3</v>
      </c>
      <c r="E54" s="653">
        <v>681.96749999999997</v>
      </c>
      <c r="F54" s="653">
        <v>-24798</v>
      </c>
      <c r="G54" s="653">
        <v>-15607</v>
      </c>
      <c r="H54" s="680"/>
      <c r="I54" s="681">
        <v>17</v>
      </c>
      <c r="J54" s="681">
        <v>776</v>
      </c>
      <c r="K54" s="681">
        <v>4158</v>
      </c>
      <c r="L54" s="653">
        <v>3980</v>
      </c>
      <c r="M54" s="653"/>
      <c r="N54" s="681">
        <v>202</v>
      </c>
      <c r="O54" s="681">
        <v>749</v>
      </c>
      <c r="P54" s="681">
        <v>0</v>
      </c>
      <c r="Q54" s="653">
        <v>897</v>
      </c>
      <c r="R54" s="653"/>
      <c r="S54" s="681">
        <v>1155</v>
      </c>
      <c r="T54" s="682">
        <v>371</v>
      </c>
      <c r="U54" s="682">
        <v>1525</v>
      </c>
    </row>
    <row r="55" spans="2:21" x14ac:dyDescent="0.25">
      <c r="B55" s="661" t="s">
        <v>2565</v>
      </c>
      <c r="C55" s="652">
        <v>5.7454000000000003E-3</v>
      </c>
      <c r="D55" s="652">
        <v>5.6010000000000001E-3</v>
      </c>
      <c r="E55" s="653">
        <v>4694</v>
      </c>
      <c r="F55" s="653">
        <v>-129798</v>
      </c>
      <c r="G55" s="653">
        <v>-107416</v>
      </c>
      <c r="H55" s="680"/>
      <c r="I55" s="681">
        <v>115</v>
      </c>
      <c r="J55" s="681">
        <v>5337</v>
      </c>
      <c r="K55" s="681">
        <v>28618</v>
      </c>
      <c r="L55" s="653">
        <v>0</v>
      </c>
      <c r="M55" s="653"/>
      <c r="N55" s="681">
        <v>1390</v>
      </c>
      <c r="O55" s="681">
        <v>5154</v>
      </c>
      <c r="P55" s="681">
        <v>0</v>
      </c>
      <c r="Q55" s="653">
        <v>2991</v>
      </c>
      <c r="R55" s="653"/>
      <c r="S55" s="681">
        <v>7946</v>
      </c>
      <c r="T55" s="682">
        <v>-2889</v>
      </c>
      <c r="U55" s="682">
        <v>5057</v>
      </c>
    </row>
    <row r="56" spans="2:21" x14ac:dyDescent="0.25">
      <c r="B56" s="661" t="s">
        <v>2566</v>
      </c>
      <c r="C56" s="652">
        <v>3.5750000000000001E-3</v>
      </c>
      <c r="D56" s="652">
        <v>3.4470999999999998E-3</v>
      </c>
      <c r="E56" s="653">
        <v>2920.53</v>
      </c>
      <c r="F56" s="653">
        <v>-79883</v>
      </c>
      <c r="G56" s="653">
        <v>-66838.2</v>
      </c>
      <c r="H56" s="680"/>
      <c r="I56" s="681">
        <v>71.5</v>
      </c>
      <c r="J56" s="681">
        <v>3321</v>
      </c>
      <c r="K56" s="681">
        <v>17807</v>
      </c>
      <c r="L56" s="653">
        <v>2436</v>
      </c>
      <c r="M56" s="653"/>
      <c r="N56" s="681">
        <v>865.15</v>
      </c>
      <c r="O56" s="681">
        <v>3207</v>
      </c>
      <c r="P56" s="681">
        <v>0</v>
      </c>
      <c r="Q56" s="653">
        <v>2650</v>
      </c>
      <c r="R56" s="653"/>
      <c r="S56" s="681">
        <v>4944</v>
      </c>
      <c r="T56" s="682">
        <v>-1315</v>
      </c>
      <c r="U56" s="682">
        <v>3629</v>
      </c>
    </row>
    <row r="57" spans="2:21" x14ac:dyDescent="0.25">
      <c r="B57" s="661" t="s">
        <v>2567</v>
      </c>
      <c r="C57" s="652">
        <v>8.9589999999999999E-3</v>
      </c>
      <c r="D57" s="652">
        <v>8.4183000000000001E-3</v>
      </c>
      <c r="E57" s="653">
        <v>7319</v>
      </c>
      <c r="F57" s="653">
        <v>-195086</v>
      </c>
      <c r="G57" s="653">
        <v>-167497</v>
      </c>
      <c r="H57" s="680"/>
      <c r="I57" s="681">
        <v>179.18</v>
      </c>
      <c r="J57" s="681">
        <v>8323</v>
      </c>
      <c r="K57" s="681">
        <v>44625</v>
      </c>
      <c r="L57" s="653">
        <v>0</v>
      </c>
      <c r="M57" s="653"/>
      <c r="N57" s="681">
        <v>2168</v>
      </c>
      <c r="O57" s="681">
        <v>8036</v>
      </c>
      <c r="P57" s="681">
        <v>0</v>
      </c>
      <c r="Q57" s="653">
        <v>12119</v>
      </c>
      <c r="R57" s="653"/>
      <c r="S57" s="681">
        <v>12390</v>
      </c>
      <c r="T57" s="682">
        <v>-6850</v>
      </c>
      <c r="U57" s="682">
        <v>5540</v>
      </c>
    </row>
    <row r="58" spans="2:21" x14ac:dyDescent="0.25">
      <c r="B58" s="661" t="s">
        <v>2568</v>
      </c>
      <c r="C58" s="652">
        <v>4.2973000000000004E-3</v>
      </c>
      <c r="D58" s="652">
        <v>4.2405000000000003E-3</v>
      </c>
      <c r="E58" s="653">
        <v>3511</v>
      </c>
      <c r="F58" s="653">
        <v>-98269</v>
      </c>
      <c r="G58" s="653">
        <v>-80342</v>
      </c>
      <c r="H58" s="680"/>
      <c r="I58" s="681">
        <v>86</v>
      </c>
      <c r="J58" s="681">
        <v>3992</v>
      </c>
      <c r="K58" s="681">
        <v>21405</v>
      </c>
      <c r="L58" s="653">
        <v>679</v>
      </c>
      <c r="M58" s="653"/>
      <c r="N58" s="681">
        <v>1040</v>
      </c>
      <c r="O58" s="681">
        <v>3855</v>
      </c>
      <c r="P58" s="681">
        <v>0</v>
      </c>
      <c r="Q58" s="653">
        <v>4113</v>
      </c>
      <c r="R58" s="653"/>
      <c r="S58" s="681">
        <v>5943</v>
      </c>
      <c r="T58" s="682">
        <v>364</v>
      </c>
      <c r="U58" s="682">
        <v>6307</v>
      </c>
    </row>
    <row r="59" spans="2:21" x14ac:dyDescent="0.25">
      <c r="B59" s="661" t="s">
        <v>2569</v>
      </c>
      <c r="C59" s="652">
        <v>5.1720000000000004E-3</v>
      </c>
      <c r="D59" s="652">
        <v>4.8856000000000004E-3</v>
      </c>
      <c r="E59" s="653">
        <v>4225.16</v>
      </c>
      <c r="F59" s="653">
        <v>-113219</v>
      </c>
      <c r="G59" s="653">
        <v>-96696</v>
      </c>
      <c r="H59" s="680"/>
      <c r="I59" s="681">
        <v>103</v>
      </c>
      <c r="J59" s="681">
        <v>4805</v>
      </c>
      <c r="K59" s="681">
        <v>25762</v>
      </c>
      <c r="L59" s="653">
        <v>0</v>
      </c>
      <c r="M59" s="653"/>
      <c r="N59" s="681">
        <v>1252</v>
      </c>
      <c r="O59" s="681">
        <v>4639</v>
      </c>
      <c r="P59" s="681">
        <v>0</v>
      </c>
      <c r="Q59" s="653">
        <v>7363</v>
      </c>
      <c r="R59" s="653"/>
      <c r="S59" s="681">
        <v>7153</v>
      </c>
      <c r="T59" s="682">
        <v>-9331</v>
      </c>
      <c r="U59" s="682">
        <v>-2178</v>
      </c>
    </row>
    <row r="60" spans="2:21" x14ac:dyDescent="0.25">
      <c r="B60" s="661" t="s">
        <v>2570</v>
      </c>
      <c r="C60" s="652">
        <v>1.8517E-3</v>
      </c>
      <c r="D60" s="652">
        <v>1.8458000000000001E-3</v>
      </c>
      <c r="E60" s="653">
        <v>1513</v>
      </c>
      <c r="F60" s="653">
        <v>-42775</v>
      </c>
      <c r="G60" s="653">
        <v>-34619</v>
      </c>
      <c r="H60" s="680"/>
      <c r="I60" s="681">
        <v>37</v>
      </c>
      <c r="J60" s="681">
        <v>1720</v>
      </c>
      <c r="K60" s="681">
        <v>9223</v>
      </c>
      <c r="L60" s="653">
        <v>270</v>
      </c>
      <c r="M60" s="653"/>
      <c r="N60" s="681">
        <v>448</v>
      </c>
      <c r="O60" s="681">
        <v>1661</v>
      </c>
      <c r="P60" s="681">
        <v>0</v>
      </c>
      <c r="Q60" s="653">
        <v>344</v>
      </c>
      <c r="R60" s="653"/>
      <c r="S60" s="681">
        <v>2561</v>
      </c>
      <c r="T60" s="682">
        <v>-1039</v>
      </c>
      <c r="U60" s="682">
        <v>1522</v>
      </c>
    </row>
    <row r="61" spans="2:21" x14ac:dyDescent="0.25">
      <c r="B61" s="661" t="s">
        <v>2571</v>
      </c>
      <c r="C61" s="652">
        <v>4.0070000000000001E-3</v>
      </c>
      <c r="D61" s="652">
        <v>3.7981999999999998E-3</v>
      </c>
      <c r="E61" s="653">
        <v>3274</v>
      </c>
      <c r="F61" s="653">
        <v>-88019</v>
      </c>
      <c r="G61" s="653">
        <v>-74915</v>
      </c>
      <c r="H61" s="680"/>
      <c r="I61" s="681">
        <v>80.14</v>
      </c>
      <c r="J61" s="681">
        <v>3723</v>
      </c>
      <c r="K61" s="681">
        <v>19959</v>
      </c>
      <c r="L61" s="653">
        <v>395</v>
      </c>
      <c r="M61" s="653"/>
      <c r="N61" s="681">
        <v>970</v>
      </c>
      <c r="O61" s="681">
        <v>3594</v>
      </c>
      <c r="P61" s="681">
        <v>0</v>
      </c>
      <c r="Q61" s="653">
        <v>3665</v>
      </c>
      <c r="R61" s="653"/>
      <c r="S61" s="681">
        <v>5542</v>
      </c>
      <c r="T61" s="682">
        <v>-1828</v>
      </c>
      <c r="U61" s="682">
        <v>3714</v>
      </c>
    </row>
    <row r="62" spans="2:21" x14ac:dyDescent="0.25">
      <c r="B62" s="661" t="s">
        <v>2572</v>
      </c>
      <c r="C62" s="652">
        <v>7.9832E-2</v>
      </c>
      <c r="D62" s="652">
        <v>8.8390399999999994E-2</v>
      </c>
      <c r="E62" s="653">
        <v>65218</v>
      </c>
      <c r="F62" s="653">
        <v>-2048359</v>
      </c>
      <c r="G62" s="653">
        <v>-1492539</v>
      </c>
      <c r="H62" s="680"/>
      <c r="I62" s="681">
        <v>1596.64</v>
      </c>
      <c r="J62" s="681">
        <v>74164</v>
      </c>
      <c r="K62" s="681">
        <v>397643</v>
      </c>
      <c r="L62" s="653">
        <v>155634</v>
      </c>
      <c r="M62" s="653"/>
      <c r="N62" s="681">
        <v>19319</v>
      </c>
      <c r="O62" s="681">
        <v>71609</v>
      </c>
      <c r="P62" s="681">
        <v>0</v>
      </c>
      <c r="Q62" s="653">
        <v>10056</v>
      </c>
      <c r="R62" s="653"/>
      <c r="S62" s="681">
        <v>110408</v>
      </c>
      <c r="T62" s="682">
        <v>107021</v>
      </c>
      <c r="U62" s="682">
        <v>217428</v>
      </c>
    </row>
    <row r="63" spans="2:21" x14ac:dyDescent="0.25">
      <c r="B63" s="661" t="s">
        <v>2573</v>
      </c>
      <c r="C63" s="652">
        <v>1.5782999999999999E-3</v>
      </c>
      <c r="D63" s="652">
        <v>1.5759000000000001E-3</v>
      </c>
      <c r="E63" s="653">
        <v>1289</v>
      </c>
      <c r="F63" s="653">
        <v>-36520</v>
      </c>
      <c r="G63" s="653">
        <v>-29508</v>
      </c>
      <c r="H63" s="680"/>
      <c r="I63" s="681">
        <v>32</v>
      </c>
      <c r="J63" s="681">
        <v>1466</v>
      </c>
      <c r="K63" s="681">
        <v>7862</v>
      </c>
      <c r="L63" s="653">
        <v>659</v>
      </c>
      <c r="M63" s="653"/>
      <c r="N63" s="681">
        <v>382</v>
      </c>
      <c r="O63" s="681">
        <v>1416</v>
      </c>
      <c r="P63" s="681">
        <v>0</v>
      </c>
      <c r="Q63" s="653">
        <v>41</v>
      </c>
      <c r="R63" s="653"/>
      <c r="S63" s="681">
        <v>2183</v>
      </c>
      <c r="T63" s="682">
        <v>805</v>
      </c>
      <c r="U63" s="682">
        <v>2988</v>
      </c>
    </row>
    <row r="64" spans="2:21" x14ac:dyDescent="0.25">
      <c r="B64" s="661" t="s">
        <v>2574</v>
      </c>
      <c r="C64" s="652">
        <v>2.4842000000000002E-3</v>
      </c>
      <c r="D64" s="652">
        <v>2.4891000000000002E-3</v>
      </c>
      <c r="E64" s="653">
        <v>2029.41</v>
      </c>
      <c r="F64" s="653">
        <v>-57682</v>
      </c>
      <c r="G64" s="653">
        <v>-46445</v>
      </c>
      <c r="H64" s="680"/>
      <c r="I64" s="681">
        <v>50</v>
      </c>
      <c r="J64" s="681">
        <v>2308</v>
      </c>
      <c r="K64" s="681">
        <v>12374</v>
      </c>
      <c r="L64" s="653">
        <v>83</v>
      </c>
      <c r="M64" s="653"/>
      <c r="N64" s="681">
        <v>601</v>
      </c>
      <c r="O64" s="681">
        <v>2228</v>
      </c>
      <c r="P64" s="681">
        <v>0</v>
      </c>
      <c r="Q64" s="653">
        <v>524</v>
      </c>
      <c r="R64" s="653"/>
      <c r="S64" s="681">
        <v>3436</v>
      </c>
      <c r="T64" s="682">
        <v>-1144</v>
      </c>
      <c r="U64" s="682">
        <v>2292</v>
      </c>
    </row>
    <row r="65" spans="2:21" x14ac:dyDescent="0.25">
      <c r="B65" s="661" t="s">
        <v>2575</v>
      </c>
      <c r="C65" s="652">
        <v>2.2974999999999999E-2</v>
      </c>
      <c r="D65" s="652">
        <v>1.29915E-2</v>
      </c>
      <c r="E65" s="653">
        <v>18769</v>
      </c>
      <c r="F65" s="653">
        <v>-301065</v>
      </c>
      <c r="G65" s="653">
        <v>-429540.6</v>
      </c>
      <c r="H65" s="680"/>
      <c r="I65" s="681">
        <v>459.5</v>
      </c>
      <c r="J65" s="681">
        <v>21344</v>
      </c>
      <c r="K65" s="681">
        <v>114438</v>
      </c>
      <c r="L65" s="653">
        <v>0</v>
      </c>
      <c r="M65" s="653"/>
      <c r="N65" s="681">
        <v>5559.95</v>
      </c>
      <c r="O65" s="681">
        <v>20609</v>
      </c>
      <c r="P65" s="681">
        <v>0</v>
      </c>
      <c r="Q65" s="653">
        <v>171966</v>
      </c>
      <c r="R65" s="653"/>
      <c r="S65" s="681">
        <v>31774</v>
      </c>
      <c r="T65" s="682">
        <v>-74669</v>
      </c>
      <c r="U65" s="682">
        <v>-42895</v>
      </c>
    </row>
    <row r="66" spans="2:21" x14ac:dyDescent="0.25">
      <c r="B66" s="661" t="s">
        <v>2576</v>
      </c>
      <c r="C66" s="652">
        <v>8.3230999999999999E-3</v>
      </c>
      <c r="D66" s="652">
        <v>8.3500999999999992E-3</v>
      </c>
      <c r="E66" s="653">
        <v>6799</v>
      </c>
      <c r="F66" s="653">
        <v>-193505</v>
      </c>
      <c r="G66" s="653">
        <v>-155609</v>
      </c>
      <c r="H66" s="680"/>
      <c r="I66" s="681">
        <v>166</v>
      </c>
      <c r="J66" s="681">
        <v>7732</v>
      </c>
      <c r="K66" s="681">
        <v>41457</v>
      </c>
      <c r="L66" s="653">
        <v>1192</v>
      </c>
      <c r="M66" s="653"/>
      <c r="N66" s="681">
        <v>2014</v>
      </c>
      <c r="O66" s="681">
        <v>7466</v>
      </c>
      <c r="P66" s="681">
        <v>0</v>
      </c>
      <c r="Q66" s="653">
        <v>0</v>
      </c>
      <c r="R66" s="653"/>
      <c r="S66" s="681">
        <v>11511</v>
      </c>
      <c r="T66" s="682">
        <v>1699</v>
      </c>
      <c r="U66" s="682">
        <v>13210</v>
      </c>
    </row>
    <row r="67" spans="2:21" x14ac:dyDescent="0.25">
      <c r="B67" s="661" t="s">
        <v>2577</v>
      </c>
      <c r="C67" s="652">
        <v>2.7473600000000001E-2</v>
      </c>
      <c r="D67" s="652">
        <v>2.5998500000000001E-2</v>
      </c>
      <c r="E67" s="653">
        <v>22444</v>
      </c>
      <c r="F67" s="653">
        <v>-602489</v>
      </c>
      <c r="G67" s="653">
        <v>-513646</v>
      </c>
      <c r="H67" s="680"/>
      <c r="I67" s="681">
        <v>549</v>
      </c>
      <c r="J67" s="681">
        <v>25523</v>
      </c>
      <c r="K67" s="681">
        <v>136846</v>
      </c>
      <c r="L67" s="653">
        <v>1251</v>
      </c>
      <c r="M67" s="653"/>
      <c r="N67" s="681">
        <v>6649</v>
      </c>
      <c r="O67" s="681">
        <v>24644</v>
      </c>
      <c r="P67" s="681">
        <v>0</v>
      </c>
      <c r="Q67" s="653">
        <v>33771</v>
      </c>
      <c r="R67" s="653"/>
      <c r="S67" s="681">
        <v>37996</v>
      </c>
      <c r="T67" s="682">
        <v>-11623</v>
      </c>
      <c r="U67" s="682">
        <v>26373</v>
      </c>
    </row>
    <row r="68" spans="2:21" x14ac:dyDescent="0.25">
      <c r="B68" s="661" t="s">
        <v>2578</v>
      </c>
      <c r="C68" s="652">
        <v>1.7821E-3</v>
      </c>
      <c r="D68" s="652">
        <v>1.7045000000000001E-3</v>
      </c>
      <c r="E68" s="653">
        <v>1456</v>
      </c>
      <c r="F68" s="653">
        <v>-39500</v>
      </c>
      <c r="G68" s="653">
        <v>-33318</v>
      </c>
      <c r="H68" s="680"/>
      <c r="I68" s="681">
        <v>36</v>
      </c>
      <c r="J68" s="681">
        <v>1656</v>
      </c>
      <c r="K68" s="681">
        <v>8877</v>
      </c>
      <c r="L68" s="653">
        <v>0</v>
      </c>
      <c r="M68" s="653"/>
      <c r="N68" s="681">
        <v>431</v>
      </c>
      <c r="O68" s="681">
        <v>1599</v>
      </c>
      <c r="P68" s="681">
        <v>0</v>
      </c>
      <c r="Q68" s="653">
        <v>1815</v>
      </c>
      <c r="R68" s="653"/>
      <c r="S68" s="681">
        <v>2465</v>
      </c>
      <c r="T68" s="682">
        <v>-1400</v>
      </c>
      <c r="U68" s="682">
        <v>1064</v>
      </c>
    </row>
    <row r="69" spans="2:21" x14ac:dyDescent="0.25">
      <c r="B69" s="661" t="s">
        <v>2579</v>
      </c>
      <c r="C69" s="652">
        <v>2.22189E-2</v>
      </c>
      <c r="D69" s="652">
        <v>2.28341E-2</v>
      </c>
      <c r="E69" s="653">
        <v>18151</v>
      </c>
      <c r="F69" s="653">
        <v>-529157</v>
      </c>
      <c r="G69" s="653">
        <v>-415405</v>
      </c>
      <c r="H69" s="680"/>
      <c r="I69" s="681">
        <v>444</v>
      </c>
      <c r="J69" s="681">
        <v>20641</v>
      </c>
      <c r="K69" s="681">
        <v>110672</v>
      </c>
      <c r="L69" s="653">
        <v>12760</v>
      </c>
      <c r="M69" s="653"/>
      <c r="N69" s="681">
        <v>5377</v>
      </c>
      <c r="O69" s="681">
        <v>19930</v>
      </c>
      <c r="P69" s="681">
        <v>0</v>
      </c>
      <c r="Q69" s="653">
        <v>446</v>
      </c>
      <c r="R69" s="653"/>
      <c r="S69" s="681">
        <v>30729</v>
      </c>
      <c r="T69" s="682">
        <v>15786</v>
      </c>
      <c r="U69" s="682">
        <v>46515</v>
      </c>
    </row>
    <row r="70" spans="2:21" x14ac:dyDescent="0.25">
      <c r="B70" s="661" t="s">
        <v>2580</v>
      </c>
      <c r="C70" s="652">
        <v>1.15307E-2</v>
      </c>
      <c r="D70" s="652">
        <v>1.09301E-2</v>
      </c>
      <c r="E70" s="653">
        <v>9420</v>
      </c>
      <c r="F70" s="653">
        <v>-253294</v>
      </c>
      <c r="G70" s="653">
        <v>-215578</v>
      </c>
      <c r="H70" s="680"/>
      <c r="I70" s="681">
        <v>231</v>
      </c>
      <c r="J70" s="681">
        <v>10712</v>
      </c>
      <c r="K70" s="681">
        <v>57434</v>
      </c>
      <c r="L70" s="653">
        <v>710</v>
      </c>
      <c r="M70" s="653"/>
      <c r="N70" s="681">
        <v>2790</v>
      </c>
      <c r="O70" s="681">
        <v>10343</v>
      </c>
      <c r="P70" s="681">
        <v>0</v>
      </c>
      <c r="Q70" s="653">
        <v>13287</v>
      </c>
      <c r="R70" s="653"/>
      <c r="S70" s="681">
        <v>15947</v>
      </c>
      <c r="T70" s="682">
        <v>-3345</v>
      </c>
      <c r="U70" s="682">
        <v>12602</v>
      </c>
    </row>
    <row r="71" spans="2:21" x14ac:dyDescent="0.25">
      <c r="B71" s="661" t="s">
        <v>2581</v>
      </c>
      <c r="C71" s="652">
        <v>1.5663999999999999E-3</v>
      </c>
      <c r="D71" s="652">
        <v>1.3946E-3</v>
      </c>
      <c r="E71" s="653">
        <v>1280</v>
      </c>
      <c r="F71" s="653">
        <v>-32318</v>
      </c>
      <c r="G71" s="653">
        <v>-29285</v>
      </c>
      <c r="H71" s="680"/>
      <c r="I71" s="681">
        <v>31</v>
      </c>
      <c r="J71" s="681">
        <v>1455</v>
      </c>
      <c r="K71" s="681">
        <v>7802</v>
      </c>
      <c r="L71" s="653">
        <v>718</v>
      </c>
      <c r="M71" s="653"/>
      <c r="N71" s="681">
        <v>379</v>
      </c>
      <c r="O71" s="681">
        <v>1405</v>
      </c>
      <c r="P71" s="681">
        <v>0</v>
      </c>
      <c r="Q71" s="653">
        <v>3068</v>
      </c>
      <c r="R71" s="653"/>
      <c r="S71" s="681">
        <v>2166</v>
      </c>
      <c r="T71" s="682">
        <v>-1436</v>
      </c>
      <c r="U71" s="682">
        <v>730</v>
      </c>
    </row>
    <row r="72" spans="2:21" x14ac:dyDescent="0.25">
      <c r="B72" s="661" t="s">
        <v>2582</v>
      </c>
      <c r="C72" s="652">
        <v>4.2376999999999996E-3</v>
      </c>
      <c r="D72" s="652">
        <v>4.1191999999999999E-3</v>
      </c>
      <c r="E72" s="653">
        <v>3462</v>
      </c>
      <c r="F72" s="653">
        <v>-95458</v>
      </c>
      <c r="G72" s="653">
        <v>-79228</v>
      </c>
      <c r="H72" s="680"/>
      <c r="I72" s="681">
        <v>85</v>
      </c>
      <c r="J72" s="681">
        <v>3937</v>
      </c>
      <c r="K72" s="681">
        <v>21108</v>
      </c>
      <c r="L72" s="653">
        <v>956</v>
      </c>
      <c r="M72" s="653"/>
      <c r="N72" s="681">
        <v>1026</v>
      </c>
      <c r="O72" s="681">
        <v>3801</v>
      </c>
      <c r="P72" s="681">
        <v>0</v>
      </c>
      <c r="Q72" s="653">
        <v>2025</v>
      </c>
      <c r="R72" s="653"/>
      <c r="S72" s="681">
        <v>5861</v>
      </c>
      <c r="T72" s="682">
        <v>-153</v>
      </c>
      <c r="U72" s="682">
        <v>5708</v>
      </c>
    </row>
    <row r="73" spans="2:21" x14ac:dyDescent="0.25">
      <c r="B73" s="661" t="s">
        <v>2583</v>
      </c>
      <c r="C73" s="652">
        <v>7.2559E-3</v>
      </c>
      <c r="D73" s="652">
        <v>7.0577000000000001E-3</v>
      </c>
      <c r="E73" s="653">
        <v>5928</v>
      </c>
      <c r="F73" s="653">
        <v>-163555</v>
      </c>
      <c r="G73" s="653">
        <v>-135656</v>
      </c>
      <c r="H73" s="680"/>
      <c r="I73" s="681">
        <v>145</v>
      </c>
      <c r="J73" s="681">
        <v>6741</v>
      </c>
      <c r="K73" s="681">
        <v>36142</v>
      </c>
      <c r="L73" s="653">
        <v>0</v>
      </c>
      <c r="M73" s="653"/>
      <c r="N73" s="681">
        <v>1756</v>
      </c>
      <c r="O73" s="681">
        <v>6509</v>
      </c>
      <c r="P73" s="681">
        <v>0</v>
      </c>
      <c r="Q73" s="653">
        <v>6422</v>
      </c>
      <c r="R73" s="653"/>
      <c r="S73" s="681">
        <v>10035</v>
      </c>
      <c r="T73" s="682">
        <v>-4648</v>
      </c>
      <c r="U73" s="682">
        <v>5387</v>
      </c>
    </row>
    <row r="74" spans="2:21" x14ac:dyDescent="0.25">
      <c r="B74" s="661" t="s">
        <v>2584</v>
      </c>
      <c r="C74" s="652">
        <v>1.4243000000000001E-3</v>
      </c>
      <c r="D74" s="652">
        <v>1.3423E-3</v>
      </c>
      <c r="E74" s="653">
        <v>1164</v>
      </c>
      <c r="F74" s="653">
        <v>-31106</v>
      </c>
      <c r="G74" s="653">
        <v>-26629</v>
      </c>
      <c r="H74" s="680"/>
      <c r="I74" s="681">
        <v>28</v>
      </c>
      <c r="J74" s="681">
        <v>1323</v>
      </c>
      <c r="K74" s="681">
        <v>7094</v>
      </c>
      <c r="L74" s="653">
        <v>401</v>
      </c>
      <c r="M74" s="653"/>
      <c r="N74" s="681">
        <v>345</v>
      </c>
      <c r="O74" s="681">
        <v>1278</v>
      </c>
      <c r="P74" s="681">
        <v>0</v>
      </c>
      <c r="Q74" s="653">
        <v>1387</v>
      </c>
      <c r="R74" s="653"/>
      <c r="S74" s="681">
        <v>1970</v>
      </c>
      <c r="T74" s="682">
        <v>-110</v>
      </c>
      <c r="U74" s="682">
        <v>1860</v>
      </c>
    </row>
    <row r="75" spans="2:21" x14ac:dyDescent="0.25">
      <c r="B75" s="661" t="s">
        <v>2585</v>
      </c>
      <c r="C75" s="652">
        <v>3.5128999999999998E-3</v>
      </c>
      <c r="D75" s="652">
        <v>3.5444999999999999E-3</v>
      </c>
      <c r="E75" s="653">
        <v>2870</v>
      </c>
      <c r="F75" s="653">
        <v>-82140</v>
      </c>
      <c r="G75" s="653">
        <v>-65677</v>
      </c>
      <c r="H75" s="680"/>
      <c r="I75" s="681">
        <v>70</v>
      </c>
      <c r="J75" s="681">
        <v>3263</v>
      </c>
      <c r="K75" s="681">
        <v>17498</v>
      </c>
      <c r="L75" s="653">
        <v>2153</v>
      </c>
      <c r="M75" s="653"/>
      <c r="N75" s="681">
        <v>850</v>
      </c>
      <c r="O75" s="681">
        <v>3151</v>
      </c>
      <c r="P75" s="681">
        <v>0</v>
      </c>
      <c r="Q75" s="653">
        <v>288</v>
      </c>
      <c r="R75" s="653"/>
      <c r="S75" s="681">
        <v>4858</v>
      </c>
      <c r="T75" s="682">
        <v>136</v>
      </c>
      <c r="U75" s="682">
        <v>4995</v>
      </c>
    </row>
    <row r="76" spans="2:21" x14ac:dyDescent="0.25">
      <c r="B76" s="661" t="s">
        <v>2586</v>
      </c>
      <c r="C76" s="652">
        <v>1.42188E-2</v>
      </c>
      <c r="D76" s="652">
        <v>1.45868E-2</v>
      </c>
      <c r="E76" s="653">
        <v>11616</v>
      </c>
      <c r="F76" s="653">
        <v>-338035</v>
      </c>
      <c r="G76" s="653">
        <v>-265835</v>
      </c>
      <c r="H76" s="680"/>
      <c r="I76" s="681">
        <v>284</v>
      </c>
      <c r="J76" s="681">
        <v>13209</v>
      </c>
      <c r="K76" s="681">
        <v>70824</v>
      </c>
      <c r="L76" s="653">
        <v>7900</v>
      </c>
      <c r="M76" s="653"/>
      <c r="N76" s="681">
        <v>3441</v>
      </c>
      <c r="O76" s="681">
        <v>12754</v>
      </c>
      <c r="P76" s="681">
        <v>0</v>
      </c>
      <c r="Q76" s="653">
        <v>736</v>
      </c>
      <c r="R76" s="653"/>
      <c r="S76" s="681">
        <v>19665</v>
      </c>
      <c r="T76" s="682">
        <v>342</v>
      </c>
      <c r="U76" s="682">
        <v>20007</v>
      </c>
    </row>
    <row r="77" spans="2:21" x14ac:dyDescent="0.25">
      <c r="B77" s="661" t="s">
        <v>2587</v>
      </c>
      <c r="C77" s="652">
        <v>2.2653999999999999E-3</v>
      </c>
      <c r="D77" s="652">
        <v>2.4053999999999998E-3</v>
      </c>
      <c r="E77" s="653">
        <v>1851</v>
      </c>
      <c r="F77" s="653">
        <v>-55743</v>
      </c>
      <c r="G77" s="653">
        <v>-42354</v>
      </c>
      <c r="H77" s="680"/>
      <c r="I77" s="681">
        <v>45</v>
      </c>
      <c r="J77" s="681">
        <v>2105</v>
      </c>
      <c r="K77" s="681">
        <v>11284</v>
      </c>
      <c r="L77" s="653">
        <v>2368</v>
      </c>
      <c r="M77" s="653"/>
      <c r="N77" s="681">
        <v>548</v>
      </c>
      <c r="O77" s="681">
        <v>2032</v>
      </c>
      <c r="P77" s="681">
        <v>0</v>
      </c>
      <c r="Q77" s="653">
        <v>1853</v>
      </c>
      <c r="R77" s="653"/>
      <c r="S77" s="681">
        <v>3133</v>
      </c>
      <c r="T77" s="682">
        <v>-1312</v>
      </c>
      <c r="U77" s="682">
        <v>1821</v>
      </c>
    </row>
    <row r="78" spans="2:21" x14ac:dyDescent="0.25">
      <c r="B78" s="661" t="s">
        <v>2588</v>
      </c>
      <c r="C78" s="652">
        <v>1.1860799999999999E-2</v>
      </c>
      <c r="D78" s="652">
        <v>1.32129E-2</v>
      </c>
      <c r="E78" s="653">
        <v>9690</v>
      </c>
      <c r="F78" s="653">
        <v>-306196</v>
      </c>
      <c r="G78" s="653">
        <v>-221750</v>
      </c>
      <c r="H78" s="680"/>
      <c r="I78" s="681">
        <v>237</v>
      </c>
      <c r="J78" s="681">
        <v>11019</v>
      </c>
      <c r="K78" s="681">
        <v>59079</v>
      </c>
      <c r="L78" s="653">
        <v>22872</v>
      </c>
      <c r="M78" s="653"/>
      <c r="N78" s="681">
        <v>2870</v>
      </c>
      <c r="O78" s="681">
        <v>10639</v>
      </c>
      <c r="P78" s="681">
        <v>0</v>
      </c>
      <c r="Q78" s="653">
        <v>12807</v>
      </c>
      <c r="R78" s="653"/>
      <c r="S78" s="681">
        <v>16403</v>
      </c>
      <c r="T78" s="682">
        <v>-3660</v>
      </c>
      <c r="U78" s="682">
        <v>12744</v>
      </c>
    </row>
    <row r="79" spans="2:21" x14ac:dyDescent="0.25">
      <c r="B79" s="661" t="s">
        <v>2589</v>
      </c>
      <c r="C79" s="652">
        <v>2.9551E-3</v>
      </c>
      <c r="D79" s="652">
        <v>2.8926999999999998E-3</v>
      </c>
      <c r="E79" s="653">
        <v>2414</v>
      </c>
      <c r="F79" s="653">
        <v>-67035</v>
      </c>
      <c r="G79" s="653">
        <v>-55249</v>
      </c>
      <c r="H79" s="680"/>
      <c r="I79" s="681">
        <v>59</v>
      </c>
      <c r="J79" s="681">
        <v>2745</v>
      </c>
      <c r="K79" s="681">
        <v>14719</v>
      </c>
      <c r="L79" s="653">
        <v>0</v>
      </c>
      <c r="M79" s="653"/>
      <c r="N79" s="681">
        <v>715</v>
      </c>
      <c r="O79" s="681">
        <v>2651</v>
      </c>
      <c r="P79" s="681">
        <v>0</v>
      </c>
      <c r="Q79" s="653">
        <v>2107</v>
      </c>
      <c r="R79" s="653"/>
      <c r="S79" s="681">
        <v>4087</v>
      </c>
      <c r="T79" s="682">
        <v>-2369</v>
      </c>
      <c r="U79" s="682">
        <v>1718</v>
      </c>
    </row>
    <row r="80" spans="2:21" x14ac:dyDescent="0.25">
      <c r="B80" s="661" t="s">
        <v>2590</v>
      </c>
      <c r="C80" s="652">
        <v>8.4644000000000004E-3</v>
      </c>
      <c r="D80" s="652">
        <v>7.7958000000000003E-3</v>
      </c>
      <c r="E80" s="653">
        <v>6915</v>
      </c>
      <c r="F80" s="653">
        <v>-180660</v>
      </c>
      <c r="G80" s="653">
        <v>-158250</v>
      </c>
      <c r="H80" s="680"/>
      <c r="I80" s="681">
        <v>169</v>
      </c>
      <c r="J80" s="681">
        <v>7863</v>
      </c>
      <c r="K80" s="681">
        <v>42161</v>
      </c>
      <c r="L80" s="653">
        <v>1363</v>
      </c>
      <c r="M80" s="653"/>
      <c r="N80" s="681">
        <v>2048</v>
      </c>
      <c r="O80" s="681">
        <v>7593</v>
      </c>
      <c r="P80" s="681">
        <v>0</v>
      </c>
      <c r="Q80" s="653">
        <v>12201</v>
      </c>
      <c r="R80" s="653"/>
      <c r="S80" s="681">
        <v>11706</v>
      </c>
      <c r="T80" s="682">
        <v>-8092</v>
      </c>
      <c r="U80" s="682">
        <v>3615</v>
      </c>
    </row>
    <row r="81" spans="2:21" x14ac:dyDescent="0.25">
      <c r="B81" s="661" t="s">
        <v>2591</v>
      </c>
      <c r="C81" s="652">
        <v>7.9863E-3</v>
      </c>
      <c r="D81" s="652">
        <v>8.1589999999999996E-3</v>
      </c>
      <c r="E81" s="653">
        <v>6524</v>
      </c>
      <c r="F81" s="653">
        <v>-189077</v>
      </c>
      <c r="G81" s="653">
        <v>-149312</v>
      </c>
      <c r="H81" s="680"/>
      <c r="I81" s="681">
        <v>160</v>
      </c>
      <c r="J81" s="681">
        <v>7419</v>
      </c>
      <c r="K81" s="681">
        <v>39780</v>
      </c>
      <c r="L81" s="653">
        <v>2921</v>
      </c>
      <c r="M81" s="653"/>
      <c r="N81" s="681">
        <v>1933</v>
      </c>
      <c r="O81" s="681">
        <v>7164</v>
      </c>
      <c r="P81" s="681">
        <v>0</v>
      </c>
      <c r="Q81" s="653">
        <v>1354</v>
      </c>
      <c r="R81" s="653"/>
      <c r="S81" s="681">
        <v>11045</v>
      </c>
      <c r="T81" s="682">
        <v>-2223</v>
      </c>
      <c r="U81" s="682">
        <v>8822</v>
      </c>
    </row>
    <row r="82" spans="2:21" x14ac:dyDescent="0.25">
      <c r="B82" s="661" t="s">
        <v>2592</v>
      </c>
      <c r="C82" s="652">
        <v>1.2933699999999999E-2</v>
      </c>
      <c r="D82" s="652">
        <v>1.2605999999999999E-2</v>
      </c>
      <c r="E82" s="653">
        <v>10566</v>
      </c>
      <c r="F82" s="653">
        <v>-292131</v>
      </c>
      <c r="G82" s="653">
        <v>-241808</v>
      </c>
      <c r="H82" s="680"/>
      <c r="I82" s="681">
        <v>259</v>
      </c>
      <c r="J82" s="681">
        <v>12015</v>
      </c>
      <c r="K82" s="681">
        <v>64423</v>
      </c>
      <c r="L82" s="653">
        <v>326</v>
      </c>
      <c r="M82" s="653"/>
      <c r="N82" s="681">
        <v>3130</v>
      </c>
      <c r="O82" s="681">
        <v>11602</v>
      </c>
      <c r="P82" s="681">
        <v>0</v>
      </c>
      <c r="Q82" s="653">
        <v>6321</v>
      </c>
      <c r="R82" s="653"/>
      <c r="S82" s="681">
        <v>17887</v>
      </c>
      <c r="T82" s="682">
        <v>-5955</v>
      </c>
      <c r="U82" s="682">
        <v>11932</v>
      </c>
    </row>
    <row r="83" spans="2:21" x14ac:dyDescent="0.25">
      <c r="B83" s="661" t="s">
        <v>2593</v>
      </c>
      <c r="C83" s="652">
        <v>6.5884000000000003E-3</v>
      </c>
      <c r="D83" s="652">
        <v>6.5573999999999997E-3</v>
      </c>
      <c r="E83" s="653">
        <v>5382</v>
      </c>
      <c r="F83" s="653">
        <v>-151961</v>
      </c>
      <c r="G83" s="653">
        <v>-123177</v>
      </c>
      <c r="H83" s="680"/>
      <c r="I83" s="681">
        <v>132</v>
      </c>
      <c r="J83" s="681">
        <v>6121</v>
      </c>
      <c r="K83" s="681">
        <v>32817</v>
      </c>
      <c r="L83" s="653">
        <v>0</v>
      </c>
      <c r="M83" s="653"/>
      <c r="N83" s="681">
        <v>1594</v>
      </c>
      <c r="O83" s="681">
        <v>5910</v>
      </c>
      <c r="P83" s="681">
        <v>0</v>
      </c>
      <c r="Q83" s="653">
        <v>2570</v>
      </c>
      <c r="R83" s="653"/>
      <c r="S83" s="681">
        <v>9112</v>
      </c>
      <c r="T83" s="682">
        <v>-2528</v>
      </c>
      <c r="U83" s="682">
        <v>6583</v>
      </c>
    </row>
    <row r="84" spans="2:21" x14ac:dyDescent="0.25">
      <c r="B84" s="661" t="s">
        <v>2594</v>
      </c>
      <c r="C84" s="652">
        <v>5.0077999999999998E-3</v>
      </c>
      <c r="D84" s="652">
        <v>4.8568999999999999E-3</v>
      </c>
      <c r="E84" s="653">
        <v>4091</v>
      </c>
      <c r="F84" s="653">
        <v>-112554</v>
      </c>
      <c r="G84" s="653">
        <v>-93626</v>
      </c>
      <c r="H84" s="680"/>
      <c r="I84" s="681">
        <v>100</v>
      </c>
      <c r="J84" s="681">
        <v>4652</v>
      </c>
      <c r="K84" s="681">
        <v>24944</v>
      </c>
      <c r="L84" s="653">
        <v>232</v>
      </c>
      <c r="M84" s="653"/>
      <c r="N84" s="681">
        <v>1212</v>
      </c>
      <c r="O84" s="681">
        <v>4492</v>
      </c>
      <c r="P84" s="681">
        <v>0</v>
      </c>
      <c r="Q84" s="653">
        <v>2961</v>
      </c>
      <c r="R84" s="653"/>
      <c r="S84" s="681">
        <v>6926</v>
      </c>
      <c r="T84" s="682">
        <v>-2925</v>
      </c>
      <c r="U84" s="682">
        <v>4001</v>
      </c>
    </row>
    <row r="85" spans="2:21" x14ac:dyDescent="0.25">
      <c r="B85" s="661" t="s">
        <v>2595</v>
      </c>
      <c r="C85" s="652">
        <v>3.0856999999999998E-3</v>
      </c>
      <c r="D85" s="652">
        <v>2.8443000000000001E-3</v>
      </c>
      <c r="E85" s="653">
        <v>2521</v>
      </c>
      <c r="F85" s="653">
        <v>-65914</v>
      </c>
      <c r="G85" s="653">
        <v>-57690</v>
      </c>
      <c r="H85" s="680"/>
      <c r="I85" s="681">
        <v>62</v>
      </c>
      <c r="J85" s="681">
        <v>2867</v>
      </c>
      <c r="K85" s="681">
        <v>15370</v>
      </c>
      <c r="L85" s="653">
        <v>0</v>
      </c>
      <c r="M85" s="653"/>
      <c r="N85" s="681">
        <v>747</v>
      </c>
      <c r="O85" s="681">
        <v>2768</v>
      </c>
      <c r="P85" s="681">
        <v>0</v>
      </c>
      <c r="Q85" s="653">
        <v>4425</v>
      </c>
      <c r="R85" s="653"/>
      <c r="S85" s="681">
        <v>4268</v>
      </c>
      <c r="T85" s="682">
        <v>-2836</v>
      </c>
      <c r="U85" s="682">
        <v>1432</v>
      </c>
    </row>
    <row r="86" spans="2:21" x14ac:dyDescent="0.25">
      <c r="B86" s="661" t="s">
        <v>2596</v>
      </c>
      <c r="C86" s="652">
        <v>6.2223000000000001E-3</v>
      </c>
      <c r="D86" s="652">
        <v>5.8481000000000002E-3</v>
      </c>
      <c r="E86" s="653">
        <v>5083</v>
      </c>
      <c r="F86" s="653">
        <v>-135524</v>
      </c>
      <c r="G86" s="653">
        <v>-116332</v>
      </c>
      <c r="H86" s="680"/>
      <c r="I86" s="681">
        <v>124</v>
      </c>
      <c r="J86" s="681">
        <v>5781</v>
      </c>
      <c r="K86" s="681">
        <v>30993</v>
      </c>
      <c r="L86" s="653">
        <v>0</v>
      </c>
      <c r="M86" s="653"/>
      <c r="N86" s="681">
        <v>1506</v>
      </c>
      <c r="O86" s="681">
        <v>5581</v>
      </c>
      <c r="P86" s="681">
        <v>0</v>
      </c>
      <c r="Q86" s="653">
        <v>9399</v>
      </c>
      <c r="R86" s="653"/>
      <c r="S86" s="681">
        <v>8605</v>
      </c>
      <c r="T86" s="682">
        <v>-6382</v>
      </c>
      <c r="U86" s="682">
        <v>2224</v>
      </c>
    </row>
    <row r="87" spans="2:21" x14ac:dyDescent="0.25">
      <c r="B87" s="661" t="s">
        <v>2597</v>
      </c>
      <c r="C87" s="652">
        <v>3.6819000000000001E-3</v>
      </c>
      <c r="D87" s="652">
        <v>3.8609E-3</v>
      </c>
      <c r="E87" s="653">
        <v>3008</v>
      </c>
      <c r="F87" s="653">
        <v>-89472</v>
      </c>
      <c r="G87" s="653">
        <v>-68837</v>
      </c>
      <c r="H87" s="680"/>
      <c r="I87" s="681">
        <v>74</v>
      </c>
      <c r="J87" s="681">
        <v>3420</v>
      </c>
      <c r="K87" s="681">
        <v>18340</v>
      </c>
      <c r="L87" s="653">
        <v>3028</v>
      </c>
      <c r="M87" s="653"/>
      <c r="N87" s="681">
        <v>891</v>
      </c>
      <c r="O87" s="681">
        <v>3303</v>
      </c>
      <c r="P87" s="681">
        <v>0</v>
      </c>
      <c r="Q87" s="653">
        <v>2019</v>
      </c>
      <c r="R87" s="653"/>
      <c r="S87" s="681">
        <v>5092</v>
      </c>
      <c r="T87" s="682">
        <v>-930</v>
      </c>
      <c r="U87" s="682">
        <v>4162</v>
      </c>
    </row>
    <row r="88" spans="2:21" x14ac:dyDescent="0.25">
      <c r="B88" s="661" t="s">
        <v>2598</v>
      </c>
      <c r="C88" s="652">
        <v>7.1685999999999998E-3</v>
      </c>
      <c r="D88" s="652">
        <v>7.0705000000000004E-3</v>
      </c>
      <c r="E88" s="653">
        <v>5856</v>
      </c>
      <c r="F88" s="653">
        <v>-163852</v>
      </c>
      <c r="G88" s="653">
        <v>-134024</v>
      </c>
      <c r="H88" s="680"/>
      <c r="I88" s="681">
        <v>143</v>
      </c>
      <c r="J88" s="681">
        <v>6660</v>
      </c>
      <c r="K88" s="681">
        <v>35707</v>
      </c>
      <c r="L88" s="653">
        <v>0</v>
      </c>
      <c r="M88" s="653"/>
      <c r="N88" s="681">
        <v>1735</v>
      </c>
      <c r="O88" s="681">
        <v>6430</v>
      </c>
      <c r="P88" s="681">
        <v>0</v>
      </c>
      <c r="Q88" s="653">
        <v>2170</v>
      </c>
      <c r="R88" s="653"/>
      <c r="S88" s="681">
        <v>9914</v>
      </c>
      <c r="T88" s="682">
        <v>-3015</v>
      </c>
      <c r="U88" s="682">
        <v>6899</v>
      </c>
    </row>
    <row r="89" spans="2:21" x14ac:dyDescent="0.25">
      <c r="B89" s="661" t="s">
        <v>2599</v>
      </c>
      <c r="C89" s="652">
        <v>3.0403000000000001E-3</v>
      </c>
      <c r="D89" s="652">
        <v>2.8243000000000001E-3</v>
      </c>
      <c r="E89" s="653">
        <v>2484</v>
      </c>
      <c r="F89" s="653">
        <v>-65450</v>
      </c>
      <c r="G89" s="653">
        <v>-56841</v>
      </c>
      <c r="H89" s="680"/>
      <c r="I89" s="681">
        <v>61</v>
      </c>
      <c r="J89" s="681">
        <v>2824</v>
      </c>
      <c r="K89" s="681">
        <v>15144</v>
      </c>
      <c r="L89" s="653">
        <v>2419</v>
      </c>
      <c r="M89" s="653"/>
      <c r="N89" s="681">
        <v>736</v>
      </c>
      <c r="O89" s="681">
        <v>2727</v>
      </c>
      <c r="P89" s="681">
        <v>0</v>
      </c>
      <c r="Q89" s="653">
        <v>3673</v>
      </c>
      <c r="R89" s="653"/>
      <c r="S89" s="681">
        <v>4205</v>
      </c>
      <c r="T89" s="682">
        <v>10539</v>
      </c>
      <c r="U89" s="682">
        <v>14743</v>
      </c>
    </row>
    <row r="90" spans="2:21" x14ac:dyDescent="0.25">
      <c r="B90" s="661" t="s">
        <v>2600</v>
      </c>
      <c r="C90" s="652">
        <v>4.2072000000000003E-3</v>
      </c>
      <c r="D90" s="652">
        <v>4.1405000000000001E-3</v>
      </c>
      <c r="E90" s="653">
        <v>3437</v>
      </c>
      <c r="F90" s="653">
        <v>-95952</v>
      </c>
      <c r="G90" s="653">
        <v>-78658</v>
      </c>
      <c r="H90" s="680"/>
      <c r="I90" s="681">
        <v>84</v>
      </c>
      <c r="J90" s="681">
        <v>3908</v>
      </c>
      <c r="K90" s="681">
        <v>20956</v>
      </c>
      <c r="L90" s="653">
        <v>0</v>
      </c>
      <c r="M90" s="653"/>
      <c r="N90" s="681">
        <v>1018</v>
      </c>
      <c r="O90" s="681">
        <v>3774</v>
      </c>
      <c r="P90" s="681">
        <v>0</v>
      </c>
      <c r="Q90" s="653">
        <v>1770</v>
      </c>
      <c r="R90" s="653"/>
      <c r="S90" s="681">
        <v>5819</v>
      </c>
      <c r="T90" s="682">
        <v>-1123</v>
      </c>
      <c r="U90" s="682">
        <v>4696</v>
      </c>
    </row>
    <row r="91" spans="2:21" x14ac:dyDescent="0.25">
      <c r="B91" s="661" t="s">
        <v>2601</v>
      </c>
      <c r="C91" s="652">
        <v>3.724E-4</v>
      </c>
      <c r="D91" s="652">
        <v>3.3819999999999998E-4</v>
      </c>
      <c r="E91" s="653">
        <v>304.23874999999998</v>
      </c>
      <c r="F91" s="653">
        <v>-7837</v>
      </c>
      <c r="G91" s="653">
        <v>-6962</v>
      </c>
      <c r="H91" s="680"/>
      <c r="I91" s="681">
        <v>7</v>
      </c>
      <c r="J91" s="681">
        <v>346</v>
      </c>
      <c r="K91" s="681">
        <v>1855</v>
      </c>
      <c r="L91" s="653">
        <v>719</v>
      </c>
      <c r="M91" s="653"/>
      <c r="N91" s="681">
        <v>90</v>
      </c>
      <c r="O91" s="681">
        <v>334</v>
      </c>
      <c r="P91" s="681">
        <v>0</v>
      </c>
      <c r="Q91" s="653">
        <v>658</v>
      </c>
      <c r="R91" s="653"/>
      <c r="S91" s="681">
        <v>515</v>
      </c>
      <c r="T91" s="682">
        <v>-40</v>
      </c>
      <c r="U91" s="682">
        <v>475</v>
      </c>
    </row>
    <row r="92" spans="2:21" x14ac:dyDescent="0.25">
      <c r="B92" s="661" t="s">
        <v>2602</v>
      </c>
      <c r="C92" s="652">
        <v>2.6073599999999999E-2</v>
      </c>
      <c r="D92" s="652">
        <v>2.6178099999999999E-2</v>
      </c>
      <c r="E92" s="653">
        <v>21300</v>
      </c>
      <c r="F92" s="653">
        <v>-606651</v>
      </c>
      <c r="G92" s="653">
        <v>-487472</v>
      </c>
      <c r="H92" s="680"/>
      <c r="I92" s="681">
        <v>521</v>
      </c>
      <c r="J92" s="681">
        <v>24222</v>
      </c>
      <c r="K92" s="681">
        <v>129873</v>
      </c>
      <c r="L92" s="653">
        <v>2731</v>
      </c>
      <c r="M92" s="653"/>
      <c r="N92" s="681">
        <v>6310</v>
      </c>
      <c r="O92" s="681">
        <v>23388</v>
      </c>
      <c r="P92" s="681">
        <v>0</v>
      </c>
      <c r="Q92" s="653">
        <v>9407</v>
      </c>
      <c r="R92" s="653"/>
      <c r="S92" s="681">
        <v>36060</v>
      </c>
      <c r="T92" s="682">
        <v>-2277</v>
      </c>
      <c r="U92" s="682">
        <v>33783</v>
      </c>
    </row>
    <row r="93" spans="2:21" x14ac:dyDescent="0.25">
      <c r="B93" s="661" t="s">
        <v>2603</v>
      </c>
      <c r="C93" s="652">
        <v>3.6116999999999998E-3</v>
      </c>
      <c r="D93" s="652">
        <v>3.7046000000000002E-3</v>
      </c>
      <c r="E93" s="653">
        <v>2950</v>
      </c>
      <c r="F93" s="653">
        <v>-85850</v>
      </c>
      <c r="G93" s="653">
        <v>-67524</v>
      </c>
      <c r="H93" s="680"/>
      <c r="I93" s="681">
        <v>72</v>
      </c>
      <c r="J93" s="681">
        <v>3355</v>
      </c>
      <c r="K93" s="681">
        <v>17990</v>
      </c>
      <c r="L93" s="653">
        <v>2470</v>
      </c>
      <c r="M93" s="653"/>
      <c r="N93" s="681">
        <v>874</v>
      </c>
      <c r="O93" s="681">
        <v>3240</v>
      </c>
      <c r="P93" s="681">
        <v>0</v>
      </c>
      <c r="Q93" s="653">
        <v>408</v>
      </c>
      <c r="R93" s="653"/>
      <c r="S93" s="681">
        <v>4995</v>
      </c>
      <c r="T93" s="682">
        <v>-629</v>
      </c>
      <c r="U93" s="682">
        <v>4366</v>
      </c>
    </row>
    <row r="94" spans="2:21" x14ac:dyDescent="0.25">
      <c r="B94" s="661" t="s">
        <v>2604</v>
      </c>
      <c r="C94" s="652">
        <v>9.9709900000000004E-2</v>
      </c>
      <c r="D94" s="652">
        <v>0.1114588</v>
      </c>
      <c r="E94" s="653">
        <v>81457</v>
      </c>
      <c r="F94" s="653">
        <v>-2582946</v>
      </c>
      <c r="G94" s="653">
        <v>-1864176</v>
      </c>
      <c r="H94" s="680"/>
      <c r="I94" s="681">
        <v>1994</v>
      </c>
      <c r="J94" s="681">
        <v>92630</v>
      </c>
      <c r="K94" s="681">
        <v>496655</v>
      </c>
      <c r="L94" s="653">
        <v>207682</v>
      </c>
      <c r="M94" s="653"/>
      <c r="N94" s="681">
        <v>24130</v>
      </c>
      <c r="O94" s="681">
        <v>89440</v>
      </c>
      <c r="P94" s="681">
        <v>0</v>
      </c>
      <c r="Q94" s="653">
        <v>53956</v>
      </c>
      <c r="R94" s="653"/>
      <c r="S94" s="681">
        <v>137899</v>
      </c>
      <c r="T94" s="682">
        <v>83603</v>
      </c>
      <c r="U94" s="682">
        <v>221502</v>
      </c>
    </row>
    <row r="95" spans="2:21" x14ac:dyDescent="0.25">
      <c r="B95" s="661" t="s">
        <v>2605</v>
      </c>
      <c r="C95" s="652">
        <v>1.6083E-3</v>
      </c>
      <c r="D95" s="652">
        <v>1.408E-3</v>
      </c>
      <c r="E95" s="653">
        <v>1314</v>
      </c>
      <c r="F95" s="653">
        <v>-32629</v>
      </c>
      <c r="G95" s="653">
        <v>-30069</v>
      </c>
      <c r="H95" s="680"/>
      <c r="I95" s="681">
        <v>32</v>
      </c>
      <c r="J95" s="681">
        <v>1494</v>
      </c>
      <c r="K95" s="681">
        <v>8011</v>
      </c>
      <c r="L95" s="653">
        <v>1219</v>
      </c>
      <c r="M95" s="653"/>
      <c r="N95" s="681">
        <v>389</v>
      </c>
      <c r="O95" s="681">
        <v>1443</v>
      </c>
      <c r="P95" s="681">
        <v>0</v>
      </c>
      <c r="Q95" s="653">
        <v>3388</v>
      </c>
      <c r="R95" s="653"/>
      <c r="S95" s="681">
        <v>2224</v>
      </c>
      <c r="T95" s="682">
        <v>-157</v>
      </c>
      <c r="U95" s="682">
        <v>2067</v>
      </c>
    </row>
    <row r="96" spans="2:21" x14ac:dyDescent="0.25">
      <c r="B96" s="661" t="s">
        <v>2606</v>
      </c>
      <c r="C96" s="652">
        <v>1.2009E-3</v>
      </c>
      <c r="D96" s="652">
        <v>1.2325000000000001E-3</v>
      </c>
      <c r="E96" s="653">
        <v>981.09375</v>
      </c>
      <c r="F96" s="653">
        <v>-28562</v>
      </c>
      <c r="G96" s="653">
        <v>-22452</v>
      </c>
      <c r="H96" s="680"/>
      <c r="I96" s="681">
        <v>24</v>
      </c>
      <c r="J96" s="681">
        <v>1116</v>
      </c>
      <c r="K96" s="681">
        <v>5982</v>
      </c>
      <c r="L96" s="653">
        <v>535</v>
      </c>
      <c r="M96" s="653"/>
      <c r="N96" s="681">
        <v>291</v>
      </c>
      <c r="O96" s="681">
        <v>1077</v>
      </c>
      <c r="P96" s="681">
        <v>0</v>
      </c>
      <c r="Q96" s="653">
        <v>2476</v>
      </c>
      <c r="R96" s="653"/>
      <c r="S96" s="681">
        <v>1661</v>
      </c>
      <c r="T96" s="682">
        <v>-3145</v>
      </c>
      <c r="U96" s="682">
        <v>-1484</v>
      </c>
    </row>
    <row r="97" spans="2:21" x14ac:dyDescent="0.25">
      <c r="B97" s="661" t="s">
        <v>2607</v>
      </c>
      <c r="C97" s="652">
        <v>6.6734000000000003E-3</v>
      </c>
      <c r="D97" s="652">
        <v>6.5928999999999996E-3</v>
      </c>
      <c r="E97" s="653">
        <v>5452</v>
      </c>
      <c r="F97" s="653">
        <v>-152784</v>
      </c>
      <c r="G97" s="653">
        <v>-124766</v>
      </c>
      <c r="H97" s="680"/>
      <c r="I97" s="681">
        <v>133</v>
      </c>
      <c r="J97" s="681">
        <v>6200</v>
      </c>
      <c r="K97" s="681">
        <v>33240</v>
      </c>
      <c r="L97" s="653">
        <v>415</v>
      </c>
      <c r="M97" s="653"/>
      <c r="N97" s="681">
        <v>1615</v>
      </c>
      <c r="O97" s="681">
        <v>5986</v>
      </c>
      <c r="P97" s="681">
        <v>0</v>
      </c>
      <c r="Q97" s="653">
        <v>3883</v>
      </c>
      <c r="R97" s="653"/>
      <c r="S97" s="681">
        <v>9229</v>
      </c>
      <c r="T97" s="682">
        <v>-601</v>
      </c>
      <c r="U97" s="682">
        <v>8629</v>
      </c>
    </row>
    <row r="98" spans="2:21" x14ac:dyDescent="0.25">
      <c r="B98" s="661" t="s">
        <v>2608</v>
      </c>
      <c r="C98" s="652">
        <v>9.8042000000000008E-3</v>
      </c>
      <c r="D98" s="652">
        <v>9.5604000000000001E-3</v>
      </c>
      <c r="E98" s="653">
        <v>8009</v>
      </c>
      <c r="F98" s="653">
        <v>-221553</v>
      </c>
      <c r="G98" s="653">
        <v>-183299</v>
      </c>
      <c r="H98" s="680"/>
      <c r="I98" s="681">
        <v>196</v>
      </c>
      <c r="J98" s="681">
        <v>9108</v>
      </c>
      <c r="K98" s="681">
        <v>48835</v>
      </c>
      <c r="L98" s="653">
        <v>514</v>
      </c>
      <c r="M98" s="653"/>
      <c r="N98" s="681">
        <v>2373</v>
      </c>
      <c r="O98" s="681">
        <v>8794</v>
      </c>
      <c r="P98" s="681">
        <v>0</v>
      </c>
      <c r="Q98" s="653">
        <v>4616</v>
      </c>
      <c r="R98" s="653"/>
      <c r="S98" s="681">
        <v>13559</v>
      </c>
      <c r="T98" s="682">
        <v>-3771</v>
      </c>
      <c r="U98" s="682">
        <v>9788</v>
      </c>
    </row>
    <row r="99" spans="2:21" x14ac:dyDescent="0.25">
      <c r="B99" s="661" t="s">
        <v>2609</v>
      </c>
      <c r="C99" s="652">
        <v>6.1932000000000003E-3</v>
      </c>
      <c r="D99" s="652">
        <v>6.3542E-3</v>
      </c>
      <c r="E99" s="653">
        <v>5059</v>
      </c>
      <c r="F99" s="653">
        <v>-147252</v>
      </c>
      <c r="G99" s="653">
        <v>-115788</v>
      </c>
      <c r="H99" s="680"/>
      <c r="I99" s="681">
        <v>124</v>
      </c>
      <c r="J99" s="681">
        <v>5753</v>
      </c>
      <c r="K99" s="681">
        <v>30848</v>
      </c>
      <c r="L99" s="653">
        <v>2723</v>
      </c>
      <c r="M99" s="653"/>
      <c r="N99" s="681">
        <v>1499</v>
      </c>
      <c r="O99" s="681">
        <v>5555</v>
      </c>
      <c r="P99" s="681">
        <v>0</v>
      </c>
      <c r="Q99" s="653">
        <v>1322</v>
      </c>
      <c r="R99" s="653"/>
      <c r="S99" s="681">
        <v>8565</v>
      </c>
      <c r="T99" s="682">
        <v>-2466</v>
      </c>
      <c r="U99" s="682">
        <v>6099</v>
      </c>
    </row>
    <row r="100" spans="2:21" x14ac:dyDescent="0.25">
      <c r="B100" s="661" t="s">
        <v>2610</v>
      </c>
      <c r="C100" s="652">
        <v>4.7648999999999999E-3</v>
      </c>
      <c r="D100" s="652">
        <v>4.7707000000000001E-3</v>
      </c>
      <c r="E100" s="653">
        <v>3893</v>
      </c>
      <c r="F100" s="653">
        <v>-110556</v>
      </c>
      <c r="G100" s="653">
        <v>-89085</v>
      </c>
      <c r="H100" s="680"/>
      <c r="I100" s="681">
        <v>95</v>
      </c>
      <c r="J100" s="681">
        <v>4427</v>
      </c>
      <c r="K100" s="681">
        <v>23734</v>
      </c>
      <c r="L100" s="653">
        <v>1206</v>
      </c>
      <c r="M100" s="653"/>
      <c r="N100" s="681">
        <v>1153</v>
      </c>
      <c r="O100" s="681">
        <v>4274</v>
      </c>
      <c r="P100" s="681">
        <v>0</v>
      </c>
      <c r="Q100" s="653">
        <v>212</v>
      </c>
      <c r="R100" s="653"/>
      <c r="S100" s="681">
        <v>6590</v>
      </c>
      <c r="T100" s="682">
        <v>-94</v>
      </c>
      <c r="U100" s="682">
        <v>6496</v>
      </c>
    </row>
    <row r="101" spans="2:21" x14ac:dyDescent="0.25">
      <c r="B101" s="661" t="s">
        <v>2510</v>
      </c>
      <c r="C101" s="652">
        <v>3.2017E-3</v>
      </c>
      <c r="D101" s="652">
        <v>3.0948999999999998E-3</v>
      </c>
      <c r="E101" s="653">
        <v>2616</v>
      </c>
      <c r="F101" s="653">
        <v>-71721</v>
      </c>
      <c r="G101" s="653">
        <v>-59859</v>
      </c>
      <c r="H101" s="680"/>
      <c r="I101" s="681">
        <v>64</v>
      </c>
      <c r="J101" s="681">
        <v>2974</v>
      </c>
      <c r="K101" s="681">
        <v>15948</v>
      </c>
      <c r="L101" s="653">
        <v>484</v>
      </c>
      <c r="M101" s="653"/>
      <c r="N101" s="681">
        <v>775</v>
      </c>
      <c r="O101" s="681">
        <v>2872</v>
      </c>
      <c r="P101" s="681">
        <v>0</v>
      </c>
      <c r="Q101" s="653">
        <v>2095</v>
      </c>
      <c r="R101" s="653"/>
      <c r="S101" s="681">
        <v>4428</v>
      </c>
      <c r="T101" s="682">
        <v>-1803</v>
      </c>
      <c r="U101" s="682">
        <v>2625</v>
      </c>
    </row>
    <row r="102" spans="2:21" x14ac:dyDescent="0.25">
      <c r="B102" s="661" t="s">
        <v>2611</v>
      </c>
      <c r="C102" s="652">
        <v>1.7052E-3</v>
      </c>
      <c r="D102" s="652">
        <v>1.7247E-3</v>
      </c>
      <c r="E102" s="653">
        <v>1393</v>
      </c>
      <c r="F102" s="653">
        <v>-39968</v>
      </c>
      <c r="G102" s="653">
        <v>-31880</v>
      </c>
      <c r="H102" s="680"/>
      <c r="I102" s="681">
        <v>34</v>
      </c>
      <c r="J102" s="681">
        <v>1584</v>
      </c>
      <c r="K102" s="681">
        <v>8494</v>
      </c>
      <c r="L102" s="653">
        <v>1134</v>
      </c>
      <c r="M102" s="653"/>
      <c r="N102" s="681">
        <v>413</v>
      </c>
      <c r="O102" s="681">
        <v>1530</v>
      </c>
      <c r="P102" s="681">
        <v>0</v>
      </c>
      <c r="Q102" s="653">
        <v>274</v>
      </c>
      <c r="R102" s="653"/>
      <c r="S102" s="681">
        <v>2358</v>
      </c>
      <c r="T102" s="682">
        <v>-559</v>
      </c>
      <c r="U102" s="682">
        <v>1799</v>
      </c>
    </row>
    <row r="103" spans="2:21" x14ac:dyDescent="0.25">
      <c r="B103" s="634" t="s">
        <v>2622</v>
      </c>
      <c r="C103" s="652">
        <v>4.4989000000000001E-3</v>
      </c>
      <c r="D103" s="652">
        <v>4.2408999999999997E-3</v>
      </c>
      <c r="E103" s="653">
        <v>3675.28125</v>
      </c>
      <c r="F103" s="653">
        <v>-98279</v>
      </c>
      <c r="G103" s="653">
        <v>-84111</v>
      </c>
      <c r="H103" s="680"/>
      <c r="I103" s="681">
        <v>90</v>
      </c>
      <c r="J103" s="681">
        <v>4179</v>
      </c>
      <c r="K103" s="681">
        <v>22409</v>
      </c>
      <c r="L103" s="653">
        <v>2424</v>
      </c>
      <c r="M103" s="653"/>
      <c r="N103" s="681">
        <v>1089</v>
      </c>
      <c r="O103" s="681">
        <v>4036</v>
      </c>
      <c r="P103" s="681">
        <v>0</v>
      </c>
      <c r="Q103" s="653">
        <v>4364</v>
      </c>
      <c r="R103" s="653"/>
      <c r="S103" s="681">
        <v>6222</v>
      </c>
      <c r="T103" s="682">
        <v>615</v>
      </c>
      <c r="U103" s="682">
        <v>6837</v>
      </c>
    </row>
    <row r="104" spans="2:21" s="683" customFormat="1" x14ac:dyDescent="0.25">
      <c r="B104" s="683" t="s">
        <v>2025</v>
      </c>
      <c r="E104" s="684">
        <f>SUM(E3:E102)</f>
        <v>816937</v>
      </c>
      <c r="F104" s="684">
        <f>SUM(F3:F102)</f>
        <v>-23173995</v>
      </c>
      <c r="G104" s="684">
        <f>SUM(G3:G102)</f>
        <v>-18696001</v>
      </c>
      <c r="H104" s="685"/>
      <c r="I104" s="684">
        <f>SUM(I3:I102)</f>
        <v>19995</v>
      </c>
      <c r="J104" s="684">
        <f>SUM(J3:J102)</f>
        <v>928994</v>
      </c>
      <c r="K104" s="684">
        <f>SUM(K3:K102)</f>
        <v>4981002</v>
      </c>
      <c r="L104" s="684">
        <f>SUM(L3:L102)</f>
        <v>823259</v>
      </c>
      <c r="M104" s="685"/>
      <c r="N104" s="684">
        <f>SUM(N3:N102)</f>
        <v>242003</v>
      </c>
      <c r="O104" s="684">
        <f>SUM(O3:O102)</f>
        <v>897004</v>
      </c>
      <c r="P104" s="684">
        <f>SUM(P3:P102)</f>
        <v>0</v>
      </c>
      <c r="Q104" s="684">
        <f>SUM(Q3:Q102)</f>
        <v>823263</v>
      </c>
      <c r="R104" s="685"/>
      <c r="S104" s="684">
        <f>SUM(S3:S102)</f>
        <v>1383004</v>
      </c>
      <c r="T104" s="684">
        <f>SUM(T3:T102)</f>
        <v>-6</v>
      </c>
      <c r="U104" s="684">
        <f>SUM(U3:U102)</f>
        <v>1382995</v>
      </c>
    </row>
    <row r="105" spans="2:21" x14ac:dyDescent="0.25">
      <c r="I105" s="686"/>
      <c r="J105" s="686"/>
      <c r="K105" s="686"/>
      <c r="L105" s="686"/>
      <c r="M105" s="686"/>
      <c r="N105" s="686"/>
      <c r="O105" s="686"/>
      <c r="P105" s="686"/>
      <c r="Q105" s="686"/>
      <c r="R105" s="686"/>
      <c r="S105" s="686"/>
      <c r="T105" s="686"/>
      <c r="U105" s="686"/>
    </row>
    <row r="106" spans="2:21" x14ac:dyDescent="0.25">
      <c r="I106" s="686"/>
      <c r="J106" s="686"/>
      <c r="K106" s="686"/>
      <c r="L106" s="686"/>
      <c r="M106" s="686"/>
      <c r="N106" s="686"/>
      <c r="O106" s="686"/>
      <c r="P106" s="686"/>
      <c r="Q106" s="686"/>
      <c r="R106" s="686"/>
      <c r="S106" s="686"/>
      <c r="T106" s="686"/>
      <c r="U106" s="686"/>
    </row>
  </sheetData>
  <customSheetViews>
    <customSheetView guid="{D2B860EA-92EC-4999-9A59-C624E1F8C7FB}" fitToPage="1" state="hidden">
      <pane xSplit="2" ySplit="2" topLeftCell="C76" activePane="bottomRight" state="frozen"/>
      <selection pane="bottomRight" activeCell="H100" sqref="H100"/>
      <pageMargins left="0.25" right="0.25" top="0.75" bottom="0.75" header="0.3" footer="0.3"/>
      <pageSetup paperSize="5" scale="63" fitToHeight="0" orientation="landscape" r:id="rId1"/>
      <headerFooter scaleWithDoc="0"/>
    </customSheetView>
    <customSheetView guid="{C1197650-3ED8-49E4-8E4C-0D1D4B503FC0}" fitToPage="1" state="hidden">
      <pane xSplit="2" ySplit="2" topLeftCell="C76" activePane="bottomRight" state="frozen"/>
      <selection pane="bottomRight" activeCell="H100" sqref="H100"/>
      <pageMargins left="0.25" right="0.25" top="0.75" bottom="0.75" header="0.3" footer="0.3"/>
      <pageSetup paperSize="5" scale="63" fitToHeight="0" orientation="landscape" r:id="rId2"/>
      <headerFooter scaleWithDoc="0"/>
    </customSheetView>
  </customSheetViews>
  <pageMargins left="0.25" right="0.25" top="0.75" bottom="0.75" header="0.3" footer="0.3"/>
  <pageSetup paperSize="5" scale="63" fitToHeight="0" orientation="landscape" r:id="rId3"/>
  <headerFooter scaleWithDoc="0"/>
  <legacyDrawingHF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F6C1-912B-4A78-A63D-C61324B0F2F4}">
  <dimension ref="A1:U109"/>
  <sheetViews>
    <sheetView workbookViewId="0"/>
  </sheetViews>
  <sheetFormatPr defaultRowHeight="12.75" x14ac:dyDescent="0.2"/>
  <cols>
    <col min="1" max="1" width="28.7109375" bestFit="1" customWidth="1"/>
    <col min="2" max="2" width="12.42578125" customWidth="1"/>
    <col min="3" max="3" width="13.42578125" customWidth="1"/>
    <col min="4" max="4" width="11.85546875" bestFit="1" customWidth="1"/>
    <col min="6" max="6" width="28.85546875" bestFit="1" customWidth="1"/>
    <col min="7" max="7" width="13" customWidth="1"/>
    <col min="8" max="8" width="12.140625" customWidth="1"/>
    <col min="9" max="9" width="26.28515625" customWidth="1"/>
    <col min="11" max="11" width="28.5703125" bestFit="1" customWidth="1"/>
    <col min="12" max="12" width="13" customWidth="1"/>
    <col min="13" max="13" width="8.7109375" bestFit="1" customWidth="1"/>
    <col min="14" max="14" width="19.5703125" customWidth="1"/>
    <col min="16" max="16" width="16.140625" bestFit="1" customWidth="1"/>
    <col min="17" max="17" width="20.7109375" customWidth="1"/>
    <col min="18" max="18" width="10.28515625" bestFit="1" customWidth="1"/>
    <col min="20" max="21" width="11.85546875" bestFit="1" customWidth="1"/>
  </cols>
  <sheetData>
    <row r="1" spans="1:21" ht="15" x14ac:dyDescent="0.25">
      <c r="A1" s="926" t="s">
        <v>4076</v>
      </c>
      <c r="B1" s="926"/>
      <c r="C1" s="820"/>
      <c r="D1" s="820"/>
      <c r="E1" s="820"/>
      <c r="F1" s="820"/>
      <c r="G1" s="820"/>
      <c r="H1" s="820"/>
      <c r="I1" s="820"/>
      <c r="J1" s="820"/>
      <c r="K1" s="820"/>
      <c r="L1" s="820"/>
      <c r="M1" s="820"/>
      <c r="N1" s="820"/>
      <c r="O1" s="820"/>
      <c r="P1" s="820"/>
      <c r="Q1" s="820"/>
      <c r="R1" s="820"/>
      <c r="S1" s="820"/>
      <c r="T1" s="820"/>
      <c r="U1" s="820"/>
    </row>
    <row r="2" spans="1:21" ht="15" x14ac:dyDescent="0.25">
      <c r="A2" s="926" t="s">
        <v>3966</v>
      </c>
      <c r="B2" s="926"/>
      <c r="C2" s="820"/>
      <c r="D2" s="820"/>
      <c r="E2" s="820"/>
      <c r="F2" s="820"/>
      <c r="G2" s="820"/>
      <c r="H2" s="820"/>
      <c r="I2" s="820"/>
      <c r="J2" s="820"/>
      <c r="K2" s="820"/>
      <c r="L2" s="820"/>
      <c r="M2" s="820"/>
      <c r="N2" s="820"/>
      <c r="O2" s="820"/>
      <c r="P2" s="820"/>
      <c r="Q2" s="820"/>
      <c r="R2" s="820"/>
      <c r="S2" s="820"/>
      <c r="T2" s="820"/>
      <c r="U2" s="820"/>
    </row>
    <row r="3" spans="1:21" ht="15" x14ac:dyDescent="0.25">
      <c r="A3" s="820"/>
      <c r="B3" s="820"/>
      <c r="C3" s="820"/>
      <c r="D3" s="820"/>
      <c r="E3" s="820"/>
      <c r="F3" s="820"/>
      <c r="G3" s="820"/>
      <c r="H3" s="820"/>
      <c r="I3" s="820"/>
      <c r="J3" s="820"/>
      <c r="K3" s="820"/>
      <c r="L3" s="820"/>
      <c r="M3" s="820"/>
      <c r="N3" s="820"/>
      <c r="O3" s="820"/>
      <c r="P3" s="820"/>
      <c r="Q3" s="820"/>
      <c r="R3" s="820"/>
      <c r="S3" s="820"/>
      <c r="T3" s="820"/>
      <c r="U3" s="820"/>
    </row>
    <row r="4" spans="1:21" ht="15" x14ac:dyDescent="0.25">
      <c r="F4" s="1257" t="s">
        <v>1144</v>
      </c>
      <c r="G4" s="1257"/>
      <c r="H4" s="1257"/>
      <c r="I4" s="1257"/>
      <c r="K4" s="1257" t="s">
        <v>1145</v>
      </c>
      <c r="L4" s="1257"/>
      <c r="M4" s="1257"/>
      <c r="N4" s="1257"/>
      <c r="P4" s="1257" t="s">
        <v>1146</v>
      </c>
      <c r="Q4" s="1257"/>
      <c r="R4" s="1257"/>
      <c r="S4" s="927" t="s">
        <v>4077</v>
      </c>
      <c r="T4" s="928"/>
      <c r="U4" s="928"/>
    </row>
    <row r="5" spans="1:21" ht="135" x14ac:dyDescent="0.25">
      <c r="A5" s="822" t="s">
        <v>4078</v>
      </c>
      <c r="B5" s="822" t="s">
        <v>2087</v>
      </c>
      <c r="C5" s="822" t="s">
        <v>2088</v>
      </c>
      <c r="D5" s="822" t="s">
        <v>4079</v>
      </c>
      <c r="E5" s="822"/>
      <c r="F5" s="822" t="s">
        <v>1150</v>
      </c>
      <c r="G5" s="822" t="s">
        <v>1151</v>
      </c>
      <c r="H5" s="822" t="s">
        <v>1152</v>
      </c>
      <c r="I5" s="822" t="s">
        <v>1153</v>
      </c>
      <c r="J5" s="822"/>
      <c r="K5" s="822" t="s">
        <v>1150</v>
      </c>
      <c r="L5" s="822" t="s">
        <v>4080</v>
      </c>
      <c r="M5" s="822" t="s">
        <v>1152</v>
      </c>
      <c r="N5" s="822" t="s">
        <v>1153</v>
      </c>
      <c r="O5" s="822"/>
      <c r="P5" s="822" t="s">
        <v>1154</v>
      </c>
      <c r="Q5" s="822" t="s">
        <v>1155</v>
      </c>
      <c r="R5" s="822" t="s">
        <v>1156</v>
      </c>
      <c r="S5" s="822"/>
      <c r="T5" s="822" t="s">
        <v>4081</v>
      </c>
      <c r="U5" s="822" t="s">
        <v>4082</v>
      </c>
    </row>
    <row r="6" spans="1:21" ht="15" x14ac:dyDescent="0.25">
      <c r="A6" s="826" t="s">
        <v>4083</v>
      </c>
      <c r="B6" s="918">
        <v>0</v>
      </c>
      <c r="C6" s="918">
        <v>0</v>
      </c>
      <c r="D6" s="918">
        <v>0</v>
      </c>
      <c r="E6" s="918"/>
      <c r="F6" s="918">
        <v>0</v>
      </c>
      <c r="G6" s="918">
        <v>0</v>
      </c>
      <c r="H6" s="918">
        <v>0</v>
      </c>
      <c r="I6" s="918">
        <v>0</v>
      </c>
      <c r="J6" s="918"/>
      <c r="K6" s="918">
        <v>0</v>
      </c>
      <c r="L6" s="918">
        <v>0</v>
      </c>
      <c r="M6" s="918">
        <v>0</v>
      </c>
      <c r="N6" s="918">
        <v>0</v>
      </c>
      <c r="O6" s="918"/>
      <c r="P6" s="918">
        <v>0</v>
      </c>
      <c r="Q6" s="918">
        <v>0</v>
      </c>
      <c r="R6" s="918">
        <v>0</v>
      </c>
      <c r="S6" s="918"/>
      <c r="T6" s="918">
        <v>0</v>
      </c>
      <c r="U6" s="918">
        <v>0</v>
      </c>
    </row>
    <row r="7" spans="1:21" ht="15" x14ac:dyDescent="0.25">
      <c r="A7" s="826" t="s">
        <v>2513</v>
      </c>
      <c r="B7" s="919">
        <v>1.5755000000000002E-2</v>
      </c>
      <c r="C7" s="919">
        <v>1.55155E-2</v>
      </c>
      <c r="D7" s="920">
        <v>-260950</v>
      </c>
      <c r="E7" s="814"/>
      <c r="F7" s="920">
        <v>2300</v>
      </c>
      <c r="G7" s="920">
        <v>41593</v>
      </c>
      <c r="H7" s="920">
        <v>12273</v>
      </c>
      <c r="I7" s="920">
        <v>2856</v>
      </c>
      <c r="J7" s="814"/>
      <c r="K7" s="920">
        <v>11911</v>
      </c>
      <c r="L7" s="920"/>
      <c r="M7" s="920">
        <v>0</v>
      </c>
      <c r="N7" s="920">
        <v>3862</v>
      </c>
      <c r="O7" s="814"/>
      <c r="P7" s="920">
        <v>49187</v>
      </c>
      <c r="Q7" s="920">
        <v>28909</v>
      </c>
      <c r="R7" s="920">
        <v>78096</v>
      </c>
      <c r="S7" s="920"/>
      <c r="T7" s="920">
        <v>-205745</v>
      </c>
      <c r="U7" s="920">
        <v>-307506</v>
      </c>
    </row>
    <row r="8" spans="1:21" ht="15" x14ac:dyDescent="0.25">
      <c r="A8" s="826" t="s">
        <v>2514</v>
      </c>
      <c r="B8" s="919">
        <v>2.8513000000000002E-3</v>
      </c>
      <c r="C8" s="919">
        <v>2.7699999999999999E-3</v>
      </c>
      <c r="D8" s="25">
        <v>-47226</v>
      </c>
      <c r="E8" s="814"/>
      <c r="F8" s="25">
        <v>416</v>
      </c>
      <c r="G8" s="25">
        <v>7527</v>
      </c>
      <c r="H8" s="25">
        <v>2221</v>
      </c>
      <c r="I8" s="25">
        <v>607</v>
      </c>
      <c r="J8" s="814"/>
      <c r="K8" s="25">
        <v>2156</v>
      </c>
      <c r="L8" s="25"/>
      <c r="M8" s="25">
        <v>0</v>
      </c>
      <c r="N8" s="25">
        <v>1172</v>
      </c>
      <c r="O8" s="814"/>
      <c r="P8" s="25">
        <v>8902</v>
      </c>
      <c r="Q8" s="25">
        <v>123</v>
      </c>
      <c r="R8" s="25">
        <v>9025</v>
      </c>
      <c r="S8" s="25"/>
      <c r="T8" s="25">
        <v>-37235</v>
      </c>
      <c r="U8" s="25">
        <v>-55652</v>
      </c>
    </row>
    <row r="9" spans="1:21" ht="15" x14ac:dyDescent="0.25">
      <c r="A9" s="826" t="s">
        <v>2515</v>
      </c>
      <c r="B9" s="919">
        <v>1.5004E-3</v>
      </c>
      <c r="C9" s="919">
        <v>1.4677E-3</v>
      </c>
      <c r="D9" s="25">
        <v>-24851</v>
      </c>
      <c r="E9" s="814"/>
      <c r="F9" s="25">
        <v>219</v>
      </c>
      <c r="G9" s="25">
        <v>3961</v>
      </c>
      <c r="H9" s="25">
        <v>1169</v>
      </c>
      <c r="I9" s="25">
        <v>216</v>
      </c>
      <c r="J9" s="814"/>
      <c r="K9" s="25">
        <v>1134</v>
      </c>
      <c r="L9" s="25"/>
      <c r="M9" s="25">
        <v>0</v>
      </c>
      <c r="N9" s="25">
        <v>471</v>
      </c>
      <c r="O9" s="814"/>
      <c r="P9" s="25">
        <v>4684</v>
      </c>
      <c r="Q9" s="25">
        <v>158</v>
      </c>
      <c r="R9" s="25">
        <v>4842</v>
      </c>
      <c r="S9" s="25"/>
      <c r="T9" s="25">
        <v>-19594</v>
      </c>
      <c r="U9" s="25">
        <v>-29285</v>
      </c>
    </row>
    <row r="10" spans="1:21" ht="15" x14ac:dyDescent="0.25">
      <c r="A10" s="826" t="s">
        <v>2516</v>
      </c>
      <c r="B10" s="919">
        <v>1.7306000000000001E-3</v>
      </c>
      <c r="C10" s="919">
        <v>1.6808999999999999E-3</v>
      </c>
      <c r="D10" s="25">
        <v>-28664</v>
      </c>
      <c r="E10" s="814"/>
      <c r="F10" s="25">
        <v>253</v>
      </c>
      <c r="G10" s="25">
        <v>4569</v>
      </c>
      <c r="H10" s="25">
        <v>1348</v>
      </c>
      <c r="I10" s="25">
        <v>377</v>
      </c>
      <c r="J10" s="814"/>
      <c r="K10" s="25">
        <v>1308</v>
      </c>
      <c r="L10" s="25"/>
      <c r="M10" s="25">
        <v>0</v>
      </c>
      <c r="N10" s="25">
        <v>717</v>
      </c>
      <c r="O10" s="814"/>
      <c r="P10" s="25">
        <v>5403</v>
      </c>
      <c r="Q10" s="25">
        <v>238</v>
      </c>
      <c r="R10" s="25">
        <v>5641</v>
      </c>
      <c r="S10" s="25"/>
      <c r="T10" s="25">
        <v>-22600</v>
      </c>
      <c r="U10" s="25">
        <v>-33778</v>
      </c>
    </row>
    <row r="11" spans="1:21" ht="15" x14ac:dyDescent="0.25">
      <c r="A11" s="826" t="s">
        <v>2517</v>
      </c>
      <c r="B11" s="919">
        <v>3.4716E-3</v>
      </c>
      <c r="C11" s="919">
        <v>3.4340999999999998E-3</v>
      </c>
      <c r="D11" s="25">
        <v>-57500</v>
      </c>
      <c r="E11" s="814"/>
      <c r="F11" s="25">
        <v>507</v>
      </c>
      <c r="G11" s="25">
        <v>9165</v>
      </c>
      <c r="H11" s="25">
        <v>2704</v>
      </c>
      <c r="I11" s="25">
        <v>963</v>
      </c>
      <c r="J11" s="814"/>
      <c r="K11" s="25">
        <v>2625</v>
      </c>
      <c r="L11" s="25"/>
      <c r="M11" s="25">
        <v>0</v>
      </c>
      <c r="N11" s="25">
        <v>666</v>
      </c>
      <c r="O11" s="814"/>
      <c r="P11" s="25">
        <v>10838</v>
      </c>
      <c r="Q11" s="25">
        <v>135</v>
      </c>
      <c r="R11" s="25">
        <v>10973</v>
      </c>
      <c r="S11" s="25"/>
      <c r="T11" s="25">
        <v>-45336</v>
      </c>
      <c r="U11" s="25">
        <v>-67759</v>
      </c>
    </row>
    <row r="12" spans="1:21" ht="15" x14ac:dyDescent="0.25">
      <c r="A12" s="826" t="s">
        <v>2518</v>
      </c>
      <c r="B12" s="919">
        <v>4.1438999999999998E-3</v>
      </c>
      <c r="C12" s="919">
        <v>2.928E-3</v>
      </c>
      <c r="D12" s="25">
        <v>-68635</v>
      </c>
      <c r="E12" s="814"/>
      <c r="F12" s="25">
        <v>605</v>
      </c>
      <c r="G12" s="25">
        <v>10940</v>
      </c>
      <c r="H12" s="25">
        <v>3228</v>
      </c>
      <c r="I12" s="25">
        <v>0</v>
      </c>
      <c r="J12" s="814"/>
      <c r="K12" s="25">
        <v>3133</v>
      </c>
      <c r="L12" s="25"/>
      <c r="M12" s="25">
        <v>0</v>
      </c>
      <c r="N12" s="25">
        <v>18835</v>
      </c>
      <c r="O12" s="814"/>
      <c r="P12" s="25">
        <v>12937</v>
      </c>
      <c r="Q12" s="25">
        <v>-10625</v>
      </c>
      <c r="R12" s="25">
        <v>2312</v>
      </c>
      <c r="S12" s="25"/>
      <c r="T12" s="25">
        <v>-54115</v>
      </c>
      <c r="U12" s="25">
        <v>-80881</v>
      </c>
    </row>
    <row r="13" spans="1:21" ht="15" x14ac:dyDescent="0.25">
      <c r="A13" s="826" t="s">
        <v>2519</v>
      </c>
      <c r="B13" s="919">
        <v>4.5899000000000001E-3</v>
      </c>
      <c r="C13" s="919">
        <v>4.5522000000000002E-3</v>
      </c>
      <c r="D13" s="25">
        <v>-76023</v>
      </c>
      <c r="E13" s="814"/>
      <c r="F13" s="25">
        <v>670</v>
      </c>
      <c r="G13" s="25">
        <v>12117</v>
      </c>
      <c r="H13" s="25">
        <v>3576</v>
      </c>
      <c r="I13" s="25">
        <v>0</v>
      </c>
      <c r="J13" s="814"/>
      <c r="K13" s="25">
        <v>3470</v>
      </c>
      <c r="L13" s="25"/>
      <c r="M13" s="25">
        <v>0</v>
      </c>
      <c r="N13" s="25">
        <v>1642</v>
      </c>
      <c r="O13" s="814"/>
      <c r="P13" s="25">
        <v>14330</v>
      </c>
      <c r="Q13" s="25">
        <v>-2144</v>
      </c>
      <c r="R13" s="25">
        <v>12186</v>
      </c>
      <c r="S13" s="25"/>
      <c r="T13" s="25">
        <v>-59940</v>
      </c>
      <c r="U13" s="25">
        <v>-89586</v>
      </c>
    </row>
    <row r="14" spans="1:21" ht="15" x14ac:dyDescent="0.25">
      <c r="A14" s="826" t="s">
        <v>2520</v>
      </c>
      <c r="B14" s="919">
        <v>1.1714E-3</v>
      </c>
      <c r="C14" s="919">
        <v>1.2287999999999999E-3</v>
      </c>
      <c r="D14" s="25">
        <v>-19402</v>
      </c>
      <c r="E14" s="814"/>
      <c r="F14" s="25">
        <v>171</v>
      </c>
      <c r="G14" s="25">
        <v>3092</v>
      </c>
      <c r="H14" s="25">
        <v>913</v>
      </c>
      <c r="I14" s="25">
        <v>848</v>
      </c>
      <c r="J14" s="814"/>
      <c r="K14" s="25">
        <v>886</v>
      </c>
      <c r="L14" s="25"/>
      <c r="M14" s="25">
        <v>0</v>
      </c>
      <c r="N14" s="25">
        <v>293</v>
      </c>
      <c r="O14" s="814"/>
      <c r="P14" s="25">
        <v>3657</v>
      </c>
      <c r="Q14" s="25">
        <v>221</v>
      </c>
      <c r="R14" s="25">
        <v>3878</v>
      </c>
      <c r="S14" s="25"/>
      <c r="T14" s="25">
        <v>-15297</v>
      </c>
      <c r="U14" s="25">
        <v>-22863</v>
      </c>
    </row>
    <row r="15" spans="1:21" ht="15" x14ac:dyDescent="0.25">
      <c r="A15" s="826" t="s">
        <v>2521</v>
      </c>
      <c r="B15" s="919">
        <v>2.4632E-3</v>
      </c>
      <c r="C15" s="919">
        <v>2.5241999999999999E-3</v>
      </c>
      <c r="D15" s="25">
        <v>-40798</v>
      </c>
      <c r="E15" s="814"/>
      <c r="F15" s="25">
        <v>360</v>
      </c>
      <c r="G15" s="25">
        <v>6503</v>
      </c>
      <c r="H15" s="25">
        <v>1919</v>
      </c>
      <c r="I15" s="25">
        <v>1067</v>
      </c>
      <c r="J15" s="814"/>
      <c r="K15" s="25">
        <v>1862</v>
      </c>
      <c r="L15" s="25"/>
      <c r="M15" s="25">
        <v>0</v>
      </c>
      <c r="N15" s="25">
        <v>51</v>
      </c>
      <c r="O15" s="814"/>
      <c r="P15" s="25">
        <v>7690</v>
      </c>
      <c r="Q15" s="25">
        <v>889</v>
      </c>
      <c r="R15" s="25">
        <v>8579</v>
      </c>
      <c r="S15" s="25"/>
      <c r="T15" s="25">
        <v>-32167</v>
      </c>
      <c r="U15" s="25">
        <v>-48077</v>
      </c>
    </row>
    <row r="16" spans="1:21" ht="15" x14ac:dyDescent="0.25">
      <c r="A16" s="826" t="s">
        <v>2522</v>
      </c>
      <c r="B16" s="919">
        <v>2.5120699999999999E-2</v>
      </c>
      <c r="C16" s="919">
        <v>2.1895999999999999E-2</v>
      </c>
      <c r="D16" s="25">
        <v>-416074</v>
      </c>
      <c r="E16" s="814"/>
      <c r="F16" s="25">
        <v>3668</v>
      </c>
      <c r="G16" s="25">
        <v>66319</v>
      </c>
      <c r="H16" s="25">
        <v>19569</v>
      </c>
      <c r="I16" s="25">
        <v>4273</v>
      </c>
      <c r="J16" s="814"/>
      <c r="K16" s="25">
        <v>18991</v>
      </c>
      <c r="L16" s="25"/>
      <c r="M16" s="25">
        <v>0</v>
      </c>
      <c r="N16" s="25">
        <v>66167</v>
      </c>
      <c r="O16" s="814"/>
      <c r="P16" s="25">
        <v>78427</v>
      </c>
      <c r="Q16" s="25">
        <v>-31370</v>
      </c>
      <c r="R16" s="25">
        <v>47057</v>
      </c>
      <c r="S16" s="25"/>
      <c r="T16" s="25">
        <v>-328051</v>
      </c>
      <c r="U16" s="25">
        <v>-490306</v>
      </c>
    </row>
    <row r="17" spans="1:21" ht="15" x14ac:dyDescent="0.25">
      <c r="A17" s="826" t="s">
        <v>2523</v>
      </c>
      <c r="B17" s="919">
        <v>3.1788799999999999E-2</v>
      </c>
      <c r="C17" s="919">
        <v>3.51478E-2</v>
      </c>
      <c r="D17" s="25">
        <v>-526518</v>
      </c>
      <c r="E17" s="814"/>
      <c r="F17" s="25">
        <v>4641</v>
      </c>
      <c r="G17" s="25">
        <v>83922</v>
      </c>
      <c r="H17" s="25">
        <v>24763</v>
      </c>
      <c r="I17" s="25">
        <v>48455</v>
      </c>
      <c r="J17" s="814"/>
      <c r="K17" s="25">
        <v>24032</v>
      </c>
      <c r="L17" s="25"/>
      <c r="M17" s="25">
        <v>0</v>
      </c>
      <c r="N17" s="25">
        <v>3942</v>
      </c>
      <c r="O17" s="814"/>
      <c r="P17" s="25">
        <v>99245</v>
      </c>
      <c r="Q17" s="25">
        <v>15604</v>
      </c>
      <c r="R17" s="25">
        <v>114849</v>
      </c>
      <c r="S17" s="25"/>
      <c r="T17" s="25">
        <v>-415130</v>
      </c>
      <c r="U17" s="25">
        <v>-620454</v>
      </c>
    </row>
    <row r="18" spans="1:21" ht="15" x14ac:dyDescent="0.25">
      <c r="A18" s="826" t="s">
        <v>2524</v>
      </c>
      <c r="B18" s="919">
        <v>1.3018500000000001E-2</v>
      </c>
      <c r="C18" s="919">
        <v>1.1046800000000001E-2</v>
      </c>
      <c r="D18" s="25">
        <v>-215625</v>
      </c>
      <c r="E18" s="814"/>
      <c r="F18" s="25">
        <v>1901</v>
      </c>
      <c r="G18" s="25">
        <v>34369</v>
      </c>
      <c r="H18" s="25">
        <v>10141</v>
      </c>
      <c r="I18" s="25">
        <v>0</v>
      </c>
      <c r="J18" s="814"/>
      <c r="K18" s="25">
        <v>9842</v>
      </c>
      <c r="L18" s="25"/>
      <c r="M18" s="25">
        <v>0</v>
      </c>
      <c r="N18" s="25">
        <v>37367</v>
      </c>
      <c r="O18" s="814"/>
      <c r="P18" s="25">
        <v>40644</v>
      </c>
      <c r="Q18" s="25">
        <v>-34637</v>
      </c>
      <c r="R18" s="25">
        <v>6007</v>
      </c>
      <c r="S18" s="25"/>
      <c r="T18" s="25">
        <v>-170009</v>
      </c>
      <c r="U18" s="25">
        <v>-254095</v>
      </c>
    </row>
    <row r="19" spans="1:21" ht="15" x14ac:dyDescent="0.25">
      <c r="A19" s="826" t="s">
        <v>2525</v>
      </c>
      <c r="B19" s="919">
        <v>2.2804499999999998E-2</v>
      </c>
      <c r="C19" s="919">
        <v>2.3873700000000001E-2</v>
      </c>
      <c r="D19" s="25">
        <v>-377711</v>
      </c>
      <c r="E19" s="814"/>
      <c r="F19" s="25">
        <v>3329</v>
      </c>
      <c r="G19" s="25">
        <v>60204</v>
      </c>
      <c r="H19" s="25">
        <v>17765</v>
      </c>
      <c r="I19" s="25">
        <v>16321</v>
      </c>
      <c r="J19" s="814"/>
      <c r="K19" s="25">
        <v>17240</v>
      </c>
      <c r="L19" s="25"/>
      <c r="M19" s="25">
        <v>0</v>
      </c>
      <c r="N19" s="25">
        <v>3500</v>
      </c>
      <c r="O19" s="814"/>
      <c r="P19" s="25">
        <v>71196</v>
      </c>
      <c r="Q19" s="25">
        <v>-2609</v>
      </c>
      <c r="R19" s="25">
        <v>68587</v>
      </c>
      <c r="S19" s="25"/>
      <c r="T19" s="25">
        <v>-297804</v>
      </c>
      <c r="U19" s="25">
        <v>-445098</v>
      </c>
    </row>
    <row r="20" spans="1:21" ht="15" x14ac:dyDescent="0.25">
      <c r="A20" s="826" t="s">
        <v>2526</v>
      </c>
      <c r="B20" s="919">
        <v>6.8684000000000002E-3</v>
      </c>
      <c r="C20" s="919">
        <v>6.7060000000000002E-3</v>
      </c>
      <c r="D20" s="25">
        <v>-113761</v>
      </c>
      <c r="E20" s="814"/>
      <c r="F20" s="25">
        <v>1003</v>
      </c>
      <c r="G20" s="25">
        <v>18133</v>
      </c>
      <c r="H20" s="25">
        <v>5350</v>
      </c>
      <c r="I20" s="25">
        <v>6826</v>
      </c>
      <c r="J20" s="814"/>
      <c r="K20" s="25">
        <v>5193</v>
      </c>
      <c r="L20" s="25"/>
      <c r="M20" s="25">
        <v>0</v>
      </c>
      <c r="N20" s="25">
        <v>3310</v>
      </c>
      <c r="O20" s="814"/>
      <c r="P20" s="25">
        <v>21443</v>
      </c>
      <c r="Q20" s="25">
        <v>3676</v>
      </c>
      <c r="R20" s="25">
        <v>25119</v>
      </c>
      <c r="S20" s="25"/>
      <c r="T20" s="25">
        <v>-89694</v>
      </c>
      <c r="U20" s="25">
        <v>-134057</v>
      </c>
    </row>
    <row r="21" spans="1:21" ht="15" x14ac:dyDescent="0.25">
      <c r="A21" s="826" t="s">
        <v>2527</v>
      </c>
      <c r="B21" s="919">
        <v>1.1213E-3</v>
      </c>
      <c r="C21" s="919">
        <v>1.0656999999999999E-3</v>
      </c>
      <c r="D21" s="25">
        <v>-18572</v>
      </c>
      <c r="E21" s="814"/>
      <c r="F21" s="25">
        <v>164</v>
      </c>
      <c r="G21" s="25">
        <v>2960</v>
      </c>
      <c r="H21" s="25">
        <v>873</v>
      </c>
      <c r="I21" s="25">
        <v>292</v>
      </c>
      <c r="J21" s="814"/>
      <c r="K21" s="25">
        <v>848</v>
      </c>
      <c r="L21" s="25"/>
      <c r="M21" s="25">
        <v>0</v>
      </c>
      <c r="N21" s="25">
        <v>1202</v>
      </c>
      <c r="O21" s="814"/>
      <c r="P21" s="25">
        <v>3501</v>
      </c>
      <c r="Q21" s="25">
        <v>-1103</v>
      </c>
      <c r="R21" s="25">
        <v>2398</v>
      </c>
      <c r="S21" s="25"/>
      <c r="T21" s="25">
        <v>-14643</v>
      </c>
      <c r="U21" s="25">
        <v>-21886</v>
      </c>
    </row>
    <row r="22" spans="1:21" ht="15" x14ac:dyDescent="0.25">
      <c r="A22" s="826" t="s">
        <v>2528</v>
      </c>
      <c r="B22" s="919">
        <v>1.0663000000000001E-2</v>
      </c>
      <c r="C22" s="919">
        <v>9.3938000000000008E-3</v>
      </c>
      <c r="D22" s="25">
        <v>-176611</v>
      </c>
      <c r="E22" s="814"/>
      <c r="F22" s="25">
        <v>1557</v>
      </c>
      <c r="G22" s="25">
        <v>28150</v>
      </c>
      <c r="H22" s="25">
        <v>8306</v>
      </c>
      <c r="I22" s="25">
        <v>31108</v>
      </c>
      <c r="J22" s="814"/>
      <c r="K22" s="25">
        <v>8061</v>
      </c>
      <c r="L22" s="25"/>
      <c r="M22" s="25">
        <v>0</v>
      </c>
      <c r="N22" s="25">
        <v>24791</v>
      </c>
      <c r="O22" s="814"/>
      <c r="P22" s="25">
        <v>33290</v>
      </c>
      <c r="Q22" s="25">
        <v>4570</v>
      </c>
      <c r="R22" s="25">
        <v>37860</v>
      </c>
      <c r="S22" s="25"/>
      <c r="T22" s="25">
        <v>-139248</v>
      </c>
      <c r="U22" s="25">
        <v>-208120</v>
      </c>
    </row>
    <row r="23" spans="1:21" ht="15" x14ac:dyDescent="0.25">
      <c r="A23" s="826" t="s">
        <v>2529</v>
      </c>
      <c r="B23" s="919">
        <v>1.2042000000000001E-3</v>
      </c>
      <c r="C23" s="919">
        <v>1.6682999999999999E-3</v>
      </c>
      <c r="D23" s="25">
        <v>-19945</v>
      </c>
      <c r="E23" s="814"/>
      <c r="F23" s="25">
        <v>176</v>
      </c>
      <c r="G23" s="25">
        <v>3179</v>
      </c>
      <c r="H23" s="25">
        <v>938</v>
      </c>
      <c r="I23" s="25">
        <v>7218</v>
      </c>
      <c r="J23" s="814"/>
      <c r="K23" s="25">
        <v>910</v>
      </c>
      <c r="L23" s="25"/>
      <c r="M23" s="25">
        <v>0</v>
      </c>
      <c r="N23" s="25">
        <v>125</v>
      </c>
      <c r="O23" s="814"/>
      <c r="P23" s="25">
        <v>3760</v>
      </c>
      <c r="Q23" s="25">
        <v>3547</v>
      </c>
      <c r="R23" s="25">
        <v>7307</v>
      </c>
      <c r="S23" s="25"/>
      <c r="T23" s="25">
        <v>-15726</v>
      </c>
      <c r="U23" s="25">
        <v>-23504</v>
      </c>
    </row>
    <row r="24" spans="1:21" ht="15" x14ac:dyDescent="0.25">
      <c r="A24" s="826" t="s">
        <v>2530</v>
      </c>
      <c r="B24" s="919">
        <v>1.6183199999999998E-2</v>
      </c>
      <c r="C24" s="919">
        <v>1.6446300000000001E-2</v>
      </c>
      <c r="D24" s="25">
        <v>-268042</v>
      </c>
      <c r="E24" s="814"/>
      <c r="F24" s="25">
        <v>2363</v>
      </c>
      <c r="G24" s="25">
        <v>42724</v>
      </c>
      <c r="H24" s="25">
        <v>12607</v>
      </c>
      <c r="I24" s="25">
        <v>7091</v>
      </c>
      <c r="J24" s="814"/>
      <c r="K24" s="25">
        <v>12234</v>
      </c>
      <c r="L24" s="25"/>
      <c r="M24" s="25">
        <v>0</v>
      </c>
      <c r="N24" s="25">
        <v>754</v>
      </c>
      <c r="O24" s="814"/>
      <c r="P24" s="25">
        <v>50524</v>
      </c>
      <c r="Q24" s="25">
        <v>2530</v>
      </c>
      <c r="R24" s="25">
        <v>53054</v>
      </c>
      <c r="S24" s="25"/>
      <c r="T24" s="25">
        <v>-211336</v>
      </c>
      <c r="U24" s="25">
        <v>-315864</v>
      </c>
    </row>
    <row r="25" spans="1:21" ht="15" x14ac:dyDescent="0.25">
      <c r="A25" s="826" t="s">
        <v>2531</v>
      </c>
      <c r="B25" s="919">
        <v>8.7805000000000001E-3</v>
      </c>
      <c r="C25" s="919">
        <v>8.7611000000000008E-3</v>
      </c>
      <c r="D25" s="25">
        <v>-145431</v>
      </c>
      <c r="E25" s="814"/>
      <c r="F25" s="25">
        <v>1282</v>
      </c>
      <c r="G25" s="25">
        <v>23181</v>
      </c>
      <c r="H25" s="25">
        <v>6840</v>
      </c>
      <c r="I25" s="25">
        <v>561</v>
      </c>
      <c r="J25" s="814"/>
      <c r="K25" s="25">
        <v>6638</v>
      </c>
      <c r="L25" s="25"/>
      <c r="M25" s="25">
        <v>0</v>
      </c>
      <c r="N25" s="25">
        <v>4747</v>
      </c>
      <c r="O25" s="814"/>
      <c r="P25" s="25">
        <v>27413</v>
      </c>
      <c r="Q25" s="25">
        <v>-3269</v>
      </c>
      <c r="R25" s="25">
        <v>24144</v>
      </c>
      <c r="S25" s="25"/>
      <c r="T25" s="25">
        <v>-114665</v>
      </c>
      <c r="U25" s="25">
        <v>-171378</v>
      </c>
    </row>
    <row r="26" spans="1:21" ht="15" x14ac:dyDescent="0.25">
      <c r="A26" s="826" t="s">
        <v>2532</v>
      </c>
      <c r="B26" s="919">
        <v>4.0013999999999996E-3</v>
      </c>
      <c r="C26" s="919">
        <v>3.6286999999999999E-3</v>
      </c>
      <c r="D26" s="25">
        <v>-66275</v>
      </c>
      <c r="E26" s="814"/>
      <c r="F26" s="25">
        <v>584</v>
      </c>
      <c r="G26" s="25">
        <v>10564</v>
      </c>
      <c r="H26" s="25">
        <v>3117</v>
      </c>
      <c r="I26" s="25">
        <v>1525</v>
      </c>
      <c r="J26" s="814"/>
      <c r="K26" s="25">
        <v>3025</v>
      </c>
      <c r="L26" s="25"/>
      <c r="M26" s="25">
        <v>0</v>
      </c>
      <c r="N26" s="25">
        <v>5449</v>
      </c>
      <c r="O26" s="814"/>
      <c r="P26" s="25">
        <v>12492</v>
      </c>
      <c r="Q26" s="25">
        <v>-1684</v>
      </c>
      <c r="R26" s="25">
        <v>10808</v>
      </c>
      <c r="S26" s="25"/>
      <c r="T26" s="25">
        <v>-52254</v>
      </c>
      <c r="U26" s="25">
        <v>-78099</v>
      </c>
    </row>
    <row r="27" spans="1:21" ht="15" x14ac:dyDescent="0.25">
      <c r="A27" s="826" t="s">
        <v>2533</v>
      </c>
      <c r="B27" s="919">
        <v>1.5900000000000001E-3</v>
      </c>
      <c r="C27" s="919">
        <v>1.5244E-3</v>
      </c>
      <c r="D27" s="25">
        <v>-26335</v>
      </c>
      <c r="E27" s="814"/>
      <c r="F27" s="25">
        <v>232</v>
      </c>
      <c r="G27" s="25">
        <v>4198</v>
      </c>
      <c r="H27" s="25">
        <v>1239</v>
      </c>
      <c r="I27" s="25">
        <v>466</v>
      </c>
      <c r="J27" s="814"/>
      <c r="K27" s="25">
        <v>1202</v>
      </c>
      <c r="L27" s="25"/>
      <c r="M27" s="25">
        <v>0</v>
      </c>
      <c r="N27" s="25">
        <v>947</v>
      </c>
      <c r="O27" s="814"/>
      <c r="P27" s="25">
        <v>4964</v>
      </c>
      <c r="Q27" s="25">
        <v>223</v>
      </c>
      <c r="R27" s="25">
        <v>5187</v>
      </c>
      <c r="S27" s="25"/>
      <c r="T27" s="25">
        <v>-20764</v>
      </c>
      <c r="U27" s="25">
        <v>-31034</v>
      </c>
    </row>
    <row r="28" spans="1:21" ht="15" x14ac:dyDescent="0.25">
      <c r="A28" s="826" t="s">
        <v>2534</v>
      </c>
      <c r="B28" s="919">
        <v>1.6616000000000001E-3</v>
      </c>
      <c r="C28" s="919">
        <v>1.5047999999999999E-3</v>
      </c>
      <c r="D28" s="25">
        <v>-27521</v>
      </c>
      <c r="E28" s="814"/>
      <c r="F28" s="25">
        <v>243</v>
      </c>
      <c r="G28" s="25">
        <v>4387</v>
      </c>
      <c r="H28" s="25">
        <v>1294</v>
      </c>
      <c r="I28" s="25">
        <v>264</v>
      </c>
      <c r="J28" s="814"/>
      <c r="K28" s="25">
        <v>1256</v>
      </c>
      <c r="L28" s="25"/>
      <c r="M28" s="25">
        <v>0</v>
      </c>
      <c r="N28" s="25">
        <v>2263</v>
      </c>
      <c r="O28" s="814"/>
      <c r="P28" s="25">
        <v>5188</v>
      </c>
      <c r="Q28" s="25">
        <v>-312</v>
      </c>
      <c r="R28" s="25">
        <v>4876</v>
      </c>
      <c r="S28" s="25"/>
      <c r="T28" s="25">
        <v>-21699</v>
      </c>
      <c r="U28" s="25">
        <v>-32431</v>
      </c>
    </row>
    <row r="29" spans="1:21" ht="15" x14ac:dyDescent="0.25">
      <c r="A29" s="826" t="s">
        <v>2535</v>
      </c>
      <c r="B29" s="919">
        <v>8.0599000000000001E-3</v>
      </c>
      <c r="C29" s="919">
        <v>7.0412000000000001E-3</v>
      </c>
      <c r="D29" s="25">
        <v>-133496</v>
      </c>
      <c r="E29" s="814"/>
      <c r="F29" s="25">
        <v>1177</v>
      </c>
      <c r="G29" s="25">
        <v>21278</v>
      </c>
      <c r="H29" s="25">
        <v>6279</v>
      </c>
      <c r="I29" s="25">
        <v>309</v>
      </c>
      <c r="J29" s="814"/>
      <c r="K29" s="25">
        <v>6093</v>
      </c>
      <c r="L29" s="25"/>
      <c r="M29" s="25">
        <v>0</v>
      </c>
      <c r="N29" s="25">
        <v>18258</v>
      </c>
      <c r="O29" s="814"/>
      <c r="P29" s="25">
        <v>25163</v>
      </c>
      <c r="Q29" s="25">
        <v>-10508</v>
      </c>
      <c r="R29" s="25">
        <v>14655</v>
      </c>
      <c r="S29" s="25"/>
      <c r="T29" s="25">
        <v>-105254</v>
      </c>
      <c r="U29" s="25">
        <v>-157313</v>
      </c>
    </row>
    <row r="30" spans="1:21" ht="15" x14ac:dyDescent="0.25">
      <c r="A30" s="826" t="s">
        <v>2536</v>
      </c>
      <c r="B30" s="919">
        <v>4.4640000000000001E-3</v>
      </c>
      <c r="C30" s="919">
        <v>4.2263999999999999E-3</v>
      </c>
      <c r="D30" s="25">
        <v>-73937</v>
      </c>
      <c r="E30" s="814"/>
      <c r="F30" s="25">
        <v>652</v>
      </c>
      <c r="G30" s="25">
        <v>11785</v>
      </c>
      <c r="H30" s="25">
        <v>3477</v>
      </c>
      <c r="I30" s="25">
        <v>932</v>
      </c>
      <c r="J30" s="814"/>
      <c r="K30" s="25">
        <v>3375</v>
      </c>
      <c r="L30" s="25"/>
      <c r="M30" s="25">
        <v>0</v>
      </c>
      <c r="N30" s="25">
        <v>3918</v>
      </c>
      <c r="O30" s="814"/>
      <c r="P30" s="25">
        <v>13937</v>
      </c>
      <c r="Q30" s="25">
        <v>409</v>
      </c>
      <c r="R30" s="25">
        <v>14346</v>
      </c>
      <c r="S30" s="25"/>
      <c r="T30" s="25">
        <v>-58295</v>
      </c>
      <c r="U30" s="25">
        <v>-87128</v>
      </c>
    </row>
    <row r="31" spans="1:21" ht="15" x14ac:dyDescent="0.25">
      <c r="A31" s="826" t="s">
        <v>2537</v>
      </c>
      <c r="B31" s="919">
        <v>8.7150000000000005E-3</v>
      </c>
      <c r="C31" s="919">
        <v>1.1783800000000001E-2</v>
      </c>
      <c r="D31" s="25">
        <v>-144347</v>
      </c>
      <c r="E31" s="814"/>
      <c r="F31" s="25">
        <v>1272</v>
      </c>
      <c r="G31" s="25">
        <v>23008</v>
      </c>
      <c r="H31" s="25">
        <v>6789</v>
      </c>
      <c r="I31" s="25">
        <v>47280</v>
      </c>
      <c r="J31" s="814"/>
      <c r="K31" s="25">
        <v>6589</v>
      </c>
      <c r="L31" s="25"/>
      <c r="M31" s="25">
        <v>0</v>
      </c>
      <c r="N31" s="25">
        <v>2772</v>
      </c>
      <c r="O31" s="814"/>
      <c r="P31" s="25">
        <v>27208</v>
      </c>
      <c r="Q31" s="25">
        <v>17599</v>
      </c>
      <c r="R31" s="25">
        <v>44807</v>
      </c>
      <c r="S31" s="25"/>
      <c r="T31" s="25">
        <v>-113809</v>
      </c>
      <c r="U31" s="25">
        <v>-170099</v>
      </c>
    </row>
    <row r="32" spans="1:21" ht="15" x14ac:dyDescent="0.25">
      <c r="A32" s="826" t="s">
        <v>2538</v>
      </c>
      <c r="B32" s="919">
        <v>2.9560099999999999E-2</v>
      </c>
      <c r="C32" s="919">
        <v>3.2709700000000001E-2</v>
      </c>
      <c r="D32" s="25">
        <v>-489604</v>
      </c>
      <c r="E32" s="814"/>
      <c r="F32" s="25">
        <v>4316</v>
      </c>
      <c r="G32" s="25">
        <v>78039</v>
      </c>
      <c r="H32" s="25">
        <v>23027</v>
      </c>
      <c r="I32" s="25">
        <v>52838</v>
      </c>
      <c r="J32" s="814"/>
      <c r="K32" s="25">
        <v>22347</v>
      </c>
      <c r="L32" s="25"/>
      <c r="M32" s="25">
        <v>0</v>
      </c>
      <c r="N32" s="25">
        <v>0</v>
      </c>
      <c r="O32" s="814"/>
      <c r="P32" s="25">
        <v>92287</v>
      </c>
      <c r="Q32" s="25">
        <v>37063</v>
      </c>
      <c r="R32" s="25">
        <v>129350</v>
      </c>
      <c r="S32" s="25"/>
      <c r="T32" s="25">
        <v>-386025</v>
      </c>
      <c r="U32" s="25">
        <v>-576954</v>
      </c>
    </row>
    <row r="33" spans="1:21" ht="15" x14ac:dyDescent="0.25">
      <c r="A33" s="826" t="s">
        <v>2539</v>
      </c>
      <c r="B33" s="919">
        <v>4.0235999999999996E-3</v>
      </c>
      <c r="C33" s="919">
        <v>3.9345999999999999E-3</v>
      </c>
      <c r="D33" s="25">
        <v>-66643</v>
      </c>
      <c r="E33" s="814"/>
      <c r="F33" s="25">
        <v>587</v>
      </c>
      <c r="G33" s="25">
        <v>10622</v>
      </c>
      <c r="H33" s="25">
        <v>3134</v>
      </c>
      <c r="I33" s="25">
        <v>1652</v>
      </c>
      <c r="J33" s="814"/>
      <c r="K33" s="25">
        <v>3042</v>
      </c>
      <c r="L33" s="25"/>
      <c r="M33" s="25">
        <v>0</v>
      </c>
      <c r="N33" s="25">
        <v>1283</v>
      </c>
      <c r="O33" s="814"/>
      <c r="P33" s="25">
        <v>12562</v>
      </c>
      <c r="Q33" s="25">
        <v>1646</v>
      </c>
      <c r="R33" s="25">
        <v>14208</v>
      </c>
      <c r="S33" s="25"/>
      <c r="T33" s="25">
        <v>-52544</v>
      </c>
      <c r="U33" s="25">
        <v>-78533</v>
      </c>
    </row>
    <row r="34" spans="1:21" ht="15" x14ac:dyDescent="0.25">
      <c r="A34" s="826" t="s">
        <v>2540</v>
      </c>
      <c r="B34" s="919">
        <v>8.5092999999999992E-3</v>
      </c>
      <c r="C34" s="919">
        <v>8.9502999999999996E-3</v>
      </c>
      <c r="D34" s="25">
        <v>-140940</v>
      </c>
      <c r="E34" s="814"/>
      <c r="F34" s="25">
        <v>1242</v>
      </c>
      <c r="G34" s="25">
        <v>22465</v>
      </c>
      <c r="H34" s="25">
        <v>6629</v>
      </c>
      <c r="I34" s="25">
        <v>10793</v>
      </c>
      <c r="J34" s="814"/>
      <c r="K34" s="25">
        <v>6433</v>
      </c>
      <c r="L34" s="25"/>
      <c r="M34" s="25">
        <v>0</v>
      </c>
      <c r="N34" s="25">
        <v>1054</v>
      </c>
      <c r="O34" s="814"/>
      <c r="P34" s="25">
        <v>26566</v>
      </c>
      <c r="Q34" s="25">
        <v>5160</v>
      </c>
      <c r="R34" s="25">
        <v>31726</v>
      </c>
      <c r="S34" s="25"/>
      <c r="T34" s="25">
        <v>-111123</v>
      </c>
      <c r="U34" s="25">
        <v>-166085</v>
      </c>
    </row>
    <row r="35" spans="1:21" ht="15" x14ac:dyDescent="0.25">
      <c r="A35" s="826" t="s">
        <v>2541</v>
      </c>
      <c r="B35" s="919">
        <v>1.32316E-2</v>
      </c>
      <c r="C35" s="919">
        <v>1.55941E-2</v>
      </c>
      <c r="D35" s="25">
        <v>-219155</v>
      </c>
      <c r="E35" s="814"/>
      <c r="F35" s="25">
        <v>1932</v>
      </c>
      <c r="G35" s="25">
        <v>34931</v>
      </c>
      <c r="H35" s="25">
        <v>10307</v>
      </c>
      <c r="I35" s="25">
        <v>39458</v>
      </c>
      <c r="J35" s="814"/>
      <c r="K35" s="25">
        <v>10003</v>
      </c>
      <c r="L35" s="25"/>
      <c r="M35" s="25">
        <v>0</v>
      </c>
      <c r="N35" s="25">
        <v>36970</v>
      </c>
      <c r="O35" s="814"/>
      <c r="P35" s="25">
        <v>41309</v>
      </c>
      <c r="Q35" s="25">
        <v>-5182</v>
      </c>
      <c r="R35" s="25">
        <v>36127</v>
      </c>
      <c r="S35" s="25"/>
      <c r="T35" s="25">
        <v>-172791</v>
      </c>
      <c r="U35" s="25">
        <v>-258254</v>
      </c>
    </row>
    <row r="36" spans="1:21" ht="15" x14ac:dyDescent="0.25">
      <c r="A36" s="826" t="s">
        <v>2542</v>
      </c>
      <c r="B36" s="919">
        <v>3.7848999999999999E-3</v>
      </c>
      <c r="C36" s="919">
        <v>4.2516000000000003E-3</v>
      </c>
      <c r="D36" s="25">
        <v>-62689</v>
      </c>
      <c r="E36" s="814"/>
      <c r="F36" s="25">
        <v>553</v>
      </c>
      <c r="G36" s="25">
        <v>9992</v>
      </c>
      <c r="H36" s="25">
        <v>2948</v>
      </c>
      <c r="I36" s="25">
        <v>7023</v>
      </c>
      <c r="J36" s="814"/>
      <c r="K36" s="25">
        <v>2861</v>
      </c>
      <c r="L36" s="25"/>
      <c r="M36" s="25">
        <v>0</v>
      </c>
      <c r="N36" s="25">
        <v>1251</v>
      </c>
      <c r="O36" s="814"/>
      <c r="P36" s="25">
        <v>11816</v>
      </c>
      <c r="Q36" s="25">
        <v>2616</v>
      </c>
      <c r="R36" s="25">
        <v>14432</v>
      </c>
      <c r="S36" s="25"/>
      <c r="T36" s="25">
        <v>-49427</v>
      </c>
      <c r="U36" s="25">
        <v>-73874</v>
      </c>
    </row>
    <row r="37" spans="1:21" ht="15" x14ac:dyDescent="0.25">
      <c r="A37" s="826" t="s">
        <v>2543</v>
      </c>
      <c r="B37" s="919">
        <v>3.8148000000000001E-3</v>
      </c>
      <c r="C37" s="919">
        <v>3.9173999999999997E-3</v>
      </c>
      <c r="D37" s="25">
        <v>-63185</v>
      </c>
      <c r="E37" s="814"/>
      <c r="F37" s="25">
        <v>557</v>
      </c>
      <c r="G37" s="25">
        <v>10071</v>
      </c>
      <c r="H37" s="25">
        <v>2972</v>
      </c>
      <c r="I37" s="25">
        <v>4094</v>
      </c>
      <c r="J37" s="814"/>
      <c r="K37" s="25">
        <v>2884</v>
      </c>
      <c r="L37" s="25"/>
      <c r="M37" s="25">
        <v>0</v>
      </c>
      <c r="N37" s="25">
        <v>246</v>
      </c>
      <c r="O37" s="814"/>
      <c r="P37" s="25">
        <v>11910</v>
      </c>
      <c r="Q37" s="25">
        <v>2674</v>
      </c>
      <c r="R37" s="25">
        <v>14584</v>
      </c>
      <c r="S37" s="25"/>
      <c r="T37" s="25">
        <v>-49817</v>
      </c>
      <c r="U37" s="25">
        <v>-74457</v>
      </c>
    </row>
    <row r="38" spans="1:21" ht="15" x14ac:dyDescent="0.25">
      <c r="A38" s="826" t="s">
        <v>2544</v>
      </c>
      <c r="B38" s="919">
        <v>3.0817600000000001E-2</v>
      </c>
      <c r="C38" s="919">
        <v>3.13446E-2</v>
      </c>
      <c r="D38" s="25">
        <v>-510432</v>
      </c>
      <c r="E38" s="814"/>
      <c r="F38" s="25">
        <v>4499</v>
      </c>
      <c r="G38" s="25">
        <v>81358</v>
      </c>
      <c r="H38" s="25">
        <v>24007</v>
      </c>
      <c r="I38" s="25">
        <v>7601</v>
      </c>
      <c r="J38" s="814"/>
      <c r="K38" s="25">
        <v>23298</v>
      </c>
      <c r="L38" s="25"/>
      <c r="M38" s="25">
        <v>0</v>
      </c>
      <c r="N38" s="25">
        <v>4323</v>
      </c>
      <c r="O38" s="814"/>
      <c r="P38" s="25">
        <v>96213</v>
      </c>
      <c r="Q38" s="25">
        <v>-6613</v>
      </c>
      <c r="R38" s="25">
        <v>89600</v>
      </c>
      <c r="S38" s="25"/>
      <c r="T38" s="25">
        <v>-402447</v>
      </c>
      <c r="U38" s="25">
        <v>-601498</v>
      </c>
    </row>
    <row r="39" spans="1:21" ht="15" x14ac:dyDescent="0.25">
      <c r="A39" s="826" t="s">
        <v>2545</v>
      </c>
      <c r="B39" s="919">
        <v>3.6396000000000002E-3</v>
      </c>
      <c r="C39" s="919">
        <v>3.1862000000000001E-3</v>
      </c>
      <c r="D39" s="25">
        <v>-60283</v>
      </c>
      <c r="E39" s="814"/>
      <c r="F39" s="25">
        <v>531</v>
      </c>
      <c r="G39" s="25">
        <v>9609</v>
      </c>
      <c r="H39" s="25">
        <v>2835</v>
      </c>
      <c r="I39" s="25">
        <v>2207</v>
      </c>
      <c r="J39" s="814"/>
      <c r="K39" s="25">
        <v>2752</v>
      </c>
      <c r="L39" s="25"/>
      <c r="M39" s="25">
        <v>0</v>
      </c>
      <c r="N39" s="25">
        <v>6541</v>
      </c>
      <c r="O39" s="814"/>
      <c r="P39" s="25">
        <v>11363</v>
      </c>
      <c r="Q39" s="25">
        <v>-582</v>
      </c>
      <c r="R39" s="25">
        <v>10781</v>
      </c>
      <c r="S39" s="25"/>
      <c r="T39" s="25">
        <v>-47530</v>
      </c>
      <c r="U39" s="25">
        <v>-71038</v>
      </c>
    </row>
    <row r="40" spans="1:21" ht="15" x14ac:dyDescent="0.25">
      <c r="A40" s="826" t="s">
        <v>2546</v>
      </c>
      <c r="B40" s="919">
        <v>3.7801500000000002E-2</v>
      </c>
      <c r="C40" s="919">
        <v>3.9621999999999997E-2</v>
      </c>
      <c r="D40" s="25">
        <v>-626106</v>
      </c>
      <c r="E40" s="814"/>
      <c r="F40" s="25">
        <v>5519</v>
      </c>
      <c r="G40" s="25">
        <v>99796</v>
      </c>
      <c r="H40" s="25">
        <v>29447</v>
      </c>
      <c r="I40" s="25">
        <v>26261</v>
      </c>
      <c r="J40" s="814"/>
      <c r="K40" s="25">
        <v>28578</v>
      </c>
      <c r="L40" s="25"/>
      <c r="M40" s="25">
        <v>0</v>
      </c>
      <c r="N40" s="25">
        <v>972</v>
      </c>
      <c r="O40" s="814"/>
      <c r="P40" s="25">
        <v>118016</v>
      </c>
      <c r="Q40" s="25">
        <v>9876</v>
      </c>
      <c r="R40" s="25">
        <v>127892</v>
      </c>
      <c r="S40" s="25"/>
      <c r="T40" s="25">
        <v>-493650</v>
      </c>
      <c r="U40" s="25">
        <v>-737810</v>
      </c>
    </row>
    <row r="41" spans="1:21" ht="15" x14ac:dyDescent="0.25">
      <c r="A41" s="826" t="s">
        <v>2547</v>
      </c>
      <c r="B41" s="919">
        <v>6.2415999999999999E-3</v>
      </c>
      <c r="C41" s="919">
        <v>6.2922000000000004E-3</v>
      </c>
      <c r="D41" s="25">
        <v>-103380</v>
      </c>
      <c r="E41" s="814"/>
      <c r="F41" s="25">
        <v>911</v>
      </c>
      <c r="G41" s="25">
        <v>16478</v>
      </c>
      <c r="H41" s="25">
        <v>4862</v>
      </c>
      <c r="I41" s="25">
        <v>731</v>
      </c>
      <c r="J41" s="814"/>
      <c r="K41" s="25">
        <v>4719</v>
      </c>
      <c r="L41" s="25"/>
      <c r="M41" s="25">
        <v>0</v>
      </c>
      <c r="N41" s="25">
        <v>5784</v>
      </c>
      <c r="O41" s="814"/>
      <c r="P41" s="25">
        <v>19486</v>
      </c>
      <c r="Q41" s="25">
        <v>-7423</v>
      </c>
      <c r="R41" s="25">
        <v>12063</v>
      </c>
      <c r="S41" s="25"/>
      <c r="T41" s="25">
        <v>-81509</v>
      </c>
      <c r="U41" s="25">
        <v>-121824</v>
      </c>
    </row>
    <row r="42" spans="1:21" ht="15" x14ac:dyDescent="0.25">
      <c r="A42" s="826" t="s">
        <v>2548</v>
      </c>
      <c r="B42" s="919">
        <v>7.8516999999999997E-3</v>
      </c>
      <c r="C42" s="919">
        <v>8.5229999999999993E-3</v>
      </c>
      <c r="D42" s="25">
        <v>-130048</v>
      </c>
      <c r="E42" s="814"/>
      <c r="F42" s="25">
        <v>1146</v>
      </c>
      <c r="G42" s="25">
        <v>20728</v>
      </c>
      <c r="H42" s="25">
        <v>6116</v>
      </c>
      <c r="I42" s="25">
        <v>37166</v>
      </c>
      <c r="J42" s="814"/>
      <c r="K42" s="25">
        <v>5936</v>
      </c>
      <c r="L42" s="25"/>
      <c r="M42" s="25">
        <v>0</v>
      </c>
      <c r="N42" s="25">
        <v>0</v>
      </c>
      <c r="O42" s="814"/>
      <c r="P42" s="25">
        <v>24513</v>
      </c>
      <c r="Q42" s="25">
        <v>42837</v>
      </c>
      <c r="R42" s="25">
        <v>67350</v>
      </c>
      <c r="S42" s="25"/>
      <c r="T42" s="25">
        <v>-102535</v>
      </c>
      <c r="U42" s="25">
        <v>-153249</v>
      </c>
    </row>
    <row r="43" spans="1:21" ht="15" x14ac:dyDescent="0.25">
      <c r="A43" s="826" t="s">
        <v>2549</v>
      </c>
      <c r="B43" s="919">
        <v>8.9740000000000002E-4</v>
      </c>
      <c r="C43" s="919">
        <v>8.7089999999999997E-4</v>
      </c>
      <c r="D43" s="25">
        <v>-14864</v>
      </c>
      <c r="E43" s="814"/>
      <c r="F43" s="25">
        <v>131</v>
      </c>
      <c r="G43" s="25">
        <v>2369</v>
      </c>
      <c r="H43" s="25">
        <v>699</v>
      </c>
      <c r="I43" s="25">
        <v>677</v>
      </c>
      <c r="J43" s="814"/>
      <c r="K43" s="25">
        <v>678</v>
      </c>
      <c r="L43" s="25"/>
      <c r="M43" s="25">
        <v>0</v>
      </c>
      <c r="N43" s="25">
        <v>420</v>
      </c>
      <c r="O43" s="814"/>
      <c r="P43" s="25">
        <v>2802</v>
      </c>
      <c r="Q43" s="25">
        <v>460</v>
      </c>
      <c r="R43" s="25">
        <v>3262</v>
      </c>
      <c r="S43" s="25"/>
      <c r="T43" s="25">
        <v>-11719</v>
      </c>
      <c r="U43" s="25">
        <v>-17515</v>
      </c>
    </row>
    <row r="44" spans="1:21" ht="15" x14ac:dyDescent="0.25">
      <c r="A44" s="826" t="s">
        <v>2550</v>
      </c>
      <c r="B44" s="919">
        <v>7.6199999999999998E-4</v>
      </c>
      <c r="C44" s="919">
        <v>6.9390000000000001E-4</v>
      </c>
      <c r="D44" s="25">
        <v>-12621</v>
      </c>
      <c r="E44" s="814"/>
      <c r="F44" s="25">
        <v>111</v>
      </c>
      <c r="G44" s="25">
        <v>2012</v>
      </c>
      <c r="H44" s="25">
        <v>594</v>
      </c>
      <c r="I44" s="25">
        <v>0</v>
      </c>
      <c r="J44" s="814"/>
      <c r="K44" s="25">
        <v>576</v>
      </c>
      <c r="L44" s="25"/>
      <c r="M44" s="25">
        <v>0</v>
      </c>
      <c r="N44" s="25">
        <v>1206</v>
      </c>
      <c r="O44" s="814"/>
      <c r="P44" s="25">
        <v>2379</v>
      </c>
      <c r="Q44" s="25">
        <v>-889</v>
      </c>
      <c r="R44" s="25">
        <v>1490</v>
      </c>
      <c r="S44" s="25"/>
      <c r="T44" s="25">
        <v>-9951</v>
      </c>
      <c r="U44" s="25">
        <v>-14873</v>
      </c>
    </row>
    <row r="45" spans="1:21" ht="15" x14ac:dyDescent="0.25">
      <c r="A45" s="826" t="s">
        <v>2551</v>
      </c>
      <c r="B45" s="919">
        <v>4.7184000000000002E-3</v>
      </c>
      <c r="C45" s="919">
        <v>4.8060000000000004E-3</v>
      </c>
      <c r="D45" s="25">
        <v>-78151</v>
      </c>
      <c r="E45" s="814"/>
      <c r="F45" s="25">
        <v>689</v>
      </c>
      <c r="G45" s="25">
        <v>12457</v>
      </c>
      <c r="H45" s="25">
        <v>3676</v>
      </c>
      <c r="I45" s="25">
        <v>1778</v>
      </c>
      <c r="J45" s="814"/>
      <c r="K45" s="25">
        <v>3567</v>
      </c>
      <c r="L45" s="25"/>
      <c r="M45" s="25">
        <v>0</v>
      </c>
      <c r="N45" s="25">
        <v>3248</v>
      </c>
      <c r="O45" s="814"/>
      <c r="P45" s="25">
        <v>14731</v>
      </c>
      <c r="Q45" s="25">
        <v>-1242</v>
      </c>
      <c r="R45" s="25">
        <v>13489</v>
      </c>
      <c r="S45" s="25"/>
      <c r="T45" s="25">
        <v>-61618</v>
      </c>
      <c r="U45" s="25">
        <v>-92094</v>
      </c>
    </row>
    <row r="46" spans="1:21" ht="15" x14ac:dyDescent="0.25">
      <c r="A46" s="826" t="s">
        <v>2552</v>
      </c>
      <c r="B46" s="919">
        <v>1.0494E-3</v>
      </c>
      <c r="C46" s="919">
        <v>1.1391999999999999E-3</v>
      </c>
      <c r="D46" s="25">
        <v>-17381</v>
      </c>
      <c r="E46" s="814"/>
      <c r="F46" s="25">
        <v>153</v>
      </c>
      <c r="G46" s="25">
        <v>2770</v>
      </c>
      <c r="H46" s="25">
        <v>817</v>
      </c>
      <c r="I46" s="25">
        <v>2029</v>
      </c>
      <c r="J46" s="814"/>
      <c r="K46" s="25">
        <v>793</v>
      </c>
      <c r="L46" s="25"/>
      <c r="M46" s="25">
        <v>0</v>
      </c>
      <c r="N46" s="25">
        <v>243</v>
      </c>
      <c r="O46" s="814"/>
      <c r="P46" s="25">
        <v>3276</v>
      </c>
      <c r="Q46" s="25">
        <v>803</v>
      </c>
      <c r="R46" s="25">
        <v>4079</v>
      </c>
      <c r="S46" s="25"/>
      <c r="T46" s="25">
        <v>-13704</v>
      </c>
      <c r="U46" s="25">
        <v>-20482</v>
      </c>
    </row>
    <row r="47" spans="1:21" ht="15" x14ac:dyDescent="0.25">
      <c r="A47" s="826" t="s">
        <v>2553</v>
      </c>
      <c r="B47" s="919">
        <v>4.2479299999999998E-2</v>
      </c>
      <c r="C47" s="919">
        <v>4.39079E-2</v>
      </c>
      <c r="D47" s="25">
        <v>-703585</v>
      </c>
      <c r="E47" s="814"/>
      <c r="F47" s="25">
        <v>6202</v>
      </c>
      <c r="G47" s="25">
        <v>112145</v>
      </c>
      <c r="H47" s="25">
        <v>33091</v>
      </c>
      <c r="I47" s="25">
        <v>21120</v>
      </c>
      <c r="J47" s="814"/>
      <c r="K47" s="25">
        <v>32114</v>
      </c>
      <c r="L47" s="25"/>
      <c r="M47" s="25">
        <v>0</v>
      </c>
      <c r="N47" s="25">
        <v>828</v>
      </c>
      <c r="O47" s="814"/>
      <c r="P47" s="25">
        <v>132620</v>
      </c>
      <c r="Q47" s="25">
        <v>7704</v>
      </c>
      <c r="R47" s="25">
        <v>140324</v>
      </c>
      <c r="S47" s="25"/>
      <c r="T47" s="25">
        <v>-554737</v>
      </c>
      <c r="U47" s="25">
        <v>-829111</v>
      </c>
    </row>
    <row r="48" spans="1:21" ht="15" x14ac:dyDescent="0.25">
      <c r="A48" s="826" t="s">
        <v>2554</v>
      </c>
      <c r="B48" s="919">
        <v>4.1554000000000001E-3</v>
      </c>
      <c r="C48" s="919">
        <v>4.2783999999999999E-3</v>
      </c>
      <c r="D48" s="25">
        <v>-68826</v>
      </c>
      <c r="E48" s="814"/>
      <c r="F48" s="25">
        <v>607</v>
      </c>
      <c r="G48" s="25">
        <v>10970</v>
      </c>
      <c r="H48" s="25">
        <v>3237</v>
      </c>
      <c r="I48" s="25">
        <v>2224</v>
      </c>
      <c r="J48" s="814"/>
      <c r="K48" s="25">
        <v>3141</v>
      </c>
      <c r="L48" s="25"/>
      <c r="M48" s="25">
        <v>0</v>
      </c>
      <c r="N48" s="25">
        <v>446</v>
      </c>
      <c r="O48" s="814"/>
      <c r="P48" s="25">
        <v>12973</v>
      </c>
      <c r="Q48" s="25">
        <v>1507</v>
      </c>
      <c r="R48" s="25">
        <v>14480</v>
      </c>
      <c r="S48" s="25"/>
      <c r="T48" s="25">
        <v>-54265</v>
      </c>
      <c r="U48" s="25">
        <v>-81105</v>
      </c>
    </row>
    <row r="49" spans="1:21" ht="15" x14ac:dyDescent="0.25">
      <c r="A49" s="826" t="s">
        <v>2555</v>
      </c>
      <c r="B49" s="919">
        <v>1.19995E-2</v>
      </c>
      <c r="C49" s="919">
        <v>1.24961E-2</v>
      </c>
      <c r="D49" s="25">
        <v>-198748</v>
      </c>
      <c r="E49" s="814"/>
      <c r="F49" s="25">
        <v>1752</v>
      </c>
      <c r="G49" s="25">
        <v>31679</v>
      </c>
      <c r="H49" s="25">
        <v>9348</v>
      </c>
      <c r="I49" s="25">
        <v>8012</v>
      </c>
      <c r="J49" s="814"/>
      <c r="K49" s="25">
        <v>9072</v>
      </c>
      <c r="L49" s="25"/>
      <c r="M49" s="25">
        <v>0</v>
      </c>
      <c r="N49" s="25">
        <v>2759</v>
      </c>
      <c r="O49" s="814"/>
      <c r="P49" s="25">
        <v>37462</v>
      </c>
      <c r="Q49" s="25">
        <v>2709</v>
      </c>
      <c r="R49" s="25">
        <v>40171</v>
      </c>
      <c r="S49" s="25"/>
      <c r="T49" s="25">
        <v>-156701</v>
      </c>
      <c r="U49" s="25">
        <v>-234206</v>
      </c>
    </row>
    <row r="50" spans="1:21" ht="15" x14ac:dyDescent="0.25">
      <c r="A50" s="826" t="s">
        <v>2556</v>
      </c>
      <c r="B50" s="919">
        <v>7.7530999999999997E-3</v>
      </c>
      <c r="C50" s="919">
        <v>7.6893999999999999E-3</v>
      </c>
      <c r="D50" s="25">
        <v>-128415</v>
      </c>
      <c r="E50" s="814"/>
      <c r="F50" s="25">
        <v>1132</v>
      </c>
      <c r="G50" s="25">
        <v>20468</v>
      </c>
      <c r="H50" s="25">
        <v>6040</v>
      </c>
      <c r="I50" s="25">
        <v>334</v>
      </c>
      <c r="J50" s="814"/>
      <c r="K50" s="25">
        <v>5861</v>
      </c>
      <c r="L50" s="25"/>
      <c r="M50" s="25">
        <v>0</v>
      </c>
      <c r="N50" s="25">
        <v>2879</v>
      </c>
      <c r="O50" s="814"/>
      <c r="P50" s="25">
        <v>24205</v>
      </c>
      <c r="Q50" s="25">
        <v>-2226</v>
      </c>
      <c r="R50" s="25">
        <v>21979</v>
      </c>
      <c r="S50" s="25"/>
      <c r="T50" s="25">
        <v>-101248</v>
      </c>
      <c r="U50" s="25">
        <v>-151325</v>
      </c>
    </row>
    <row r="51" spans="1:21" ht="15" x14ac:dyDescent="0.25">
      <c r="A51" s="826" t="s">
        <v>2557</v>
      </c>
      <c r="B51" s="919">
        <v>1.38721E-2</v>
      </c>
      <c r="C51" s="919">
        <v>1.42083E-2</v>
      </c>
      <c r="D51" s="25">
        <v>-229764</v>
      </c>
      <c r="E51" s="814"/>
      <c r="F51" s="25">
        <v>2025</v>
      </c>
      <c r="G51" s="25">
        <v>36622</v>
      </c>
      <c r="H51" s="25">
        <v>10806</v>
      </c>
      <c r="I51" s="25">
        <v>4906</v>
      </c>
      <c r="J51" s="814"/>
      <c r="K51" s="25">
        <v>10487</v>
      </c>
      <c r="L51" s="25"/>
      <c r="M51" s="25">
        <v>0</v>
      </c>
      <c r="N51" s="25">
        <v>1495</v>
      </c>
      <c r="O51" s="814"/>
      <c r="P51" s="25">
        <v>43309</v>
      </c>
      <c r="Q51" s="25">
        <v>-2218</v>
      </c>
      <c r="R51" s="25">
        <v>41091</v>
      </c>
      <c r="S51" s="25"/>
      <c r="T51" s="25">
        <v>-181156</v>
      </c>
      <c r="U51" s="25">
        <v>-270756</v>
      </c>
    </row>
    <row r="52" spans="1:21" ht="15" x14ac:dyDescent="0.25">
      <c r="A52" s="826" t="s">
        <v>2558</v>
      </c>
      <c r="B52" s="919">
        <v>1.7214999999999999E-3</v>
      </c>
      <c r="C52" s="919">
        <v>1.7851E-3</v>
      </c>
      <c r="D52" s="25">
        <v>-28513</v>
      </c>
      <c r="E52" s="814"/>
      <c r="F52" s="25">
        <v>251</v>
      </c>
      <c r="G52" s="25">
        <v>4545</v>
      </c>
      <c r="H52" s="25">
        <v>1341</v>
      </c>
      <c r="I52" s="25">
        <v>1492</v>
      </c>
      <c r="J52" s="814"/>
      <c r="K52" s="25">
        <v>1301</v>
      </c>
      <c r="L52" s="25"/>
      <c r="M52" s="25">
        <v>0</v>
      </c>
      <c r="N52" s="25">
        <v>0</v>
      </c>
      <c r="O52" s="814"/>
      <c r="P52" s="25">
        <v>5375</v>
      </c>
      <c r="Q52" s="25">
        <v>1138</v>
      </c>
      <c r="R52" s="25">
        <v>6513</v>
      </c>
      <c r="S52" s="25"/>
      <c r="T52" s="25">
        <v>-22481</v>
      </c>
      <c r="U52" s="25">
        <v>-33600</v>
      </c>
    </row>
    <row r="53" spans="1:21" ht="15" x14ac:dyDescent="0.25">
      <c r="A53" s="826" t="s">
        <v>2559</v>
      </c>
      <c r="B53" s="919">
        <v>5.1979000000000001E-3</v>
      </c>
      <c r="C53" s="919">
        <v>4.4527000000000004E-3</v>
      </c>
      <c r="D53" s="25">
        <v>-86093</v>
      </c>
      <c r="E53" s="814"/>
      <c r="F53" s="25">
        <v>759</v>
      </c>
      <c r="G53" s="25">
        <v>13722</v>
      </c>
      <c r="H53" s="25">
        <v>4049</v>
      </c>
      <c r="I53" s="25">
        <v>4350</v>
      </c>
      <c r="J53" s="814"/>
      <c r="K53" s="25">
        <v>3930</v>
      </c>
      <c r="L53" s="25"/>
      <c r="M53" s="25">
        <v>0</v>
      </c>
      <c r="N53" s="25">
        <v>11419</v>
      </c>
      <c r="O53" s="814"/>
      <c r="P53" s="25">
        <v>16228</v>
      </c>
      <c r="Q53" s="25">
        <v>-2437</v>
      </c>
      <c r="R53" s="25">
        <v>13791</v>
      </c>
      <c r="S53" s="25"/>
      <c r="T53" s="25">
        <v>-67879</v>
      </c>
      <c r="U53" s="25">
        <v>-101453</v>
      </c>
    </row>
    <row r="54" spans="1:21" ht="15" x14ac:dyDescent="0.25">
      <c r="A54" s="826" t="s">
        <v>2560</v>
      </c>
      <c r="B54" s="919">
        <v>4.4860000000000001E-4</v>
      </c>
      <c r="C54" s="919">
        <v>4.8450000000000001E-4</v>
      </c>
      <c r="D54" s="25">
        <v>-7430</v>
      </c>
      <c r="E54" s="814"/>
      <c r="F54" s="25">
        <v>65</v>
      </c>
      <c r="G54" s="25">
        <v>1184</v>
      </c>
      <c r="H54" s="25">
        <v>349</v>
      </c>
      <c r="I54" s="25">
        <v>518</v>
      </c>
      <c r="J54" s="814"/>
      <c r="K54" s="25">
        <v>339</v>
      </c>
      <c r="L54" s="25"/>
      <c r="M54" s="25">
        <v>0</v>
      </c>
      <c r="N54" s="25">
        <v>147</v>
      </c>
      <c r="O54" s="814"/>
      <c r="P54" s="25">
        <v>1401</v>
      </c>
      <c r="Q54" s="25">
        <v>9</v>
      </c>
      <c r="R54" s="25">
        <v>1410</v>
      </c>
      <c r="S54" s="25"/>
      <c r="T54" s="25">
        <v>-5858</v>
      </c>
      <c r="U54" s="25">
        <v>-8756</v>
      </c>
    </row>
    <row r="55" spans="1:21" ht="15" x14ac:dyDescent="0.25">
      <c r="A55" s="826" t="s">
        <v>2561</v>
      </c>
      <c r="B55" s="919">
        <v>2.0304300000000001E-2</v>
      </c>
      <c r="C55" s="919">
        <v>2.0341999999999999E-2</v>
      </c>
      <c r="D55" s="25">
        <v>-336300</v>
      </c>
      <c r="E55" s="814"/>
      <c r="F55" s="25">
        <v>2964</v>
      </c>
      <c r="G55" s="25">
        <v>53603</v>
      </c>
      <c r="H55" s="25">
        <v>15817</v>
      </c>
      <c r="I55" s="25">
        <v>2384</v>
      </c>
      <c r="J55" s="814"/>
      <c r="K55" s="25">
        <v>15350</v>
      </c>
      <c r="L55" s="25"/>
      <c r="M55" s="25">
        <v>0</v>
      </c>
      <c r="N55" s="25">
        <v>2920</v>
      </c>
      <c r="O55" s="814"/>
      <c r="P55" s="25">
        <v>63390</v>
      </c>
      <c r="Q55" s="25">
        <v>-6857</v>
      </c>
      <c r="R55" s="25">
        <v>56533</v>
      </c>
      <c r="S55" s="25"/>
      <c r="T55" s="25">
        <v>-265154</v>
      </c>
      <c r="U55" s="25">
        <v>-396299</v>
      </c>
    </row>
    <row r="56" spans="1:21" ht="15" x14ac:dyDescent="0.25">
      <c r="A56" s="826" t="s">
        <v>2562</v>
      </c>
      <c r="B56" s="919">
        <v>6.1491999999999996E-3</v>
      </c>
      <c r="C56" s="919">
        <v>6.7647999999999996E-3</v>
      </c>
      <c r="D56" s="25">
        <v>-101849</v>
      </c>
      <c r="E56" s="814"/>
      <c r="F56" s="25">
        <v>898</v>
      </c>
      <c r="G56" s="25">
        <v>16234</v>
      </c>
      <c r="H56" s="25">
        <v>4790</v>
      </c>
      <c r="I56" s="25">
        <v>8880</v>
      </c>
      <c r="J56" s="814"/>
      <c r="K56" s="25">
        <v>4649</v>
      </c>
      <c r="L56" s="25"/>
      <c r="M56" s="25">
        <v>0</v>
      </c>
      <c r="N56" s="25">
        <v>6107</v>
      </c>
      <c r="O56" s="814"/>
      <c r="P56" s="25">
        <v>19198</v>
      </c>
      <c r="Q56" s="25">
        <v>-10161</v>
      </c>
      <c r="R56" s="25">
        <v>9037</v>
      </c>
      <c r="S56" s="25"/>
      <c r="T56" s="25">
        <v>-80302</v>
      </c>
      <c r="U56" s="25">
        <v>-120020</v>
      </c>
    </row>
    <row r="57" spans="1:21" ht="15" x14ac:dyDescent="0.25">
      <c r="A57" s="826" t="s">
        <v>2563</v>
      </c>
      <c r="B57" s="919">
        <v>2.1887E-2</v>
      </c>
      <c r="C57" s="919">
        <v>2.1563800000000001E-2</v>
      </c>
      <c r="D57" s="25">
        <v>-362514</v>
      </c>
      <c r="E57" s="814"/>
      <c r="F57" s="25">
        <v>3196</v>
      </c>
      <c r="G57" s="25">
        <v>57782</v>
      </c>
      <c r="H57" s="25">
        <v>17050</v>
      </c>
      <c r="I57" s="25">
        <v>0</v>
      </c>
      <c r="J57" s="814"/>
      <c r="K57" s="25">
        <v>16547</v>
      </c>
      <c r="L57" s="25"/>
      <c r="M57" s="25">
        <v>0</v>
      </c>
      <c r="N57" s="25">
        <v>20386</v>
      </c>
      <c r="O57" s="814"/>
      <c r="P57" s="25">
        <v>68331</v>
      </c>
      <c r="Q57" s="25">
        <v>-21529</v>
      </c>
      <c r="R57" s="25">
        <v>46802</v>
      </c>
      <c r="S57" s="25"/>
      <c r="T57" s="25">
        <v>-285822</v>
      </c>
      <c r="U57" s="25">
        <v>-427190</v>
      </c>
    </row>
    <row r="58" spans="1:21" ht="15" x14ac:dyDescent="0.25">
      <c r="A58" s="826" t="s">
        <v>2564</v>
      </c>
      <c r="B58" s="919">
        <v>8.1380000000000005E-4</v>
      </c>
      <c r="C58" s="919">
        <v>8.2770000000000001E-4</v>
      </c>
      <c r="D58" s="25">
        <v>-13479</v>
      </c>
      <c r="E58" s="814"/>
      <c r="F58" s="25">
        <v>119</v>
      </c>
      <c r="G58" s="25">
        <v>2148</v>
      </c>
      <c r="H58" s="25">
        <v>634</v>
      </c>
      <c r="I58" s="25">
        <v>876</v>
      </c>
      <c r="J58" s="814"/>
      <c r="K58" s="25">
        <v>615</v>
      </c>
      <c r="L58" s="25"/>
      <c r="M58" s="25">
        <v>0</v>
      </c>
      <c r="N58" s="25">
        <v>0</v>
      </c>
      <c r="O58" s="814"/>
      <c r="P58" s="25">
        <v>2541</v>
      </c>
      <c r="Q58" s="25">
        <v>1710</v>
      </c>
      <c r="R58" s="25">
        <v>4251</v>
      </c>
      <c r="S58" s="25"/>
      <c r="T58" s="25">
        <v>-10627</v>
      </c>
      <c r="U58" s="25">
        <v>-15884</v>
      </c>
    </row>
    <row r="59" spans="1:21" ht="15" x14ac:dyDescent="0.25">
      <c r="A59" s="826" t="s">
        <v>2565</v>
      </c>
      <c r="B59" s="919">
        <v>5.6004000000000002E-3</v>
      </c>
      <c r="C59" s="919">
        <v>5.6318999999999996E-3</v>
      </c>
      <c r="D59" s="25">
        <v>-92759</v>
      </c>
      <c r="E59" s="814"/>
      <c r="F59" s="25">
        <v>818</v>
      </c>
      <c r="G59" s="25">
        <v>14785</v>
      </c>
      <c r="H59" s="25">
        <v>4363</v>
      </c>
      <c r="I59" s="25">
        <v>1343</v>
      </c>
      <c r="J59" s="814"/>
      <c r="K59" s="25">
        <v>4234</v>
      </c>
      <c r="L59" s="25"/>
      <c r="M59" s="25">
        <v>0</v>
      </c>
      <c r="N59" s="25">
        <v>380</v>
      </c>
      <c r="O59" s="814"/>
      <c r="P59" s="25">
        <v>17484</v>
      </c>
      <c r="Q59" s="25">
        <v>50</v>
      </c>
      <c r="R59" s="25">
        <v>17534</v>
      </c>
      <c r="S59" s="25"/>
      <c r="T59" s="25">
        <v>-73136</v>
      </c>
      <c r="U59" s="25">
        <v>-109309</v>
      </c>
    </row>
    <row r="60" spans="1:21" ht="15" x14ac:dyDescent="0.25">
      <c r="A60" s="826" t="s">
        <v>2566</v>
      </c>
      <c r="B60" s="919">
        <v>3.5228E-3</v>
      </c>
      <c r="C60" s="919">
        <v>3.4169000000000001E-3</v>
      </c>
      <c r="D60" s="25">
        <v>-58348</v>
      </c>
      <c r="E60" s="814"/>
      <c r="F60" s="25">
        <v>514</v>
      </c>
      <c r="G60" s="25">
        <v>9300</v>
      </c>
      <c r="H60" s="25">
        <v>2744</v>
      </c>
      <c r="I60" s="25">
        <v>1237</v>
      </c>
      <c r="J60" s="814"/>
      <c r="K60" s="25">
        <v>2663</v>
      </c>
      <c r="L60" s="25"/>
      <c r="M60" s="25">
        <v>0</v>
      </c>
      <c r="N60" s="25">
        <v>1864</v>
      </c>
      <c r="O60" s="814"/>
      <c r="P60" s="25">
        <v>10998</v>
      </c>
      <c r="Q60" s="25">
        <v>-33</v>
      </c>
      <c r="R60" s="25">
        <v>10965</v>
      </c>
      <c r="S60" s="25"/>
      <c r="T60" s="25">
        <v>-46004</v>
      </c>
      <c r="U60" s="25">
        <v>-68758</v>
      </c>
    </row>
    <row r="61" spans="1:21" ht="15" x14ac:dyDescent="0.25">
      <c r="A61" s="826" t="s">
        <v>2567</v>
      </c>
      <c r="B61" s="919">
        <v>9.5402000000000004E-3</v>
      </c>
      <c r="C61" s="919">
        <v>9.2902000000000002E-3</v>
      </c>
      <c r="D61" s="25">
        <v>-158014</v>
      </c>
      <c r="E61" s="814"/>
      <c r="F61" s="25">
        <v>1393</v>
      </c>
      <c r="G61" s="25">
        <v>25186</v>
      </c>
      <c r="H61" s="25">
        <v>7432</v>
      </c>
      <c r="I61" s="25">
        <v>0</v>
      </c>
      <c r="J61" s="814"/>
      <c r="K61" s="25">
        <v>7212</v>
      </c>
      <c r="L61" s="25"/>
      <c r="M61" s="25">
        <v>0</v>
      </c>
      <c r="N61" s="25">
        <v>7628</v>
      </c>
      <c r="O61" s="814"/>
      <c r="P61" s="25">
        <v>29785</v>
      </c>
      <c r="Q61" s="25">
        <v>-8730</v>
      </c>
      <c r="R61" s="25">
        <v>21055</v>
      </c>
      <c r="S61" s="25"/>
      <c r="T61" s="25">
        <v>-124585</v>
      </c>
      <c r="U61" s="25">
        <v>-186206</v>
      </c>
    </row>
    <row r="62" spans="1:21" ht="15" x14ac:dyDescent="0.25">
      <c r="A62" s="826" t="s">
        <v>2568</v>
      </c>
      <c r="B62" s="919">
        <v>4.3553999999999997E-3</v>
      </c>
      <c r="C62" s="919">
        <v>4.2596999999999999E-3</v>
      </c>
      <c r="D62" s="25">
        <v>-72138</v>
      </c>
      <c r="E62" s="814"/>
      <c r="F62" s="25">
        <v>636</v>
      </c>
      <c r="G62" s="25">
        <v>11498</v>
      </c>
      <c r="H62" s="25">
        <v>3393</v>
      </c>
      <c r="I62" s="25">
        <v>295</v>
      </c>
      <c r="J62" s="814"/>
      <c r="K62" s="25">
        <v>3293</v>
      </c>
      <c r="L62" s="25"/>
      <c r="M62" s="25">
        <v>0</v>
      </c>
      <c r="N62" s="25">
        <v>1530</v>
      </c>
      <c r="O62" s="814"/>
      <c r="P62" s="25">
        <v>13598</v>
      </c>
      <c r="Q62" s="25">
        <v>-1325</v>
      </c>
      <c r="R62" s="25">
        <v>12273</v>
      </c>
      <c r="S62" s="25"/>
      <c r="T62" s="25">
        <v>-56877</v>
      </c>
      <c r="U62" s="25">
        <v>-85009</v>
      </c>
    </row>
    <row r="63" spans="1:21" ht="15" x14ac:dyDescent="0.25">
      <c r="A63" s="826" t="s">
        <v>2569</v>
      </c>
      <c r="B63" s="919">
        <v>5.5142000000000004E-3</v>
      </c>
      <c r="C63" s="919">
        <v>5.3855999999999999E-3</v>
      </c>
      <c r="D63" s="25">
        <v>-91332</v>
      </c>
      <c r="E63" s="814"/>
      <c r="F63" s="25">
        <v>805</v>
      </c>
      <c r="G63" s="25">
        <v>14557</v>
      </c>
      <c r="H63" s="25">
        <v>4296</v>
      </c>
      <c r="I63" s="25">
        <v>0</v>
      </c>
      <c r="J63" s="814"/>
      <c r="K63" s="25">
        <v>4169</v>
      </c>
      <c r="L63" s="25"/>
      <c r="M63" s="25">
        <v>0</v>
      </c>
      <c r="N63" s="25">
        <v>4285</v>
      </c>
      <c r="O63" s="814"/>
      <c r="P63" s="25">
        <v>17215</v>
      </c>
      <c r="Q63" s="25">
        <v>-4856</v>
      </c>
      <c r="R63" s="25">
        <v>12359</v>
      </c>
      <c r="S63" s="25"/>
      <c r="T63" s="25">
        <v>-72010</v>
      </c>
      <c r="U63" s="25">
        <v>-107626</v>
      </c>
    </row>
    <row r="64" spans="1:21" ht="15" x14ac:dyDescent="0.25">
      <c r="A64" s="826" t="s">
        <v>2570</v>
      </c>
      <c r="B64" s="919">
        <v>1.6861999999999999E-3</v>
      </c>
      <c r="C64" s="919">
        <v>1.7650999999999999E-3</v>
      </c>
      <c r="D64" s="25">
        <v>-27929</v>
      </c>
      <c r="E64" s="814"/>
      <c r="F64" s="25">
        <v>246</v>
      </c>
      <c r="G64" s="25">
        <v>4452</v>
      </c>
      <c r="H64" s="25">
        <v>1314</v>
      </c>
      <c r="I64" s="25">
        <v>1815</v>
      </c>
      <c r="J64" s="814"/>
      <c r="K64" s="25">
        <v>1275</v>
      </c>
      <c r="L64" s="25"/>
      <c r="M64" s="25">
        <v>0</v>
      </c>
      <c r="N64" s="25">
        <v>16</v>
      </c>
      <c r="O64" s="814"/>
      <c r="P64" s="25">
        <v>5264</v>
      </c>
      <c r="Q64" s="25">
        <v>1251</v>
      </c>
      <c r="R64" s="25">
        <v>6515</v>
      </c>
      <c r="S64" s="25"/>
      <c r="T64" s="25">
        <v>-22020</v>
      </c>
      <c r="U64" s="25">
        <v>-32911</v>
      </c>
    </row>
    <row r="65" spans="1:21" ht="15" x14ac:dyDescent="0.25">
      <c r="A65" s="826" t="s">
        <v>2571</v>
      </c>
      <c r="B65" s="919">
        <v>3.6643000000000001E-3</v>
      </c>
      <c r="C65" s="919">
        <v>4.065E-3</v>
      </c>
      <c r="D65" s="25">
        <v>-60692</v>
      </c>
      <c r="E65" s="814"/>
      <c r="F65" s="25">
        <v>535</v>
      </c>
      <c r="G65" s="25">
        <v>9674</v>
      </c>
      <c r="H65" s="25">
        <v>2854</v>
      </c>
      <c r="I65" s="25">
        <v>5779</v>
      </c>
      <c r="J65" s="814"/>
      <c r="K65" s="25">
        <v>2770</v>
      </c>
      <c r="L65" s="25"/>
      <c r="M65" s="25">
        <v>0</v>
      </c>
      <c r="N65" s="25">
        <v>1005</v>
      </c>
      <c r="O65" s="814"/>
      <c r="P65" s="25">
        <v>11440</v>
      </c>
      <c r="Q65" s="25">
        <v>1012</v>
      </c>
      <c r="R65" s="25">
        <v>12452</v>
      </c>
      <c r="S65" s="25"/>
      <c r="T65" s="25">
        <v>-47852</v>
      </c>
      <c r="U65" s="25">
        <v>-71520</v>
      </c>
    </row>
    <row r="66" spans="1:21" ht="15" x14ac:dyDescent="0.25">
      <c r="A66" s="826" t="s">
        <v>2572</v>
      </c>
      <c r="B66" s="919">
        <v>7.6944100000000001E-2</v>
      </c>
      <c r="C66" s="919">
        <v>8.22431E-2</v>
      </c>
      <c r="D66" s="25">
        <v>-1274425</v>
      </c>
      <c r="E66" s="814"/>
      <c r="F66" s="25">
        <v>11234</v>
      </c>
      <c r="G66" s="25">
        <v>203132</v>
      </c>
      <c r="H66" s="25">
        <v>59939</v>
      </c>
      <c r="I66" s="25">
        <v>99039</v>
      </c>
      <c r="J66" s="814"/>
      <c r="K66" s="25">
        <v>58170</v>
      </c>
      <c r="L66" s="25"/>
      <c r="M66" s="25">
        <v>0</v>
      </c>
      <c r="N66" s="25">
        <v>18876</v>
      </c>
      <c r="O66" s="814"/>
      <c r="P66" s="25">
        <v>240219</v>
      </c>
      <c r="Q66" s="25">
        <v>78753</v>
      </c>
      <c r="R66" s="25">
        <v>318972</v>
      </c>
      <c r="S66" s="25"/>
      <c r="T66" s="25">
        <v>-1004813</v>
      </c>
      <c r="U66" s="25">
        <v>-1501795</v>
      </c>
    </row>
    <row r="67" spans="1:21" ht="15" x14ac:dyDescent="0.25">
      <c r="A67" s="826" t="s">
        <v>2573</v>
      </c>
      <c r="B67" s="919">
        <v>1.5459E-3</v>
      </c>
      <c r="C67" s="919">
        <v>1.4748999999999999E-3</v>
      </c>
      <c r="D67" s="25">
        <v>-25605</v>
      </c>
      <c r="E67" s="814"/>
      <c r="F67" s="25">
        <v>226</v>
      </c>
      <c r="G67" s="25">
        <v>4081</v>
      </c>
      <c r="H67" s="25">
        <v>1204</v>
      </c>
      <c r="I67" s="25">
        <v>809</v>
      </c>
      <c r="J67" s="814"/>
      <c r="K67" s="25">
        <v>1169</v>
      </c>
      <c r="L67" s="25"/>
      <c r="M67" s="25">
        <v>0</v>
      </c>
      <c r="N67" s="25">
        <v>1031</v>
      </c>
      <c r="O67" s="814"/>
      <c r="P67" s="25">
        <v>4826</v>
      </c>
      <c r="Q67" s="25">
        <v>380</v>
      </c>
      <c r="R67" s="25">
        <v>5206</v>
      </c>
      <c r="S67" s="25"/>
      <c r="T67" s="25">
        <v>-20188</v>
      </c>
      <c r="U67" s="25">
        <v>-30173</v>
      </c>
    </row>
    <row r="68" spans="1:21" ht="15" x14ac:dyDescent="0.25">
      <c r="A68" s="826" t="s">
        <v>2574</v>
      </c>
      <c r="B68" s="919">
        <v>2.5293999999999998E-3</v>
      </c>
      <c r="C68" s="919">
        <v>2.4242999999999999E-3</v>
      </c>
      <c r="D68" s="25">
        <v>-41894</v>
      </c>
      <c r="E68" s="814"/>
      <c r="F68" s="25">
        <v>369</v>
      </c>
      <c r="G68" s="25">
        <v>6678</v>
      </c>
      <c r="H68" s="25">
        <v>1970</v>
      </c>
      <c r="I68" s="25">
        <v>482</v>
      </c>
      <c r="J68" s="814"/>
      <c r="K68" s="25">
        <v>1912</v>
      </c>
      <c r="L68" s="25"/>
      <c r="M68" s="25">
        <v>0</v>
      </c>
      <c r="N68" s="25">
        <v>1516</v>
      </c>
      <c r="O68" s="814"/>
      <c r="P68" s="25">
        <v>7897</v>
      </c>
      <c r="Q68" s="25">
        <v>-312</v>
      </c>
      <c r="R68" s="25">
        <v>7585</v>
      </c>
      <c r="S68" s="25"/>
      <c r="T68" s="25">
        <v>-33031</v>
      </c>
      <c r="U68" s="25">
        <v>-49369</v>
      </c>
    </row>
    <row r="69" spans="1:21" ht="15" x14ac:dyDescent="0.25">
      <c r="A69" s="826" t="s">
        <v>2575</v>
      </c>
      <c r="B69" s="919">
        <v>1.29754E-2</v>
      </c>
      <c r="C69" s="919">
        <v>6.9439999999999997E-3</v>
      </c>
      <c r="D69" s="25">
        <v>-214912</v>
      </c>
      <c r="E69" s="814"/>
      <c r="F69" s="25">
        <v>1894</v>
      </c>
      <c r="G69" s="25">
        <v>34255</v>
      </c>
      <c r="H69" s="25">
        <v>10108</v>
      </c>
      <c r="I69" s="25">
        <v>125506</v>
      </c>
      <c r="J69" s="814"/>
      <c r="K69" s="25">
        <v>9809</v>
      </c>
      <c r="L69" s="25"/>
      <c r="M69" s="25">
        <v>0</v>
      </c>
      <c r="N69" s="25">
        <v>113369</v>
      </c>
      <c r="O69" s="814"/>
      <c r="P69" s="25">
        <v>40509</v>
      </c>
      <c r="Q69" s="25">
        <v>10269</v>
      </c>
      <c r="R69" s="25">
        <v>50778</v>
      </c>
      <c r="S69" s="25"/>
      <c r="T69" s="25">
        <v>-169446</v>
      </c>
      <c r="U69" s="25">
        <v>-253254</v>
      </c>
    </row>
    <row r="70" spans="1:21" ht="15" x14ac:dyDescent="0.25">
      <c r="A70" s="826" t="s">
        <v>2576</v>
      </c>
      <c r="B70" s="919">
        <v>8.5197999999999992E-3</v>
      </c>
      <c r="C70" s="919">
        <v>8.3329000000000007E-3</v>
      </c>
      <c r="D70" s="25">
        <v>-141113</v>
      </c>
      <c r="E70" s="814"/>
      <c r="F70" s="25">
        <v>1244</v>
      </c>
      <c r="G70" s="25">
        <v>22492</v>
      </c>
      <c r="H70" s="25">
        <v>6637</v>
      </c>
      <c r="I70" s="25">
        <v>70</v>
      </c>
      <c r="J70" s="814"/>
      <c r="K70" s="25">
        <v>6441</v>
      </c>
      <c r="L70" s="25"/>
      <c r="M70" s="25">
        <v>0</v>
      </c>
      <c r="N70" s="25">
        <v>2771</v>
      </c>
      <c r="O70" s="814"/>
      <c r="P70" s="25">
        <v>26599</v>
      </c>
      <c r="Q70" s="25">
        <v>-1146</v>
      </c>
      <c r="R70" s="25">
        <v>25453</v>
      </c>
      <c r="S70" s="25"/>
      <c r="T70" s="25">
        <v>-111260</v>
      </c>
      <c r="U70" s="25">
        <v>-166289</v>
      </c>
    </row>
    <row r="71" spans="1:21" ht="15" x14ac:dyDescent="0.25">
      <c r="A71" s="826" t="s">
        <v>2577</v>
      </c>
      <c r="B71" s="919">
        <v>2.6295800000000001E-2</v>
      </c>
      <c r="C71" s="919">
        <v>2.74573E-2</v>
      </c>
      <c r="D71" s="25">
        <v>-435537</v>
      </c>
      <c r="E71" s="814"/>
      <c r="F71" s="25">
        <v>3839</v>
      </c>
      <c r="G71" s="25">
        <v>69421</v>
      </c>
      <c r="H71" s="25">
        <v>20484</v>
      </c>
      <c r="I71" s="25">
        <v>16882</v>
      </c>
      <c r="J71" s="814"/>
      <c r="K71" s="25">
        <v>19880</v>
      </c>
      <c r="L71" s="25"/>
      <c r="M71" s="25">
        <v>0</v>
      </c>
      <c r="N71" s="25">
        <v>3897</v>
      </c>
      <c r="O71" s="814"/>
      <c r="P71" s="25">
        <v>82095</v>
      </c>
      <c r="Q71" s="25">
        <v>-3491</v>
      </c>
      <c r="R71" s="25">
        <v>78604</v>
      </c>
      <c r="S71" s="25"/>
      <c r="T71" s="25">
        <v>-343397</v>
      </c>
      <c r="U71" s="25">
        <v>-513241</v>
      </c>
    </row>
    <row r="72" spans="1:21" ht="15" x14ac:dyDescent="0.25">
      <c r="A72" s="826" t="s">
        <v>2578</v>
      </c>
      <c r="B72" s="919">
        <v>1.4216999999999999E-3</v>
      </c>
      <c r="C72" s="919">
        <v>1.5912999999999999E-3</v>
      </c>
      <c r="D72" s="25">
        <v>-23548</v>
      </c>
      <c r="E72" s="814"/>
      <c r="F72" s="25">
        <v>208</v>
      </c>
      <c r="G72" s="25">
        <v>3753</v>
      </c>
      <c r="H72" s="25">
        <v>1108</v>
      </c>
      <c r="I72" s="25">
        <v>3939</v>
      </c>
      <c r="J72" s="814"/>
      <c r="K72" s="25">
        <v>1075</v>
      </c>
      <c r="L72" s="25"/>
      <c r="M72" s="25">
        <v>0</v>
      </c>
      <c r="N72" s="25">
        <v>205</v>
      </c>
      <c r="O72" s="814"/>
      <c r="P72" s="25">
        <v>4439</v>
      </c>
      <c r="Q72" s="25">
        <v>2096</v>
      </c>
      <c r="R72" s="25">
        <v>6535</v>
      </c>
      <c r="S72" s="25"/>
      <c r="T72" s="25">
        <v>-18566</v>
      </c>
      <c r="U72" s="25">
        <v>-27749</v>
      </c>
    </row>
    <row r="73" spans="1:21" ht="15" x14ac:dyDescent="0.25">
      <c r="A73" s="826" t="s">
        <v>2579</v>
      </c>
      <c r="B73" s="919">
        <v>2.2576100000000002E-2</v>
      </c>
      <c r="C73" s="919">
        <v>2.2098099999999999E-2</v>
      </c>
      <c r="D73" s="25">
        <v>-373928</v>
      </c>
      <c r="E73" s="814"/>
      <c r="F73" s="25">
        <v>3296</v>
      </c>
      <c r="G73" s="25">
        <v>59601</v>
      </c>
      <c r="H73" s="25">
        <v>17587</v>
      </c>
      <c r="I73" s="25">
        <v>2569</v>
      </c>
      <c r="J73" s="814"/>
      <c r="K73" s="25">
        <v>17068</v>
      </c>
      <c r="L73" s="25"/>
      <c r="M73" s="25">
        <v>0</v>
      </c>
      <c r="N73" s="25">
        <v>6895</v>
      </c>
      <c r="O73" s="814"/>
      <c r="P73" s="25">
        <v>70483</v>
      </c>
      <c r="Q73" s="25">
        <v>1816</v>
      </c>
      <c r="R73" s="25">
        <v>72299</v>
      </c>
      <c r="S73" s="25"/>
      <c r="T73" s="25">
        <v>-294821</v>
      </c>
      <c r="U73" s="25">
        <v>-440640</v>
      </c>
    </row>
    <row r="74" spans="1:21" ht="15" x14ac:dyDescent="0.25">
      <c r="A74" s="826" t="s">
        <v>2580</v>
      </c>
      <c r="B74" s="919">
        <v>1.1271E-2</v>
      </c>
      <c r="C74" s="919">
        <v>1.12581E-2</v>
      </c>
      <c r="D74" s="25">
        <v>-186682</v>
      </c>
      <c r="E74" s="814"/>
      <c r="F74" s="25">
        <v>1646</v>
      </c>
      <c r="G74" s="25">
        <v>29755</v>
      </c>
      <c r="H74" s="25">
        <v>8780</v>
      </c>
      <c r="I74" s="25">
        <v>2135</v>
      </c>
      <c r="J74" s="814"/>
      <c r="K74" s="25">
        <v>8521</v>
      </c>
      <c r="L74" s="25"/>
      <c r="M74" s="25">
        <v>0</v>
      </c>
      <c r="N74" s="25">
        <v>1770</v>
      </c>
      <c r="O74" s="814"/>
      <c r="P74" s="25">
        <v>35188</v>
      </c>
      <c r="Q74" s="25">
        <v>-2766</v>
      </c>
      <c r="R74" s="25">
        <v>32422</v>
      </c>
      <c r="S74" s="25"/>
      <c r="T74" s="25">
        <v>-147188</v>
      </c>
      <c r="U74" s="25">
        <v>-219987</v>
      </c>
    </row>
    <row r="75" spans="1:21" ht="15" x14ac:dyDescent="0.25">
      <c r="A75" s="826" t="s">
        <v>2581</v>
      </c>
      <c r="B75" s="919">
        <v>1.3504999999999999E-3</v>
      </c>
      <c r="C75" s="919">
        <v>1.4119E-3</v>
      </c>
      <c r="D75" s="25">
        <v>-22368</v>
      </c>
      <c r="E75" s="814"/>
      <c r="F75" s="25">
        <v>197</v>
      </c>
      <c r="G75" s="25">
        <v>3565</v>
      </c>
      <c r="H75" s="25">
        <v>1052</v>
      </c>
      <c r="I75" s="25">
        <v>2094</v>
      </c>
      <c r="J75" s="814"/>
      <c r="K75" s="25">
        <v>1021</v>
      </c>
      <c r="L75" s="25"/>
      <c r="M75" s="25">
        <v>0</v>
      </c>
      <c r="N75" s="25">
        <v>454</v>
      </c>
      <c r="O75" s="814"/>
      <c r="P75" s="25">
        <v>4216</v>
      </c>
      <c r="Q75" s="25">
        <v>546</v>
      </c>
      <c r="R75" s="25">
        <v>4762</v>
      </c>
      <c r="S75" s="25"/>
      <c r="T75" s="25">
        <v>-17636</v>
      </c>
      <c r="U75" s="25">
        <v>-26359</v>
      </c>
    </row>
    <row r="76" spans="1:21" ht="15" x14ac:dyDescent="0.25">
      <c r="A76" s="826" t="s">
        <v>2582</v>
      </c>
      <c r="B76" s="919">
        <v>4.0229999999999997E-3</v>
      </c>
      <c r="C76" s="919">
        <v>4.0241000000000001E-3</v>
      </c>
      <c r="D76" s="25">
        <v>-66633</v>
      </c>
      <c r="E76" s="814"/>
      <c r="F76" s="25">
        <v>587</v>
      </c>
      <c r="G76" s="25">
        <v>10621</v>
      </c>
      <c r="H76" s="25">
        <v>3134</v>
      </c>
      <c r="I76" s="25">
        <v>1688</v>
      </c>
      <c r="J76" s="814"/>
      <c r="K76" s="25">
        <v>3041</v>
      </c>
      <c r="L76" s="25"/>
      <c r="M76" s="25">
        <v>0</v>
      </c>
      <c r="N76" s="25">
        <v>312</v>
      </c>
      <c r="O76" s="814"/>
      <c r="P76" s="25">
        <v>12560</v>
      </c>
      <c r="Q76" s="25">
        <v>994</v>
      </c>
      <c r="R76" s="25">
        <v>13554</v>
      </c>
      <c r="S76" s="25"/>
      <c r="T76" s="25">
        <v>-52536</v>
      </c>
      <c r="U76" s="25">
        <v>-78521</v>
      </c>
    </row>
    <row r="77" spans="1:21" ht="15" x14ac:dyDescent="0.25">
      <c r="A77" s="826" t="s">
        <v>2583</v>
      </c>
      <c r="B77" s="919">
        <v>7.2078999999999997E-3</v>
      </c>
      <c r="C77" s="919">
        <v>7.4469999999999996E-3</v>
      </c>
      <c r="D77" s="25">
        <v>-119384</v>
      </c>
      <c r="E77" s="814"/>
      <c r="F77" s="25">
        <v>1052</v>
      </c>
      <c r="G77" s="25">
        <v>19029</v>
      </c>
      <c r="H77" s="25">
        <v>5615</v>
      </c>
      <c r="I77" s="25">
        <v>3449</v>
      </c>
      <c r="J77" s="814"/>
      <c r="K77" s="25">
        <v>5449</v>
      </c>
      <c r="L77" s="25"/>
      <c r="M77" s="25">
        <v>0</v>
      </c>
      <c r="N77" s="25">
        <v>2018</v>
      </c>
      <c r="O77" s="814"/>
      <c r="P77" s="25">
        <v>22503</v>
      </c>
      <c r="Q77" s="25">
        <v>-1672</v>
      </c>
      <c r="R77" s="25">
        <v>20831</v>
      </c>
      <c r="S77" s="25"/>
      <c r="T77" s="25">
        <v>-94128</v>
      </c>
      <c r="U77" s="25">
        <v>-140684</v>
      </c>
    </row>
    <row r="78" spans="1:21" ht="15" x14ac:dyDescent="0.25">
      <c r="A78" s="826" t="s">
        <v>2584</v>
      </c>
      <c r="B78" s="919">
        <v>1.3741000000000001E-3</v>
      </c>
      <c r="C78" s="919">
        <v>1.2819000000000001E-3</v>
      </c>
      <c r="D78" s="25">
        <v>-22759</v>
      </c>
      <c r="E78" s="814"/>
      <c r="F78" s="25">
        <v>201</v>
      </c>
      <c r="G78" s="25">
        <v>3628</v>
      </c>
      <c r="H78" s="25">
        <v>1070</v>
      </c>
      <c r="I78" s="25">
        <v>1115</v>
      </c>
      <c r="J78" s="814"/>
      <c r="K78" s="25">
        <v>1039</v>
      </c>
      <c r="L78" s="25"/>
      <c r="M78" s="25">
        <v>0</v>
      </c>
      <c r="N78" s="25">
        <v>1547</v>
      </c>
      <c r="O78" s="814"/>
      <c r="P78" s="25">
        <v>4290</v>
      </c>
      <c r="Q78" s="25">
        <v>-74</v>
      </c>
      <c r="R78" s="25">
        <v>4216</v>
      </c>
      <c r="S78" s="25"/>
      <c r="T78" s="25">
        <v>-17944</v>
      </c>
      <c r="U78" s="25">
        <v>-26820</v>
      </c>
    </row>
    <row r="79" spans="1:21" ht="15" x14ac:dyDescent="0.25">
      <c r="A79" s="826" t="s">
        <v>2585</v>
      </c>
      <c r="B79" s="919">
        <v>3.4971999999999998E-3</v>
      </c>
      <c r="C79" s="919">
        <v>3.4467E-3</v>
      </c>
      <c r="D79" s="25">
        <v>-57924</v>
      </c>
      <c r="E79" s="814"/>
      <c r="F79" s="25">
        <v>511</v>
      </c>
      <c r="G79" s="25">
        <v>9233</v>
      </c>
      <c r="H79" s="25">
        <v>2724</v>
      </c>
      <c r="I79" s="25">
        <v>601</v>
      </c>
      <c r="J79" s="814"/>
      <c r="K79" s="25">
        <v>2644</v>
      </c>
      <c r="L79" s="25"/>
      <c r="M79" s="25">
        <v>0</v>
      </c>
      <c r="N79" s="25">
        <v>729</v>
      </c>
      <c r="O79" s="814"/>
      <c r="P79" s="25">
        <v>10918</v>
      </c>
      <c r="Q79" s="25">
        <v>650</v>
      </c>
      <c r="R79" s="25">
        <v>11568</v>
      </c>
      <c r="S79" s="25"/>
      <c r="T79" s="25">
        <v>-45670</v>
      </c>
      <c r="U79" s="25">
        <v>-68258</v>
      </c>
    </row>
    <row r="80" spans="1:21" ht="15" x14ac:dyDescent="0.25">
      <c r="A80" s="826" t="s">
        <v>2586</v>
      </c>
      <c r="B80" s="919">
        <v>1.43987E-2</v>
      </c>
      <c r="C80" s="919">
        <v>1.4525700000000001E-2</v>
      </c>
      <c r="D80" s="25">
        <v>-238486</v>
      </c>
      <c r="E80" s="814"/>
      <c r="F80" s="25">
        <v>2102</v>
      </c>
      <c r="G80" s="25">
        <v>38013</v>
      </c>
      <c r="H80" s="25">
        <v>11217</v>
      </c>
      <c r="I80" s="25">
        <v>2805</v>
      </c>
      <c r="J80" s="814"/>
      <c r="K80" s="25">
        <v>10885</v>
      </c>
      <c r="L80" s="25"/>
      <c r="M80" s="25">
        <v>0</v>
      </c>
      <c r="N80" s="25">
        <v>2402</v>
      </c>
      <c r="O80" s="814"/>
      <c r="P80" s="25">
        <v>44953</v>
      </c>
      <c r="Q80" s="25">
        <v>1419</v>
      </c>
      <c r="R80" s="25">
        <v>46372</v>
      </c>
      <c r="S80" s="25"/>
      <c r="T80" s="25">
        <v>-188033</v>
      </c>
      <c r="U80" s="25">
        <v>-281034</v>
      </c>
    </row>
    <row r="81" spans="1:21" ht="15" x14ac:dyDescent="0.25">
      <c r="A81" s="826" t="s">
        <v>2587</v>
      </c>
      <c r="B81" s="919">
        <v>2.7234E-3</v>
      </c>
      <c r="C81" s="919">
        <v>2.3395999999999998E-3</v>
      </c>
      <c r="D81" s="25">
        <v>-45108</v>
      </c>
      <c r="E81" s="814"/>
      <c r="F81" s="25">
        <v>398</v>
      </c>
      <c r="G81" s="25">
        <v>7190</v>
      </c>
      <c r="H81" s="25">
        <v>2122</v>
      </c>
      <c r="I81" s="25">
        <v>370</v>
      </c>
      <c r="J81" s="814"/>
      <c r="K81" s="25">
        <v>2059</v>
      </c>
      <c r="L81" s="25"/>
      <c r="M81" s="25">
        <v>0</v>
      </c>
      <c r="N81" s="25">
        <v>6117</v>
      </c>
      <c r="O81" s="814"/>
      <c r="P81" s="25">
        <v>8502</v>
      </c>
      <c r="Q81" s="25">
        <v>-2628</v>
      </c>
      <c r="R81" s="25">
        <v>5874</v>
      </c>
      <c r="S81" s="25"/>
      <c r="T81" s="25">
        <v>-35565</v>
      </c>
      <c r="U81" s="25">
        <v>-53155</v>
      </c>
    </row>
    <row r="82" spans="1:21" ht="15" x14ac:dyDescent="0.25">
      <c r="A82" s="826" t="s">
        <v>2588</v>
      </c>
      <c r="B82" s="919">
        <v>1.17597E-2</v>
      </c>
      <c r="C82" s="919">
        <v>1.20278E-2</v>
      </c>
      <c r="D82" s="25">
        <v>-194776</v>
      </c>
      <c r="E82" s="814"/>
      <c r="F82" s="25">
        <v>1717</v>
      </c>
      <c r="G82" s="25">
        <v>31046</v>
      </c>
      <c r="H82" s="25">
        <v>9161</v>
      </c>
      <c r="I82" s="25">
        <v>7439</v>
      </c>
      <c r="J82" s="814"/>
      <c r="K82" s="25">
        <v>8890</v>
      </c>
      <c r="L82" s="25"/>
      <c r="M82" s="25">
        <v>0</v>
      </c>
      <c r="N82" s="25">
        <v>1308</v>
      </c>
      <c r="O82" s="814"/>
      <c r="P82" s="25">
        <v>36714</v>
      </c>
      <c r="Q82" s="25">
        <v>8249</v>
      </c>
      <c r="R82" s="25">
        <v>44963</v>
      </c>
      <c r="S82" s="25"/>
      <c r="T82" s="25">
        <v>-153570</v>
      </c>
      <c r="U82" s="25">
        <v>-229526</v>
      </c>
    </row>
    <row r="83" spans="1:21" ht="15" x14ac:dyDescent="0.25">
      <c r="A83" s="826" t="s">
        <v>2589</v>
      </c>
      <c r="B83" s="919">
        <v>3.0539E-3</v>
      </c>
      <c r="C83" s="919">
        <v>2.7853999999999999E-3</v>
      </c>
      <c r="D83" s="25">
        <v>-50582</v>
      </c>
      <c r="E83" s="814"/>
      <c r="F83" s="25">
        <v>446</v>
      </c>
      <c r="G83" s="25">
        <v>8062</v>
      </c>
      <c r="H83" s="25">
        <v>2379</v>
      </c>
      <c r="I83" s="25">
        <v>1328</v>
      </c>
      <c r="J83" s="814"/>
      <c r="K83" s="25">
        <v>2309</v>
      </c>
      <c r="L83" s="25"/>
      <c r="M83" s="25">
        <v>0</v>
      </c>
      <c r="N83" s="25">
        <v>4039</v>
      </c>
      <c r="O83" s="814"/>
      <c r="P83" s="25">
        <v>9534</v>
      </c>
      <c r="Q83" s="25">
        <v>-1186</v>
      </c>
      <c r="R83" s="25">
        <v>8348</v>
      </c>
      <c r="S83" s="25"/>
      <c r="T83" s="25">
        <v>-39881</v>
      </c>
      <c r="U83" s="25">
        <v>-59606</v>
      </c>
    </row>
    <row r="84" spans="1:21" ht="15" x14ac:dyDescent="0.25">
      <c r="A84" s="826" t="s">
        <v>2590</v>
      </c>
      <c r="B84" s="919">
        <v>8.0315000000000004E-3</v>
      </c>
      <c r="C84" s="919">
        <v>7.8741000000000002E-3</v>
      </c>
      <c r="D84" s="25">
        <v>-133026</v>
      </c>
      <c r="E84" s="814"/>
      <c r="F84" s="25">
        <v>1173</v>
      </c>
      <c r="G84" s="25">
        <v>21203</v>
      </c>
      <c r="H84" s="25">
        <v>6257</v>
      </c>
      <c r="I84" s="25">
        <v>4622</v>
      </c>
      <c r="J84" s="814"/>
      <c r="K84" s="25">
        <v>6072</v>
      </c>
      <c r="L84" s="25"/>
      <c r="M84" s="25">
        <v>0</v>
      </c>
      <c r="N84" s="25">
        <v>4037</v>
      </c>
      <c r="O84" s="814"/>
      <c r="P84" s="25">
        <v>25074</v>
      </c>
      <c r="Q84" s="25">
        <v>-1061</v>
      </c>
      <c r="R84" s="25">
        <v>24013</v>
      </c>
      <c r="S84" s="25"/>
      <c r="T84" s="25">
        <v>-104883</v>
      </c>
      <c r="U84" s="25">
        <v>-156759</v>
      </c>
    </row>
    <row r="85" spans="1:21" ht="15" x14ac:dyDescent="0.25">
      <c r="A85" s="826" t="s">
        <v>2591</v>
      </c>
      <c r="B85" s="919">
        <v>8.4376999999999994E-3</v>
      </c>
      <c r="C85" s="919">
        <v>8.0756999999999999E-3</v>
      </c>
      <c r="D85" s="25">
        <v>-139754</v>
      </c>
      <c r="E85" s="814"/>
      <c r="F85" s="25">
        <v>1232</v>
      </c>
      <c r="G85" s="25">
        <v>22276</v>
      </c>
      <c r="H85" s="25">
        <v>6573</v>
      </c>
      <c r="I85" s="25">
        <v>455</v>
      </c>
      <c r="J85" s="814"/>
      <c r="K85" s="25">
        <v>6379</v>
      </c>
      <c r="L85" s="25"/>
      <c r="M85" s="25">
        <v>0</v>
      </c>
      <c r="N85" s="25">
        <v>5922</v>
      </c>
      <c r="O85" s="814"/>
      <c r="P85" s="25">
        <v>26342</v>
      </c>
      <c r="Q85" s="25">
        <v>-2211</v>
      </c>
      <c r="R85" s="25">
        <v>24131</v>
      </c>
      <c r="S85" s="25"/>
      <c r="T85" s="25">
        <v>-110188</v>
      </c>
      <c r="U85" s="25">
        <v>-164687</v>
      </c>
    </row>
    <row r="86" spans="1:21" ht="15" x14ac:dyDescent="0.25">
      <c r="A86" s="826" t="s">
        <v>2592</v>
      </c>
      <c r="B86" s="919">
        <v>1.3658699999999999E-2</v>
      </c>
      <c r="C86" s="919">
        <v>1.3247699999999999E-2</v>
      </c>
      <c r="D86" s="25">
        <v>-226229</v>
      </c>
      <c r="E86" s="814"/>
      <c r="F86" s="25">
        <v>1994</v>
      </c>
      <c r="G86" s="25">
        <v>36059</v>
      </c>
      <c r="H86" s="25">
        <v>10640</v>
      </c>
      <c r="I86" s="25">
        <v>0</v>
      </c>
      <c r="J86" s="814"/>
      <c r="K86" s="25">
        <v>10326</v>
      </c>
      <c r="L86" s="25"/>
      <c r="M86" s="25">
        <v>0</v>
      </c>
      <c r="N86" s="25">
        <v>9253</v>
      </c>
      <c r="O86" s="814"/>
      <c r="P86" s="25">
        <v>42642</v>
      </c>
      <c r="Q86" s="25">
        <v>-7706</v>
      </c>
      <c r="R86" s="25">
        <v>34936</v>
      </c>
      <c r="S86" s="25"/>
      <c r="T86" s="25">
        <v>-178369</v>
      </c>
      <c r="U86" s="25">
        <v>-266591</v>
      </c>
    </row>
    <row r="87" spans="1:21" ht="15" x14ac:dyDescent="0.25">
      <c r="A87" s="826" t="s">
        <v>2593</v>
      </c>
      <c r="B87" s="919">
        <v>6.7662E-3</v>
      </c>
      <c r="C87" s="919">
        <v>6.8475000000000003E-3</v>
      </c>
      <c r="D87" s="25">
        <v>-112069</v>
      </c>
      <c r="E87" s="814"/>
      <c r="F87" s="25">
        <v>988</v>
      </c>
      <c r="G87" s="25">
        <v>17863</v>
      </c>
      <c r="H87" s="25">
        <v>5271</v>
      </c>
      <c r="I87" s="25">
        <v>1173</v>
      </c>
      <c r="J87" s="814"/>
      <c r="K87" s="25">
        <v>5115</v>
      </c>
      <c r="L87" s="25"/>
      <c r="M87" s="25">
        <v>0</v>
      </c>
      <c r="N87" s="25">
        <v>2112</v>
      </c>
      <c r="O87" s="814"/>
      <c r="P87" s="25">
        <v>21124</v>
      </c>
      <c r="Q87" s="25">
        <v>-1980</v>
      </c>
      <c r="R87" s="25">
        <v>19144</v>
      </c>
      <c r="S87" s="25"/>
      <c r="T87" s="25">
        <v>-88360</v>
      </c>
      <c r="U87" s="25">
        <v>-132063</v>
      </c>
    </row>
    <row r="88" spans="1:21" ht="15" x14ac:dyDescent="0.25">
      <c r="A88" s="826" t="s">
        <v>2594</v>
      </c>
      <c r="B88" s="919">
        <v>4.7327999999999997E-3</v>
      </c>
      <c r="C88" s="919">
        <v>4.8418000000000003E-3</v>
      </c>
      <c r="D88" s="25">
        <v>-78389</v>
      </c>
      <c r="E88" s="814"/>
      <c r="F88" s="25">
        <v>691</v>
      </c>
      <c r="G88" s="25">
        <v>12495</v>
      </c>
      <c r="H88" s="25">
        <v>3687</v>
      </c>
      <c r="I88" s="25">
        <v>2872</v>
      </c>
      <c r="J88" s="814"/>
      <c r="K88" s="25">
        <v>3578</v>
      </c>
      <c r="L88" s="25"/>
      <c r="M88" s="25">
        <v>0</v>
      </c>
      <c r="N88" s="25">
        <v>399</v>
      </c>
      <c r="O88" s="814"/>
      <c r="P88" s="25">
        <v>14776</v>
      </c>
      <c r="Q88" s="25">
        <v>1049</v>
      </c>
      <c r="R88" s="25">
        <v>15825</v>
      </c>
      <c r="S88" s="25"/>
      <c r="T88" s="25">
        <v>-61806</v>
      </c>
      <c r="U88" s="25">
        <v>-92375</v>
      </c>
    </row>
    <row r="89" spans="1:21" ht="15" x14ac:dyDescent="0.25">
      <c r="A89" s="826" t="s">
        <v>2595</v>
      </c>
      <c r="B89" s="919">
        <v>2.7859999999999998E-3</v>
      </c>
      <c r="C89" s="919">
        <v>2.9344000000000002E-3</v>
      </c>
      <c r="D89" s="25">
        <v>-46145</v>
      </c>
      <c r="E89" s="814"/>
      <c r="F89" s="25">
        <v>407</v>
      </c>
      <c r="G89" s="25">
        <v>7355</v>
      </c>
      <c r="H89" s="25">
        <v>2170</v>
      </c>
      <c r="I89" s="25">
        <v>3325</v>
      </c>
      <c r="J89" s="814"/>
      <c r="K89" s="25">
        <v>2106</v>
      </c>
      <c r="L89" s="25"/>
      <c r="M89" s="25">
        <v>0</v>
      </c>
      <c r="N89" s="25">
        <v>637</v>
      </c>
      <c r="O89" s="814"/>
      <c r="P89" s="25">
        <v>8698</v>
      </c>
      <c r="Q89" s="25">
        <v>510</v>
      </c>
      <c r="R89" s="25">
        <v>9208</v>
      </c>
      <c r="S89" s="25"/>
      <c r="T89" s="25">
        <v>-36382</v>
      </c>
      <c r="U89" s="25">
        <v>-54377</v>
      </c>
    </row>
    <row r="90" spans="1:21" ht="15" x14ac:dyDescent="0.25">
      <c r="A90" s="826" t="s">
        <v>2596</v>
      </c>
      <c r="B90" s="919">
        <v>6.2506999999999997E-3</v>
      </c>
      <c r="C90" s="919">
        <v>6.3501E-3</v>
      </c>
      <c r="D90" s="25">
        <v>-103530</v>
      </c>
      <c r="E90" s="814"/>
      <c r="F90" s="25">
        <v>913</v>
      </c>
      <c r="G90" s="25">
        <v>16502</v>
      </c>
      <c r="H90" s="25">
        <v>4869</v>
      </c>
      <c r="I90" s="25">
        <v>1435</v>
      </c>
      <c r="J90" s="814"/>
      <c r="K90" s="25">
        <v>4726</v>
      </c>
      <c r="L90" s="25"/>
      <c r="M90" s="25">
        <v>0</v>
      </c>
      <c r="N90" s="25">
        <v>1988</v>
      </c>
      <c r="O90" s="814"/>
      <c r="P90" s="25">
        <v>19515</v>
      </c>
      <c r="Q90" s="25">
        <v>-3419</v>
      </c>
      <c r="R90" s="25">
        <v>16096</v>
      </c>
      <c r="S90" s="25"/>
      <c r="T90" s="25">
        <v>-81628</v>
      </c>
      <c r="U90" s="25">
        <v>-122001</v>
      </c>
    </row>
    <row r="91" spans="1:21" ht="15" x14ac:dyDescent="0.25">
      <c r="A91" s="826" t="s">
        <v>2597</v>
      </c>
      <c r="B91" s="919">
        <v>3.6289E-3</v>
      </c>
      <c r="C91" s="919">
        <v>3.8162000000000001E-3</v>
      </c>
      <c r="D91" s="25">
        <v>-60105</v>
      </c>
      <c r="E91" s="814"/>
      <c r="F91" s="25">
        <v>530</v>
      </c>
      <c r="G91" s="25">
        <v>9580</v>
      </c>
      <c r="H91" s="25">
        <v>2827</v>
      </c>
      <c r="I91" s="25">
        <v>3176</v>
      </c>
      <c r="J91" s="814"/>
      <c r="K91" s="25">
        <v>2743</v>
      </c>
      <c r="L91" s="25"/>
      <c r="M91" s="25">
        <v>0</v>
      </c>
      <c r="N91" s="25">
        <v>1052</v>
      </c>
      <c r="O91" s="814"/>
      <c r="P91" s="25">
        <v>11329</v>
      </c>
      <c r="Q91" s="25">
        <v>1261</v>
      </c>
      <c r="R91" s="25">
        <v>12590</v>
      </c>
      <c r="S91" s="25"/>
      <c r="T91" s="25">
        <v>-47390</v>
      </c>
      <c r="U91" s="25">
        <v>-70829</v>
      </c>
    </row>
    <row r="92" spans="1:21" ht="15" x14ac:dyDescent="0.25">
      <c r="A92" s="826" t="s">
        <v>2598</v>
      </c>
      <c r="B92" s="919">
        <v>7.6375999999999996E-3</v>
      </c>
      <c r="C92" s="919">
        <v>6.3610999999999997E-3</v>
      </c>
      <c r="D92" s="25">
        <v>-126502</v>
      </c>
      <c r="E92" s="814"/>
      <c r="F92" s="25">
        <v>1115</v>
      </c>
      <c r="G92" s="25">
        <v>20163</v>
      </c>
      <c r="H92" s="25">
        <v>5950</v>
      </c>
      <c r="I92" s="25">
        <v>6322</v>
      </c>
      <c r="J92" s="814"/>
      <c r="K92" s="25">
        <v>5774</v>
      </c>
      <c r="L92" s="25"/>
      <c r="M92" s="25">
        <v>0</v>
      </c>
      <c r="N92" s="25">
        <v>18673</v>
      </c>
      <c r="O92" s="814"/>
      <c r="P92" s="25">
        <v>23845</v>
      </c>
      <c r="Q92" s="25">
        <v>-3596</v>
      </c>
      <c r="R92" s="25">
        <v>20249</v>
      </c>
      <c r="S92" s="25"/>
      <c r="T92" s="25">
        <v>-99739</v>
      </c>
      <c r="U92" s="25">
        <v>-149071</v>
      </c>
    </row>
    <row r="93" spans="1:21" ht="15" x14ac:dyDescent="0.25">
      <c r="A93" s="826" t="s">
        <v>2599</v>
      </c>
      <c r="B93" s="919">
        <v>3.0925000000000002E-3</v>
      </c>
      <c r="C93" s="919">
        <v>3.0937999999999998E-3</v>
      </c>
      <c r="D93" s="25">
        <v>-51221</v>
      </c>
      <c r="E93" s="814"/>
      <c r="F93" s="25">
        <v>452</v>
      </c>
      <c r="G93" s="25">
        <v>8164</v>
      </c>
      <c r="H93" s="25">
        <v>2409</v>
      </c>
      <c r="I93" s="25">
        <v>18</v>
      </c>
      <c r="J93" s="814"/>
      <c r="K93" s="25">
        <v>2338</v>
      </c>
      <c r="L93" s="25"/>
      <c r="M93" s="25">
        <v>0</v>
      </c>
      <c r="N93" s="25">
        <v>988</v>
      </c>
      <c r="O93" s="814"/>
      <c r="P93" s="25">
        <v>9655</v>
      </c>
      <c r="Q93" s="25">
        <v>-1956</v>
      </c>
      <c r="R93" s="25">
        <v>7699</v>
      </c>
      <c r="S93" s="25"/>
      <c r="T93" s="25">
        <v>-40385</v>
      </c>
      <c r="U93" s="25">
        <v>-60359</v>
      </c>
    </row>
    <row r="94" spans="1:21" ht="15" x14ac:dyDescent="0.25">
      <c r="A94" s="826" t="s">
        <v>2600</v>
      </c>
      <c r="B94" s="919">
        <v>3.6638999999999999E-3</v>
      </c>
      <c r="C94" s="919">
        <v>4.2665999999999997E-3</v>
      </c>
      <c r="D94" s="25">
        <v>-60685</v>
      </c>
      <c r="E94" s="814"/>
      <c r="F94" s="25">
        <v>535</v>
      </c>
      <c r="G94" s="25">
        <v>9673</v>
      </c>
      <c r="H94" s="25">
        <v>2854</v>
      </c>
      <c r="I94" s="25">
        <v>8695</v>
      </c>
      <c r="J94" s="814"/>
      <c r="K94" s="25">
        <v>2770</v>
      </c>
      <c r="L94" s="25"/>
      <c r="M94" s="25">
        <v>0</v>
      </c>
      <c r="N94" s="25">
        <v>641</v>
      </c>
      <c r="O94" s="814"/>
      <c r="P94" s="25">
        <v>11439</v>
      </c>
      <c r="Q94" s="25">
        <v>3303</v>
      </c>
      <c r="R94" s="25">
        <v>14742</v>
      </c>
      <c r="S94" s="25"/>
      <c r="T94" s="25">
        <v>-47847</v>
      </c>
      <c r="U94" s="25">
        <v>-71512</v>
      </c>
    </row>
    <row r="95" spans="1:21" ht="15" x14ac:dyDescent="0.25">
      <c r="A95" s="826" t="s">
        <v>2601</v>
      </c>
      <c r="B95" s="919">
        <v>3.189E-4</v>
      </c>
      <c r="C95" s="919">
        <v>3.0699999999999998E-4</v>
      </c>
      <c r="D95" s="25">
        <v>-5282</v>
      </c>
      <c r="E95" s="814"/>
      <c r="F95" s="25">
        <v>47</v>
      </c>
      <c r="G95" s="25">
        <v>842</v>
      </c>
      <c r="H95" s="25">
        <v>248</v>
      </c>
      <c r="I95" s="25">
        <v>512</v>
      </c>
      <c r="J95" s="814"/>
      <c r="K95" s="25">
        <v>241</v>
      </c>
      <c r="L95" s="25"/>
      <c r="M95" s="25">
        <v>0</v>
      </c>
      <c r="N95" s="25">
        <v>263</v>
      </c>
      <c r="O95" s="814"/>
      <c r="P95" s="25">
        <v>996</v>
      </c>
      <c r="Q95" s="25">
        <v>302</v>
      </c>
      <c r="R95" s="25">
        <v>1298</v>
      </c>
      <c r="S95" s="25"/>
      <c r="T95" s="25">
        <v>-4165</v>
      </c>
      <c r="U95" s="25">
        <v>-6224</v>
      </c>
    </row>
    <row r="96" spans="1:21" ht="15" x14ac:dyDescent="0.25">
      <c r="A96" s="826" t="s">
        <v>2602</v>
      </c>
      <c r="B96" s="919">
        <v>2.5016799999999999E-2</v>
      </c>
      <c r="C96" s="919">
        <v>2.61335E-2</v>
      </c>
      <c r="D96" s="25">
        <v>-414353</v>
      </c>
      <c r="E96" s="814"/>
      <c r="F96" s="25">
        <v>3652</v>
      </c>
      <c r="G96" s="25">
        <v>66044</v>
      </c>
      <c r="H96" s="25">
        <v>19488</v>
      </c>
      <c r="I96" s="25">
        <v>16385</v>
      </c>
      <c r="J96" s="814"/>
      <c r="K96" s="25">
        <v>18913</v>
      </c>
      <c r="L96" s="25"/>
      <c r="M96" s="25">
        <v>0</v>
      </c>
      <c r="N96" s="25">
        <v>469</v>
      </c>
      <c r="O96" s="814"/>
      <c r="P96" s="25">
        <v>78102</v>
      </c>
      <c r="Q96" s="25">
        <v>6762</v>
      </c>
      <c r="R96" s="25">
        <v>84864</v>
      </c>
      <c r="S96" s="25"/>
      <c r="T96" s="25">
        <v>-326694</v>
      </c>
      <c r="U96" s="25">
        <v>-488278</v>
      </c>
    </row>
    <row r="97" spans="1:21" ht="15" x14ac:dyDescent="0.25">
      <c r="A97" s="826" t="s">
        <v>2603</v>
      </c>
      <c r="B97" s="919">
        <v>3.6557999999999998E-3</v>
      </c>
      <c r="C97" s="919">
        <v>3.5677999999999999E-3</v>
      </c>
      <c r="D97" s="25">
        <v>-60551</v>
      </c>
      <c r="E97" s="814"/>
      <c r="F97" s="25">
        <v>534</v>
      </c>
      <c r="G97" s="25">
        <v>9651</v>
      </c>
      <c r="H97" s="25">
        <v>2848</v>
      </c>
      <c r="I97" s="25">
        <v>588</v>
      </c>
      <c r="J97" s="814"/>
      <c r="K97" s="25">
        <v>2764</v>
      </c>
      <c r="L97" s="25"/>
      <c r="M97" s="25">
        <v>0</v>
      </c>
      <c r="N97" s="25">
        <v>1269</v>
      </c>
      <c r="O97" s="814"/>
      <c r="P97" s="25">
        <v>11413</v>
      </c>
      <c r="Q97" s="25">
        <v>523</v>
      </c>
      <c r="R97" s="25">
        <v>11936</v>
      </c>
      <c r="S97" s="25"/>
      <c r="T97" s="25">
        <v>-47741</v>
      </c>
      <c r="U97" s="25">
        <v>-71354</v>
      </c>
    </row>
    <row r="98" spans="1:21" ht="15" x14ac:dyDescent="0.25">
      <c r="A98" s="826" t="s">
        <v>2604</v>
      </c>
      <c r="B98" s="919">
        <v>0.1244343</v>
      </c>
      <c r="C98" s="919">
        <v>0.1145418</v>
      </c>
      <c r="D98" s="25">
        <v>-2061005</v>
      </c>
      <c r="E98" s="814"/>
      <c r="F98" s="25">
        <v>18167</v>
      </c>
      <c r="G98" s="25">
        <v>328507</v>
      </c>
      <c r="H98" s="25">
        <v>96934</v>
      </c>
      <c r="I98" s="25">
        <v>31028</v>
      </c>
      <c r="J98" s="814"/>
      <c r="K98" s="25">
        <v>94072</v>
      </c>
      <c r="L98" s="25"/>
      <c r="M98" s="25">
        <v>0</v>
      </c>
      <c r="N98" s="25">
        <v>258822</v>
      </c>
      <c r="O98" s="814"/>
      <c r="P98" s="25">
        <v>388484</v>
      </c>
      <c r="Q98" s="25">
        <v>-112608</v>
      </c>
      <c r="R98" s="25">
        <v>275876</v>
      </c>
      <c r="S98" s="25"/>
      <c r="T98" s="25">
        <v>-1624988</v>
      </c>
      <c r="U98" s="25">
        <v>-2428709</v>
      </c>
    </row>
    <row r="99" spans="1:21" ht="15" x14ac:dyDescent="0.25">
      <c r="A99" s="826" t="s">
        <v>2605</v>
      </c>
      <c r="B99" s="919">
        <v>1.4475E-3</v>
      </c>
      <c r="C99" s="919">
        <v>1.4982000000000001E-3</v>
      </c>
      <c r="D99" s="25">
        <v>-23975</v>
      </c>
      <c r="E99" s="814"/>
      <c r="F99" s="25">
        <v>211</v>
      </c>
      <c r="G99" s="25">
        <v>3821</v>
      </c>
      <c r="H99" s="25">
        <v>1128</v>
      </c>
      <c r="I99" s="25">
        <v>1595</v>
      </c>
      <c r="J99" s="814"/>
      <c r="K99" s="25">
        <v>1094</v>
      </c>
      <c r="L99" s="25"/>
      <c r="M99" s="25">
        <v>0</v>
      </c>
      <c r="N99" s="25">
        <v>528</v>
      </c>
      <c r="O99" s="814"/>
      <c r="P99" s="25">
        <v>4519</v>
      </c>
      <c r="Q99" s="25">
        <v>-9</v>
      </c>
      <c r="R99" s="25">
        <v>4510</v>
      </c>
      <c r="S99" s="25"/>
      <c r="T99" s="25">
        <v>-18903</v>
      </c>
      <c r="U99" s="25">
        <v>-28252</v>
      </c>
    </row>
    <row r="100" spans="1:21" ht="15" x14ac:dyDescent="0.25">
      <c r="A100" s="826" t="s">
        <v>2606</v>
      </c>
      <c r="B100" s="919">
        <v>8.5550000000000003E-4</v>
      </c>
      <c r="C100" s="919">
        <v>1.3189E-3</v>
      </c>
      <c r="D100" s="25">
        <v>-14170</v>
      </c>
      <c r="E100" s="814"/>
      <c r="F100" s="25">
        <v>125</v>
      </c>
      <c r="G100" s="25">
        <v>2259</v>
      </c>
      <c r="H100" s="25">
        <v>666</v>
      </c>
      <c r="I100" s="25">
        <v>6765</v>
      </c>
      <c r="J100" s="814"/>
      <c r="K100" s="25">
        <v>647</v>
      </c>
      <c r="L100" s="25"/>
      <c r="M100" s="25">
        <v>0</v>
      </c>
      <c r="N100" s="25">
        <v>923</v>
      </c>
      <c r="O100" s="814"/>
      <c r="P100" s="25">
        <v>2671</v>
      </c>
      <c r="Q100" s="25">
        <v>2282</v>
      </c>
      <c r="R100" s="25">
        <v>4953</v>
      </c>
      <c r="S100" s="25"/>
      <c r="T100" s="25">
        <v>-11172</v>
      </c>
      <c r="U100" s="25">
        <v>-16698</v>
      </c>
    </row>
    <row r="101" spans="1:21" ht="15" x14ac:dyDescent="0.25">
      <c r="A101" s="826" t="s">
        <v>2607</v>
      </c>
      <c r="B101" s="919">
        <v>6.1612999999999998E-3</v>
      </c>
      <c r="C101" s="919">
        <v>6.5062000000000002E-3</v>
      </c>
      <c r="D101" s="25">
        <v>-102050</v>
      </c>
      <c r="E101" s="814"/>
      <c r="F101" s="25">
        <v>900</v>
      </c>
      <c r="G101" s="25">
        <v>16266</v>
      </c>
      <c r="H101" s="25">
        <v>4800</v>
      </c>
      <c r="I101" s="25">
        <v>6284</v>
      </c>
      <c r="J101" s="814"/>
      <c r="K101" s="25">
        <v>4658</v>
      </c>
      <c r="L101" s="25"/>
      <c r="M101" s="25">
        <v>0</v>
      </c>
      <c r="N101" s="25">
        <v>214</v>
      </c>
      <c r="O101" s="814"/>
      <c r="P101" s="25">
        <v>19236</v>
      </c>
      <c r="Q101" s="25">
        <v>2802</v>
      </c>
      <c r="R101" s="25">
        <v>22038</v>
      </c>
      <c r="S101" s="25"/>
      <c r="T101" s="25">
        <v>-80460</v>
      </c>
      <c r="U101" s="25">
        <v>-120256</v>
      </c>
    </row>
    <row r="102" spans="1:21" ht="15" x14ac:dyDescent="0.25">
      <c r="A102" s="826" t="s">
        <v>2608</v>
      </c>
      <c r="B102" s="919">
        <v>9.5361000000000005E-3</v>
      </c>
      <c r="C102" s="919">
        <v>9.7663000000000003E-3</v>
      </c>
      <c r="D102" s="25">
        <v>-157946</v>
      </c>
      <c r="E102" s="814"/>
      <c r="F102" s="25">
        <v>1392</v>
      </c>
      <c r="G102" s="25">
        <v>25175</v>
      </c>
      <c r="H102" s="25">
        <v>7429</v>
      </c>
      <c r="I102" s="25">
        <v>3617</v>
      </c>
      <c r="J102" s="814"/>
      <c r="K102" s="25">
        <v>7209</v>
      </c>
      <c r="L102" s="25"/>
      <c r="M102" s="25">
        <v>0</v>
      </c>
      <c r="N102" s="25">
        <v>644</v>
      </c>
      <c r="O102" s="814"/>
      <c r="P102" s="25">
        <v>29772</v>
      </c>
      <c r="Q102" s="25">
        <v>302</v>
      </c>
      <c r="R102" s="25">
        <v>30074</v>
      </c>
      <c r="S102" s="25"/>
      <c r="T102" s="25">
        <v>-124532</v>
      </c>
      <c r="U102" s="25">
        <v>-186126</v>
      </c>
    </row>
    <row r="103" spans="1:21" ht="15" x14ac:dyDescent="0.25">
      <c r="A103" s="826" t="s">
        <v>2609</v>
      </c>
      <c r="B103" s="919">
        <v>5.9652999999999998E-3</v>
      </c>
      <c r="C103" s="919">
        <v>5.8377000000000004E-3</v>
      </c>
      <c r="D103" s="25">
        <v>-98803</v>
      </c>
      <c r="E103" s="814"/>
      <c r="F103" s="25">
        <v>871</v>
      </c>
      <c r="G103" s="25">
        <v>15748</v>
      </c>
      <c r="H103" s="25">
        <v>4647</v>
      </c>
      <c r="I103" s="25">
        <v>3210</v>
      </c>
      <c r="J103" s="814"/>
      <c r="K103" s="25">
        <v>4510</v>
      </c>
      <c r="L103" s="25"/>
      <c r="M103" s="25">
        <v>0</v>
      </c>
      <c r="N103" s="25">
        <v>1841</v>
      </c>
      <c r="O103" s="814"/>
      <c r="P103" s="25">
        <v>18624</v>
      </c>
      <c r="Q103" s="25">
        <v>2892</v>
      </c>
      <c r="R103" s="25">
        <v>21516</v>
      </c>
      <c r="S103" s="25"/>
      <c r="T103" s="25">
        <v>-77901</v>
      </c>
      <c r="U103" s="25">
        <v>-116431</v>
      </c>
    </row>
    <row r="104" spans="1:21" ht="15" x14ac:dyDescent="0.25">
      <c r="A104" s="826" t="s">
        <v>2610</v>
      </c>
      <c r="B104" s="919">
        <v>4.4482000000000002E-3</v>
      </c>
      <c r="C104" s="919">
        <v>4.5783000000000004E-3</v>
      </c>
      <c r="D104" s="25">
        <v>-73676</v>
      </c>
      <c r="E104" s="814"/>
      <c r="F104" s="25">
        <v>649</v>
      </c>
      <c r="G104" s="25">
        <v>11743</v>
      </c>
      <c r="H104" s="25">
        <v>3465</v>
      </c>
      <c r="I104" s="25">
        <v>3352</v>
      </c>
      <c r="J104" s="814"/>
      <c r="K104" s="25">
        <v>3363</v>
      </c>
      <c r="L104" s="25"/>
      <c r="M104" s="25">
        <v>0</v>
      </c>
      <c r="N104" s="25">
        <v>0</v>
      </c>
      <c r="O104" s="814"/>
      <c r="P104" s="25">
        <v>13887</v>
      </c>
      <c r="Q104" s="25">
        <v>2626</v>
      </c>
      <c r="R104" s="25">
        <v>16513</v>
      </c>
      <c r="S104" s="25"/>
      <c r="T104" s="25">
        <v>-58089</v>
      </c>
      <c r="U104" s="25">
        <v>-86820</v>
      </c>
    </row>
    <row r="105" spans="1:21" ht="15" x14ac:dyDescent="0.25">
      <c r="A105" s="826" t="s">
        <v>2510</v>
      </c>
      <c r="B105" s="919">
        <v>3.0008999999999999E-3</v>
      </c>
      <c r="C105" s="919">
        <v>3.1147000000000002E-3</v>
      </c>
      <c r="D105" s="25">
        <v>-49704</v>
      </c>
      <c r="E105" s="814"/>
      <c r="F105" s="25">
        <v>438</v>
      </c>
      <c r="G105" s="25">
        <v>7922</v>
      </c>
      <c r="H105" s="25">
        <v>2338</v>
      </c>
      <c r="I105" s="25">
        <v>2323</v>
      </c>
      <c r="J105" s="814"/>
      <c r="K105" s="25">
        <v>2269</v>
      </c>
      <c r="L105" s="25"/>
      <c r="M105" s="25">
        <v>0</v>
      </c>
      <c r="N105" s="25">
        <v>283</v>
      </c>
      <c r="O105" s="814"/>
      <c r="P105" s="25">
        <v>9369</v>
      </c>
      <c r="Q105" s="25">
        <v>820</v>
      </c>
      <c r="R105" s="25">
        <v>10189</v>
      </c>
      <c r="S105" s="25"/>
      <c r="T105" s="25">
        <v>-39189</v>
      </c>
      <c r="U105" s="25">
        <v>-58572</v>
      </c>
    </row>
    <row r="106" spans="1:21" ht="15" x14ac:dyDescent="0.25">
      <c r="A106" s="826" t="s">
        <v>2611</v>
      </c>
      <c r="B106" s="919">
        <v>1.9143000000000001E-3</v>
      </c>
      <c r="C106" s="919">
        <v>1.7394999999999999E-3</v>
      </c>
      <c r="D106" s="25">
        <v>-31707</v>
      </c>
      <c r="E106" s="814"/>
      <c r="F106" s="25">
        <v>279</v>
      </c>
      <c r="G106" s="25">
        <v>5054</v>
      </c>
      <c r="H106" s="25">
        <v>1491</v>
      </c>
      <c r="I106" s="25">
        <v>52</v>
      </c>
      <c r="J106" s="814"/>
      <c r="K106" s="25">
        <v>1447</v>
      </c>
      <c r="L106" s="25"/>
      <c r="M106" s="25">
        <v>0</v>
      </c>
      <c r="N106" s="25">
        <v>2789</v>
      </c>
      <c r="O106" s="814"/>
      <c r="P106" s="25">
        <v>5976</v>
      </c>
      <c r="Q106" s="25">
        <v>-1257</v>
      </c>
      <c r="R106" s="25">
        <v>4719</v>
      </c>
      <c r="S106" s="25"/>
      <c r="T106" s="25">
        <v>-24999</v>
      </c>
      <c r="U106" s="25">
        <v>-37363</v>
      </c>
    </row>
    <row r="107" spans="1:21" ht="15" x14ac:dyDescent="0.25">
      <c r="A107" s="820" t="s">
        <v>2622</v>
      </c>
      <c r="B107" s="919">
        <v>4.5899000000000001E-3</v>
      </c>
      <c r="C107" s="919">
        <v>4.5522000000000002E-3</v>
      </c>
      <c r="D107" s="25">
        <v>-76023</v>
      </c>
      <c r="E107" s="814"/>
      <c r="F107" s="25">
        <v>670</v>
      </c>
      <c r="G107" s="25">
        <v>12117</v>
      </c>
      <c r="H107" s="25">
        <v>3576</v>
      </c>
      <c r="I107" s="25">
        <v>0</v>
      </c>
      <c r="J107" s="814"/>
      <c r="K107" s="25">
        <v>3470</v>
      </c>
      <c r="L107" s="25"/>
      <c r="M107" s="25">
        <v>0</v>
      </c>
      <c r="N107" s="25">
        <v>1642</v>
      </c>
      <c r="O107" s="814"/>
      <c r="P107" s="25">
        <v>14330</v>
      </c>
      <c r="Q107" s="25">
        <v>-2144</v>
      </c>
      <c r="R107" s="25">
        <v>12186</v>
      </c>
      <c r="S107" s="25"/>
      <c r="T107" s="25">
        <v>-59940</v>
      </c>
      <c r="U107" s="25">
        <v>-89586</v>
      </c>
    </row>
    <row r="108" spans="1:21" ht="15" x14ac:dyDescent="0.25">
      <c r="A108" s="826" t="s">
        <v>699</v>
      </c>
      <c r="B108" s="921">
        <f>SUM(B6:B106)</f>
        <v>1</v>
      </c>
      <c r="C108" s="921">
        <f>SUM(C6:C106)</f>
        <v>1</v>
      </c>
      <c r="D108" s="5">
        <f>SUM(D6:D106)</f>
        <v>-16563001</v>
      </c>
      <c r="F108" s="5">
        <f>SUM(F6:F106)</f>
        <v>146001</v>
      </c>
      <c r="G108" s="5">
        <f>SUM(G6:G106)</f>
        <v>2639999</v>
      </c>
      <c r="H108" s="5">
        <f>SUM(H6:H106)</f>
        <v>778996</v>
      </c>
      <c r="I108" s="5">
        <f>SUM(I6:I106)</f>
        <v>819852</v>
      </c>
      <c r="K108" s="5">
        <f>SUM(K6:K106)</f>
        <v>755999</v>
      </c>
      <c r="L108" s="5">
        <f>SUM(L6:L106)</f>
        <v>0</v>
      </c>
      <c r="M108" s="5">
        <f>SUM(M6:M106)</f>
        <v>0</v>
      </c>
      <c r="N108" s="5">
        <f>SUM(N6:N106)</f>
        <v>819859</v>
      </c>
      <c r="P108" s="5">
        <f>SUM(P6:P106)</f>
        <v>3122002</v>
      </c>
      <c r="Q108" s="5">
        <f>SUM(Q6:Q106)</f>
        <v>20</v>
      </c>
      <c r="R108" s="5">
        <f>SUM(R6:R106)</f>
        <v>3122022</v>
      </c>
      <c r="T108" s="5">
        <f>SUM(T6:T106)</f>
        <v>-13058997</v>
      </c>
      <c r="U108" s="5">
        <f>SUM(U6:U106)</f>
        <v>-19518004</v>
      </c>
    </row>
    <row r="109" spans="1:21" ht="15" x14ac:dyDescent="0.25">
      <c r="A109" s="827"/>
      <c r="B109" s="922"/>
      <c r="C109" s="923"/>
      <c r="D109" s="924"/>
      <c r="E109" s="925"/>
      <c r="F109" s="924"/>
      <c r="G109" s="924"/>
      <c r="H109" s="924"/>
      <c r="I109" s="924"/>
      <c r="J109" s="925"/>
      <c r="K109" s="924"/>
      <c r="L109" s="924"/>
      <c r="M109" s="924"/>
      <c r="N109" s="924"/>
      <c r="O109" s="925"/>
      <c r="P109" s="924"/>
      <c r="Q109" s="924"/>
      <c r="R109" s="924"/>
      <c r="S109" s="924"/>
      <c r="T109" s="924"/>
      <c r="U109" s="924"/>
    </row>
  </sheetData>
  <customSheetViews>
    <customSheetView guid="{D2B860EA-92EC-4999-9A59-C624E1F8C7FB}" state="hidden">
      <pane xSplit="1" ySplit="5" topLeftCell="B45" activePane="bottomRight" state="frozen"/>
      <selection pane="bottomRight"/>
      <pageMargins left="0.7" right="0.7" top="0.75" bottom="0.75" header="0.3" footer="0.3"/>
      <pageSetup orientation="portrait" horizontalDpi="1200" verticalDpi="1200" r:id="rId1"/>
    </customSheetView>
    <customSheetView guid="{C1197650-3ED8-49E4-8E4C-0D1D4B503FC0}" state="hidden">
      <pane xSplit="1" ySplit="5" topLeftCell="B45" activePane="bottomRight" state="frozen"/>
      <selection pane="bottomRight"/>
      <pageMargins left="0.7" right="0.7" top="0.75" bottom="0.75" header="0.3" footer="0.3"/>
      <pageSetup orientation="portrait" horizontalDpi="1200" verticalDpi="1200" r:id="rId2"/>
    </customSheetView>
  </customSheetViews>
  <mergeCells count="3">
    <mergeCell ref="F4:I4"/>
    <mergeCell ref="K4:N4"/>
    <mergeCell ref="P4:R4"/>
  </mergeCells>
  <pageMargins left="0.7" right="0.7" top="0.75" bottom="0.75" header="0.3" footer="0.3"/>
  <pageSetup orientation="portrait" horizontalDpi="1200" verticalDpi="1200"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07"/>
  <sheetViews>
    <sheetView workbookViewId="0"/>
  </sheetViews>
  <sheetFormatPr defaultColWidth="9.140625" defaultRowHeight="15" x14ac:dyDescent="0.25"/>
  <cols>
    <col min="1" max="1" width="20.5703125" style="820" customWidth="1"/>
    <col min="2" max="5" width="13.85546875" style="820" customWidth="1"/>
    <col min="6" max="6" width="18.28515625" style="820" customWidth="1"/>
    <col min="7" max="7" width="5.28515625" style="820" customWidth="1"/>
    <col min="8" max="8" width="18.28515625" style="820" customWidth="1"/>
    <col min="9" max="9" width="20" style="820" customWidth="1"/>
    <col min="10" max="10" width="14.42578125" style="820" customWidth="1"/>
    <col min="11" max="11" width="19.42578125" style="820" customWidth="1"/>
    <col min="12" max="12" width="3.85546875" style="820" customWidth="1"/>
    <col min="13" max="13" width="18.28515625" style="820" customWidth="1"/>
    <col min="14" max="14" width="20" style="820" customWidth="1"/>
    <col min="15" max="15" width="14.42578125" style="820" customWidth="1"/>
    <col min="16" max="16" width="19.42578125" style="820" customWidth="1"/>
    <col min="17" max="17" width="3.85546875" style="820" customWidth="1"/>
    <col min="18" max="18" width="13.85546875" style="820" customWidth="1"/>
    <col min="19" max="19" width="22.42578125" style="820" customWidth="1"/>
    <col min="20" max="20" width="12.42578125" style="820" customWidth="1"/>
    <col min="21" max="21" width="9.140625" style="820" customWidth="1"/>
    <col min="22" max="22" width="9.140625" style="820"/>
    <col min="23" max="23" width="9.140625" style="820" customWidth="1"/>
    <col min="24" max="16384" width="9.140625" style="820"/>
  </cols>
  <sheetData>
    <row r="1" spans="1:22" x14ac:dyDescent="0.25">
      <c r="A1" s="820" t="s">
        <v>3657</v>
      </c>
    </row>
    <row r="2" spans="1:22" x14ac:dyDescent="0.25">
      <c r="A2" s="820" t="s">
        <v>3966</v>
      </c>
    </row>
    <row r="4" spans="1:22" x14ac:dyDescent="0.25">
      <c r="H4" s="821" t="s">
        <v>1144</v>
      </c>
      <c r="I4" s="821"/>
      <c r="J4" s="821"/>
      <c r="K4" s="821"/>
      <c r="M4" s="821" t="s">
        <v>1145</v>
      </c>
      <c r="N4" s="821"/>
      <c r="O4" s="821"/>
      <c r="P4" s="821"/>
      <c r="R4" s="821" t="s">
        <v>1146</v>
      </c>
      <c r="S4" s="821"/>
      <c r="T4" s="821"/>
    </row>
    <row r="5" spans="1:22" ht="120" x14ac:dyDescent="0.25">
      <c r="A5" s="822" t="s">
        <v>2511</v>
      </c>
      <c r="B5" s="822" t="s">
        <v>2087</v>
      </c>
      <c r="C5" s="822" t="s">
        <v>2088</v>
      </c>
      <c r="D5" s="679" t="s">
        <v>2512</v>
      </c>
      <c r="E5" s="679" t="s">
        <v>3579</v>
      </c>
      <c r="F5" s="679" t="s">
        <v>3580</v>
      </c>
      <c r="G5" s="822"/>
      <c r="H5" s="822" t="s">
        <v>1150</v>
      </c>
      <c r="I5" s="822" t="s">
        <v>1151</v>
      </c>
      <c r="J5" s="822" t="s">
        <v>1152</v>
      </c>
      <c r="K5" s="822" t="s">
        <v>1153</v>
      </c>
      <c r="L5" s="822"/>
      <c r="M5" s="822" t="s">
        <v>1150</v>
      </c>
      <c r="N5" s="822" t="s">
        <v>1151</v>
      </c>
      <c r="O5" s="822" t="s">
        <v>1152</v>
      </c>
      <c r="P5" s="822" t="s">
        <v>1153</v>
      </c>
      <c r="Q5" s="822"/>
      <c r="R5" s="822" t="s">
        <v>1154</v>
      </c>
      <c r="S5" s="822" t="s">
        <v>1155</v>
      </c>
      <c r="T5" s="822" t="s">
        <v>1156</v>
      </c>
    </row>
    <row r="6" spans="1:22" x14ac:dyDescent="0.25">
      <c r="A6" s="826" t="s">
        <v>2513</v>
      </c>
      <c r="B6" s="823">
        <v>1.55155E-2</v>
      </c>
      <c r="C6" s="823">
        <v>1.5880399999999999E-2</v>
      </c>
      <c r="D6" s="570">
        <v>13480.74</v>
      </c>
      <c r="E6" s="653">
        <v>-296900</v>
      </c>
      <c r="F6" s="814">
        <v>-264834</v>
      </c>
      <c r="G6" s="814"/>
      <c r="H6" s="824">
        <v>4546</v>
      </c>
      <c r="I6" s="824">
        <v>32691</v>
      </c>
      <c r="J6" s="824">
        <v>44685</v>
      </c>
      <c r="K6" s="814">
        <v>34599</v>
      </c>
      <c r="L6" s="814"/>
      <c r="M6" s="824">
        <v>853</v>
      </c>
      <c r="N6" s="824">
        <v>10178</v>
      </c>
      <c r="O6" s="824">
        <v>0</v>
      </c>
      <c r="P6" s="814">
        <v>1515</v>
      </c>
      <c r="Q6" s="814"/>
      <c r="R6" s="824">
        <v>42171</v>
      </c>
      <c r="S6" s="825">
        <v>137513</v>
      </c>
      <c r="T6" s="825">
        <v>179684</v>
      </c>
      <c r="U6" s="825"/>
      <c r="V6" s="825"/>
    </row>
    <row r="7" spans="1:22" x14ac:dyDescent="0.25">
      <c r="A7" s="826" t="s">
        <v>2514</v>
      </c>
      <c r="B7" s="823">
        <v>2.7699999999999999E-3</v>
      </c>
      <c r="C7" s="823">
        <v>2.8471999999999998E-3</v>
      </c>
      <c r="D7" s="570">
        <v>2406.7199999999998</v>
      </c>
      <c r="E7" s="653">
        <v>-53231</v>
      </c>
      <c r="F7" s="814">
        <v>-47281</v>
      </c>
      <c r="G7" s="814"/>
      <c r="H7" s="824">
        <v>812</v>
      </c>
      <c r="I7" s="824">
        <v>5836</v>
      </c>
      <c r="J7" s="824">
        <v>7978</v>
      </c>
      <c r="K7" s="814">
        <v>1313</v>
      </c>
      <c r="L7" s="814"/>
      <c r="M7" s="824">
        <v>152</v>
      </c>
      <c r="N7" s="824">
        <v>1817</v>
      </c>
      <c r="O7" s="824">
        <v>0</v>
      </c>
      <c r="P7" s="814">
        <v>0</v>
      </c>
      <c r="Q7" s="814"/>
      <c r="R7" s="824">
        <v>7529</v>
      </c>
      <c r="S7" s="825">
        <v>706</v>
      </c>
      <c r="T7" s="825">
        <v>8235</v>
      </c>
      <c r="U7" s="825"/>
      <c r="V7" s="825"/>
    </row>
    <row r="8" spans="1:22" x14ac:dyDescent="0.25">
      <c r="A8" s="826" t="s">
        <v>2515</v>
      </c>
      <c r="B8" s="823">
        <v>1.4677E-3</v>
      </c>
      <c r="C8" s="823">
        <v>1.4815E-3</v>
      </c>
      <c r="D8" s="570">
        <v>1275.22</v>
      </c>
      <c r="E8" s="653">
        <v>-27698</v>
      </c>
      <c r="F8" s="814">
        <v>-25052</v>
      </c>
      <c r="G8" s="814"/>
      <c r="H8" s="824">
        <v>430</v>
      </c>
      <c r="I8" s="824">
        <v>3092</v>
      </c>
      <c r="J8" s="824">
        <v>4227</v>
      </c>
      <c r="K8" s="814">
        <v>616</v>
      </c>
      <c r="L8" s="814"/>
      <c r="M8" s="824">
        <v>81</v>
      </c>
      <c r="N8" s="824">
        <v>963</v>
      </c>
      <c r="O8" s="824">
        <v>0</v>
      </c>
      <c r="P8" s="814">
        <v>5</v>
      </c>
      <c r="Q8" s="814"/>
      <c r="R8" s="824">
        <v>3989</v>
      </c>
      <c r="S8" s="825">
        <v>302</v>
      </c>
      <c r="T8" s="825">
        <v>4291</v>
      </c>
      <c r="U8" s="825"/>
      <c r="V8" s="825"/>
    </row>
    <row r="9" spans="1:22" x14ac:dyDescent="0.25">
      <c r="A9" s="826" t="s">
        <v>2516</v>
      </c>
      <c r="B9" s="823">
        <v>1.6808999999999999E-3</v>
      </c>
      <c r="C9" s="823">
        <v>1.7148E-3</v>
      </c>
      <c r="D9" s="570">
        <v>1460.48</v>
      </c>
      <c r="E9" s="653">
        <v>-32060</v>
      </c>
      <c r="F9" s="814">
        <v>-28691</v>
      </c>
      <c r="G9" s="814"/>
      <c r="H9" s="824">
        <v>493</v>
      </c>
      <c r="I9" s="824">
        <v>3542</v>
      </c>
      <c r="J9" s="824">
        <v>4841</v>
      </c>
      <c r="K9" s="814">
        <v>973</v>
      </c>
      <c r="L9" s="814"/>
      <c r="M9" s="824">
        <v>92</v>
      </c>
      <c r="N9" s="824">
        <v>1103</v>
      </c>
      <c r="O9" s="824">
        <v>0</v>
      </c>
      <c r="P9" s="814">
        <v>0</v>
      </c>
      <c r="Q9" s="814"/>
      <c r="R9" s="824">
        <v>4569</v>
      </c>
      <c r="S9" s="825">
        <v>611</v>
      </c>
      <c r="T9" s="825">
        <v>5180</v>
      </c>
      <c r="U9" s="825"/>
      <c r="V9" s="825"/>
    </row>
    <row r="10" spans="1:22" x14ac:dyDescent="0.25">
      <c r="A10" s="826" t="s">
        <v>2517</v>
      </c>
      <c r="B10" s="823">
        <v>3.4340999999999998E-3</v>
      </c>
      <c r="C10" s="823">
        <v>3.5569999999999998E-3</v>
      </c>
      <c r="D10" s="570">
        <v>2983.73</v>
      </c>
      <c r="E10" s="653">
        <v>-66502</v>
      </c>
      <c r="F10" s="814">
        <v>-58617</v>
      </c>
      <c r="G10" s="814"/>
      <c r="H10" s="824">
        <v>1006</v>
      </c>
      <c r="I10" s="824">
        <v>7236</v>
      </c>
      <c r="J10" s="824">
        <v>9890</v>
      </c>
      <c r="K10" s="814">
        <v>1924</v>
      </c>
      <c r="L10" s="814"/>
      <c r="M10" s="824">
        <v>189</v>
      </c>
      <c r="N10" s="824">
        <v>2253</v>
      </c>
      <c r="O10" s="824">
        <v>0</v>
      </c>
      <c r="P10" s="814">
        <v>681</v>
      </c>
      <c r="Q10" s="814"/>
      <c r="R10" s="824">
        <v>9334</v>
      </c>
      <c r="S10" s="825">
        <v>-516</v>
      </c>
      <c r="T10" s="825">
        <v>8818</v>
      </c>
      <c r="U10" s="825"/>
      <c r="V10" s="825"/>
    </row>
    <row r="11" spans="1:22" x14ac:dyDescent="0.25">
      <c r="A11" s="826" t="s">
        <v>2518</v>
      </c>
      <c r="B11" s="823">
        <v>2.928E-3</v>
      </c>
      <c r="C11" s="823">
        <v>2.8322E-3</v>
      </c>
      <c r="D11" s="570">
        <v>2543.98</v>
      </c>
      <c r="E11" s="653">
        <v>-52951</v>
      </c>
      <c r="F11" s="814">
        <v>-49978</v>
      </c>
      <c r="G11" s="814"/>
      <c r="H11" s="824">
        <v>858</v>
      </c>
      <c r="I11" s="824">
        <v>6169</v>
      </c>
      <c r="J11" s="824">
        <v>8433</v>
      </c>
      <c r="K11" s="814">
        <v>370</v>
      </c>
      <c r="L11" s="814"/>
      <c r="M11" s="824">
        <v>161</v>
      </c>
      <c r="N11" s="824">
        <v>1921</v>
      </c>
      <c r="O11" s="824">
        <v>0</v>
      </c>
      <c r="P11" s="814">
        <v>3522</v>
      </c>
      <c r="Q11" s="814"/>
      <c r="R11" s="824">
        <v>7958</v>
      </c>
      <c r="S11" s="825">
        <v>-442</v>
      </c>
      <c r="T11" s="825">
        <v>7517</v>
      </c>
      <c r="U11" s="825"/>
      <c r="V11" s="825"/>
    </row>
    <row r="12" spans="1:22" x14ac:dyDescent="0.25">
      <c r="A12" s="826" t="s">
        <v>2519</v>
      </c>
      <c r="B12" s="823">
        <v>4.5522000000000002E-3</v>
      </c>
      <c r="C12" s="823">
        <v>4.4989000000000001E-3</v>
      </c>
      <c r="D12" s="570">
        <v>3955.24</v>
      </c>
      <c r="E12" s="653">
        <v>-84111</v>
      </c>
      <c r="F12" s="814">
        <v>-77702</v>
      </c>
      <c r="G12" s="814"/>
      <c r="H12" s="824">
        <v>1334</v>
      </c>
      <c r="I12" s="824">
        <v>9591</v>
      </c>
      <c r="J12" s="824">
        <v>13110</v>
      </c>
      <c r="K12" s="814">
        <v>387</v>
      </c>
      <c r="L12" s="814"/>
      <c r="M12" s="824">
        <v>250</v>
      </c>
      <c r="N12" s="824">
        <v>2986</v>
      </c>
      <c r="O12" s="824">
        <v>0</v>
      </c>
      <c r="P12" s="814">
        <v>3357</v>
      </c>
      <c r="Q12" s="814"/>
      <c r="R12" s="824">
        <v>12373</v>
      </c>
      <c r="S12" s="825">
        <v>-221</v>
      </c>
      <c r="T12" s="825">
        <v>12152</v>
      </c>
      <c r="U12" s="825"/>
      <c r="V12" s="825"/>
    </row>
    <row r="13" spans="1:22" x14ac:dyDescent="0.25">
      <c r="A13" s="826" t="s">
        <v>2520</v>
      </c>
      <c r="B13" s="823">
        <v>1.2287999999999999E-3</v>
      </c>
      <c r="C13" s="823">
        <v>1.1913E-3</v>
      </c>
      <c r="D13" s="570">
        <v>1067.6400000000001</v>
      </c>
      <c r="E13" s="653">
        <v>-22273</v>
      </c>
      <c r="F13" s="814">
        <v>-20974</v>
      </c>
      <c r="G13" s="814"/>
      <c r="H13" s="824">
        <v>360</v>
      </c>
      <c r="I13" s="824">
        <v>2589</v>
      </c>
      <c r="J13" s="824">
        <v>3539</v>
      </c>
      <c r="K13" s="814">
        <v>124</v>
      </c>
      <c r="L13" s="814"/>
      <c r="M13" s="824">
        <v>68</v>
      </c>
      <c r="N13" s="824">
        <v>806</v>
      </c>
      <c r="O13" s="824">
        <v>0</v>
      </c>
      <c r="P13" s="814">
        <v>587</v>
      </c>
      <c r="Q13" s="814"/>
      <c r="R13" s="824">
        <v>3340</v>
      </c>
      <c r="S13" s="825">
        <v>-84</v>
      </c>
      <c r="T13" s="825">
        <v>3256</v>
      </c>
      <c r="U13" s="825"/>
      <c r="V13" s="825"/>
    </row>
    <row r="14" spans="1:22" x14ac:dyDescent="0.25">
      <c r="A14" s="826" t="s">
        <v>2521</v>
      </c>
      <c r="B14" s="823">
        <v>2.5241999999999999E-3</v>
      </c>
      <c r="C14" s="823">
        <v>2.5176999999999999E-3</v>
      </c>
      <c r="D14" s="570">
        <v>2193.16</v>
      </c>
      <c r="E14" s="653">
        <v>-47071</v>
      </c>
      <c r="F14" s="814">
        <v>-43086</v>
      </c>
      <c r="G14" s="814"/>
      <c r="H14" s="824">
        <v>740</v>
      </c>
      <c r="I14" s="824">
        <v>5318</v>
      </c>
      <c r="J14" s="824">
        <v>7270</v>
      </c>
      <c r="K14" s="814">
        <v>686</v>
      </c>
      <c r="L14" s="814"/>
      <c r="M14" s="824">
        <v>139</v>
      </c>
      <c r="N14" s="824">
        <v>1656</v>
      </c>
      <c r="O14" s="824">
        <v>0</v>
      </c>
      <c r="P14" s="814">
        <v>103</v>
      </c>
      <c r="Q14" s="814"/>
      <c r="R14" s="824">
        <v>6861</v>
      </c>
      <c r="S14" s="825">
        <v>12</v>
      </c>
      <c r="T14" s="825">
        <v>6873</v>
      </c>
      <c r="U14" s="825"/>
      <c r="V14" s="825"/>
    </row>
    <row r="15" spans="1:22" x14ac:dyDescent="0.25">
      <c r="A15" s="826" t="s">
        <v>2522</v>
      </c>
      <c r="B15" s="823">
        <v>2.1895999999999999E-2</v>
      </c>
      <c r="C15" s="823">
        <v>1.9386E-2</v>
      </c>
      <c r="D15" s="570">
        <v>19024.5</v>
      </c>
      <c r="E15" s="653">
        <v>-362441</v>
      </c>
      <c r="F15" s="814">
        <v>-373743</v>
      </c>
      <c r="G15" s="814"/>
      <c r="H15" s="824">
        <v>6416</v>
      </c>
      <c r="I15" s="824">
        <v>46135</v>
      </c>
      <c r="J15" s="824">
        <v>63060</v>
      </c>
      <c r="K15" s="814">
        <v>15822</v>
      </c>
      <c r="L15" s="814"/>
      <c r="M15" s="824">
        <v>1204</v>
      </c>
      <c r="N15" s="824">
        <v>14364</v>
      </c>
      <c r="O15" s="824">
        <v>0</v>
      </c>
      <c r="P15" s="814">
        <v>39311</v>
      </c>
      <c r="Q15" s="814"/>
      <c r="R15" s="824">
        <v>59513</v>
      </c>
      <c r="S15" s="825">
        <v>-9506</v>
      </c>
      <c r="T15" s="825">
        <v>50007</v>
      </c>
      <c r="U15" s="825"/>
      <c r="V15" s="825"/>
    </row>
    <row r="16" spans="1:22" x14ac:dyDescent="0.25">
      <c r="A16" s="826" t="s">
        <v>2523</v>
      </c>
      <c r="B16" s="823">
        <v>3.51478E-2</v>
      </c>
      <c r="C16" s="823">
        <v>3.46618E-2</v>
      </c>
      <c r="D16" s="570">
        <v>30538.41</v>
      </c>
      <c r="E16" s="653">
        <v>-648037</v>
      </c>
      <c r="F16" s="814">
        <v>-599938</v>
      </c>
      <c r="G16" s="814"/>
      <c r="H16" s="824">
        <v>10298</v>
      </c>
      <c r="I16" s="824">
        <v>74056</v>
      </c>
      <c r="J16" s="824">
        <v>101226</v>
      </c>
      <c r="K16" s="814">
        <v>0</v>
      </c>
      <c r="L16" s="814"/>
      <c r="M16" s="824">
        <v>1933</v>
      </c>
      <c r="N16" s="824">
        <v>23057</v>
      </c>
      <c r="O16" s="824">
        <v>0</v>
      </c>
      <c r="P16" s="814">
        <v>12566</v>
      </c>
      <c r="Q16" s="814"/>
      <c r="R16" s="824">
        <v>95532</v>
      </c>
      <c r="S16" s="825">
        <v>-27587</v>
      </c>
      <c r="T16" s="825">
        <v>67945</v>
      </c>
      <c r="U16" s="825"/>
      <c r="V16" s="825"/>
    </row>
    <row r="17" spans="1:22" x14ac:dyDescent="0.25">
      <c r="A17" s="826" t="s">
        <v>2524</v>
      </c>
      <c r="B17" s="823">
        <v>1.1046800000000001E-2</v>
      </c>
      <c r="C17" s="823">
        <v>1.0696499999999999E-2</v>
      </c>
      <c r="D17" s="570">
        <v>9598.07</v>
      </c>
      <c r="E17" s="653">
        <v>-199982</v>
      </c>
      <c r="F17" s="814">
        <v>-188558</v>
      </c>
      <c r="G17" s="814"/>
      <c r="H17" s="824">
        <v>3237</v>
      </c>
      <c r="I17" s="824">
        <v>23276</v>
      </c>
      <c r="J17" s="824">
        <v>31815</v>
      </c>
      <c r="K17" s="814">
        <v>0</v>
      </c>
      <c r="L17" s="814"/>
      <c r="M17" s="824">
        <v>608</v>
      </c>
      <c r="N17" s="824">
        <v>7247</v>
      </c>
      <c r="O17" s="824">
        <v>0</v>
      </c>
      <c r="P17" s="814">
        <v>29340</v>
      </c>
      <c r="Q17" s="814"/>
      <c r="R17" s="824">
        <v>30025</v>
      </c>
      <c r="S17" s="825">
        <v>-25231</v>
      </c>
      <c r="T17" s="825">
        <v>4794</v>
      </c>
      <c r="U17" s="825"/>
      <c r="V17" s="825"/>
    </row>
    <row r="18" spans="1:22" x14ac:dyDescent="0.25">
      <c r="A18" s="826" t="s">
        <v>2525</v>
      </c>
      <c r="B18" s="823">
        <v>2.3873700000000001E-2</v>
      </c>
      <c r="C18" s="823">
        <v>2.39884E-2</v>
      </c>
      <c r="D18" s="570">
        <v>20742.78</v>
      </c>
      <c r="E18" s="653">
        <v>-448487</v>
      </c>
      <c r="F18" s="814">
        <v>-407500</v>
      </c>
      <c r="G18" s="814"/>
      <c r="H18" s="824">
        <v>6995</v>
      </c>
      <c r="I18" s="824">
        <v>50302</v>
      </c>
      <c r="J18" s="824">
        <v>68756</v>
      </c>
      <c r="K18" s="814">
        <v>1796</v>
      </c>
      <c r="L18" s="814"/>
      <c r="M18" s="824">
        <v>1313</v>
      </c>
      <c r="N18" s="824">
        <v>15661</v>
      </c>
      <c r="O18" s="824">
        <v>0</v>
      </c>
      <c r="P18" s="814">
        <v>14720</v>
      </c>
      <c r="Q18" s="814"/>
      <c r="R18" s="824">
        <v>64889</v>
      </c>
      <c r="S18" s="825">
        <v>-17071</v>
      </c>
      <c r="T18" s="825">
        <v>47818</v>
      </c>
      <c r="U18" s="825"/>
      <c r="V18" s="825"/>
    </row>
    <row r="19" spans="1:22" x14ac:dyDescent="0.25">
      <c r="A19" s="826" t="s">
        <v>2526</v>
      </c>
      <c r="B19" s="823">
        <v>6.7060000000000002E-3</v>
      </c>
      <c r="C19" s="823">
        <v>7.5778E-3</v>
      </c>
      <c r="D19" s="570">
        <v>5826.51</v>
      </c>
      <c r="E19" s="653">
        <v>-141675</v>
      </c>
      <c r="F19" s="814">
        <v>-114465</v>
      </c>
      <c r="G19" s="814"/>
      <c r="H19" s="824">
        <v>1965</v>
      </c>
      <c r="I19" s="824">
        <v>14130</v>
      </c>
      <c r="J19" s="824">
        <v>19313</v>
      </c>
      <c r="K19" s="814">
        <v>14284</v>
      </c>
      <c r="L19" s="814"/>
      <c r="M19" s="824">
        <v>369</v>
      </c>
      <c r="N19" s="824">
        <v>4399</v>
      </c>
      <c r="O19" s="824">
        <v>0</v>
      </c>
      <c r="P19" s="814">
        <v>3579</v>
      </c>
      <c r="Q19" s="814"/>
      <c r="R19" s="824">
        <v>18227</v>
      </c>
      <c r="S19" s="825">
        <v>6251</v>
      </c>
      <c r="T19" s="825">
        <v>24478</v>
      </c>
      <c r="U19" s="825"/>
      <c r="V19" s="825"/>
    </row>
    <row r="20" spans="1:22" x14ac:dyDescent="0.25">
      <c r="A20" s="826" t="s">
        <v>2527</v>
      </c>
      <c r="B20" s="823">
        <v>1.0656999999999999E-3</v>
      </c>
      <c r="C20" s="823">
        <v>1.103E-3</v>
      </c>
      <c r="D20" s="570">
        <v>925.96</v>
      </c>
      <c r="E20" s="653">
        <v>-20622</v>
      </c>
      <c r="F20" s="814">
        <v>-18190</v>
      </c>
      <c r="G20" s="814"/>
      <c r="H20" s="824">
        <v>312</v>
      </c>
      <c r="I20" s="824">
        <v>2245</v>
      </c>
      <c r="J20" s="824">
        <v>3069</v>
      </c>
      <c r="K20" s="814">
        <v>667</v>
      </c>
      <c r="L20" s="814"/>
      <c r="M20" s="824">
        <v>59</v>
      </c>
      <c r="N20" s="824">
        <v>699</v>
      </c>
      <c r="O20" s="824">
        <v>0</v>
      </c>
      <c r="P20" s="814">
        <v>1475</v>
      </c>
      <c r="Q20" s="814"/>
      <c r="R20" s="824">
        <v>2897</v>
      </c>
      <c r="S20" s="825">
        <v>-208</v>
      </c>
      <c r="T20" s="825">
        <v>2689</v>
      </c>
      <c r="U20" s="825"/>
      <c r="V20" s="825"/>
    </row>
    <row r="21" spans="1:22" x14ac:dyDescent="0.25">
      <c r="A21" s="826" t="s">
        <v>2528</v>
      </c>
      <c r="B21" s="823">
        <v>9.3938000000000008E-3</v>
      </c>
      <c r="C21" s="823">
        <v>1.33673E-2</v>
      </c>
      <c r="D21" s="570">
        <v>8161.85</v>
      </c>
      <c r="E21" s="653">
        <v>-249915</v>
      </c>
      <c r="F21" s="814">
        <v>-160343</v>
      </c>
      <c r="G21" s="814"/>
      <c r="H21" s="824">
        <v>2752</v>
      </c>
      <c r="I21" s="824">
        <v>19793</v>
      </c>
      <c r="J21" s="824">
        <v>27054</v>
      </c>
      <c r="K21" s="814">
        <v>62351</v>
      </c>
      <c r="L21" s="814"/>
      <c r="M21" s="824">
        <v>517</v>
      </c>
      <c r="N21" s="824">
        <v>6162</v>
      </c>
      <c r="O21" s="824">
        <v>0</v>
      </c>
      <c r="P21" s="814">
        <v>24001</v>
      </c>
      <c r="Q21" s="814"/>
      <c r="R21" s="824">
        <v>25532</v>
      </c>
      <c r="S21" s="825">
        <v>14633</v>
      </c>
      <c r="T21" s="825">
        <v>40165</v>
      </c>
      <c r="U21" s="825"/>
      <c r="V21" s="825"/>
    </row>
    <row r="22" spans="1:22" x14ac:dyDescent="0.25">
      <c r="A22" s="826" t="s">
        <v>2529</v>
      </c>
      <c r="B22" s="823">
        <v>1.6682999999999999E-3</v>
      </c>
      <c r="C22" s="823">
        <v>1.7351999999999999E-3</v>
      </c>
      <c r="D22" s="570">
        <v>1449.49</v>
      </c>
      <c r="E22" s="653">
        <v>-32441</v>
      </c>
      <c r="F22" s="814">
        <v>-28476</v>
      </c>
      <c r="G22" s="814"/>
      <c r="H22" s="824">
        <v>489</v>
      </c>
      <c r="I22" s="824">
        <v>3515</v>
      </c>
      <c r="J22" s="824">
        <v>4805</v>
      </c>
      <c r="K22" s="814">
        <v>1062</v>
      </c>
      <c r="L22" s="814"/>
      <c r="M22" s="824">
        <v>92</v>
      </c>
      <c r="N22" s="824">
        <v>1094</v>
      </c>
      <c r="O22" s="824">
        <v>0</v>
      </c>
      <c r="P22" s="814">
        <v>465</v>
      </c>
      <c r="Q22" s="814"/>
      <c r="R22" s="824">
        <v>4534</v>
      </c>
      <c r="S22" s="825">
        <v>-8</v>
      </c>
      <c r="T22" s="825">
        <v>4527</v>
      </c>
      <c r="U22" s="825"/>
      <c r="V22" s="825"/>
    </row>
    <row r="23" spans="1:22" x14ac:dyDescent="0.25">
      <c r="A23" s="826" t="s">
        <v>2530</v>
      </c>
      <c r="B23" s="823">
        <v>1.6446300000000001E-2</v>
      </c>
      <c r="C23" s="823">
        <v>1.6867199999999999E-2</v>
      </c>
      <c r="D23" s="570">
        <v>14289.44</v>
      </c>
      <c r="E23" s="653">
        <v>-315349</v>
      </c>
      <c r="F23" s="814">
        <v>-280722</v>
      </c>
      <c r="G23" s="814"/>
      <c r="H23" s="824">
        <v>4819</v>
      </c>
      <c r="I23" s="824">
        <v>34652</v>
      </c>
      <c r="J23" s="824">
        <v>47365</v>
      </c>
      <c r="K23" s="814">
        <v>6590</v>
      </c>
      <c r="L23" s="814"/>
      <c r="M23" s="824">
        <v>905</v>
      </c>
      <c r="N23" s="824">
        <v>10789</v>
      </c>
      <c r="O23" s="824">
        <v>0</v>
      </c>
      <c r="P23" s="814">
        <v>3417</v>
      </c>
      <c r="Q23" s="814"/>
      <c r="R23" s="824">
        <v>44701</v>
      </c>
      <c r="S23" s="825">
        <v>-2176</v>
      </c>
      <c r="T23" s="825">
        <v>42525</v>
      </c>
      <c r="U23" s="825"/>
      <c r="V23" s="825"/>
    </row>
    <row r="24" spans="1:22" x14ac:dyDescent="0.25">
      <c r="A24" s="826" t="s">
        <v>2531</v>
      </c>
      <c r="B24" s="823">
        <v>8.7611000000000008E-3</v>
      </c>
      <c r="C24" s="823">
        <v>8.1905999999999993E-3</v>
      </c>
      <c r="D24" s="570">
        <v>7612.16</v>
      </c>
      <c r="E24" s="653">
        <v>-153131</v>
      </c>
      <c r="F24" s="814">
        <v>-149543</v>
      </c>
      <c r="G24" s="814"/>
      <c r="H24" s="824">
        <v>2567</v>
      </c>
      <c r="I24" s="824">
        <v>18460</v>
      </c>
      <c r="J24" s="824">
        <v>25232</v>
      </c>
      <c r="K24" s="814">
        <v>2077</v>
      </c>
      <c r="L24" s="814"/>
      <c r="M24" s="824">
        <v>482</v>
      </c>
      <c r="N24" s="824">
        <v>5747</v>
      </c>
      <c r="O24" s="824">
        <v>0</v>
      </c>
      <c r="P24" s="814">
        <v>9111</v>
      </c>
      <c r="Q24" s="814"/>
      <c r="R24" s="824">
        <v>23813</v>
      </c>
      <c r="S24" s="825">
        <v>-4210</v>
      </c>
      <c r="T24" s="825">
        <v>19603</v>
      </c>
      <c r="U24" s="825"/>
      <c r="V24" s="825"/>
    </row>
    <row r="25" spans="1:22" x14ac:dyDescent="0.25">
      <c r="A25" s="826" t="s">
        <v>2532</v>
      </c>
      <c r="B25" s="823">
        <v>3.6286999999999999E-3</v>
      </c>
      <c r="C25" s="823">
        <v>3.8235000000000001E-3</v>
      </c>
      <c r="D25" s="570">
        <v>3152.86</v>
      </c>
      <c r="E25" s="653">
        <v>-71484</v>
      </c>
      <c r="F25" s="814">
        <v>-61938</v>
      </c>
      <c r="G25" s="814"/>
      <c r="H25" s="824">
        <v>1063</v>
      </c>
      <c r="I25" s="824">
        <v>7646</v>
      </c>
      <c r="J25" s="824">
        <v>10451</v>
      </c>
      <c r="K25" s="814">
        <v>3050</v>
      </c>
      <c r="L25" s="814"/>
      <c r="M25" s="824">
        <v>200</v>
      </c>
      <c r="N25" s="824">
        <v>2380</v>
      </c>
      <c r="O25" s="824">
        <v>0</v>
      </c>
      <c r="P25" s="814">
        <v>592</v>
      </c>
      <c r="Q25" s="814"/>
      <c r="R25" s="824">
        <v>9863</v>
      </c>
      <c r="S25" s="825">
        <v>-255</v>
      </c>
      <c r="T25" s="825">
        <v>9608</v>
      </c>
      <c r="U25" s="825"/>
      <c r="V25" s="825"/>
    </row>
    <row r="26" spans="1:22" x14ac:dyDescent="0.25">
      <c r="A26" s="826" t="s">
        <v>2533</v>
      </c>
      <c r="B26" s="823">
        <v>1.5244E-3</v>
      </c>
      <c r="C26" s="823">
        <v>1.5716E-3</v>
      </c>
      <c r="D26" s="570">
        <v>1324.45</v>
      </c>
      <c r="E26" s="653">
        <v>-29383</v>
      </c>
      <c r="F26" s="814">
        <v>-26020</v>
      </c>
      <c r="G26" s="814"/>
      <c r="H26" s="824">
        <v>447</v>
      </c>
      <c r="I26" s="824">
        <v>3212</v>
      </c>
      <c r="J26" s="824">
        <v>4390</v>
      </c>
      <c r="K26" s="814">
        <v>1162</v>
      </c>
      <c r="L26" s="814"/>
      <c r="M26" s="824">
        <v>84</v>
      </c>
      <c r="N26" s="824">
        <v>1000</v>
      </c>
      <c r="O26" s="824">
        <v>0</v>
      </c>
      <c r="P26" s="814">
        <v>0</v>
      </c>
      <c r="Q26" s="814"/>
      <c r="R26" s="824">
        <v>4143</v>
      </c>
      <c r="S26" s="825">
        <v>806</v>
      </c>
      <c r="T26" s="825">
        <v>4949</v>
      </c>
      <c r="U26" s="825"/>
      <c r="V26" s="825"/>
    </row>
    <row r="27" spans="1:22" x14ac:dyDescent="0.25">
      <c r="A27" s="826" t="s">
        <v>2534</v>
      </c>
      <c r="B27" s="823">
        <v>1.5047999999999999E-3</v>
      </c>
      <c r="C27" s="823">
        <v>1.5135000000000001E-3</v>
      </c>
      <c r="D27" s="570">
        <v>1307.46</v>
      </c>
      <c r="E27" s="653">
        <v>-28296</v>
      </c>
      <c r="F27" s="814">
        <v>-25685</v>
      </c>
      <c r="G27" s="814"/>
      <c r="H27" s="824">
        <v>441</v>
      </c>
      <c r="I27" s="824">
        <v>3171</v>
      </c>
      <c r="J27" s="824">
        <v>4334</v>
      </c>
      <c r="K27" s="814">
        <v>1082</v>
      </c>
      <c r="L27" s="814"/>
      <c r="M27" s="824">
        <v>83</v>
      </c>
      <c r="N27" s="824">
        <v>987</v>
      </c>
      <c r="O27" s="824">
        <v>0</v>
      </c>
      <c r="P27" s="814">
        <v>0</v>
      </c>
      <c r="Q27" s="814"/>
      <c r="R27" s="824">
        <v>4090</v>
      </c>
      <c r="S27" s="825">
        <v>1607</v>
      </c>
      <c r="T27" s="825">
        <v>5697</v>
      </c>
      <c r="U27" s="825"/>
      <c r="V27" s="825"/>
    </row>
    <row r="28" spans="1:22" x14ac:dyDescent="0.25">
      <c r="A28" s="826" t="s">
        <v>2535</v>
      </c>
      <c r="B28" s="823">
        <v>7.0412000000000001E-3</v>
      </c>
      <c r="C28" s="823">
        <v>6.5862000000000004E-3</v>
      </c>
      <c r="D28" s="570">
        <v>6117.8</v>
      </c>
      <c r="E28" s="653">
        <v>-123136</v>
      </c>
      <c r="F28" s="814">
        <v>-120186</v>
      </c>
      <c r="G28" s="814"/>
      <c r="H28" s="824">
        <v>2063</v>
      </c>
      <c r="I28" s="824">
        <v>14836</v>
      </c>
      <c r="J28" s="824">
        <v>20279</v>
      </c>
      <c r="K28" s="814">
        <v>1148</v>
      </c>
      <c r="L28" s="814"/>
      <c r="M28" s="824">
        <v>387</v>
      </c>
      <c r="N28" s="824">
        <v>4619</v>
      </c>
      <c r="O28" s="824">
        <v>0</v>
      </c>
      <c r="P28" s="814">
        <v>7562</v>
      </c>
      <c r="Q28" s="814"/>
      <c r="R28" s="824">
        <v>19138</v>
      </c>
      <c r="S28" s="825">
        <v>-5309</v>
      </c>
      <c r="T28" s="825">
        <v>13829</v>
      </c>
      <c r="U28" s="825"/>
      <c r="V28" s="825"/>
    </row>
    <row r="29" spans="1:22" x14ac:dyDescent="0.25">
      <c r="A29" s="826" t="s">
        <v>2536</v>
      </c>
      <c r="B29" s="823">
        <v>4.2263999999999999E-3</v>
      </c>
      <c r="C29" s="823">
        <v>4.1635999999999999E-3</v>
      </c>
      <c r="D29" s="570">
        <v>3672.15</v>
      </c>
      <c r="E29" s="653">
        <v>-77843</v>
      </c>
      <c r="F29" s="814">
        <v>-72140</v>
      </c>
      <c r="G29" s="814"/>
      <c r="H29" s="824">
        <v>1238</v>
      </c>
      <c r="I29" s="824">
        <v>8905</v>
      </c>
      <c r="J29" s="824">
        <v>12172</v>
      </c>
      <c r="K29" s="814">
        <v>3548</v>
      </c>
      <c r="L29" s="814"/>
      <c r="M29" s="824">
        <v>232</v>
      </c>
      <c r="N29" s="824">
        <v>2773</v>
      </c>
      <c r="O29" s="824">
        <v>0</v>
      </c>
      <c r="P29" s="814">
        <v>983</v>
      </c>
      <c r="Q29" s="814"/>
      <c r="R29" s="824">
        <v>11487</v>
      </c>
      <c r="S29" s="825">
        <v>787</v>
      </c>
      <c r="T29" s="825">
        <v>12274</v>
      </c>
      <c r="U29" s="825"/>
      <c r="V29" s="825"/>
    </row>
    <row r="30" spans="1:22" x14ac:dyDescent="0.25">
      <c r="A30" s="826" t="s">
        <v>2537</v>
      </c>
      <c r="B30" s="823">
        <v>1.1783800000000001E-2</v>
      </c>
      <c r="C30" s="823">
        <v>1.21683E-2</v>
      </c>
      <c r="D30" s="570">
        <v>10238.43</v>
      </c>
      <c r="E30" s="653">
        <v>-227499</v>
      </c>
      <c r="F30" s="814">
        <v>-201138</v>
      </c>
      <c r="G30" s="814"/>
      <c r="H30" s="824">
        <v>3453</v>
      </c>
      <c r="I30" s="824">
        <v>24828</v>
      </c>
      <c r="J30" s="824">
        <v>33937</v>
      </c>
      <c r="K30" s="814">
        <v>6021</v>
      </c>
      <c r="L30" s="814"/>
      <c r="M30" s="824">
        <v>648</v>
      </c>
      <c r="N30" s="824">
        <v>7730</v>
      </c>
      <c r="O30" s="824">
        <v>0</v>
      </c>
      <c r="P30" s="814">
        <v>10319</v>
      </c>
      <c r="Q30" s="814"/>
      <c r="R30" s="824">
        <v>32028</v>
      </c>
      <c r="S30" s="825">
        <v>-4544</v>
      </c>
      <c r="T30" s="825">
        <v>27485</v>
      </c>
      <c r="U30" s="825"/>
      <c r="V30" s="825"/>
    </row>
    <row r="31" spans="1:22" x14ac:dyDescent="0.25">
      <c r="A31" s="826" t="s">
        <v>2538</v>
      </c>
      <c r="B31" s="823">
        <v>3.2709700000000001E-2</v>
      </c>
      <c r="C31" s="823">
        <v>3.3197299999999999E-2</v>
      </c>
      <c r="D31" s="570">
        <v>28420.07</v>
      </c>
      <c r="E31" s="653">
        <v>-620657</v>
      </c>
      <c r="F31" s="814">
        <v>-558322</v>
      </c>
      <c r="G31" s="814"/>
      <c r="H31" s="824">
        <v>9584</v>
      </c>
      <c r="I31" s="824">
        <v>68919</v>
      </c>
      <c r="J31" s="824">
        <v>94204</v>
      </c>
      <c r="K31" s="814">
        <v>21750</v>
      </c>
      <c r="L31" s="814"/>
      <c r="M31" s="824">
        <v>1799</v>
      </c>
      <c r="N31" s="824">
        <v>21458</v>
      </c>
      <c r="O31" s="824">
        <v>0</v>
      </c>
      <c r="P31" s="814">
        <v>0</v>
      </c>
      <c r="Q31" s="814"/>
      <c r="R31" s="824">
        <v>88905</v>
      </c>
      <c r="S31" s="825">
        <v>17502</v>
      </c>
      <c r="T31" s="825">
        <v>106407</v>
      </c>
      <c r="U31" s="825"/>
      <c r="V31" s="825"/>
    </row>
    <row r="32" spans="1:22" x14ac:dyDescent="0.25">
      <c r="A32" s="826" t="s">
        <v>2539</v>
      </c>
      <c r="B32" s="823">
        <v>3.9345999999999999E-3</v>
      </c>
      <c r="C32" s="823">
        <v>4.1034000000000001E-3</v>
      </c>
      <c r="D32" s="570">
        <v>3418.59</v>
      </c>
      <c r="E32" s="653">
        <v>-76717</v>
      </c>
      <c r="F32" s="814">
        <v>-67160</v>
      </c>
      <c r="G32" s="814"/>
      <c r="H32" s="824">
        <v>1153</v>
      </c>
      <c r="I32" s="824">
        <v>8290</v>
      </c>
      <c r="J32" s="824">
        <v>11332</v>
      </c>
      <c r="K32" s="814">
        <v>3941</v>
      </c>
      <c r="L32" s="814"/>
      <c r="M32" s="824">
        <v>216</v>
      </c>
      <c r="N32" s="824">
        <v>2581</v>
      </c>
      <c r="O32" s="824">
        <v>0</v>
      </c>
      <c r="P32" s="814">
        <v>0</v>
      </c>
      <c r="Q32" s="814"/>
      <c r="R32" s="824">
        <v>10694</v>
      </c>
      <c r="S32" s="825">
        <v>2925</v>
      </c>
      <c r="T32" s="825">
        <v>13619</v>
      </c>
      <c r="U32" s="825"/>
      <c r="V32" s="825"/>
    </row>
    <row r="33" spans="1:22" x14ac:dyDescent="0.25">
      <c r="A33" s="826" t="s">
        <v>2540</v>
      </c>
      <c r="B33" s="823">
        <v>8.9502999999999996E-3</v>
      </c>
      <c r="C33" s="823">
        <v>9.5162000000000007E-3</v>
      </c>
      <c r="D33" s="570">
        <v>7776.55</v>
      </c>
      <c r="E33" s="653">
        <v>-177915</v>
      </c>
      <c r="F33" s="814">
        <v>-152773</v>
      </c>
      <c r="G33" s="814"/>
      <c r="H33" s="824">
        <v>2622</v>
      </c>
      <c r="I33" s="824">
        <v>18858</v>
      </c>
      <c r="J33" s="824">
        <v>25777</v>
      </c>
      <c r="K33" s="814">
        <v>9256</v>
      </c>
      <c r="L33" s="814"/>
      <c r="M33" s="824">
        <v>492</v>
      </c>
      <c r="N33" s="824">
        <v>5871</v>
      </c>
      <c r="O33" s="824">
        <v>0</v>
      </c>
      <c r="P33" s="814">
        <v>3901</v>
      </c>
      <c r="Q33" s="814"/>
      <c r="R33" s="824">
        <v>24327</v>
      </c>
      <c r="S33" s="825">
        <v>3833</v>
      </c>
      <c r="T33" s="825">
        <v>28160</v>
      </c>
      <c r="U33" s="825"/>
      <c r="V33" s="825"/>
    </row>
    <row r="34" spans="1:22" x14ac:dyDescent="0.25">
      <c r="A34" s="826" t="s">
        <v>2541</v>
      </c>
      <c r="B34" s="823">
        <v>1.55941E-2</v>
      </c>
      <c r="C34" s="823">
        <v>1.08719E-2</v>
      </c>
      <c r="D34" s="570">
        <v>13549.01</v>
      </c>
      <c r="E34" s="653">
        <v>-203261</v>
      </c>
      <c r="F34" s="814">
        <v>-266176</v>
      </c>
      <c r="G34" s="814"/>
      <c r="H34" s="824">
        <v>4569</v>
      </c>
      <c r="I34" s="824">
        <v>32857</v>
      </c>
      <c r="J34" s="824">
        <v>44911</v>
      </c>
      <c r="K34" s="814">
        <v>20126</v>
      </c>
      <c r="L34" s="814"/>
      <c r="M34" s="824">
        <v>858</v>
      </c>
      <c r="N34" s="824">
        <v>10230</v>
      </c>
      <c r="O34" s="824">
        <v>0</v>
      </c>
      <c r="P34" s="814">
        <v>73940</v>
      </c>
      <c r="Q34" s="814"/>
      <c r="R34" s="824">
        <v>42385</v>
      </c>
      <c r="S34" s="825">
        <v>-16020</v>
      </c>
      <c r="T34" s="825">
        <v>26365</v>
      </c>
      <c r="U34" s="825"/>
      <c r="V34" s="825"/>
    </row>
    <row r="35" spans="1:22" x14ac:dyDescent="0.25">
      <c r="A35" s="826" t="s">
        <v>2542</v>
      </c>
      <c r="B35" s="823">
        <v>4.2516000000000003E-3</v>
      </c>
      <c r="C35" s="823">
        <v>4.0918999999999999E-3</v>
      </c>
      <c r="D35" s="570">
        <v>3694</v>
      </c>
      <c r="E35" s="653">
        <v>-76502</v>
      </c>
      <c r="F35" s="814">
        <v>-72571</v>
      </c>
      <c r="G35" s="814"/>
      <c r="H35" s="824">
        <v>1246</v>
      </c>
      <c r="I35" s="824">
        <v>8958</v>
      </c>
      <c r="J35" s="824">
        <v>12245</v>
      </c>
      <c r="K35" s="814">
        <v>1078</v>
      </c>
      <c r="L35" s="814"/>
      <c r="M35" s="824">
        <v>234</v>
      </c>
      <c r="N35" s="824">
        <v>2789</v>
      </c>
      <c r="O35" s="824">
        <v>0</v>
      </c>
      <c r="P35" s="814">
        <v>2789</v>
      </c>
      <c r="Q35" s="814"/>
      <c r="R35" s="824">
        <v>11556</v>
      </c>
      <c r="S35" s="825">
        <v>-2039</v>
      </c>
      <c r="T35" s="825">
        <v>9517</v>
      </c>
      <c r="U35" s="825"/>
      <c r="V35" s="825"/>
    </row>
    <row r="36" spans="1:22" x14ac:dyDescent="0.25">
      <c r="A36" s="826" t="s">
        <v>2543</v>
      </c>
      <c r="B36" s="823">
        <v>3.9173999999999997E-3</v>
      </c>
      <c r="C36" s="823">
        <v>4.2513000000000004E-3</v>
      </c>
      <c r="D36" s="570">
        <v>3403.7</v>
      </c>
      <c r="E36" s="653">
        <v>-79482</v>
      </c>
      <c r="F36" s="814">
        <v>-66866</v>
      </c>
      <c r="G36" s="814"/>
      <c r="H36" s="824">
        <v>1148</v>
      </c>
      <c r="I36" s="824">
        <v>8254</v>
      </c>
      <c r="J36" s="824">
        <v>11282</v>
      </c>
      <c r="K36" s="814">
        <v>5228</v>
      </c>
      <c r="L36" s="814"/>
      <c r="M36" s="824">
        <v>215</v>
      </c>
      <c r="N36" s="824">
        <v>2570</v>
      </c>
      <c r="O36" s="824">
        <v>0</v>
      </c>
      <c r="P36" s="814">
        <v>925</v>
      </c>
      <c r="Q36" s="814"/>
      <c r="R36" s="824">
        <v>10647</v>
      </c>
      <c r="S36" s="825">
        <v>1502</v>
      </c>
      <c r="T36" s="825">
        <v>12149</v>
      </c>
      <c r="U36" s="825"/>
      <c r="V36" s="825"/>
    </row>
    <row r="37" spans="1:22" x14ac:dyDescent="0.25">
      <c r="A37" s="826" t="s">
        <v>2544</v>
      </c>
      <c r="B37" s="823">
        <v>3.13446E-2</v>
      </c>
      <c r="C37" s="823">
        <v>3.1125E-2</v>
      </c>
      <c r="D37" s="570">
        <v>27233.96</v>
      </c>
      <c r="E37" s="653">
        <v>-581913</v>
      </c>
      <c r="F37" s="814">
        <v>-535021</v>
      </c>
      <c r="G37" s="814"/>
      <c r="H37" s="824">
        <v>9184</v>
      </c>
      <c r="I37" s="824">
        <v>66043</v>
      </c>
      <c r="J37" s="824">
        <v>90272</v>
      </c>
      <c r="K37" s="814">
        <v>0</v>
      </c>
      <c r="L37" s="814"/>
      <c r="M37" s="824">
        <v>1724</v>
      </c>
      <c r="N37" s="824">
        <v>20562</v>
      </c>
      <c r="O37" s="824">
        <v>0</v>
      </c>
      <c r="P37" s="814">
        <v>14736</v>
      </c>
      <c r="Q37" s="814"/>
      <c r="R37" s="824">
        <v>85195</v>
      </c>
      <c r="S37" s="825">
        <v>-18707</v>
      </c>
      <c r="T37" s="825">
        <v>66488</v>
      </c>
      <c r="U37" s="825"/>
      <c r="V37" s="825"/>
    </row>
    <row r="38" spans="1:22" x14ac:dyDescent="0.25">
      <c r="A38" s="826" t="s">
        <v>2545</v>
      </c>
      <c r="B38" s="823">
        <v>3.1862000000000001E-3</v>
      </c>
      <c r="C38" s="823">
        <v>3.4244000000000002E-3</v>
      </c>
      <c r="D38" s="570">
        <v>2768.35</v>
      </c>
      <c r="E38" s="653">
        <v>-64023</v>
      </c>
      <c r="F38" s="814">
        <v>-54385</v>
      </c>
      <c r="G38" s="814"/>
      <c r="H38" s="824">
        <v>934</v>
      </c>
      <c r="I38" s="824">
        <v>6713</v>
      </c>
      <c r="J38" s="824">
        <v>9176</v>
      </c>
      <c r="K38" s="814">
        <v>4993</v>
      </c>
      <c r="L38" s="814"/>
      <c r="M38" s="824">
        <v>175</v>
      </c>
      <c r="N38" s="824">
        <v>2090</v>
      </c>
      <c r="O38" s="824">
        <v>0</v>
      </c>
      <c r="P38" s="814">
        <v>100</v>
      </c>
      <c r="Q38" s="814"/>
      <c r="R38" s="824">
        <v>8660</v>
      </c>
      <c r="S38" s="825">
        <v>2101</v>
      </c>
      <c r="T38" s="825">
        <v>10761</v>
      </c>
      <c r="U38" s="825"/>
      <c r="V38" s="825"/>
    </row>
    <row r="39" spans="1:22" x14ac:dyDescent="0.25">
      <c r="A39" s="826" t="s">
        <v>2546</v>
      </c>
      <c r="B39" s="823">
        <v>3.9621999999999997E-2</v>
      </c>
      <c r="C39" s="823">
        <v>3.9605899999999999E-2</v>
      </c>
      <c r="D39" s="570">
        <v>34425.870000000003</v>
      </c>
      <c r="E39" s="653">
        <v>-740472</v>
      </c>
      <c r="F39" s="814">
        <v>-676308</v>
      </c>
      <c r="G39" s="814"/>
      <c r="H39" s="824">
        <v>11609</v>
      </c>
      <c r="I39" s="824">
        <v>83484</v>
      </c>
      <c r="J39" s="824">
        <v>114111</v>
      </c>
      <c r="K39" s="814">
        <v>0</v>
      </c>
      <c r="L39" s="814"/>
      <c r="M39" s="824">
        <v>2179</v>
      </c>
      <c r="N39" s="824">
        <v>25992</v>
      </c>
      <c r="O39" s="824">
        <v>0</v>
      </c>
      <c r="P39" s="814">
        <v>4228</v>
      </c>
      <c r="Q39" s="814"/>
      <c r="R39" s="824">
        <v>107693</v>
      </c>
      <c r="S39" s="825">
        <v>-7577</v>
      </c>
      <c r="T39" s="825">
        <v>100116</v>
      </c>
      <c r="U39" s="825"/>
      <c r="V39" s="825"/>
    </row>
    <row r="40" spans="1:22" x14ac:dyDescent="0.25">
      <c r="A40" s="826" t="s">
        <v>2547</v>
      </c>
      <c r="B40" s="823">
        <v>6.2922000000000004E-3</v>
      </c>
      <c r="C40" s="823">
        <v>5.6988999999999998E-3</v>
      </c>
      <c r="D40" s="570">
        <v>5466.99</v>
      </c>
      <c r="E40" s="653">
        <v>-106547</v>
      </c>
      <c r="F40" s="814">
        <v>-107402</v>
      </c>
      <c r="G40" s="814"/>
      <c r="H40" s="824">
        <v>1844</v>
      </c>
      <c r="I40" s="824">
        <v>13258</v>
      </c>
      <c r="J40" s="824">
        <v>18122</v>
      </c>
      <c r="K40" s="814">
        <v>0</v>
      </c>
      <c r="L40" s="814"/>
      <c r="M40" s="824">
        <v>346</v>
      </c>
      <c r="N40" s="824">
        <v>4128</v>
      </c>
      <c r="O40" s="824">
        <v>0</v>
      </c>
      <c r="P40" s="814">
        <v>13572</v>
      </c>
      <c r="Q40" s="814"/>
      <c r="R40" s="824">
        <v>17102</v>
      </c>
      <c r="S40" s="825">
        <v>-8319</v>
      </c>
      <c r="T40" s="825">
        <v>8783</v>
      </c>
      <c r="U40" s="825"/>
      <c r="V40" s="825"/>
    </row>
    <row r="41" spans="1:22" x14ac:dyDescent="0.25">
      <c r="A41" s="826" t="s">
        <v>2548</v>
      </c>
      <c r="B41" s="823">
        <v>8.5229999999999993E-3</v>
      </c>
      <c r="C41" s="823">
        <v>1.13299E-2</v>
      </c>
      <c r="D41" s="570">
        <v>7405.3</v>
      </c>
      <c r="E41" s="653">
        <v>-211824</v>
      </c>
      <c r="F41" s="814">
        <v>-145479</v>
      </c>
      <c r="G41" s="814"/>
      <c r="H41" s="824">
        <v>2497</v>
      </c>
      <c r="I41" s="824">
        <v>17958</v>
      </c>
      <c r="J41" s="824">
        <v>24546</v>
      </c>
      <c r="K41" s="814">
        <v>65478</v>
      </c>
      <c r="L41" s="814"/>
      <c r="M41" s="824">
        <v>469</v>
      </c>
      <c r="N41" s="824">
        <v>5591</v>
      </c>
      <c r="O41" s="824">
        <v>0</v>
      </c>
      <c r="P41" s="814">
        <v>0</v>
      </c>
      <c r="Q41" s="814"/>
      <c r="R41" s="824">
        <v>23166</v>
      </c>
      <c r="S41" s="825">
        <v>42235</v>
      </c>
      <c r="T41" s="825">
        <v>65400</v>
      </c>
      <c r="U41" s="825"/>
      <c r="V41" s="825"/>
    </row>
    <row r="42" spans="1:22" x14ac:dyDescent="0.25">
      <c r="A42" s="826" t="s">
        <v>2549</v>
      </c>
      <c r="B42" s="823">
        <v>8.7089999999999997E-4</v>
      </c>
      <c r="C42" s="823">
        <v>9.5730000000000001E-4</v>
      </c>
      <c r="D42" s="570">
        <v>756.67</v>
      </c>
      <c r="E42" s="653">
        <v>-17898</v>
      </c>
      <c r="F42" s="814">
        <v>-14865</v>
      </c>
      <c r="G42" s="814"/>
      <c r="H42" s="824">
        <v>255</v>
      </c>
      <c r="I42" s="824">
        <v>1835</v>
      </c>
      <c r="J42" s="824">
        <v>2508</v>
      </c>
      <c r="K42" s="814">
        <v>1431</v>
      </c>
      <c r="L42" s="814"/>
      <c r="M42" s="824">
        <v>48</v>
      </c>
      <c r="N42" s="824">
        <v>571</v>
      </c>
      <c r="O42" s="824">
        <v>0</v>
      </c>
      <c r="P42" s="814">
        <v>141</v>
      </c>
      <c r="Q42" s="814"/>
      <c r="R42" s="824">
        <v>2367</v>
      </c>
      <c r="S42" s="825">
        <v>902</v>
      </c>
      <c r="T42" s="825">
        <v>3269</v>
      </c>
      <c r="U42" s="825"/>
      <c r="V42" s="825"/>
    </row>
    <row r="43" spans="1:22" x14ac:dyDescent="0.25">
      <c r="A43" s="826" t="s">
        <v>2550</v>
      </c>
      <c r="B43" s="823">
        <v>6.9390000000000001E-4</v>
      </c>
      <c r="C43" s="823">
        <v>6.8349999999999997E-4</v>
      </c>
      <c r="D43" s="570">
        <v>602.87</v>
      </c>
      <c r="E43" s="653">
        <v>-12779</v>
      </c>
      <c r="F43" s="814">
        <v>-11844</v>
      </c>
      <c r="G43" s="814"/>
      <c r="H43" s="824">
        <v>203</v>
      </c>
      <c r="I43" s="824">
        <v>1462</v>
      </c>
      <c r="J43" s="824">
        <v>1998</v>
      </c>
      <c r="K43" s="814">
        <v>59</v>
      </c>
      <c r="L43" s="814"/>
      <c r="M43" s="824">
        <v>38</v>
      </c>
      <c r="N43" s="824">
        <v>455</v>
      </c>
      <c r="O43" s="824">
        <v>0</v>
      </c>
      <c r="P43" s="814">
        <v>680</v>
      </c>
      <c r="Q43" s="814"/>
      <c r="R43" s="824">
        <v>1886</v>
      </c>
      <c r="S43" s="825">
        <v>-168</v>
      </c>
      <c r="T43" s="825">
        <v>1718</v>
      </c>
      <c r="U43" s="825"/>
      <c r="V43" s="825"/>
    </row>
    <row r="44" spans="1:22" x14ac:dyDescent="0.25">
      <c r="A44" s="826" t="s">
        <v>2551</v>
      </c>
      <c r="B44" s="823">
        <v>4.8060000000000004E-3</v>
      </c>
      <c r="C44" s="823">
        <v>4.3911999999999996E-3</v>
      </c>
      <c r="D44" s="570">
        <v>4175.76</v>
      </c>
      <c r="E44" s="653">
        <v>-82098</v>
      </c>
      <c r="F44" s="814">
        <v>-82034</v>
      </c>
      <c r="G44" s="814"/>
      <c r="H44" s="824">
        <v>1408</v>
      </c>
      <c r="I44" s="824">
        <v>10126</v>
      </c>
      <c r="J44" s="824">
        <v>13841</v>
      </c>
      <c r="K44" s="814">
        <v>1904</v>
      </c>
      <c r="L44" s="814"/>
      <c r="M44" s="824">
        <v>264</v>
      </c>
      <c r="N44" s="824">
        <v>3153</v>
      </c>
      <c r="O44" s="824">
        <v>0</v>
      </c>
      <c r="P44" s="814">
        <v>6513</v>
      </c>
      <c r="Q44" s="814"/>
      <c r="R44" s="824">
        <v>13063</v>
      </c>
      <c r="S44" s="825">
        <v>-2352</v>
      </c>
      <c r="T44" s="825">
        <v>10710</v>
      </c>
      <c r="U44" s="825"/>
      <c r="V44" s="825"/>
    </row>
    <row r="45" spans="1:22" x14ac:dyDescent="0.25">
      <c r="A45" s="826" t="s">
        <v>2552</v>
      </c>
      <c r="B45" s="823">
        <v>1.1391999999999999E-3</v>
      </c>
      <c r="C45" s="823">
        <v>1.2329000000000001E-3</v>
      </c>
      <c r="D45" s="570">
        <v>989.77</v>
      </c>
      <c r="E45" s="653">
        <v>-23050</v>
      </c>
      <c r="F45" s="814">
        <v>-19445</v>
      </c>
      <c r="G45" s="814"/>
      <c r="H45" s="824">
        <v>334</v>
      </c>
      <c r="I45" s="824">
        <v>2400</v>
      </c>
      <c r="J45" s="824">
        <v>3281</v>
      </c>
      <c r="K45" s="814">
        <v>1543</v>
      </c>
      <c r="L45" s="814"/>
      <c r="M45" s="824">
        <v>63</v>
      </c>
      <c r="N45" s="824">
        <v>747</v>
      </c>
      <c r="O45" s="824">
        <v>0</v>
      </c>
      <c r="P45" s="814">
        <v>898</v>
      </c>
      <c r="Q45" s="814"/>
      <c r="R45" s="824">
        <v>3096</v>
      </c>
      <c r="S45" s="825">
        <v>166</v>
      </c>
      <c r="T45" s="825">
        <v>3263</v>
      </c>
      <c r="U45" s="825"/>
      <c r="V45" s="825"/>
    </row>
    <row r="46" spans="1:22" x14ac:dyDescent="0.25">
      <c r="A46" s="826" t="s">
        <v>2553</v>
      </c>
      <c r="B46" s="823">
        <v>4.39079E-2</v>
      </c>
      <c r="C46" s="823">
        <v>4.39733E-2</v>
      </c>
      <c r="D46" s="570">
        <v>38149.620000000003</v>
      </c>
      <c r="E46" s="653">
        <v>-822125</v>
      </c>
      <c r="F46" s="814">
        <v>-749464</v>
      </c>
      <c r="G46" s="814"/>
      <c r="H46" s="824">
        <v>12865</v>
      </c>
      <c r="I46" s="824">
        <v>92514</v>
      </c>
      <c r="J46" s="824">
        <v>126455</v>
      </c>
      <c r="K46" s="814">
        <v>1024</v>
      </c>
      <c r="L46" s="814"/>
      <c r="M46" s="824">
        <v>2415</v>
      </c>
      <c r="N46" s="824">
        <v>28804</v>
      </c>
      <c r="O46" s="824">
        <v>0</v>
      </c>
      <c r="P46" s="814">
        <v>3942</v>
      </c>
      <c r="Q46" s="814"/>
      <c r="R46" s="824">
        <v>119342</v>
      </c>
      <c r="S46" s="825">
        <v>-6233</v>
      </c>
      <c r="T46" s="825">
        <v>113109</v>
      </c>
      <c r="U46" s="825"/>
      <c r="V46" s="825"/>
    </row>
    <row r="47" spans="1:22" x14ac:dyDescent="0.25">
      <c r="A47" s="826" t="s">
        <v>2554</v>
      </c>
      <c r="B47" s="823">
        <v>4.2783999999999999E-3</v>
      </c>
      <c r="C47" s="823">
        <v>4.2215000000000004E-3</v>
      </c>
      <c r="D47" s="570">
        <v>3717.29</v>
      </c>
      <c r="E47" s="653">
        <v>-78925</v>
      </c>
      <c r="F47" s="814">
        <v>-73028</v>
      </c>
      <c r="G47" s="814"/>
      <c r="H47" s="824">
        <v>1254</v>
      </c>
      <c r="I47" s="824">
        <v>9015</v>
      </c>
      <c r="J47" s="824">
        <v>12322</v>
      </c>
      <c r="K47" s="814">
        <v>1664</v>
      </c>
      <c r="L47" s="814"/>
      <c r="M47" s="824">
        <v>235</v>
      </c>
      <c r="N47" s="824">
        <v>2807</v>
      </c>
      <c r="O47" s="824">
        <v>0</v>
      </c>
      <c r="P47" s="814">
        <v>1041</v>
      </c>
      <c r="Q47" s="814"/>
      <c r="R47" s="824">
        <v>11629</v>
      </c>
      <c r="S47" s="825">
        <v>-337</v>
      </c>
      <c r="T47" s="825">
        <v>11292</v>
      </c>
      <c r="U47" s="825"/>
      <c r="V47" s="825"/>
    </row>
    <row r="48" spans="1:22" x14ac:dyDescent="0.25">
      <c r="A48" s="826" t="s">
        <v>2555</v>
      </c>
      <c r="B48" s="823">
        <v>1.24961E-2</v>
      </c>
      <c r="C48" s="823">
        <v>1.2143599999999999E-2</v>
      </c>
      <c r="D48" s="570">
        <v>10857.29</v>
      </c>
      <c r="E48" s="653">
        <v>-227037</v>
      </c>
      <c r="F48" s="814">
        <v>-213296</v>
      </c>
      <c r="G48" s="814"/>
      <c r="H48" s="824">
        <v>3661</v>
      </c>
      <c r="I48" s="824">
        <v>26329</v>
      </c>
      <c r="J48" s="824">
        <v>35989</v>
      </c>
      <c r="K48" s="814">
        <v>3139</v>
      </c>
      <c r="L48" s="814"/>
      <c r="M48" s="824">
        <v>687</v>
      </c>
      <c r="N48" s="824">
        <v>8197</v>
      </c>
      <c r="O48" s="824">
        <v>0</v>
      </c>
      <c r="P48" s="814">
        <v>5924</v>
      </c>
      <c r="Q48" s="814"/>
      <c r="R48" s="824">
        <v>33964</v>
      </c>
      <c r="S48" s="825">
        <v>-1686</v>
      </c>
      <c r="T48" s="825">
        <v>32278</v>
      </c>
      <c r="U48" s="825"/>
      <c r="V48" s="825"/>
    </row>
    <row r="49" spans="1:22" x14ac:dyDescent="0.25">
      <c r="A49" s="826" t="s">
        <v>2556</v>
      </c>
      <c r="B49" s="823">
        <v>7.6893999999999999E-3</v>
      </c>
      <c r="C49" s="823">
        <v>7.4390999999999997E-3</v>
      </c>
      <c r="D49" s="570">
        <v>6680.95</v>
      </c>
      <c r="E49" s="653">
        <v>-139081</v>
      </c>
      <c r="F49" s="814">
        <v>-131250</v>
      </c>
      <c r="G49" s="814"/>
      <c r="H49" s="824">
        <v>2253</v>
      </c>
      <c r="I49" s="824">
        <v>16202</v>
      </c>
      <c r="J49" s="824">
        <v>22145</v>
      </c>
      <c r="K49" s="814">
        <v>1241</v>
      </c>
      <c r="L49" s="814"/>
      <c r="M49" s="824">
        <v>423</v>
      </c>
      <c r="N49" s="824">
        <v>5044</v>
      </c>
      <c r="O49" s="824">
        <v>0</v>
      </c>
      <c r="P49" s="814">
        <v>4630</v>
      </c>
      <c r="Q49" s="814"/>
      <c r="R49" s="824">
        <v>20900</v>
      </c>
      <c r="S49" s="825">
        <v>-4511</v>
      </c>
      <c r="T49" s="825">
        <v>16389</v>
      </c>
      <c r="U49" s="825"/>
      <c r="V49" s="825"/>
    </row>
    <row r="50" spans="1:22" x14ac:dyDescent="0.25">
      <c r="A50" s="826" t="s">
        <v>2557</v>
      </c>
      <c r="B50" s="823">
        <v>1.42083E-2</v>
      </c>
      <c r="C50" s="823">
        <v>1.4215500000000001E-2</v>
      </c>
      <c r="D50" s="570">
        <v>12344.96</v>
      </c>
      <c r="E50" s="653">
        <v>-265773</v>
      </c>
      <c r="F50" s="814">
        <v>-242521</v>
      </c>
      <c r="G50" s="814"/>
      <c r="H50" s="824">
        <v>4163</v>
      </c>
      <c r="I50" s="824">
        <v>29937</v>
      </c>
      <c r="J50" s="824">
        <v>40920</v>
      </c>
      <c r="K50" s="814">
        <v>113</v>
      </c>
      <c r="L50" s="814"/>
      <c r="M50" s="824">
        <v>781</v>
      </c>
      <c r="N50" s="824">
        <v>9321</v>
      </c>
      <c r="O50" s="824">
        <v>0</v>
      </c>
      <c r="P50" s="814">
        <v>6195</v>
      </c>
      <c r="Q50" s="814"/>
      <c r="R50" s="824">
        <v>38618</v>
      </c>
      <c r="S50" s="825">
        <v>-8142</v>
      </c>
      <c r="T50" s="825">
        <v>30476</v>
      </c>
      <c r="U50" s="825"/>
      <c r="V50" s="825"/>
    </row>
    <row r="51" spans="1:22" x14ac:dyDescent="0.25">
      <c r="A51" s="826" t="s">
        <v>2558</v>
      </c>
      <c r="B51" s="823">
        <v>1.7851E-3</v>
      </c>
      <c r="C51" s="823">
        <v>1.8568E-3</v>
      </c>
      <c r="D51" s="570">
        <v>1551.02</v>
      </c>
      <c r="E51" s="653">
        <v>-34715</v>
      </c>
      <c r="F51" s="814">
        <v>-30470</v>
      </c>
      <c r="G51" s="814"/>
      <c r="H51" s="824">
        <v>523</v>
      </c>
      <c r="I51" s="824">
        <v>3761</v>
      </c>
      <c r="J51" s="824">
        <v>5141</v>
      </c>
      <c r="K51" s="814">
        <v>1254</v>
      </c>
      <c r="L51" s="814"/>
      <c r="M51" s="824">
        <v>98</v>
      </c>
      <c r="N51" s="824">
        <v>1171</v>
      </c>
      <c r="O51" s="824">
        <v>0</v>
      </c>
      <c r="P51" s="814">
        <v>0</v>
      </c>
      <c r="Q51" s="814"/>
      <c r="R51" s="824">
        <v>4852</v>
      </c>
      <c r="S51" s="825">
        <v>909</v>
      </c>
      <c r="T51" s="825">
        <v>5761</v>
      </c>
      <c r="U51" s="825"/>
      <c r="V51" s="825"/>
    </row>
    <row r="52" spans="1:22" x14ac:dyDescent="0.25">
      <c r="A52" s="826" t="s">
        <v>2559</v>
      </c>
      <c r="B52" s="823">
        <v>4.4527000000000004E-3</v>
      </c>
      <c r="C52" s="823">
        <v>5.0083999999999997E-3</v>
      </c>
      <c r="D52" s="570">
        <v>3868.79</v>
      </c>
      <c r="E52" s="653">
        <v>-93637</v>
      </c>
      <c r="F52" s="814">
        <v>-76003</v>
      </c>
      <c r="G52" s="814"/>
      <c r="H52" s="824">
        <v>1305</v>
      </c>
      <c r="I52" s="824">
        <v>9382</v>
      </c>
      <c r="J52" s="824">
        <v>12824</v>
      </c>
      <c r="K52" s="814">
        <v>9101</v>
      </c>
      <c r="L52" s="814"/>
      <c r="M52" s="824">
        <v>245</v>
      </c>
      <c r="N52" s="824">
        <v>2921</v>
      </c>
      <c r="O52" s="824">
        <v>0</v>
      </c>
      <c r="P52" s="814">
        <v>2484</v>
      </c>
      <c r="Q52" s="814"/>
      <c r="R52" s="824">
        <v>12102</v>
      </c>
      <c r="S52" s="825">
        <v>4677</v>
      </c>
      <c r="T52" s="825">
        <v>16779</v>
      </c>
      <c r="U52" s="825"/>
      <c r="V52" s="825"/>
    </row>
    <row r="53" spans="1:22" x14ac:dyDescent="0.25">
      <c r="A53" s="826" t="s">
        <v>2560</v>
      </c>
      <c r="B53" s="823">
        <v>4.8450000000000001E-4</v>
      </c>
      <c r="C53" s="823">
        <v>4.6650000000000001E-4</v>
      </c>
      <c r="D53" s="570">
        <v>420.95</v>
      </c>
      <c r="E53" s="653">
        <v>-8722</v>
      </c>
      <c r="F53" s="814">
        <v>-8270</v>
      </c>
      <c r="G53" s="814"/>
      <c r="H53" s="824">
        <v>142</v>
      </c>
      <c r="I53" s="824">
        <v>1021</v>
      </c>
      <c r="J53" s="824">
        <v>1395</v>
      </c>
      <c r="K53" s="814">
        <v>0</v>
      </c>
      <c r="L53" s="814"/>
      <c r="M53" s="824">
        <v>27</v>
      </c>
      <c r="N53" s="824">
        <v>318</v>
      </c>
      <c r="O53" s="824">
        <v>0</v>
      </c>
      <c r="P53" s="814">
        <v>396</v>
      </c>
      <c r="Q53" s="814"/>
      <c r="R53" s="824">
        <v>1317</v>
      </c>
      <c r="S53" s="825">
        <v>-577</v>
      </c>
      <c r="T53" s="825">
        <v>740</v>
      </c>
      <c r="U53" s="825"/>
      <c r="V53" s="825"/>
    </row>
    <row r="54" spans="1:22" x14ac:dyDescent="0.25">
      <c r="A54" s="826" t="s">
        <v>2561</v>
      </c>
      <c r="B54" s="823">
        <v>2.0341999999999999E-2</v>
      </c>
      <c r="C54" s="823">
        <v>2.0577100000000001E-2</v>
      </c>
      <c r="D54" s="570">
        <v>17674.29</v>
      </c>
      <c r="E54" s="653">
        <v>-384709</v>
      </c>
      <c r="F54" s="814">
        <v>-347218</v>
      </c>
      <c r="G54" s="814"/>
      <c r="H54" s="824">
        <v>5960</v>
      </c>
      <c r="I54" s="824">
        <v>42861</v>
      </c>
      <c r="J54" s="824">
        <v>58585</v>
      </c>
      <c r="K54" s="814">
        <v>3681</v>
      </c>
      <c r="L54" s="814"/>
      <c r="M54" s="824">
        <v>1119</v>
      </c>
      <c r="N54" s="824">
        <v>13344</v>
      </c>
      <c r="O54" s="824">
        <v>0</v>
      </c>
      <c r="P54" s="814">
        <v>11891</v>
      </c>
      <c r="Q54" s="814"/>
      <c r="R54" s="824">
        <v>55290</v>
      </c>
      <c r="S54" s="825">
        <v>-11122</v>
      </c>
      <c r="T54" s="825">
        <v>44168</v>
      </c>
      <c r="U54" s="825"/>
      <c r="V54" s="825"/>
    </row>
    <row r="55" spans="1:22" x14ac:dyDescent="0.25">
      <c r="A55" s="826" t="s">
        <v>2562</v>
      </c>
      <c r="B55" s="823">
        <v>6.7647999999999996E-3</v>
      </c>
      <c r="C55" s="823">
        <v>6.6058000000000002E-3</v>
      </c>
      <c r="D55" s="570">
        <v>5877.62</v>
      </c>
      <c r="E55" s="653">
        <v>-123502</v>
      </c>
      <c r="F55" s="814">
        <v>-115468</v>
      </c>
      <c r="G55" s="814"/>
      <c r="H55" s="824">
        <v>1982</v>
      </c>
      <c r="I55" s="824">
        <v>14253</v>
      </c>
      <c r="J55" s="824">
        <v>19483</v>
      </c>
      <c r="K55" s="814">
        <v>0</v>
      </c>
      <c r="L55" s="814"/>
      <c r="M55" s="824">
        <v>372</v>
      </c>
      <c r="N55" s="824">
        <v>4438</v>
      </c>
      <c r="O55" s="824">
        <v>0</v>
      </c>
      <c r="P55" s="814">
        <v>20707</v>
      </c>
      <c r="Q55" s="814"/>
      <c r="R55" s="824">
        <v>18387</v>
      </c>
      <c r="S55" s="825">
        <v>-15524</v>
      </c>
      <c r="T55" s="825">
        <v>2863</v>
      </c>
      <c r="U55" s="825"/>
      <c r="V55" s="825"/>
    </row>
    <row r="56" spans="1:22" x14ac:dyDescent="0.25">
      <c r="A56" s="826" t="s">
        <v>2563</v>
      </c>
      <c r="B56" s="823">
        <v>2.1563800000000001E-2</v>
      </c>
      <c r="C56" s="823">
        <v>1.98465E-2</v>
      </c>
      <c r="D56" s="570">
        <v>18735.810000000001</v>
      </c>
      <c r="E56" s="653">
        <v>-371050</v>
      </c>
      <c r="F56" s="814">
        <v>-368073</v>
      </c>
      <c r="G56" s="814"/>
      <c r="H56" s="824">
        <v>6318</v>
      </c>
      <c r="I56" s="824">
        <v>45435</v>
      </c>
      <c r="J56" s="824">
        <v>62104</v>
      </c>
      <c r="K56" s="814">
        <v>411</v>
      </c>
      <c r="L56" s="814"/>
      <c r="M56" s="824">
        <v>1186</v>
      </c>
      <c r="N56" s="824">
        <v>14146</v>
      </c>
      <c r="O56" s="824">
        <v>0</v>
      </c>
      <c r="P56" s="814">
        <v>35333</v>
      </c>
      <c r="Q56" s="814"/>
      <c r="R56" s="824">
        <v>58610</v>
      </c>
      <c r="S56" s="825">
        <v>-18828</v>
      </c>
      <c r="T56" s="825">
        <v>39782</v>
      </c>
      <c r="U56" s="825"/>
      <c r="V56" s="825"/>
    </row>
    <row r="57" spans="1:22" x14ac:dyDescent="0.25">
      <c r="A57" s="826" t="s">
        <v>2564</v>
      </c>
      <c r="B57" s="823">
        <v>8.2770000000000001E-4</v>
      </c>
      <c r="C57" s="823">
        <v>8.3480000000000002E-4</v>
      </c>
      <c r="D57" s="570">
        <v>719.19</v>
      </c>
      <c r="E57" s="653">
        <v>-15607</v>
      </c>
      <c r="F57" s="814">
        <v>-14128</v>
      </c>
      <c r="G57" s="814"/>
      <c r="H57" s="824">
        <v>243</v>
      </c>
      <c r="I57" s="824">
        <v>1744</v>
      </c>
      <c r="J57" s="824">
        <v>2384</v>
      </c>
      <c r="K57" s="814">
        <v>2412</v>
      </c>
      <c r="L57" s="814"/>
      <c r="M57" s="824">
        <v>46</v>
      </c>
      <c r="N57" s="824">
        <v>543</v>
      </c>
      <c r="O57" s="824">
        <v>0</v>
      </c>
      <c r="P57" s="814">
        <v>127</v>
      </c>
      <c r="Q57" s="814"/>
      <c r="R57" s="824">
        <v>2250</v>
      </c>
      <c r="S57" s="825">
        <v>965</v>
      </c>
      <c r="T57" s="825">
        <v>3215</v>
      </c>
      <c r="U57" s="825"/>
      <c r="V57" s="825"/>
    </row>
    <row r="58" spans="1:22" x14ac:dyDescent="0.25">
      <c r="A58" s="826" t="s">
        <v>2565</v>
      </c>
      <c r="B58" s="823">
        <v>5.6318999999999996E-3</v>
      </c>
      <c r="C58" s="823">
        <v>5.7454000000000003E-3</v>
      </c>
      <c r="D58" s="570">
        <v>4893.33</v>
      </c>
      <c r="E58" s="653">
        <v>-107416</v>
      </c>
      <c r="F58" s="814">
        <v>-96131</v>
      </c>
      <c r="G58" s="814"/>
      <c r="H58" s="824">
        <v>1650</v>
      </c>
      <c r="I58" s="824">
        <v>11866</v>
      </c>
      <c r="J58" s="824">
        <v>16220</v>
      </c>
      <c r="K58" s="814">
        <v>1777</v>
      </c>
      <c r="L58" s="814"/>
      <c r="M58" s="824">
        <v>310</v>
      </c>
      <c r="N58" s="824">
        <v>3695</v>
      </c>
      <c r="O58" s="824">
        <v>0</v>
      </c>
      <c r="P58" s="814">
        <v>1447</v>
      </c>
      <c r="Q58" s="814"/>
      <c r="R58" s="824">
        <v>15308</v>
      </c>
      <c r="S58" s="825">
        <v>-655</v>
      </c>
      <c r="T58" s="825">
        <v>14652</v>
      </c>
      <c r="U58" s="825"/>
      <c r="V58" s="825"/>
    </row>
    <row r="59" spans="1:22" x14ac:dyDescent="0.25">
      <c r="A59" s="826" t="s">
        <v>2566</v>
      </c>
      <c r="B59" s="823">
        <v>3.4169000000000001E-3</v>
      </c>
      <c r="C59" s="823">
        <v>3.5750000000000001E-3</v>
      </c>
      <c r="D59" s="570">
        <v>2968.77</v>
      </c>
      <c r="E59" s="653">
        <v>-66838.2</v>
      </c>
      <c r="F59" s="814">
        <v>-58323</v>
      </c>
      <c r="G59" s="814"/>
      <c r="H59" s="824">
        <v>1001</v>
      </c>
      <c r="I59" s="824">
        <v>7199</v>
      </c>
      <c r="J59" s="824">
        <v>9841</v>
      </c>
      <c r="K59" s="814">
        <v>2882</v>
      </c>
      <c r="L59" s="814"/>
      <c r="M59" s="824">
        <v>188</v>
      </c>
      <c r="N59" s="824">
        <v>2241</v>
      </c>
      <c r="O59" s="824">
        <v>0</v>
      </c>
      <c r="P59" s="814">
        <v>1251</v>
      </c>
      <c r="Q59" s="814"/>
      <c r="R59" s="824">
        <v>9287</v>
      </c>
      <c r="S59" s="825">
        <v>1868</v>
      </c>
      <c r="T59" s="825">
        <v>11156</v>
      </c>
      <c r="U59" s="825"/>
      <c r="V59" s="825"/>
    </row>
    <row r="60" spans="1:22" x14ac:dyDescent="0.25">
      <c r="A60" s="826" t="s">
        <v>2567</v>
      </c>
      <c r="B60" s="823">
        <v>9.2902000000000002E-3</v>
      </c>
      <c r="C60" s="823">
        <v>8.9589999999999999E-3</v>
      </c>
      <c r="D60" s="570">
        <v>8071.84</v>
      </c>
      <c r="E60" s="653">
        <v>-167497</v>
      </c>
      <c r="F60" s="814">
        <v>-158574</v>
      </c>
      <c r="G60" s="814"/>
      <c r="H60" s="824">
        <v>2722</v>
      </c>
      <c r="I60" s="824">
        <v>19574</v>
      </c>
      <c r="J60" s="824">
        <v>26756</v>
      </c>
      <c r="K60" s="814">
        <v>0</v>
      </c>
      <c r="L60" s="814"/>
      <c r="M60" s="824">
        <v>511</v>
      </c>
      <c r="N60" s="824">
        <v>6094</v>
      </c>
      <c r="O60" s="824">
        <v>0</v>
      </c>
      <c r="P60" s="814">
        <v>10948</v>
      </c>
      <c r="Q60" s="814"/>
      <c r="R60" s="824">
        <v>25251</v>
      </c>
      <c r="S60" s="825">
        <v>-8950</v>
      </c>
      <c r="T60" s="825">
        <v>16301</v>
      </c>
      <c r="U60" s="825"/>
      <c r="V60" s="825"/>
    </row>
    <row r="61" spans="1:22" x14ac:dyDescent="0.25">
      <c r="A61" s="826" t="s">
        <v>2568</v>
      </c>
      <c r="B61" s="823">
        <v>4.2596999999999999E-3</v>
      </c>
      <c r="C61" s="823">
        <v>4.2973000000000004E-3</v>
      </c>
      <c r="D61" s="570">
        <v>3701.1</v>
      </c>
      <c r="E61" s="653">
        <v>-80342</v>
      </c>
      <c r="F61" s="814">
        <v>-72709</v>
      </c>
      <c r="G61" s="814"/>
      <c r="H61" s="824">
        <v>1248</v>
      </c>
      <c r="I61" s="824">
        <v>8975</v>
      </c>
      <c r="J61" s="824">
        <v>12268</v>
      </c>
      <c r="K61" s="814">
        <v>589</v>
      </c>
      <c r="L61" s="814"/>
      <c r="M61" s="824">
        <v>234</v>
      </c>
      <c r="N61" s="824">
        <v>2794</v>
      </c>
      <c r="O61" s="824">
        <v>0</v>
      </c>
      <c r="P61" s="814">
        <v>1081</v>
      </c>
      <c r="Q61" s="814"/>
      <c r="R61" s="824">
        <v>11578</v>
      </c>
      <c r="S61" s="825">
        <v>-2058</v>
      </c>
      <c r="T61" s="825">
        <v>9520</v>
      </c>
      <c r="U61" s="825"/>
      <c r="V61" s="825"/>
    </row>
    <row r="62" spans="1:22" x14ac:dyDescent="0.25">
      <c r="A62" s="826" t="s">
        <v>2569</v>
      </c>
      <c r="B62" s="823">
        <v>5.3855999999999999E-3</v>
      </c>
      <c r="C62" s="823">
        <v>5.1720000000000004E-3</v>
      </c>
      <c r="D62" s="570">
        <v>4679.28</v>
      </c>
      <c r="E62" s="653">
        <v>-96696</v>
      </c>
      <c r="F62" s="814">
        <v>-91927</v>
      </c>
      <c r="G62" s="814"/>
      <c r="H62" s="824">
        <v>1578</v>
      </c>
      <c r="I62" s="824">
        <v>11347</v>
      </c>
      <c r="J62" s="824">
        <v>15511</v>
      </c>
      <c r="K62" s="814">
        <v>0</v>
      </c>
      <c r="L62" s="814"/>
      <c r="M62" s="824">
        <v>296</v>
      </c>
      <c r="N62" s="824">
        <v>3533</v>
      </c>
      <c r="O62" s="824">
        <v>0</v>
      </c>
      <c r="P62" s="814">
        <v>6357</v>
      </c>
      <c r="Q62" s="814"/>
      <c r="R62" s="824">
        <v>14638</v>
      </c>
      <c r="S62" s="825">
        <v>-6022</v>
      </c>
      <c r="T62" s="825">
        <v>8616</v>
      </c>
      <c r="U62" s="825"/>
      <c r="V62" s="825"/>
    </row>
    <row r="63" spans="1:22" x14ac:dyDescent="0.25">
      <c r="A63" s="826" t="s">
        <v>2570</v>
      </c>
      <c r="B63" s="823">
        <v>1.7650999999999999E-3</v>
      </c>
      <c r="C63" s="823">
        <v>1.8517E-3</v>
      </c>
      <c r="D63" s="570">
        <v>1533.64</v>
      </c>
      <c r="E63" s="653">
        <v>-34619</v>
      </c>
      <c r="F63" s="814">
        <v>-30128</v>
      </c>
      <c r="G63" s="814"/>
      <c r="H63" s="824">
        <v>517</v>
      </c>
      <c r="I63" s="824">
        <v>3719</v>
      </c>
      <c r="J63" s="824">
        <v>5083</v>
      </c>
      <c r="K63" s="814">
        <v>1401</v>
      </c>
      <c r="L63" s="814"/>
      <c r="M63" s="824">
        <v>97</v>
      </c>
      <c r="N63" s="824">
        <v>1158</v>
      </c>
      <c r="O63" s="824">
        <v>0</v>
      </c>
      <c r="P63" s="814">
        <v>58</v>
      </c>
      <c r="Q63" s="814"/>
      <c r="R63" s="824">
        <v>4798</v>
      </c>
      <c r="S63" s="825">
        <v>617</v>
      </c>
      <c r="T63" s="825">
        <v>5414</v>
      </c>
      <c r="U63" s="825"/>
      <c r="V63" s="825"/>
    </row>
    <row r="64" spans="1:22" x14ac:dyDescent="0.25">
      <c r="A64" s="826" t="s">
        <v>2571</v>
      </c>
      <c r="B64" s="823">
        <v>4.065E-3</v>
      </c>
      <c r="C64" s="823">
        <v>4.0070000000000001E-3</v>
      </c>
      <c r="D64" s="570">
        <v>3531.87</v>
      </c>
      <c r="E64" s="653">
        <v>-74915</v>
      </c>
      <c r="F64" s="814">
        <v>-69385</v>
      </c>
      <c r="G64" s="814"/>
      <c r="H64" s="824">
        <v>1191</v>
      </c>
      <c r="I64" s="824">
        <v>8565</v>
      </c>
      <c r="J64" s="824">
        <v>11707</v>
      </c>
      <c r="K64" s="814">
        <v>66</v>
      </c>
      <c r="L64" s="814"/>
      <c r="M64" s="824">
        <v>224</v>
      </c>
      <c r="N64" s="824">
        <v>2667</v>
      </c>
      <c r="O64" s="824">
        <v>0</v>
      </c>
      <c r="P64" s="814">
        <v>2950</v>
      </c>
      <c r="Q64" s="814"/>
      <c r="R64" s="824">
        <v>11049</v>
      </c>
      <c r="S64" s="825">
        <v>-1749</v>
      </c>
      <c r="T64" s="825">
        <v>9300</v>
      </c>
      <c r="U64" s="825"/>
      <c r="V64" s="825"/>
    </row>
    <row r="65" spans="1:22" x14ac:dyDescent="0.25">
      <c r="A65" s="826" t="s">
        <v>2572</v>
      </c>
      <c r="B65" s="823">
        <v>8.22431E-2</v>
      </c>
      <c r="C65" s="823">
        <v>7.9832E-2</v>
      </c>
      <c r="D65" s="570">
        <v>71457.429999999993</v>
      </c>
      <c r="E65" s="653">
        <v>-1492539</v>
      </c>
      <c r="F65" s="814">
        <v>-1403807</v>
      </c>
      <c r="G65" s="814"/>
      <c r="H65" s="824">
        <v>24097</v>
      </c>
      <c r="I65" s="824">
        <v>173286</v>
      </c>
      <c r="J65" s="824">
        <v>236860</v>
      </c>
      <c r="K65" s="814">
        <v>83686</v>
      </c>
      <c r="L65" s="814"/>
      <c r="M65" s="824">
        <v>4523</v>
      </c>
      <c r="N65" s="824">
        <v>53951</v>
      </c>
      <c r="O65" s="824">
        <v>0</v>
      </c>
      <c r="P65" s="814">
        <v>39429</v>
      </c>
      <c r="Q65" s="814"/>
      <c r="R65" s="824">
        <v>223537</v>
      </c>
      <c r="S65" s="825">
        <v>44691</v>
      </c>
      <c r="T65" s="825">
        <v>268228</v>
      </c>
      <c r="U65" s="825"/>
      <c r="V65" s="825"/>
    </row>
    <row r="66" spans="1:22" x14ac:dyDescent="0.25">
      <c r="A66" s="826" t="s">
        <v>2573</v>
      </c>
      <c r="B66" s="823">
        <v>1.4748999999999999E-3</v>
      </c>
      <c r="C66" s="823">
        <v>1.5782999999999999E-3</v>
      </c>
      <c r="D66" s="570">
        <v>1281.47</v>
      </c>
      <c r="E66" s="653">
        <v>-29508</v>
      </c>
      <c r="F66" s="814">
        <v>-25175</v>
      </c>
      <c r="G66" s="814"/>
      <c r="H66" s="824">
        <v>432</v>
      </c>
      <c r="I66" s="824">
        <v>3108</v>
      </c>
      <c r="J66" s="824">
        <v>4248</v>
      </c>
      <c r="K66" s="814">
        <v>1718</v>
      </c>
      <c r="L66" s="814"/>
      <c r="M66" s="824">
        <v>81</v>
      </c>
      <c r="N66" s="824">
        <v>968</v>
      </c>
      <c r="O66" s="824">
        <v>0</v>
      </c>
      <c r="P66" s="814">
        <v>23</v>
      </c>
      <c r="Q66" s="814"/>
      <c r="R66" s="824">
        <v>4009</v>
      </c>
      <c r="S66" s="825">
        <v>1352</v>
      </c>
      <c r="T66" s="825">
        <v>5361</v>
      </c>
      <c r="U66" s="825"/>
      <c r="V66" s="825"/>
    </row>
    <row r="67" spans="1:22" x14ac:dyDescent="0.25">
      <c r="A67" s="826" t="s">
        <v>2574</v>
      </c>
      <c r="B67" s="823">
        <v>2.4242999999999999E-3</v>
      </c>
      <c r="C67" s="823">
        <v>2.4842000000000002E-3</v>
      </c>
      <c r="D67" s="570">
        <v>2106.34</v>
      </c>
      <c r="E67" s="653">
        <v>-46445</v>
      </c>
      <c r="F67" s="814">
        <v>-41380</v>
      </c>
      <c r="G67" s="814"/>
      <c r="H67" s="824">
        <v>710</v>
      </c>
      <c r="I67" s="824">
        <v>5108</v>
      </c>
      <c r="J67" s="824">
        <v>6982</v>
      </c>
      <c r="K67" s="814">
        <v>986</v>
      </c>
      <c r="L67" s="814"/>
      <c r="M67" s="824">
        <v>133</v>
      </c>
      <c r="N67" s="824">
        <v>1590</v>
      </c>
      <c r="O67" s="824">
        <v>0</v>
      </c>
      <c r="P67" s="814">
        <v>58</v>
      </c>
      <c r="Q67" s="814"/>
      <c r="R67" s="824">
        <v>6589</v>
      </c>
      <c r="S67" s="825">
        <v>37</v>
      </c>
      <c r="T67" s="825">
        <v>6627</v>
      </c>
      <c r="U67" s="825"/>
      <c r="V67" s="825"/>
    </row>
    <row r="68" spans="1:22" x14ac:dyDescent="0.25">
      <c r="A68" s="826" t="s">
        <v>2575</v>
      </c>
      <c r="B68" s="823">
        <v>6.9439999999999997E-3</v>
      </c>
      <c r="C68" s="823">
        <v>2.2974999999999999E-2</v>
      </c>
      <c r="D68" s="570">
        <f>6031.73825+1.56</f>
        <v>6033.3</v>
      </c>
      <c r="E68" s="653">
        <v>-429540.6</v>
      </c>
      <c r="F68" s="814">
        <v>-118527</v>
      </c>
      <c r="G68" s="814"/>
      <c r="H68" s="824">
        <v>2035</v>
      </c>
      <c r="I68" s="824">
        <v>14631</v>
      </c>
      <c r="J68" s="824">
        <v>19999</v>
      </c>
      <c r="K68" s="814">
        <v>251013</v>
      </c>
      <c r="L68" s="814"/>
      <c r="M68" s="824">
        <v>382</v>
      </c>
      <c r="N68" s="824">
        <v>4555</v>
      </c>
      <c r="O68" s="824">
        <v>0</v>
      </c>
      <c r="P68" s="814">
        <v>98102</v>
      </c>
      <c r="Q68" s="814"/>
      <c r="R68" s="824">
        <v>18874</v>
      </c>
      <c r="S68" s="825">
        <v>51643</v>
      </c>
      <c r="T68" s="825">
        <v>70517</v>
      </c>
      <c r="U68" s="825"/>
      <c r="V68" s="825"/>
    </row>
    <row r="69" spans="1:22" x14ac:dyDescent="0.25">
      <c r="A69" s="826" t="s">
        <v>2576</v>
      </c>
      <c r="B69" s="823">
        <v>8.3329000000000007E-3</v>
      </c>
      <c r="C69" s="823">
        <v>8.3230999999999999E-3</v>
      </c>
      <c r="D69" s="570">
        <v>7240.07</v>
      </c>
      <c r="E69" s="653">
        <v>-155609</v>
      </c>
      <c r="F69" s="814">
        <v>-142234</v>
      </c>
      <c r="G69" s="814"/>
      <c r="H69" s="824">
        <v>2442</v>
      </c>
      <c r="I69" s="824">
        <v>17557</v>
      </c>
      <c r="J69" s="824">
        <v>23999</v>
      </c>
      <c r="K69" s="814">
        <v>351</v>
      </c>
      <c r="L69" s="814"/>
      <c r="M69" s="824">
        <v>458</v>
      </c>
      <c r="N69" s="824">
        <v>5466</v>
      </c>
      <c r="O69" s="824">
        <v>0</v>
      </c>
      <c r="P69" s="814">
        <v>153</v>
      </c>
      <c r="Q69" s="814"/>
      <c r="R69" s="824">
        <v>22649</v>
      </c>
      <c r="S69" s="825">
        <v>764</v>
      </c>
      <c r="T69" s="825">
        <v>23413</v>
      </c>
      <c r="U69" s="825"/>
      <c r="V69" s="825"/>
    </row>
    <row r="70" spans="1:22" x14ac:dyDescent="0.25">
      <c r="A70" s="826" t="s">
        <v>2577</v>
      </c>
      <c r="B70" s="823">
        <v>2.74573E-2</v>
      </c>
      <c r="C70" s="823">
        <v>2.7473600000000001E-2</v>
      </c>
      <c r="D70" s="570">
        <v>23856.49</v>
      </c>
      <c r="E70" s="653">
        <v>-513646</v>
      </c>
      <c r="F70" s="814">
        <v>-468669</v>
      </c>
      <c r="G70" s="814"/>
      <c r="H70" s="824">
        <v>8045</v>
      </c>
      <c r="I70" s="824">
        <v>57853</v>
      </c>
      <c r="J70" s="824">
        <v>79077</v>
      </c>
      <c r="K70" s="814">
        <v>255</v>
      </c>
      <c r="L70" s="814"/>
      <c r="M70" s="824">
        <v>1510</v>
      </c>
      <c r="N70" s="824">
        <v>18012</v>
      </c>
      <c r="O70" s="824">
        <v>0</v>
      </c>
      <c r="P70" s="814">
        <v>15894</v>
      </c>
      <c r="Q70" s="814"/>
      <c r="R70" s="824">
        <v>74629</v>
      </c>
      <c r="S70" s="825">
        <v>-16499</v>
      </c>
      <c r="T70" s="825">
        <v>58130</v>
      </c>
      <c r="U70" s="825"/>
      <c r="V70" s="825"/>
    </row>
    <row r="71" spans="1:22" x14ac:dyDescent="0.25">
      <c r="A71" s="826" t="s">
        <v>2578</v>
      </c>
      <c r="B71" s="823">
        <v>1.5912999999999999E-3</v>
      </c>
      <c r="C71" s="823">
        <v>1.7821E-3</v>
      </c>
      <c r="D71" s="570">
        <v>1382.64</v>
      </c>
      <c r="E71" s="653">
        <v>-33318</v>
      </c>
      <c r="F71" s="814">
        <v>-27162</v>
      </c>
      <c r="G71" s="814"/>
      <c r="H71" s="824">
        <v>466</v>
      </c>
      <c r="I71" s="824">
        <v>3353</v>
      </c>
      <c r="J71" s="824">
        <v>4583</v>
      </c>
      <c r="K71" s="814">
        <v>2988</v>
      </c>
      <c r="L71" s="814"/>
      <c r="M71" s="824">
        <v>88</v>
      </c>
      <c r="N71" s="824">
        <v>1044</v>
      </c>
      <c r="O71" s="824">
        <v>0</v>
      </c>
      <c r="P71" s="814">
        <v>825</v>
      </c>
      <c r="Q71" s="814"/>
      <c r="R71" s="824">
        <v>4325</v>
      </c>
      <c r="S71" s="825">
        <v>504</v>
      </c>
      <c r="T71" s="825">
        <v>4829</v>
      </c>
      <c r="U71" s="825"/>
      <c r="V71" s="825"/>
    </row>
    <row r="72" spans="1:22" x14ac:dyDescent="0.25">
      <c r="A72" s="826" t="s">
        <v>2579</v>
      </c>
      <c r="B72" s="823">
        <v>2.2098099999999999E-2</v>
      </c>
      <c r="C72" s="823">
        <v>2.22189E-2</v>
      </c>
      <c r="D72" s="570">
        <v>19200.07</v>
      </c>
      <c r="E72" s="653">
        <v>-415405</v>
      </c>
      <c r="F72" s="814">
        <v>-377192</v>
      </c>
      <c r="G72" s="814"/>
      <c r="H72" s="824">
        <v>6475</v>
      </c>
      <c r="I72" s="824">
        <v>46561</v>
      </c>
      <c r="J72" s="824">
        <v>63643</v>
      </c>
      <c r="K72" s="814">
        <v>7907</v>
      </c>
      <c r="L72" s="814"/>
      <c r="M72" s="824">
        <v>1215</v>
      </c>
      <c r="N72" s="824">
        <v>14496</v>
      </c>
      <c r="O72" s="824">
        <v>0</v>
      </c>
      <c r="P72" s="814">
        <v>74</v>
      </c>
      <c r="Q72" s="814"/>
      <c r="R72" s="824">
        <v>60063</v>
      </c>
      <c r="S72" s="825">
        <v>7318</v>
      </c>
      <c r="T72" s="825">
        <v>67381</v>
      </c>
      <c r="U72" s="825"/>
      <c r="V72" s="825"/>
    </row>
    <row r="73" spans="1:22" x14ac:dyDescent="0.25">
      <c r="A73" s="826" t="s">
        <v>2580</v>
      </c>
      <c r="B73" s="823">
        <v>1.12581E-2</v>
      </c>
      <c r="C73" s="823">
        <v>1.15307E-2</v>
      </c>
      <c r="D73" s="570">
        <v>9781.64</v>
      </c>
      <c r="E73" s="653">
        <v>-215578</v>
      </c>
      <c r="F73" s="814">
        <v>-192165</v>
      </c>
      <c r="G73" s="814"/>
      <c r="H73" s="824">
        <v>3299</v>
      </c>
      <c r="I73" s="824">
        <v>23721</v>
      </c>
      <c r="J73" s="824">
        <v>32423</v>
      </c>
      <c r="K73" s="814">
        <v>4268</v>
      </c>
      <c r="L73" s="814"/>
      <c r="M73" s="824">
        <v>619</v>
      </c>
      <c r="N73" s="824">
        <v>7385</v>
      </c>
      <c r="O73" s="824">
        <v>0</v>
      </c>
      <c r="P73" s="814">
        <v>6394</v>
      </c>
      <c r="Q73" s="814"/>
      <c r="R73" s="824">
        <v>30600</v>
      </c>
      <c r="S73" s="825">
        <v>-4049</v>
      </c>
      <c r="T73" s="825">
        <v>26550</v>
      </c>
      <c r="U73" s="825"/>
      <c r="V73" s="825"/>
    </row>
    <row r="74" spans="1:22" x14ac:dyDescent="0.25">
      <c r="A74" s="826" t="s">
        <v>2581</v>
      </c>
      <c r="B74" s="823">
        <v>1.4119E-3</v>
      </c>
      <c r="C74" s="823">
        <v>1.5663999999999999E-3</v>
      </c>
      <c r="D74" s="570">
        <v>1226.7</v>
      </c>
      <c r="E74" s="653">
        <v>-29285</v>
      </c>
      <c r="F74" s="814">
        <v>-24100</v>
      </c>
      <c r="G74" s="814"/>
      <c r="H74" s="824">
        <v>414</v>
      </c>
      <c r="I74" s="824">
        <v>2975</v>
      </c>
      <c r="J74" s="824">
        <v>4066</v>
      </c>
      <c r="K74" s="814">
        <v>2539</v>
      </c>
      <c r="L74" s="814"/>
      <c r="M74" s="824">
        <v>78</v>
      </c>
      <c r="N74" s="824">
        <v>926</v>
      </c>
      <c r="O74" s="824">
        <v>0</v>
      </c>
      <c r="P74" s="814">
        <v>1680</v>
      </c>
      <c r="Q74" s="814"/>
      <c r="R74" s="824">
        <v>3838</v>
      </c>
      <c r="S74" s="825">
        <v>420</v>
      </c>
      <c r="T74" s="825">
        <v>4257</v>
      </c>
      <c r="U74" s="825"/>
      <c r="V74" s="825"/>
    </row>
    <row r="75" spans="1:22" x14ac:dyDescent="0.25">
      <c r="A75" s="826" t="s">
        <v>2582</v>
      </c>
      <c r="B75" s="823">
        <v>4.0241000000000001E-3</v>
      </c>
      <c r="C75" s="823">
        <v>4.2376999999999996E-3</v>
      </c>
      <c r="D75" s="570">
        <v>3496.39</v>
      </c>
      <c r="E75" s="653">
        <v>-79228</v>
      </c>
      <c r="F75" s="814">
        <v>-68687</v>
      </c>
      <c r="G75" s="814"/>
      <c r="H75" s="824">
        <v>1179</v>
      </c>
      <c r="I75" s="824">
        <v>8479</v>
      </c>
      <c r="J75" s="824">
        <v>11589</v>
      </c>
      <c r="K75" s="814">
        <v>3504</v>
      </c>
      <c r="L75" s="814"/>
      <c r="M75" s="824">
        <v>221</v>
      </c>
      <c r="N75" s="824">
        <v>2640</v>
      </c>
      <c r="O75" s="824">
        <v>0</v>
      </c>
      <c r="P75" s="814">
        <v>1159</v>
      </c>
      <c r="Q75" s="814"/>
      <c r="R75" s="824">
        <v>10938</v>
      </c>
      <c r="S75" s="825">
        <v>1603</v>
      </c>
      <c r="T75" s="825">
        <v>12540</v>
      </c>
      <c r="U75" s="825"/>
      <c r="V75" s="825"/>
    </row>
    <row r="76" spans="1:22" x14ac:dyDescent="0.25">
      <c r="A76" s="826" t="s">
        <v>2583</v>
      </c>
      <c r="B76" s="823">
        <v>7.4469999999999996E-3</v>
      </c>
      <c r="C76" s="823">
        <v>7.2559E-3</v>
      </c>
      <c r="D76" s="570">
        <v>6470.36</v>
      </c>
      <c r="E76" s="653">
        <v>-135656</v>
      </c>
      <c r="F76" s="814">
        <v>-127113</v>
      </c>
      <c r="G76" s="814"/>
      <c r="H76" s="824">
        <v>2182</v>
      </c>
      <c r="I76" s="824">
        <v>15691</v>
      </c>
      <c r="J76" s="824">
        <v>21447</v>
      </c>
      <c r="K76" s="814">
        <v>0</v>
      </c>
      <c r="L76" s="814"/>
      <c r="M76" s="824">
        <v>410</v>
      </c>
      <c r="N76" s="824">
        <v>4885</v>
      </c>
      <c r="O76" s="824">
        <v>0</v>
      </c>
      <c r="P76" s="814">
        <v>5415</v>
      </c>
      <c r="Q76" s="814"/>
      <c r="R76" s="824">
        <v>20241</v>
      </c>
      <c r="S76" s="825">
        <v>-5496</v>
      </c>
      <c r="T76" s="825">
        <v>14745</v>
      </c>
      <c r="U76" s="825"/>
      <c r="V76" s="825"/>
    </row>
    <row r="77" spans="1:22" x14ac:dyDescent="0.25">
      <c r="A77" s="826" t="s">
        <v>2584</v>
      </c>
      <c r="B77" s="823">
        <v>1.2819000000000001E-3</v>
      </c>
      <c r="C77" s="823">
        <v>1.4243000000000001E-3</v>
      </c>
      <c r="D77" s="570">
        <v>1113.81</v>
      </c>
      <c r="E77" s="653">
        <v>-26629</v>
      </c>
      <c r="F77" s="814">
        <v>-21881</v>
      </c>
      <c r="G77" s="814"/>
      <c r="H77" s="824">
        <v>376</v>
      </c>
      <c r="I77" s="824">
        <v>2701</v>
      </c>
      <c r="J77" s="824">
        <v>3692</v>
      </c>
      <c r="K77" s="814">
        <v>2291</v>
      </c>
      <c r="L77" s="814"/>
      <c r="M77" s="824">
        <v>71</v>
      </c>
      <c r="N77" s="824">
        <v>841</v>
      </c>
      <c r="O77" s="824">
        <v>0</v>
      </c>
      <c r="P77" s="814">
        <v>802</v>
      </c>
      <c r="Q77" s="814"/>
      <c r="R77" s="824">
        <v>3484</v>
      </c>
      <c r="S77" s="825">
        <v>869</v>
      </c>
      <c r="T77" s="825">
        <v>4354</v>
      </c>
      <c r="U77" s="825"/>
      <c r="V77" s="825"/>
    </row>
    <row r="78" spans="1:22" x14ac:dyDescent="0.25">
      <c r="A78" s="826" t="s">
        <v>2585</v>
      </c>
      <c r="B78" s="823">
        <v>3.4467E-3</v>
      </c>
      <c r="C78" s="823">
        <v>3.5128999999999998E-3</v>
      </c>
      <c r="D78" s="570">
        <v>2994.67</v>
      </c>
      <c r="E78" s="653">
        <v>-65677</v>
      </c>
      <c r="F78" s="814">
        <v>-58832</v>
      </c>
      <c r="G78" s="814"/>
      <c r="H78" s="824">
        <v>1010</v>
      </c>
      <c r="I78" s="824">
        <v>7262</v>
      </c>
      <c r="J78" s="824">
        <v>9926</v>
      </c>
      <c r="K78" s="814">
        <v>1615</v>
      </c>
      <c r="L78" s="814"/>
      <c r="M78" s="824">
        <v>190</v>
      </c>
      <c r="N78" s="824">
        <v>2261</v>
      </c>
      <c r="O78" s="824">
        <v>0</v>
      </c>
      <c r="P78" s="814">
        <v>0</v>
      </c>
      <c r="Q78" s="814"/>
      <c r="R78" s="824">
        <v>9368</v>
      </c>
      <c r="S78" s="825">
        <v>1805</v>
      </c>
      <c r="T78" s="825">
        <v>11173</v>
      </c>
      <c r="U78" s="825"/>
      <c r="V78" s="825"/>
    </row>
    <row r="79" spans="1:22" x14ac:dyDescent="0.25">
      <c r="A79" s="826" t="s">
        <v>2586</v>
      </c>
      <c r="B79" s="823">
        <v>1.4525700000000001E-2</v>
      </c>
      <c r="C79" s="823">
        <v>1.42188E-2</v>
      </c>
      <c r="D79" s="570">
        <v>12620.74</v>
      </c>
      <c r="E79" s="653">
        <v>-265835</v>
      </c>
      <c r="F79" s="814">
        <v>-247939</v>
      </c>
      <c r="G79" s="814"/>
      <c r="H79" s="824">
        <v>4256</v>
      </c>
      <c r="I79" s="824">
        <v>30606</v>
      </c>
      <c r="J79" s="824">
        <v>41834</v>
      </c>
      <c r="K79" s="814">
        <v>3878</v>
      </c>
      <c r="L79" s="814"/>
      <c r="M79" s="824">
        <v>799</v>
      </c>
      <c r="N79" s="824">
        <v>9529</v>
      </c>
      <c r="O79" s="824">
        <v>0</v>
      </c>
      <c r="P79" s="814">
        <v>4805</v>
      </c>
      <c r="Q79" s="814"/>
      <c r="R79" s="824">
        <v>39481</v>
      </c>
      <c r="S79" s="825">
        <v>884</v>
      </c>
      <c r="T79" s="825">
        <v>40364</v>
      </c>
      <c r="U79" s="825"/>
      <c r="V79" s="825"/>
    </row>
    <row r="80" spans="1:22" x14ac:dyDescent="0.25">
      <c r="A80" s="826" t="s">
        <v>2587</v>
      </c>
      <c r="B80" s="823">
        <v>2.3395999999999998E-3</v>
      </c>
      <c r="C80" s="823">
        <v>2.2653999999999999E-3</v>
      </c>
      <c r="D80" s="570">
        <v>2032.78</v>
      </c>
      <c r="E80" s="653">
        <v>-42354</v>
      </c>
      <c r="F80" s="814">
        <v>-39935</v>
      </c>
      <c r="G80" s="814"/>
      <c r="H80" s="824">
        <v>686</v>
      </c>
      <c r="I80" s="824">
        <v>4930</v>
      </c>
      <c r="J80" s="824">
        <v>6738</v>
      </c>
      <c r="K80" s="814">
        <v>1369</v>
      </c>
      <c r="L80" s="814"/>
      <c r="M80" s="824">
        <v>129</v>
      </c>
      <c r="N80" s="824">
        <v>1535</v>
      </c>
      <c r="O80" s="824">
        <v>0</v>
      </c>
      <c r="P80" s="814">
        <v>1440</v>
      </c>
      <c r="Q80" s="814"/>
      <c r="R80" s="824">
        <v>6359</v>
      </c>
      <c r="S80" s="825">
        <v>-1157</v>
      </c>
      <c r="T80" s="825">
        <v>5202</v>
      </c>
      <c r="U80" s="825"/>
      <c r="V80" s="825"/>
    </row>
    <row r="81" spans="1:22" x14ac:dyDescent="0.25">
      <c r="A81" s="826" t="s">
        <v>2588</v>
      </c>
      <c r="B81" s="823">
        <v>1.20278E-2</v>
      </c>
      <c r="C81" s="823">
        <v>1.1860799999999999E-2</v>
      </c>
      <c r="D81" s="570">
        <v>10450.469999999999</v>
      </c>
      <c r="E81" s="653">
        <v>-221750</v>
      </c>
      <c r="F81" s="814">
        <v>-205303</v>
      </c>
      <c r="G81" s="814"/>
      <c r="H81" s="824">
        <v>3524</v>
      </c>
      <c r="I81" s="824">
        <v>25343</v>
      </c>
      <c r="J81" s="824">
        <v>34640</v>
      </c>
      <c r="K81" s="814">
        <v>13221</v>
      </c>
      <c r="L81" s="814"/>
      <c r="M81" s="824">
        <v>662</v>
      </c>
      <c r="N81" s="824">
        <v>7890</v>
      </c>
      <c r="O81" s="824">
        <v>0</v>
      </c>
      <c r="P81" s="814">
        <v>4644</v>
      </c>
      <c r="Q81" s="814"/>
      <c r="R81" s="824">
        <v>32692</v>
      </c>
      <c r="S81" s="825">
        <v>-2435</v>
      </c>
      <c r="T81" s="825">
        <v>30256</v>
      </c>
      <c r="U81" s="825"/>
      <c r="V81" s="825"/>
    </row>
    <row r="82" spans="1:22" x14ac:dyDescent="0.25">
      <c r="A82" s="826" t="s">
        <v>2589</v>
      </c>
      <c r="B82" s="823">
        <v>2.7853999999999999E-3</v>
      </c>
      <c r="C82" s="823">
        <v>2.9551E-3</v>
      </c>
      <c r="D82" s="570">
        <v>2420.11</v>
      </c>
      <c r="E82" s="653">
        <v>-55249</v>
      </c>
      <c r="F82" s="814">
        <v>-47544</v>
      </c>
      <c r="G82" s="814"/>
      <c r="H82" s="824">
        <v>816</v>
      </c>
      <c r="I82" s="824">
        <v>5869</v>
      </c>
      <c r="J82" s="824">
        <v>8022</v>
      </c>
      <c r="K82" s="814">
        <v>2657</v>
      </c>
      <c r="L82" s="814"/>
      <c r="M82" s="824">
        <v>153</v>
      </c>
      <c r="N82" s="824">
        <v>1827</v>
      </c>
      <c r="O82" s="824">
        <v>0</v>
      </c>
      <c r="P82" s="814">
        <v>744</v>
      </c>
      <c r="Q82" s="814"/>
      <c r="R82" s="824">
        <v>7571</v>
      </c>
      <c r="S82" s="825">
        <v>-35</v>
      </c>
      <c r="T82" s="825">
        <v>7536</v>
      </c>
      <c r="U82" s="825"/>
      <c r="V82" s="825"/>
    </row>
    <row r="83" spans="1:22" x14ac:dyDescent="0.25">
      <c r="A83" s="826" t="s">
        <v>2590</v>
      </c>
      <c r="B83" s="823">
        <v>7.8741000000000002E-3</v>
      </c>
      <c r="C83" s="823">
        <v>8.4644000000000004E-3</v>
      </c>
      <c r="D83" s="570">
        <v>6841.42</v>
      </c>
      <c r="E83" s="653">
        <v>-158250</v>
      </c>
      <c r="F83" s="814">
        <v>-134403</v>
      </c>
      <c r="G83" s="814"/>
      <c r="H83" s="824">
        <v>2307</v>
      </c>
      <c r="I83" s="824">
        <v>16591</v>
      </c>
      <c r="J83" s="824">
        <v>22677</v>
      </c>
      <c r="K83" s="814">
        <v>9470</v>
      </c>
      <c r="L83" s="814"/>
      <c r="M83" s="824">
        <v>433</v>
      </c>
      <c r="N83" s="824">
        <v>5165</v>
      </c>
      <c r="O83" s="824">
        <v>0</v>
      </c>
      <c r="P83" s="814">
        <v>6538</v>
      </c>
      <c r="Q83" s="814"/>
      <c r="R83" s="824">
        <v>21402</v>
      </c>
      <c r="S83" s="825">
        <v>94</v>
      </c>
      <c r="T83" s="825">
        <v>21496</v>
      </c>
      <c r="U83" s="825"/>
      <c r="V83" s="825"/>
    </row>
    <row r="84" spans="1:22" x14ac:dyDescent="0.25">
      <c r="A84" s="826" t="s">
        <v>2591</v>
      </c>
      <c r="B84" s="823">
        <v>8.0756999999999999E-3</v>
      </c>
      <c r="C84" s="823">
        <v>7.9863E-3</v>
      </c>
      <c r="D84" s="570">
        <v>7016.61</v>
      </c>
      <c r="E84" s="653">
        <v>-149312</v>
      </c>
      <c r="F84" s="814">
        <v>-137844</v>
      </c>
      <c r="G84" s="814"/>
      <c r="H84" s="824">
        <v>2366</v>
      </c>
      <c r="I84" s="824">
        <v>17015</v>
      </c>
      <c r="J84" s="824">
        <v>23258</v>
      </c>
      <c r="K84" s="814">
        <v>1689</v>
      </c>
      <c r="L84" s="814"/>
      <c r="M84" s="824">
        <v>444</v>
      </c>
      <c r="N84" s="824">
        <v>5298</v>
      </c>
      <c r="O84" s="824">
        <v>0</v>
      </c>
      <c r="P84" s="814">
        <v>1532</v>
      </c>
      <c r="Q84" s="814"/>
      <c r="R84" s="824">
        <v>21950</v>
      </c>
      <c r="S84" s="825">
        <v>-689</v>
      </c>
      <c r="T84" s="825">
        <v>21261</v>
      </c>
      <c r="U84" s="825"/>
      <c r="V84" s="825"/>
    </row>
    <row r="85" spans="1:22" x14ac:dyDescent="0.25">
      <c r="A85" s="826" t="s">
        <v>2592</v>
      </c>
      <c r="B85" s="823">
        <v>1.3247699999999999E-2</v>
      </c>
      <c r="C85" s="823">
        <v>1.2933699999999999E-2</v>
      </c>
      <c r="D85" s="570">
        <v>11510.38</v>
      </c>
      <c r="E85" s="653">
        <v>-241808</v>
      </c>
      <c r="F85" s="814">
        <v>-226125</v>
      </c>
      <c r="G85" s="814"/>
      <c r="H85" s="824">
        <v>3882</v>
      </c>
      <c r="I85" s="824">
        <v>27913</v>
      </c>
      <c r="J85" s="824">
        <v>38153</v>
      </c>
      <c r="K85" s="814">
        <v>54</v>
      </c>
      <c r="L85" s="814"/>
      <c r="M85" s="824">
        <v>729</v>
      </c>
      <c r="N85" s="824">
        <v>8690</v>
      </c>
      <c r="O85" s="824">
        <v>0</v>
      </c>
      <c r="P85" s="814">
        <v>8121</v>
      </c>
      <c r="Q85" s="814"/>
      <c r="R85" s="824">
        <v>36007</v>
      </c>
      <c r="S85" s="825">
        <v>-5303</v>
      </c>
      <c r="T85" s="825">
        <v>30704</v>
      </c>
      <c r="U85" s="825"/>
      <c r="V85" s="825"/>
    </row>
    <row r="86" spans="1:22" x14ac:dyDescent="0.25">
      <c r="A86" s="826" t="s">
        <v>2593</v>
      </c>
      <c r="B86" s="823">
        <v>6.8475000000000003E-3</v>
      </c>
      <c r="C86" s="823">
        <v>6.5884000000000003E-3</v>
      </c>
      <c r="D86" s="570">
        <v>5949.47</v>
      </c>
      <c r="E86" s="653">
        <v>-123177</v>
      </c>
      <c r="F86" s="814">
        <v>-116880</v>
      </c>
      <c r="G86" s="814"/>
      <c r="H86" s="824">
        <v>2006</v>
      </c>
      <c r="I86" s="824">
        <v>14428</v>
      </c>
      <c r="J86" s="824">
        <v>19721</v>
      </c>
      <c r="K86" s="814">
        <v>0</v>
      </c>
      <c r="L86" s="814"/>
      <c r="M86" s="824">
        <v>377</v>
      </c>
      <c r="N86" s="824">
        <v>4492</v>
      </c>
      <c r="O86" s="824">
        <v>0</v>
      </c>
      <c r="P86" s="814">
        <v>4677</v>
      </c>
      <c r="Q86" s="814"/>
      <c r="R86" s="824">
        <v>18612</v>
      </c>
      <c r="S86" s="825">
        <v>-3978</v>
      </c>
      <c r="T86" s="825">
        <v>14633</v>
      </c>
      <c r="U86" s="825"/>
      <c r="V86" s="825"/>
    </row>
    <row r="87" spans="1:22" x14ac:dyDescent="0.25">
      <c r="A87" s="826" t="s">
        <v>2594</v>
      </c>
      <c r="B87" s="823">
        <v>4.8418000000000003E-3</v>
      </c>
      <c r="C87" s="823">
        <v>5.0077999999999998E-3</v>
      </c>
      <c r="D87" s="570">
        <v>4206.8599999999997</v>
      </c>
      <c r="E87" s="653">
        <v>-93626</v>
      </c>
      <c r="F87" s="814">
        <v>-82645</v>
      </c>
      <c r="G87" s="814"/>
      <c r="H87" s="824">
        <v>1419</v>
      </c>
      <c r="I87" s="824">
        <v>10202</v>
      </c>
      <c r="J87" s="824">
        <v>13944</v>
      </c>
      <c r="K87" s="814">
        <v>2638</v>
      </c>
      <c r="L87" s="814"/>
      <c r="M87" s="824">
        <v>266</v>
      </c>
      <c r="N87" s="824">
        <v>3176</v>
      </c>
      <c r="O87" s="824">
        <v>0</v>
      </c>
      <c r="P87" s="814">
        <v>1476</v>
      </c>
      <c r="Q87" s="814"/>
      <c r="R87" s="824">
        <v>13160</v>
      </c>
      <c r="S87" s="825">
        <v>8</v>
      </c>
      <c r="T87" s="825">
        <v>13168</v>
      </c>
      <c r="U87" s="825"/>
      <c r="V87" s="825"/>
    </row>
    <row r="88" spans="1:22" x14ac:dyDescent="0.25">
      <c r="A88" s="826" t="s">
        <v>2595</v>
      </c>
      <c r="B88" s="823">
        <v>2.9344000000000002E-3</v>
      </c>
      <c r="C88" s="823">
        <v>3.0856999999999998E-3</v>
      </c>
      <c r="D88" s="570">
        <v>2549.61</v>
      </c>
      <c r="E88" s="653">
        <v>-57690</v>
      </c>
      <c r="F88" s="814">
        <v>-50087</v>
      </c>
      <c r="G88" s="814"/>
      <c r="H88" s="824">
        <v>860</v>
      </c>
      <c r="I88" s="824">
        <v>6183</v>
      </c>
      <c r="J88" s="824">
        <v>8451</v>
      </c>
      <c r="K88" s="814">
        <v>2369</v>
      </c>
      <c r="L88" s="814"/>
      <c r="M88" s="824">
        <v>161</v>
      </c>
      <c r="N88" s="824">
        <v>1925</v>
      </c>
      <c r="O88" s="824">
        <v>0</v>
      </c>
      <c r="P88" s="814">
        <v>2384</v>
      </c>
      <c r="Q88" s="814"/>
      <c r="R88" s="824">
        <v>7976</v>
      </c>
      <c r="S88" s="825">
        <v>-856</v>
      </c>
      <c r="T88" s="825">
        <v>7120</v>
      </c>
      <c r="U88" s="825"/>
      <c r="V88" s="825"/>
    </row>
    <row r="89" spans="1:22" x14ac:dyDescent="0.25">
      <c r="A89" s="826" t="s">
        <v>2596</v>
      </c>
      <c r="B89" s="823">
        <v>6.3501E-3</v>
      </c>
      <c r="C89" s="823">
        <v>6.2223000000000001E-3</v>
      </c>
      <c r="D89" s="570">
        <v>5517.36</v>
      </c>
      <c r="E89" s="653">
        <v>-116332</v>
      </c>
      <c r="F89" s="814">
        <v>-108390</v>
      </c>
      <c r="G89" s="814"/>
      <c r="H89" s="824">
        <v>1861</v>
      </c>
      <c r="I89" s="824">
        <v>13380</v>
      </c>
      <c r="J89" s="824">
        <v>18288</v>
      </c>
      <c r="K89" s="814">
        <v>0</v>
      </c>
      <c r="L89" s="814"/>
      <c r="M89" s="824">
        <v>349</v>
      </c>
      <c r="N89" s="824">
        <v>4166</v>
      </c>
      <c r="O89" s="824">
        <v>0</v>
      </c>
      <c r="P89" s="814">
        <v>6126</v>
      </c>
      <c r="Q89" s="814"/>
      <c r="R89" s="824">
        <v>17260</v>
      </c>
      <c r="S89" s="825">
        <v>-6275</v>
      </c>
      <c r="T89" s="825">
        <v>10984</v>
      </c>
      <c r="U89" s="825"/>
      <c r="V89" s="825"/>
    </row>
    <row r="90" spans="1:22" x14ac:dyDescent="0.25">
      <c r="A90" s="826" t="s">
        <v>2597</v>
      </c>
      <c r="B90" s="823">
        <v>3.8162000000000001E-3</v>
      </c>
      <c r="C90" s="823">
        <v>3.6819000000000001E-3</v>
      </c>
      <c r="D90" s="570">
        <v>3315.69</v>
      </c>
      <c r="E90" s="653">
        <v>-68837</v>
      </c>
      <c r="F90" s="814">
        <v>-65139</v>
      </c>
      <c r="G90" s="814"/>
      <c r="H90" s="824">
        <v>1118</v>
      </c>
      <c r="I90" s="824">
        <v>8041</v>
      </c>
      <c r="J90" s="824">
        <v>10991</v>
      </c>
      <c r="K90" s="814">
        <v>1750</v>
      </c>
      <c r="L90" s="814"/>
      <c r="M90" s="824">
        <v>210</v>
      </c>
      <c r="N90" s="824">
        <v>2503</v>
      </c>
      <c r="O90" s="824">
        <v>0</v>
      </c>
      <c r="P90" s="814">
        <v>2418</v>
      </c>
      <c r="Q90" s="814"/>
      <c r="R90" s="824">
        <v>10372</v>
      </c>
      <c r="S90" s="825">
        <v>-1477</v>
      </c>
      <c r="T90" s="825">
        <v>8895</v>
      </c>
      <c r="U90" s="825"/>
      <c r="V90" s="825"/>
    </row>
    <row r="91" spans="1:22" x14ac:dyDescent="0.25">
      <c r="A91" s="826" t="s">
        <v>2598</v>
      </c>
      <c r="B91" s="823">
        <v>6.3610999999999997E-3</v>
      </c>
      <c r="C91" s="823">
        <v>7.1685999999999998E-3</v>
      </c>
      <c r="D91" s="570">
        <v>5526.92</v>
      </c>
      <c r="E91" s="653">
        <v>-134024</v>
      </c>
      <c r="F91" s="814">
        <v>-108578</v>
      </c>
      <c r="G91" s="814"/>
      <c r="H91" s="824">
        <v>1864</v>
      </c>
      <c r="I91" s="824">
        <v>13403</v>
      </c>
      <c r="J91" s="824">
        <v>18320</v>
      </c>
      <c r="K91" s="814">
        <v>12644</v>
      </c>
      <c r="L91" s="814"/>
      <c r="M91" s="824">
        <v>350</v>
      </c>
      <c r="N91" s="824">
        <v>4173</v>
      </c>
      <c r="O91" s="824">
        <v>0</v>
      </c>
      <c r="P91" s="814">
        <v>969</v>
      </c>
      <c r="Q91" s="814"/>
      <c r="R91" s="824">
        <v>17289</v>
      </c>
      <c r="S91" s="825">
        <v>5121</v>
      </c>
      <c r="T91" s="825">
        <v>22410</v>
      </c>
      <c r="U91" s="825"/>
      <c r="V91" s="825"/>
    </row>
    <row r="92" spans="1:22" x14ac:dyDescent="0.25">
      <c r="A92" s="826" t="s">
        <v>2599</v>
      </c>
      <c r="B92" s="823">
        <v>3.0937999999999998E-3</v>
      </c>
      <c r="C92" s="823">
        <v>3.0403000000000001E-3</v>
      </c>
      <c r="D92" s="570">
        <v>2688.06</v>
      </c>
      <c r="E92" s="653">
        <v>-56841</v>
      </c>
      <c r="F92" s="814">
        <v>-52808</v>
      </c>
      <c r="G92" s="814"/>
      <c r="H92" s="824">
        <v>906</v>
      </c>
      <c r="I92" s="824">
        <v>6519</v>
      </c>
      <c r="J92" s="824">
        <v>8910</v>
      </c>
      <c r="K92" s="814">
        <v>0</v>
      </c>
      <c r="L92" s="814"/>
      <c r="M92" s="824">
        <v>170</v>
      </c>
      <c r="N92" s="824">
        <v>2030</v>
      </c>
      <c r="O92" s="824">
        <v>0</v>
      </c>
      <c r="P92" s="814">
        <v>2953</v>
      </c>
      <c r="Q92" s="814"/>
      <c r="R92" s="824">
        <v>8409</v>
      </c>
      <c r="S92" s="825">
        <v>443</v>
      </c>
      <c r="T92" s="825">
        <v>8852</v>
      </c>
      <c r="U92" s="825"/>
      <c r="V92" s="825"/>
    </row>
    <row r="93" spans="1:22" x14ac:dyDescent="0.25">
      <c r="A93" s="826" t="s">
        <v>2600</v>
      </c>
      <c r="B93" s="823">
        <v>4.2665999999999997E-3</v>
      </c>
      <c r="C93" s="823">
        <v>4.2072000000000003E-3</v>
      </c>
      <c r="D93" s="570">
        <v>3707.05</v>
      </c>
      <c r="E93" s="653">
        <v>-78658</v>
      </c>
      <c r="F93" s="814">
        <v>-72827</v>
      </c>
      <c r="G93" s="814"/>
      <c r="H93" s="824">
        <v>1250</v>
      </c>
      <c r="I93" s="824">
        <v>8990</v>
      </c>
      <c r="J93" s="824">
        <v>12288</v>
      </c>
      <c r="K93" s="814">
        <v>0</v>
      </c>
      <c r="L93" s="814"/>
      <c r="M93" s="824">
        <v>235</v>
      </c>
      <c r="N93" s="824">
        <v>2799</v>
      </c>
      <c r="O93" s="824">
        <v>0</v>
      </c>
      <c r="P93" s="814">
        <v>1685</v>
      </c>
      <c r="Q93" s="814"/>
      <c r="R93" s="824">
        <v>11597</v>
      </c>
      <c r="S93" s="825">
        <v>-1481</v>
      </c>
      <c r="T93" s="825">
        <v>10116</v>
      </c>
      <c r="U93" s="825"/>
      <c r="V93" s="825"/>
    </row>
    <row r="94" spans="1:22" x14ac:dyDescent="0.25">
      <c r="A94" s="826" t="s">
        <v>2601</v>
      </c>
      <c r="B94" s="823">
        <v>3.0699999999999998E-4</v>
      </c>
      <c r="C94" s="823">
        <v>3.724E-4</v>
      </c>
      <c r="D94" s="570">
        <v>266.7</v>
      </c>
      <c r="E94" s="653">
        <v>-6962</v>
      </c>
      <c r="F94" s="814">
        <v>-5240</v>
      </c>
      <c r="G94" s="814"/>
      <c r="H94" s="824">
        <v>90</v>
      </c>
      <c r="I94" s="824">
        <v>647</v>
      </c>
      <c r="J94" s="824">
        <v>884</v>
      </c>
      <c r="K94" s="814">
        <v>1144</v>
      </c>
      <c r="L94" s="814"/>
      <c r="M94" s="824">
        <v>17</v>
      </c>
      <c r="N94" s="824">
        <v>201</v>
      </c>
      <c r="O94" s="824">
        <v>0</v>
      </c>
      <c r="P94" s="814">
        <v>334</v>
      </c>
      <c r="Q94" s="814"/>
      <c r="R94" s="824">
        <v>834</v>
      </c>
      <c r="S94" s="825">
        <v>788</v>
      </c>
      <c r="T94" s="825">
        <v>1623</v>
      </c>
      <c r="U94" s="825"/>
      <c r="V94" s="825"/>
    </row>
    <row r="95" spans="1:22" x14ac:dyDescent="0.25">
      <c r="A95" s="826" t="s">
        <v>2602</v>
      </c>
      <c r="B95" s="823">
        <v>2.61335E-2</v>
      </c>
      <c r="C95" s="823">
        <v>2.6073599999999999E-2</v>
      </c>
      <c r="D95" s="570">
        <v>22706.27</v>
      </c>
      <c r="E95" s="653">
        <v>-487472</v>
      </c>
      <c r="F95" s="814">
        <v>-446073</v>
      </c>
      <c r="G95" s="814"/>
      <c r="H95" s="824">
        <v>7657</v>
      </c>
      <c r="I95" s="824">
        <v>55063</v>
      </c>
      <c r="J95" s="824">
        <v>75264</v>
      </c>
      <c r="K95" s="814">
        <v>1022</v>
      </c>
      <c r="L95" s="814"/>
      <c r="M95" s="824">
        <v>1437</v>
      </c>
      <c r="N95" s="824">
        <v>17144</v>
      </c>
      <c r="O95" s="824">
        <v>0</v>
      </c>
      <c r="P95" s="814">
        <v>2506</v>
      </c>
      <c r="Q95" s="814"/>
      <c r="R95" s="824">
        <v>71031</v>
      </c>
      <c r="S95" s="825">
        <v>-6599</v>
      </c>
      <c r="T95" s="825">
        <v>64432</v>
      </c>
      <c r="U95" s="825"/>
      <c r="V95" s="825"/>
    </row>
    <row r="96" spans="1:22" x14ac:dyDescent="0.25">
      <c r="A96" s="826" t="s">
        <v>2603</v>
      </c>
      <c r="B96" s="823">
        <v>3.5677999999999999E-3</v>
      </c>
      <c r="C96" s="823">
        <v>3.6116999999999998E-3</v>
      </c>
      <c r="D96" s="570">
        <v>3099.86</v>
      </c>
      <c r="E96" s="653">
        <v>-67524</v>
      </c>
      <c r="F96" s="814">
        <v>-60899</v>
      </c>
      <c r="G96" s="814"/>
      <c r="H96" s="824">
        <v>1045</v>
      </c>
      <c r="I96" s="824">
        <v>7517</v>
      </c>
      <c r="J96" s="824">
        <v>10275</v>
      </c>
      <c r="K96" s="814">
        <v>1746</v>
      </c>
      <c r="L96" s="814"/>
      <c r="M96" s="824">
        <v>196</v>
      </c>
      <c r="N96" s="824">
        <v>2340</v>
      </c>
      <c r="O96" s="824">
        <v>0</v>
      </c>
      <c r="P96" s="814">
        <v>0</v>
      </c>
      <c r="Q96" s="814"/>
      <c r="R96" s="824">
        <v>9697</v>
      </c>
      <c r="S96" s="825">
        <v>1347</v>
      </c>
      <c r="T96" s="825">
        <v>11045</v>
      </c>
      <c r="U96" s="825"/>
      <c r="V96" s="825"/>
    </row>
    <row r="97" spans="1:22" x14ac:dyDescent="0.25">
      <c r="A97" s="826" t="s">
        <v>2604</v>
      </c>
      <c r="B97" s="823">
        <v>0.1145418</v>
      </c>
      <c r="C97" s="823">
        <v>9.9709900000000004E-2</v>
      </c>
      <c r="D97" s="570">
        <v>99520.66</v>
      </c>
      <c r="E97" s="653">
        <v>-1864176</v>
      </c>
      <c r="F97" s="814">
        <v>-1955114</v>
      </c>
      <c r="G97" s="814"/>
      <c r="H97" s="824">
        <v>33561</v>
      </c>
      <c r="I97" s="824">
        <v>241340</v>
      </c>
      <c r="J97" s="824">
        <v>329880</v>
      </c>
      <c r="K97" s="814">
        <v>114883</v>
      </c>
      <c r="L97" s="814"/>
      <c r="M97" s="824">
        <v>6300</v>
      </c>
      <c r="N97" s="824">
        <v>75139</v>
      </c>
      <c r="O97" s="824">
        <v>0</v>
      </c>
      <c r="P97" s="814">
        <v>241231</v>
      </c>
      <c r="Q97" s="814"/>
      <c r="R97" s="824">
        <v>311325</v>
      </c>
      <c r="S97" s="825">
        <v>-68284</v>
      </c>
      <c r="T97" s="825">
        <v>243040</v>
      </c>
      <c r="U97" s="825"/>
      <c r="V97" s="825"/>
    </row>
    <row r="98" spans="1:22" x14ac:dyDescent="0.25">
      <c r="A98" s="826" t="s">
        <v>2605</v>
      </c>
      <c r="B98" s="823">
        <v>1.4982000000000001E-3</v>
      </c>
      <c r="C98" s="823">
        <v>1.6083E-3</v>
      </c>
      <c r="D98" s="570">
        <v>1301.73</v>
      </c>
      <c r="E98" s="653">
        <v>-30069</v>
      </c>
      <c r="F98" s="814">
        <v>-25573</v>
      </c>
      <c r="G98" s="814"/>
      <c r="H98" s="824">
        <v>439</v>
      </c>
      <c r="I98" s="824">
        <v>3157</v>
      </c>
      <c r="J98" s="824">
        <v>4315</v>
      </c>
      <c r="K98" s="814">
        <v>1917</v>
      </c>
      <c r="L98" s="814"/>
      <c r="M98" s="824">
        <v>82</v>
      </c>
      <c r="N98" s="824">
        <v>983</v>
      </c>
      <c r="O98" s="824">
        <v>0</v>
      </c>
      <c r="P98" s="814">
        <v>1959</v>
      </c>
      <c r="Q98" s="814"/>
      <c r="R98" s="824">
        <v>4072</v>
      </c>
      <c r="S98" s="825">
        <v>459</v>
      </c>
      <c r="T98" s="825">
        <v>4531</v>
      </c>
      <c r="U98" s="825"/>
      <c r="V98" s="825"/>
    </row>
    <row r="99" spans="1:22" x14ac:dyDescent="0.25">
      <c r="A99" s="826" t="s">
        <v>2606</v>
      </c>
      <c r="B99" s="823">
        <v>1.3189E-3</v>
      </c>
      <c r="C99" s="823">
        <v>1.2009E-3</v>
      </c>
      <c r="D99" s="570">
        <v>1145.94</v>
      </c>
      <c r="E99" s="653">
        <v>-22452</v>
      </c>
      <c r="F99" s="814">
        <v>-22512</v>
      </c>
      <c r="G99" s="814"/>
      <c r="H99" s="824">
        <v>386</v>
      </c>
      <c r="I99" s="824">
        <v>2779</v>
      </c>
      <c r="J99" s="824">
        <v>3798</v>
      </c>
      <c r="K99" s="814">
        <v>309</v>
      </c>
      <c r="L99" s="814"/>
      <c r="M99" s="824">
        <v>73</v>
      </c>
      <c r="N99" s="824">
        <v>865</v>
      </c>
      <c r="O99" s="824">
        <v>0</v>
      </c>
      <c r="P99" s="814">
        <v>2208</v>
      </c>
      <c r="Q99" s="814"/>
      <c r="R99" s="824">
        <v>3585</v>
      </c>
      <c r="S99" s="825">
        <v>-2814</v>
      </c>
      <c r="T99" s="825">
        <v>771</v>
      </c>
      <c r="U99" s="825"/>
      <c r="V99" s="825"/>
    </row>
    <row r="100" spans="1:22" x14ac:dyDescent="0.25">
      <c r="A100" s="826" t="s">
        <v>2607</v>
      </c>
      <c r="B100" s="823">
        <v>6.5062000000000002E-3</v>
      </c>
      <c r="C100" s="823">
        <v>6.6734000000000003E-3</v>
      </c>
      <c r="D100" s="570">
        <v>5652.94</v>
      </c>
      <c r="E100" s="653">
        <v>-124766</v>
      </c>
      <c r="F100" s="814">
        <v>-111054</v>
      </c>
      <c r="G100" s="814"/>
      <c r="H100" s="824">
        <v>1906</v>
      </c>
      <c r="I100" s="824">
        <v>13709</v>
      </c>
      <c r="J100" s="824">
        <v>18738</v>
      </c>
      <c r="K100" s="814">
        <v>2618</v>
      </c>
      <c r="L100" s="814"/>
      <c r="M100" s="824">
        <v>358</v>
      </c>
      <c r="N100" s="824">
        <v>4268</v>
      </c>
      <c r="O100" s="824">
        <v>0</v>
      </c>
      <c r="P100" s="814">
        <v>1207</v>
      </c>
      <c r="Q100" s="814"/>
      <c r="R100" s="824">
        <v>17684</v>
      </c>
      <c r="S100" s="825">
        <v>-952</v>
      </c>
      <c r="T100" s="825">
        <v>16732</v>
      </c>
      <c r="U100" s="825"/>
      <c r="V100" s="825"/>
    </row>
    <row r="101" spans="1:22" x14ac:dyDescent="0.25">
      <c r="A101" s="826" t="s">
        <v>2608</v>
      </c>
      <c r="B101" s="823">
        <v>9.7663000000000003E-3</v>
      </c>
      <c r="C101" s="823">
        <v>9.8042000000000008E-3</v>
      </c>
      <c r="D101" s="570">
        <v>8485.51</v>
      </c>
      <c r="E101" s="653">
        <v>-183299</v>
      </c>
      <c r="F101" s="814">
        <v>-166701</v>
      </c>
      <c r="G101" s="814"/>
      <c r="H101" s="824">
        <v>2862</v>
      </c>
      <c r="I101" s="824">
        <v>20578</v>
      </c>
      <c r="J101" s="824">
        <v>28127</v>
      </c>
      <c r="K101" s="814">
        <v>679</v>
      </c>
      <c r="L101" s="814"/>
      <c r="M101" s="824">
        <v>537</v>
      </c>
      <c r="N101" s="824">
        <v>6407</v>
      </c>
      <c r="O101" s="824">
        <v>0</v>
      </c>
      <c r="P101" s="814">
        <v>2384</v>
      </c>
      <c r="Q101" s="814"/>
      <c r="R101" s="824">
        <v>26545</v>
      </c>
      <c r="S101" s="825">
        <v>-1507</v>
      </c>
      <c r="T101" s="825">
        <v>25038</v>
      </c>
      <c r="U101" s="825"/>
      <c r="V101" s="825"/>
    </row>
    <row r="102" spans="1:22" x14ac:dyDescent="0.25">
      <c r="A102" s="826" t="s">
        <v>2609</v>
      </c>
      <c r="B102" s="823">
        <v>5.8377000000000004E-3</v>
      </c>
      <c r="C102" s="823">
        <v>6.1932000000000003E-3</v>
      </c>
      <c r="D102" s="570">
        <v>5072.08</v>
      </c>
      <c r="E102" s="653">
        <v>-115788</v>
      </c>
      <c r="F102" s="814">
        <v>-99644</v>
      </c>
      <c r="G102" s="814"/>
      <c r="H102" s="824">
        <v>1710</v>
      </c>
      <c r="I102" s="824">
        <v>12300</v>
      </c>
      <c r="J102" s="824">
        <v>16813</v>
      </c>
      <c r="K102" s="814">
        <v>7141</v>
      </c>
      <c r="L102" s="814"/>
      <c r="M102" s="824">
        <v>321</v>
      </c>
      <c r="N102" s="824">
        <v>3830</v>
      </c>
      <c r="O102" s="824">
        <v>0</v>
      </c>
      <c r="P102" s="814">
        <v>120</v>
      </c>
      <c r="Q102" s="814"/>
      <c r="R102" s="824">
        <v>15867</v>
      </c>
      <c r="S102" s="825">
        <v>2730</v>
      </c>
      <c r="T102" s="825">
        <v>18597</v>
      </c>
      <c r="U102" s="825"/>
      <c r="V102" s="825"/>
    </row>
    <row r="103" spans="1:22" x14ac:dyDescent="0.25">
      <c r="A103" s="826" t="s">
        <v>2610</v>
      </c>
      <c r="B103" s="823">
        <v>4.5783000000000004E-3</v>
      </c>
      <c r="C103" s="823">
        <v>4.7648999999999999E-3</v>
      </c>
      <c r="D103" s="570">
        <v>3977.91</v>
      </c>
      <c r="E103" s="653">
        <v>-89085</v>
      </c>
      <c r="F103" s="814">
        <v>-78147</v>
      </c>
      <c r="G103" s="814"/>
      <c r="H103" s="824">
        <v>1341</v>
      </c>
      <c r="I103" s="824">
        <v>9646</v>
      </c>
      <c r="J103" s="824">
        <v>13186</v>
      </c>
      <c r="K103" s="814">
        <v>3163</v>
      </c>
      <c r="L103" s="814"/>
      <c r="M103" s="824">
        <v>252</v>
      </c>
      <c r="N103" s="824">
        <v>3003</v>
      </c>
      <c r="O103" s="824">
        <v>0</v>
      </c>
      <c r="P103" s="814">
        <v>0</v>
      </c>
      <c r="Q103" s="814"/>
      <c r="R103" s="824">
        <v>12444</v>
      </c>
      <c r="S103" s="825">
        <v>2214</v>
      </c>
      <c r="T103" s="825">
        <v>14657</v>
      </c>
      <c r="U103" s="825"/>
      <c r="V103" s="825"/>
    </row>
    <row r="104" spans="1:22" x14ac:dyDescent="0.25">
      <c r="A104" s="826" t="s">
        <v>2510</v>
      </c>
      <c r="B104" s="823">
        <v>3.1147000000000002E-3</v>
      </c>
      <c r="C104" s="823">
        <v>3.2017E-3</v>
      </c>
      <c r="D104" s="570">
        <v>2706.2</v>
      </c>
      <c r="E104" s="653">
        <v>-59859</v>
      </c>
      <c r="F104" s="814">
        <v>-53165</v>
      </c>
      <c r="G104" s="814"/>
      <c r="H104" s="824">
        <v>913</v>
      </c>
      <c r="I104" s="824">
        <v>6563</v>
      </c>
      <c r="J104" s="824">
        <v>8970</v>
      </c>
      <c r="K104" s="814">
        <v>1443</v>
      </c>
      <c r="L104" s="814"/>
      <c r="M104" s="824">
        <v>171</v>
      </c>
      <c r="N104" s="824">
        <v>2043</v>
      </c>
      <c r="O104" s="824">
        <v>0</v>
      </c>
      <c r="P104" s="814">
        <v>1044</v>
      </c>
      <c r="Q104" s="814"/>
      <c r="R104" s="824">
        <v>8466</v>
      </c>
      <c r="S104" s="825">
        <v>33</v>
      </c>
      <c r="T104" s="825">
        <v>8499</v>
      </c>
      <c r="U104" s="825"/>
      <c r="V104" s="825"/>
    </row>
    <row r="105" spans="1:22" x14ac:dyDescent="0.25">
      <c r="A105" s="826" t="s">
        <v>2611</v>
      </c>
      <c r="B105" s="823">
        <v>1.7394999999999999E-3</v>
      </c>
      <c r="C105" s="823">
        <v>1.7052E-3</v>
      </c>
      <c r="D105" s="570">
        <v>1511.39</v>
      </c>
      <c r="E105" s="653">
        <v>-31880</v>
      </c>
      <c r="F105" s="814">
        <v>-29692</v>
      </c>
      <c r="G105" s="814"/>
      <c r="H105" s="824">
        <v>510</v>
      </c>
      <c r="I105" s="824">
        <v>3665</v>
      </c>
      <c r="J105" s="824">
        <v>5010</v>
      </c>
      <c r="K105" s="814">
        <v>325</v>
      </c>
      <c r="L105" s="814"/>
      <c r="M105" s="824">
        <v>96</v>
      </c>
      <c r="N105" s="824">
        <v>1141</v>
      </c>
      <c r="O105" s="824">
        <v>0</v>
      </c>
      <c r="P105" s="814">
        <v>537</v>
      </c>
      <c r="Q105" s="814"/>
      <c r="R105" s="824">
        <v>4728</v>
      </c>
      <c r="S105" s="825">
        <v>267</v>
      </c>
      <c r="T105" s="825">
        <v>4995</v>
      </c>
      <c r="U105" s="825"/>
      <c r="V105" s="825"/>
    </row>
    <row r="106" spans="1:22" x14ac:dyDescent="0.25">
      <c r="A106" s="820" t="s">
        <v>2622</v>
      </c>
      <c r="B106" s="823">
        <v>4.5522000000000002E-3</v>
      </c>
      <c r="C106" s="823">
        <v>4.4989000000000001E-3</v>
      </c>
      <c r="D106" s="570">
        <v>3955.24</v>
      </c>
      <c r="E106" s="653">
        <v>-84111</v>
      </c>
      <c r="F106" s="814">
        <v>-77702</v>
      </c>
      <c r="G106" s="814"/>
      <c r="H106" s="824">
        <v>1334</v>
      </c>
      <c r="I106" s="824">
        <v>9591</v>
      </c>
      <c r="J106" s="824">
        <v>13110</v>
      </c>
      <c r="K106" s="814">
        <v>387</v>
      </c>
      <c r="L106" s="814"/>
      <c r="M106" s="824">
        <v>250</v>
      </c>
      <c r="N106" s="824">
        <v>2986</v>
      </c>
      <c r="O106" s="824">
        <v>0</v>
      </c>
      <c r="P106" s="814">
        <v>3357</v>
      </c>
      <c r="Q106" s="814"/>
      <c r="R106" s="824">
        <v>12373</v>
      </c>
      <c r="S106" s="825">
        <v>-221</v>
      </c>
      <c r="T106" s="825">
        <v>12152</v>
      </c>
    </row>
    <row r="107" spans="1:22" s="827" customFormat="1" x14ac:dyDescent="0.25">
      <c r="D107" s="817">
        <f>SUM(D6:D105)</f>
        <v>868856</v>
      </c>
      <c r="E107" s="817">
        <f t="shared" ref="E107:T107" si="0">SUM(E6:E105)</f>
        <v>-18696001</v>
      </c>
      <c r="F107" s="817">
        <f t="shared" si="0"/>
        <v>-17069002</v>
      </c>
      <c r="G107" s="817"/>
      <c r="H107" s="817">
        <f t="shared" si="0"/>
        <v>293003</v>
      </c>
      <c r="I107" s="817">
        <f t="shared" si="0"/>
        <v>2107003</v>
      </c>
      <c r="J107" s="817">
        <f t="shared" si="0"/>
        <v>2879999</v>
      </c>
      <c r="K107" s="817">
        <f t="shared" si="0"/>
        <v>880444</v>
      </c>
      <c r="L107" s="817">
        <f t="shared" si="0"/>
        <v>0</v>
      </c>
      <c r="M107" s="817">
        <f t="shared" si="0"/>
        <v>55001</v>
      </c>
      <c r="N107" s="817">
        <f t="shared" si="0"/>
        <v>655997</v>
      </c>
      <c r="O107" s="817">
        <f t="shared" si="0"/>
        <v>0</v>
      </c>
      <c r="P107" s="817">
        <f t="shared" si="0"/>
        <v>880446</v>
      </c>
      <c r="Q107" s="817">
        <f t="shared" si="0"/>
        <v>0</v>
      </c>
      <c r="R107" s="817">
        <f t="shared" si="0"/>
        <v>2718007</v>
      </c>
      <c r="S107" s="817">
        <f t="shared" si="0"/>
        <v>-6</v>
      </c>
      <c r="T107" s="817">
        <f t="shared" si="0"/>
        <v>2717997</v>
      </c>
    </row>
  </sheetData>
  <sheetProtection algorithmName="SHA-512" hashValue="BBbnIFZ4P2sOPcKqgcDY2e8580p0IvSNuM9zjdy+0q/JD1uXDHKONcXb7rbBzJJByWrilPDWu6RiWnRmCXQNjA==" saltValue="pDfLTQtw8zwN8SRKRnsOsA==" spinCount="100000" sheet="1" objects="1" scenarios="1"/>
  <customSheetViews>
    <customSheetView guid="{D2B860EA-92EC-4999-9A59-C624E1F8C7FB}" fitToPage="1" state="hidden">
      <pane xSplit="1" ySplit="5" topLeftCell="B6" activePane="bottomRight" state="frozen"/>
      <selection pane="bottomRight" activeCell="C5" sqref="C5"/>
      <pageMargins left="0.25" right="0.25" top="0.75" bottom="0.75" header="0.3" footer="0.3"/>
      <pageSetup paperSize="5" scale="57" fitToWidth="0" orientation="landscape" r:id="rId1"/>
    </customSheetView>
    <customSheetView guid="{C1197650-3ED8-49E4-8E4C-0D1D4B503FC0}" fitToPage="1" state="hidden">
      <pane xSplit="1" ySplit="5" topLeftCell="B6" activePane="bottomRight" state="frozen"/>
      <selection pane="bottomRight" activeCell="C5" sqref="C5"/>
      <pageMargins left="0.25" right="0.25" top="0.75" bottom="0.75" header="0.3" footer="0.3"/>
      <pageSetup paperSize="5" scale="57" fitToWidth="0" orientation="landscape" r:id="rId2"/>
    </customSheetView>
  </customSheetViews>
  <pageMargins left="0.25" right="0.25" top="0.75" bottom="0.75" header="0.3" footer="0.3"/>
  <pageSetup paperSize="5" scale="57" fitToWidth="0" orientation="landscape"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6C6B-ED70-432B-86F6-0888F39C6344}">
  <dimension ref="A1:B105"/>
  <sheetViews>
    <sheetView workbookViewId="0"/>
  </sheetViews>
  <sheetFormatPr defaultRowHeight="12.75" x14ac:dyDescent="0.2"/>
  <cols>
    <col min="1" max="1" width="20.85546875" bestFit="1" customWidth="1"/>
    <col min="2" max="2" width="19.85546875" bestFit="1" customWidth="1"/>
  </cols>
  <sheetData>
    <row r="1" spans="1:2" ht="15.75" x14ac:dyDescent="0.25">
      <c r="A1" s="929" t="s">
        <v>4078</v>
      </c>
      <c r="B1" s="929" t="s">
        <v>4084</v>
      </c>
    </row>
    <row r="2" spans="1:2" x14ac:dyDescent="0.2">
      <c r="A2" t="s">
        <v>4083</v>
      </c>
      <c r="B2" s="35">
        <v>0</v>
      </c>
    </row>
    <row r="3" spans="1:2" x14ac:dyDescent="0.2">
      <c r="A3" s="370" t="s">
        <v>2513</v>
      </c>
      <c r="B3" s="570">
        <v>13482.77</v>
      </c>
    </row>
    <row r="4" spans="1:2" x14ac:dyDescent="0.2">
      <c r="A4" s="370" t="s">
        <v>2514</v>
      </c>
      <c r="B4" s="570">
        <v>2440.09</v>
      </c>
    </row>
    <row r="5" spans="1:2" x14ac:dyDescent="0.2">
      <c r="A5" s="370" t="s">
        <v>2515</v>
      </c>
      <c r="B5" s="570">
        <v>1283.97</v>
      </c>
    </row>
    <row r="6" spans="1:2" x14ac:dyDescent="0.2">
      <c r="A6" s="370" t="s">
        <v>2516</v>
      </c>
      <c r="B6" s="570">
        <v>1481.05</v>
      </c>
    </row>
    <row r="7" spans="1:2" x14ac:dyDescent="0.2">
      <c r="A7" s="370" t="s">
        <v>2517</v>
      </c>
      <c r="B7" s="570">
        <v>2970.9</v>
      </c>
    </row>
    <row r="8" spans="1:2" x14ac:dyDescent="0.2">
      <c r="A8" s="370" t="s">
        <v>2518</v>
      </c>
      <c r="B8" s="570">
        <v>3546.26</v>
      </c>
    </row>
    <row r="9" spans="1:2" x14ac:dyDescent="0.2">
      <c r="A9" s="370" t="s">
        <v>2519</v>
      </c>
      <c r="B9" s="570">
        <v>3927.93</v>
      </c>
    </row>
    <row r="10" spans="1:2" x14ac:dyDescent="0.2">
      <c r="A10" s="370" t="s">
        <v>2520</v>
      </c>
      <c r="B10" s="570">
        <v>1002.47</v>
      </c>
    </row>
    <row r="11" spans="1:2" x14ac:dyDescent="0.2">
      <c r="A11" s="370" t="s">
        <v>2521</v>
      </c>
      <c r="B11" s="570">
        <v>2107.9299999999998</v>
      </c>
    </row>
    <row r="12" spans="1:2" x14ac:dyDescent="0.2">
      <c r="A12" s="370" t="s">
        <v>2522</v>
      </c>
      <c r="B12" s="570">
        <v>21497.78</v>
      </c>
    </row>
    <row r="13" spans="1:2" x14ac:dyDescent="0.2">
      <c r="A13" s="370" t="s">
        <v>2523</v>
      </c>
      <c r="B13" s="570">
        <v>27204.14</v>
      </c>
    </row>
    <row r="14" spans="1:2" x14ac:dyDescent="0.2">
      <c r="A14" s="370" t="s">
        <v>2524</v>
      </c>
      <c r="B14" s="570">
        <v>11140.99</v>
      </c>
    </row>
    <row r="15" spans="1:2" x14ac:dyDescent="0.2">
      <c r="A15" s="370" t="s">
        <v>2525</v>
      </c>
      <c r="B15" s="570">
        <v>19515.62</v>
      </c>
    </row>
    <row r="16" spans="1:2" x14ac:dyDescent="0.2">
      <c r="A16" s="370" t="s">
        <v>2526</v>
      </c>
      <c r="B16" s="570">
        <v>5877.83</v>
      </c>
    </row>
    <row r="17" spans="1:2" x14ac:dyDescent="0.2">
      <c r="A17" s="370" t="s">
        <v>2527</v>
      </c>
      <c r="B17" s="570">
        <v>959.57</v>
      </c>
    </row>
    <row r="18" spans="1:2" x14ac:dyDescent="0.2">
      <c r="A18" s="370" t="s">
        <v>2528</v>
      </c>
      <c r="B18" s="570">
        <v>9125.1299999999992</v>
      </c>
    </row>
    <row r="19" spans="1:2" x14ac:dyDescent="0.2">
      <c r="A19" s="370" t="s">
        <v>2529</v>
      </c>
      <c r="B19" s="570">
        <v>1030.57</v>
      </c>
    </row>
    <row r="20" spans="1:2" x14ac:dyDescent="0.2">
      <c r="A20" s="370" t="s">
        <v>2530</v>
      </c>
      <c r="B20" s="570">
        <v>13849.27</v>
      </c>
    </row>
    <row r="21" spans="1:2" x14ac:dyDescent="0.2">
      <c r="A21" s="370" t="s">
        <v>2531</v>
      </c>
      <c r="B21" s="570">
        <v>7514.2</v>
      </c>
    </row>
    <row r="22" spans="1:2" x14ac:dyDescent="0.2">
      <c r="A22" s="370" t="s">
        <v>2532</v>
      </c>
      <c r="B22" s="570">
        <v>3424.27</v>
      </c>
    </row>
    <row r="23" spans="1:2" x14ac:dyDescent="0.2">
      <c r="A23" s="370" t="s">
        <v>2533</v>
      </c>
      <c r="B23" s="570">
        <v>1360.68</v>
      </c>
    </row>
    <row r="24" spans="1:2" x14ac:dyDescent="0.2">
      <c r="A24" s="370" t="s">
        <v>2534</v>
      </c>
      <c r="B24" s="570">
        <v>1421.99</v>
      </c>
    </row>
    <row r="25" spans="1:2" x14ac:dyDescent="0.2">
      <c r="A25" s="370" t="s">
        <v>2535</v>
      </c>
      <c r="B25" s="570">
        <v>6897.47</v>
      </c>
    </row>
    <row r="26" spans="1:2" x14ac:dyDescent="0.2">
      <c r="A26" s="370" t="s">
        <v>2536</v>
      </c>
      <c r="B26" s="570">
        <v>3820.19</v>
      </c>
    </row>
    <row r="27" spans="1:2" x14ac:dyDescent="0.2">
      <c r="A27" s="370" t="s">
        <v>2537</v>
      </c>
      <c r="B27" s="570">
        <v>7458.13</v>
      </c>
    </row>
    <row r="28" spans="1:2" x14ac:dyDescent="0.2">
      <c r="A28" s="370" t="s">
        <v>2538</v>
      </c>
      <c r="B28" s="570">
        <v>25296.91</v>
      </c>
    </row>
    <row r="29" spans="1:2" x14ac:dyDescent="0.2">
      <c r="A29" s="370" t="s">
        <v>2539</v>
      </c>
      <c r="B29" s="570">
        <v>3443.35</v>
      </c>
    </row>
    <row r="30" spans="1:2" x14ac:dyDescent="0.2">
      <c r="A30" s="370" t="s">
        <v>2540</v>
      </c>
      <c r="B30" s="570">
        <v>7282.07</v>
      </c>
    </row>
    <row r="31" spans="1:2" x14ac:dyDescent="0.2">
      <c r="A31" s="370" t="s">
        <v>2541</v>
      </c>
      <c r="B31" s="570">
        <v>11323.28</v>
      </c>
    </row>
    <row r="32" spans="1:2" x14ac:dyDescent="0.2">
      <c r="A32" s="370" t="s">
        <v>2542</v>
      </c>
      <c r="B32" s="570">
        <v>3239.01</v>
      </c>
    </row>
    <row r="33" spans="1:2" x14ac:dyDescent="0.2">
      <c r="A33" s="370" t="s">
        <v>2543</v>
      </c>
      <c r="B33" s="570">
        <v>3264.65</v>
      </c>
    </row>
    <row r="34" spans="1:2" x14ac:dyDescent="0.2">
      <c r="A34" s="370" t="s">
        <v>2544</v>
      </c>
      <c r="B34" s="570">
        <v>26373.03</v>
      </c>
    </row>
    <row r="35" spans="1:2" x14ac:dyDescent="0.2">
      <c r="A35" s="370" t="s">
        <v>2545</v>
      </c>
      <c r="B35" s="570">
        <v>3114.66</v>
      </c>
    </row>
    <row r="36" spans="1:2" x14ac:dyDescent="0.2">
      <c r="A36" s="370" t="s">
        <v>2546</v>
      </c>
      <c r="B36" s="570">
        <v>32349.71</v>
      </c>
    </row>
    <row r="37" spans="1:2" x14ac:dyDescent="0.2">
      <c r="A37" s="370" t="s">
        <v>2547</v>
      </c>
      <c r="B37" s="570">
        <v>5341.43</v>
      </c>
    </row>
    <row r="38" spans="1:2" x14ac:dyDescent="0.2">
      <c r="A38" s="370" t="s">
        <v>2548</v>
      </c>
      <c r="B38" s="570">
        <v>6719.34</v>
      </c>
    </row>
    <row r="39" spans="1:2" x14ac:dyDescent="0.2">
      <c r="A39" s="370" t="s">
        <v>2549</v>
      </c>
      <c r="B39" s="570">
        <v>767.98</v>
      </c>
    </row>
    <row r="40" spans="1:2" x14ac:dyDescent="0.2">
      <c r="A40" s="370" t="s">
        <v>2550</v>
      </c>
      <c r="B40" s="570">
        <v>652.1</v>
      </c>
    </row>
    <row r="41" spans="1:2" x14ac:dyDescent="0.2">
      <c r="A41" s="370" t="s">
        <v>2551</v>
      </c>
      <c r="B41" s="570">
        <v>4037.92</v>
      </c>
    </row>
    <row r="42" spans="1:2" x14ac:dyDescent="0.2">
      <c r="A42" s="370" t="s">
        <v>2552</v>
      </c>
      <c r="B42" s="570">
        <v>898.04</v>
      </c>
    </row>
    <row r="43" spans="1:2" x14ac:dyDescent="0.2">
      <c r="A43" s="370" t="s">
        <v>2553</v>
      </c>
      <c r="B43" s="570">
        <v>36352.839999999997</v>
      </c>
    </row>
    <row r="44" spans="1:2" x14ac:dyDescent="0.2">
      <c r="A44" s="370" t="s">
        <v>2554</v>
      </c>
      <c r="B44" s="570">
        <v>3556.1</v>
      </c>
    </row>
    <row r="45" spans="1:2" x14ac:dyDescent="0.2">
      <c r="A45" s="370" t="s">
        <v>2555</v>
      </c>
      <c r="B45" s="570">
        <v>10268.950000000001</v>
      </c>
    </row>
    <row r="46" spans="1:2" x14ac:dyDescent="0.2">
      <c r="A46" s="370" t="s">
        <v>4085</v>
      </c>
      <c r="B46" s="570">
        <v>6634.92</v>
      </c>
    </row>
    <row r="47" spans="1:2" x14ac:dyDescent="0.2">
      <c r="A47" s="370" t="s">
        <v>2557</v>
      </c>
      <c r="B47" s="570">
        <v>11871.45</v>
      </c>
    </row>
    <row r="48" spans="1:2" x14ac:dyDescent="0.2">
      <c r="A48" s="370" t="s">
        <v>2558</v>
      </c>
      <c r="B48" s="570">
        <v>1473.24</v>
      </c>
    </row>
    <row r="49" spans="1:2" x14ac:dyDescent="0.2">
      <c r="A49" s="370" t="s">
        <v>2559</v>
      </c>
      <c r="B49" s="570">
        <v>4448.29</v>
      </c>
    </row>
    <row r="50" spans="1:2" x14ac:dyDescent="0.2">
      <c r="A50" s="370" t="s">
        <v>2560</v>
      </c>
      <c r="B50" s="570">
        <v>383.91</v>
      </c>
    </row>
    <row r="51" spans="1:2" x14ac:dyDescent="0.2">
      <c r="A51" s="370" t="s">
        <v>2561</v>
      </c>
      <c r="B51" s="570">
        <v>17375.939999999999</v>
      </c>
    </row>
    <row r="52" spans="1:2" x14ac:dyDescent="0.2">
      <c r="A52" s="370" t="s">
        <v>2562</v>
      </c>
      <c r="B52" s="570">
        <v>5262.37</v>
      </c>
    </row>
    <row r="53" spans="1:2" x14ac:dyDescent="0.2">
      <c r="A53" s="370" t="s">
        <v>2563</v>
      </c>
      <c r="B53" s="570">
        <v>18730.43</v>
      </c>
    </row>
    <row r="54" spans="1:2" x14ac:dyDescent="0.2">
      <c r="A54" s="370" t="s">
        <v>2564</v>
      </c>
      <c r="B54" s="570">
        <v>696.45</v>
      </c>
    </row>
    <row r="55" spans="1:2" x14ac:dyDescent="0.2">
      <c r="A55" s="370" t="s">
        <v>2565</v>
      </c>
      <c r="B55" s="570">
        <v>4792.67</v>
      </c>
    </row>
    <row r="56" spans="1:2" x14ac:dyDescent="0.2">
      <c r="A56" s="370" t="s">
        <v>2566</v>
      </c>
      <c r="B56" s="570">
        <v>3014.72</v>
      </c>
    </row>
    <row r="57" spans="1:2" x14ac:dyDescent="0.2">
      <c r="A57" s="370" t="s">
        <v>2567</v>
      </c>
      <c r="B57" s="570">
        <v>8164.29</v>
      </c>
    </row>
    <row r="58" spans="1:2" x14ac:dyDescent="0.2">
      <c r="A58" s="370" t="s">
        <v>2568</v>
      </c>
      <c r="B58" s="570">
        <v>3727.24</v>
      </c>
    </row>
    <row r="59" spans="1:2" x14ac:dyDescent="0.2">
      <c r="A59" s="370" t="s">
        <v>2569</v>
      </c>
      <c r="B59" s="570">
        <v>4718.92</v>
      </c>
    </row>
    <row r="60" spans="1:2" x14ac:dyDescent="0.2">
      <c r="A60" s="370" t="s">
        <v>2570</v>
      </c>
      <c r="B60" s="570">
        <v>1443</v>
      </c>
    </row>
    <row r="61" spans="1:2" x14ac:dyDescent="0.2">
      <c r="A61" s="370" t="s">
        <v>2571</v>
      </c>
      <c r="B61" s="570">
        <v>3135.85</v>
      </c>
    </row>
    <row r="62" spans="1:2" x14ac:dyDescent="0.2">
      <c r="A62" s="370" t="s">
        <v>2572</v>
      </c>
      <c r="B62" s="570">
        <v>65847.100000000006</v>
      </c>
    </row>
    <row r="63" spans="1:2" x14ac:dyDescent="0.2">
      <c r="A63" s="370" t="s">
        <v>2573</v>
      </c>
      <c r="B63" s="570">
        <v>1322.95</v>
      </c>
    </row>
    <row r="64" spans="1:2" x14ac:dyDescent="0.2">
      <c r="A64" s="370" t="s">
        <v>2574</v>
      </c>
      <c r="B64" s="570">
        <v>2164.59</v>
      </c>
    </row>
    <row r="65" spans="1:2" x14ac:dyDescent="0.2">
      <c r="A65" s="370" t="s">
        <v>2575</v>
      </c>
      <c r="B65" s="570">
        <v>11104.1</v>
      </c>
    </row>
    <row r="66" spans="1:2" x14ac:dyDescent="0.2">
      <c r="A66" s="370" t="s">
        <v>2576</v>
      </c>
      <c r="B66" s="570">
        <v>7291.07</v>
      </c>
    </row>
    <row r="67" spans="1:2" x14ac:dyDescent="0.2">
      <c r="A67" s="370" t="s">
        <v>2577</v>
      </c>
      <c r="B67" s="570">
        <v>22503.360000000001</v>
      </c>
    </row>
    <row r="68" spans="1:2" x14ac:dyDescent="0.2">
      <c r="A68" s="370" t="s">
        <v>2578</v>
      </c>
      <c r="B68" s="570">
        <v>1216.6199999999999</v>
      </c>
    </row>
    <row r="69" spans="1:2" x14ac:dyDescent="0.2">
      <c r="A69" s="370" t="s">
        <v>2579</v>
      </c>
      <c r="B69" s="570">
        <v>19320.12</v>
      </c>
    </row>
    <row r="70" spans="1:2" x14ac:dyDescent="0.2">
      <c r="A70" s="370" t="s">
        <v>2580</v>
      </c>
      <c r="B70" s="570">
        <v>9645.44</v>
      </c>
    </row>
    <row r="71" spans="1:2" x14ac:dyDescent="0.2">
      <c r="A71" s="370" t="s">
        <v>2581</v>
      </c>
      <c r="B71" s="570">
        <v>1155.71</v>
      </c>
    </row>
    <row r="72" spans="1:2" x14ac:dyDescent="0.2">
      <c r="A72" s="370" t="s">
        <v>2582</v>
      </c>
      <c r="B72" s="570">
        <v>3442.84</v>
      </c>
    </row>
    <row r="73" spans="1:2" x14ac:dyDescent="0.2">
      <c r="A73" s="370" t="s">
        <v>2583</v>
      </c>
      <c r="B73" s="570">
        <v>6168.37</v>
      </c>
    </row>
    <row r="74" spans="1:2" x14ac:dyDescent="0.2">
      <c r="A74" s="370" t="s">
        <v>2584</v>
      </c>
      <c r="B74" s="570">
        <v>1175.92</v>
      </c>
    </row>
    <row r="75" spans="1:2" x14ac:dyDescent="0.2">
      <c r="A75" s="370" t="s">
        <v>2585</v>
      </c>
      <c r="B75" s="570">
        <v>2992.83</v>
      </c>
    </row>
    <row r="76" spans="1:2" x14ac:dyDescent="0.2">
      <c r="A76" s="370" t="s">
        <v>2586</v>
      </c>
      <c r="B76" s="570">
        <v>12322.12</v>
      </c>
    </row>
    <row r="77" spans="1:2" x14ac:dyDescent="0.2">
      <c r="A77" s="370" t="s">
        <v>2587</v>
      </c>
      <c r="B77" s="570">
        <v>2330.6</v>
      </c>
    </row>
    <row r="78" spans="1:2" x14ac:dyDescent="0.2">
      <c r="A78" s="370" t="s">
        <v>2588</v>
      </c>
      <c r="B78" s="570">
        <v>10063.74</v>
      </c>
    </row>
    <row r="79" spans="1:2" x14ac:dyDescent="0.2">
      <c r="A79" s="370" t="s">
        <v>2589</v>
      </c>
      <c r="B79" s="570">
        <v>2613.4899999999998</v>
      </c>
    </row>
    <row r="80" spans="1:2" x14ac:dyDescent="0.2">
      <c r="A80" s="370" t="s">
        <v>2590</v>
      </c>
      <c r="B80" s="570">
        <v>6873.21</v>
      </c>
    </row>
    <row r="81" spans="1:2" x14ac:dyDescent="0.2">
      <c r="A81" s="370" t="s">
        <v>2591</v>
      </c>
      <c r="B81" s="570">
        <v>7220.83</v>
      </c>
    </row>
    <row r="82" spans="1:2" x14ac:dyDescent="0.2">
      <c r="A82" s="370" t="s">
        <v>2592</v>
      </c>
      <c r="B82" s="570">
        <v>11688.82</v>
      </c>
    </row>
    <row r="83" spans="1:2" x14ac:dyDescent="0.2">
      <c r="A83" s="370" t="s">
        <v>2593</v>
      </c>
      <c r="B83" s="570">
        <v>5790.35</v>
      </c>
    </row>
    <row r="84" spans="1:2" x14ac:dyDescent="0.2">
      <c r="A84" s="370" t="s">
        <v>2594</v>
      </c>
      <c r="B84" s="570">
        <v>4050.22</v>
      </c>
    </row>
    <row r="85" spans="1:2" x14ac:dyDescent="0.2">
      <c r="A85" s="370" t="s">
        <v>2595</v>
      </c>
      <c r="B85" s="570">
        <v>2384.23</v>
      </c>
    </row>
    <row r="86" spans="1:2" x14ac:dyDescent="0.2">
      <c r="A86" s="370" t="s">
        <v>2596</v>
      </c>
      <c r="B86" s="570">
        <v>5349.25</v>
      </c>
    </row>
    <row r="87" spans="1:2" x14ac:dyDescent="0.2">
      <c r="A87" s="370" t="s">
        <v>2597</v>
      </c>
      <c r="B87" s="570">
        <v>3105.55</v>
      </c>
    </row>
    <row r="88" spans="1:2" x14ac:dyDescent="0.2">
      <c r="A88" s="370" t="s">
        <v>2598</v>
      </c>
      <c r="B88" s="570">
        <v>6536.11</v>
      </c>
    </row>
    <row r="89" spans="1:2" x14ac:dyDescent="0.2">
      <c r="A89" s="370" t="s">
        <v>2599</v>
      </c>
      <c r="B89" s="570">
        <v>2646.49</v>
      </c>
    </row>
    <row r="90" spans="1:2" x14ac:dyDescent="0.2">
      <c r="A90" s="370" t="s">
        <v>2600</v>
      </c>
      <c r="B90" s="570">
        <v>3135.45</v>
      </c>
    </row>
    <row r="91" spans="1:2" x14ac:dyDescent="0.2">
      <c r="A91" s="370" t="s">
        <v>2601</v>
      </c>
      <c r="B91" s="570">
        <v>272.89999999999998</v>
      </c>
    </row>
    <row r="92" spans="1:2" x14ac:dyDescent="0.2">
      <c r="A92" s="370" t="s">
        <v>2602</v>
      </c>
      <c r="B92" s="570">
        <v>21408.87</v>
      </c>
    </row>
    <row r="93" spans="1:2" x14ac:dyDescent="0.2">
      <c r="A93" s="370" t="s">
        <v>2603</v>
      </c>
      <c r="B93" s="570">
        <v>3128.52</v>
      </c>
    </row>
    <row r="94" spans="1:2" x14ac:dyDescent="0.2">
      <c r="A94" s="370" t="s">
        <v>2604</v>
      </c>
      <c r="B94" s="570">
        <v>106487.98</v>
      </c>
    </row>
    <row r="95" spans="1:2" x14ac:dyDescent="0.2">
      <c r="A95" s="370" t="s">
        <v>2605</v>
      </c>
      <c r="B95" s="570">
        <v>1238.78</v>
      </c>
    </row>
    <row r="96" spans="1:2" x14ac:dyDescent="0.2">
      <c r="A96" s="370" t="s">
        <v>2606</v>
      </c>
      <c r="B96" s="570">
        <v>732.16</v>
      </c>
    </row>
    <row r="97" spans="1:2" x14ac:dyDescent="0.2">
      <c r="A97" s="370" t="s">
        <v>2607</v>
      </c>
      <c r="B97" s="570">
        <v>5272.71</v>
      </c>
    </row>
    <row r="98" spans="1:2" x14ac:dyDescent="0.2">
      <c r="A98" s="370" t="s">
        <v>2608</v>
      </c>
      <c r="B98" s="570">
        <v>8160.79</v>
      </c>
    </row>
    <row r="99" spans="1:2" x14ac:dyDescent="0.2">
      <c r="A99" s="370" t="s">
        <v>2609</v>
      </c>
      <c r="B99" s="570">
        <v>5104.95</v>
      </c>
    </row>
    <row r="100" spans="1:2" x14ac:dyDescent="0.2">
      <c r="A100" s="370" t="s">
        <v>2610</v>
      </c>
      <c r="B100" s="570">
        <v>3806.67</v>
      </c>
    </row>
    <row r="101" spans="1:2" x14ac:dyDescent="0.2">
      <c r="A101" s="370" t="s">
        <v>2510</v>
      </c>
      <c r="B101" s="570">
        <v>2568.0700000000002</v>
      </c>
    </row>
    <row r="102" spans="1:2" x14ac:dyDescent="0.2">
      <c r="A102" s="370" t="s">
        <v>2611</v>
      </c>
      <c r="B102" s="570">
        <v>1638.24</v>
      </c>
    </row>
    <row r="103" spans="1:2" ht="15" x14ac:dyDescent="0.25">
      <c r="A103" s="820" t="s">
        <v>2622</v>
      </c>
      <c r="B103" s="570">
        <v>3927.93</v>
      </c>
    </row>
    <row r="104" spans="1:2" ht="13.5" thickBot="1" x14ac:dyDescent="0.25">
      <c r="A104" s="370" t="s">
        <v>699</v>
      </c>
      <c r="B104" s="930">
        <f>SUM(B3:B102)</f>
        <v>855778.38</v>
      </c>
    </row>
    <row r="105" spans="1:2" ht="13.5" thickTop="1" x14ac:dyDescent="0.2"/>
  </sheetData>
  <customSheetViews>
    <customSheetView guid="{D2B860EA-92EC-4999-9A59-C624E1F8C7FB}" state="hidden" topLeftCell="A58">
      <selection activeCell="A103" sqref="A103"/>
      <pageMargins left="0.7" right="0.7" top="0.75" bottom="0.75" header="0.3" footer="0.3"/>
    </customSheetView>
    <customSheetView guid="{C1197650-3ED8-49E4-8E4C-0D1D4B503FC0}" state="hidden" topLeftCell="A58">
      <selection activeCell="A103" sqref="A103"/>
      <pageMargins left="0.7" right="0.7" top="0.75" bottom="0.75" header="0.3" footer="0.3"/>
    </customSheetView>
  </customSheetView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I31"/>
  <sheetViews>
    <sheetView topLeftCell="A5" workbookViewId="0"/>
  </sheetViews>
  <sheetFormatPr defaultRowHeight="12.75" x14ac:dyDescent="0.2"/>
  <cols>
    <col min="1" max="1" width="4.5703125" customWidth="1"/>
    <col min="2" max="2" width="55.5703125" bestFit="1" customWidth="1"/>
    <col min="3" max="3" width="34.7109375" customWidth="1"/>
    <col min="4" max="4" width="29" customWidth="1"/>
  </cols>
  <sheetData>
    <row r="2" spans="1:3" ht="15.75" x14ac:dyDescent="0.25">
      <c r="A2" s="1243" t="s">
        <v>2038</v>
      </c>
      <c r="B2" s="1244"/>
      <c r="C2" s="1245"/>
    </row>
    <row r="5" spans="1:3" ht="84" customHeight="1" x14ac:dyDescent="0.2">
      <c r="A5" s="1249" t="s">
        <v>2039</v>
      </c>
      <c r="B5" s="1249"/>
      <c r="C5" s="1249"/>
    </row>
    <row r="11" spans="1:3" x14ac:dyDescent="0.2">
      <c r="A11" s="564" t="s">
        <v>539</v>
      </c>
      <c r="B11" s="1258" t="s">
        <v>2076</v>
      </c>
      <c r="C11" s="1259"/>
    </row>
    <row r="13" spans="1:3" ht="42" customHeight="1" x14ac:dyDescent="0.2">
      <c r="B13" s="1260" t="s">
        <v>3972</v>
      </c>
      <c r="C13" s="1260"/>
    </row>
    <row r="17" spans="1:9" x14ac:dyDescent="0.2">
      <c r="B17" s="578" t="s">
        <v>2077</v>
      </c>
      <c r="C17" s="618">
        <v>0</v>
      </c>
    </row>
    <row r="19" spans="1:9" x14ac:dyDescent="0.2">
      <c r="B19" s="579" t="s">
        <v>2078</v>
      </c>
      <c r="C19" s="580">
        <v>250.08</v>
      </c>
    </row>
    <row r="23" spans="1:9" x14ac:dyDescent="0.2">
      <c r="A23" s="571" t="s">
        <v>540</v>
      </c>
      <c r="B23" s="1107" t="s">
        <v>2041</v>
      </c>
      <c r="C23" s="1108"/>
      <c r="D23" s="1108"/>
      <c r="E23" s="1108"/>
      <c r="F23" s="1108"/>
      <c r="G23" s="1108"/>
      <c r="H23" s="1108"/>
      <c r="I23" s="1109"/>
    </row>
    <row r="24" spans="1:9" x14ac:dyDescent="0.2">
      <c r="A24" s="571"/>
      <c r="B24" s="128"/>
      <c r="C24" s="128"/>
      <c r="D24" s="128"/>
      <c r="E24" s="128"/>
      <c r="F24" s="128"/>
      <c r="G24" s="128"/>
      <c r="H24" s="128"/>
      <c r="I24" s="128"/>
    </row>
    <row r="25" spans="1:9" x14ac:dyDescent="0.2">
      <c r="A25" s="569"/>
      <c r="B25" s="4"/>
    </row>
    <row r="26" spans="1:9" x14ac:dyDescent="0.2">
      <c r="A26" s="569"/>
      <c r="B26" s="24"/>
      <c r="C26" s="572" t="s">
        <v>2029</v>
      </c>
      <c r="D26" s="572" t="s">
        <v>2030</v>
      </c>
      <c r="G26" s="575"/>
      <c r="H26" s="575"/>
      <c r="I26" s="575"/>
    </row>
    <row r="27" spans="1:9" x14ac:dyDescent="0.2">
      <c r="A27" s="569"/>
      <c r="B27" s="542" t="s">
        <v>1146</v>
      </c>
      <c r="C27" s="236">
        <f>C17*C19</f>
        <v>0</v>
      </c>
      <c r="D27" s="236"/>
      <c r="G27" s="576"/>
      <c r="H27" s="576"/>
      <c r="I27" s="577"/>
    </row>
    <row r="28" spans="1:9" x14ac:dyDescent="0.2">
      <c r="A28" s="569"/>
      <c r="B28" s="542" t="s">
        <v>2040</v>
      </c>
      <c r="C28" s="236"/>
      <c r="D28" s="236">
        <f>C27</f>
        <v>0</v>
      </c>
      <c r="E28" s="573"/>
      <c r="G28" s="576"/>
      <c r="H28" s="576"/>
      <c r="I28" s="577"/>
    </row>
    <row r="29" spans="1:9" x14ac:dyDescent="0.2">
      <c r="A29" s="569"/>
      <c r="B29" s="24"/>
      <c r="C29" s="570"/>
      <c r="D29" s="570"/>
      <c r="G29" s="158"/>
      <c r="H29" s="158"/>
      <c r="I29" s="158"/>
    </row>
    <row r="30" spans="1:9" ht="13.5" thickBot="1" x14ac:dyDescent="0.25">
      <c r="A30" s="569"/>
      <c r="B30" s="24"/>
      <c r="C30" s="574">
        <f>SUM(C27:C29)</f>
        <v>0</v>
      </c>
      <c r="D30" s="574">
        <f>SUM(D27:D29)</f>
        <v>0</v>
      </c>
      <c r="G30" s="158"/>
      <c r="H30" s="158"/>
      <c r="I30" s="158"/>
    </row>
    <row r="31" spans="1:9" ht="13.5" thickTop="1" x14ac:dyDescent="0.2"/>
  </sheetData>
  <customSheetViews>
    <customSheetView guid="{D2B860EA-92EC-4999-9A59-C624E1F8C7FB}">
      <selection activeCell="B23" sqref="B23:I23"/>
      <pageMargins left="0.7" right="0.7" top="0.75" bottom="0.75" header="0.3" footer="0.3"/>
    </customSheetView>
    <customSheetView guid="{C1197650-3ED8-49E4-8E4C-0D1D4B503FC0}">
      <selection activeCell="B23" sqref="B23:I23"/>
      <pageMargins left="0.7" right="0.7" top="0.75" bottom="0.75" header="0.3" footer="0.3"/>
    </customSheetView>
  </customSheetViews>
  <mergeCells count="5">
    <mergeCell ref="A2:C2"/>
    <mergeCell ref="A5:C5"/>
    <mergeCell ref="B23:I23"/>
    <mergeCell ref="B11:C11"/>
    <mergeCell ref="B13:C13"/>
  </mergeCells>
  <dataValidations disablePrompts="1" count="1">
    <dataValidation type="whole" operator="greaterThanOrEqual" allowBlank="1" showInputMessage="1" showErrorMessage="1" sqref="C17" xr:uid="{00000000-0002-0000-1800-000000000000}">
      <formula1>0</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106"/>
  <sheetViews>
    <sheetView topLeftCell="B49" workbookViewId="0">
      <selection sqref="A1:C1"/>
    </sheetView>
  </sheetViews>
  <sheetFormatPr defaultColWidth="9.140625" defaultRowHeight="12.75" x14ac:dyDescent="0.2"/>
  <cols>
    <col min="1" max="1" width="9.140625" style="579" customWidth="1"/>
    <col min="2" max="2" width="54.42578125" style="579" customWidth="1"/>
    <col min="3" max="3" width="17.28515625" style="579" customWidth="1"/>
    <col min="4" max="4" width="16.85546875" style="579" customWidth="1"/>
    <col min="5" max="5" width="17.5703125" style="579" customWidth="1"/>
    <col min="6" max="6" width="9.140625" style="579"/>
    <col min="7" max="7" width="16.7109375" style="579" customWidth="1"/>
    <col min="8" max="8" width="16.28515625" style="579" customWidth="1"/>
    <col min="9" max="9" width="9.140625" style="579"/>
    <col min="10" max="10" width="12.85546875" style="579" bestFit="1" customWidth="1"/>
    <col min="11" max="11" width="33.5703125" style="579" customWidth="1"/>
    <col min="12" max="12" width="18" style="579" customWidth="1"/>
    <col min="13" max="16384" width="9.140625" style="579"/>
  </cols>
  <sheetData>
    <row r="1" spans="1:11" ht="15.75" x14ac:dyDescent="0.25">
      <c r="A1" s="1243" t="s">
        <v>3587</v>
      </c>
      <c r="B1" s="1244"/>
      <c r="C1" s="1245"/>
    </row>
    <row r="4" spans="1:11" ht="84.75" customHeight="1" x14ac:dyDescent="0.2">
      <c r="A4" s="1249" t="s">
        <v>4065</v>
      </c>
      <c r="B4" s="1249"/>
      <c r="C4" s="1249"/>
    </row>
    <row r="5" spans="1:11" hidden="1" x14ac:dyDescent="0.2"/>
    <row r="6" spans="1:11" hidden="1" x14ac:dyDescent="0.2"/>
    <row r="7" spans="1:11" hidden="1" x14ac:dyDescent="0.2"/>
    <row r="8" spans="1:11" hidden="1" x14ac:dyDescent="0.2"/>
    <row r="9" spans="1:11" hidden="1" x14ac:dyDescent="0.2"/>
    <row r="10" spans="1:11" x14ac:dyDescent="0.2">
      <c r="A10" s="564" t="s">
        <v>539</v>
      </c>
      <c r="B10" s="565" t="s">
        <v>3588</v>
      </c>
      <c r="C10" s="589"/>
    </row>
    <row r="13" spans="1:11" ht="14.25" x14ac:dyDescent="0.2">
      <c r="B13" s="691" t="s">
        <v>3589</v>
      </c>
      <c r="C13" s="691"/>
      <c r="D13" s="915">
        <v>218892</v>
      </c>
      <c r="E13" s="691"/>
      <c r="F13" s="691"/>
      <c r="G13" s="691"/>
      <c r="H13" s="691"/>
      <c r="I13" s="691"/>
      <c r="J13" s="691"/>
      <c r="K13" s="692"/>
    </row>
    <row r="14" spans="1:11" ht="14.25" x14ac:dyDescent="0.2">
      <c r="B14" s="691" t="s">
        <v>3590</v>
      </c>
      <c r="C14" s="691"/>
      <c r="D14" s="915">
        <v>222672</v>
      </c>
      <c r="E14" s="691"/>
      <c r="F14" s="691" t="s">
        <v>3591</v>
      </c>
      <c r="G14" s="691"/>
      <c r="H14" s="691"/>
      <c r="I14" s="691"/>
      <c r="J14" s="691"/>
      <c r="K14" s="692"/>
    </row>
    <row r="15" spans="1:11" ht="14.25" x14ac:dyDescent="0.2">
      <c r="B15" s="691" t="s">
        <v>3967</v>
      </c>
      <c r="C15" s="691"/>
      <c r="D15" s="915">
        <v>16272</v>
      </c>
      <c r="E15" s="691"/>
      <c r="F15" s="691"/>
      <c r="G15" s="691"/>
      <c r="H15" s="691"/>
      <c r="I15" s="691"/>
      <c r="J15" s="691"/>
      <c r="K15" s="692"/>
    </row>
    <row r="16" spans="1:11" ht="14.25" x14ac:dyDescent="0.2">
      <c r="B16" s="691" t="s">
        <v>1146</v>
      </c>
      <c r="C16" s="691"/>
      <c r="D16" s="915">
        <v>16153</v>
      </c>
      <c r="E16" s="691"/>
      <c r="F16" s="691" t="s">
        <v>3592</v>
      </c>
      <c r="G16" s="691"/>
      <c r="H16" s="691"/>
      <c r="I16" s="691"/>
      <c r="J16" s="691"/>
      <c r="K16" s="692"/>
    </row>
    <row r="17" spans="1:11" ht="32.25" customHeight="1" x14ac:dyDescent="0.2">
      <c r="B17" s="1262" t="s">
        <v>4041</v>
      </c>
      <c r="C17" s="1262"/>
      <c r="D17" s="915">
        <v>8148</v>
      </c>
      <c r="E17" s="691"/>
      <c r="F17" s="1262" t="s">
        <v>3593</v>
      </c>
      <c r="G17" s="1262"/>
      <c r="H17" s="1262"/>
      <c r="I17" s="1262"/>
      <c r="J17" s="1262"/>
      <c r="K17" s="1262"/>
    </row>
    <row r="18" spans="1:11" ht="14.25" x14ac:dyDescent="0.2">
      <c r="B18" s="1262" t="s">
        <v>4042</v>
      </c>
      <c r="C18" s="1262"/>
      <c r="D18" s="915">
        <f>4181-4222-1</f>
        <v>-42</v>
      </c>
      <c r="E18" s="691"/>
      <c r="F18" s="1262" t="s">
        <v>3594</v>
      </c>
      <c r="G18" s="1262"/>
      <c r="H18" s="1262"/>
      <c r="I18" s="1262"/>
      <c r="J18" s="1262"/>
      <c r="K18" s="1262"/>
    </row>
    <row r="19" spans="1:11" ht="26.25" customHeight="1" x14ac:dyDescent="0.2">
      <c r="B19" s="1262" t="s">
        <v>4043</v>
      </c>
      <c r="C19" s="1262"/>
      <c r="D19" s="915">
        <v>9708</v>
      </c>
      <c r="E19" s="691"/>
      <c r="F19" s="1262" t="s">
        <v>4039</v>
      </c>
      <c r="G19" s="1262"/>
      <c r="H19" s="1262"/>
      <c r="I19" s="1262"/>
      <c r="J19" s="1262"/>
      <c r="K19" s="1262"/>
    </row>
    <row r="20" spans="1:11" ht="14.25" x14ac:dyDescent="0.2">
      <c r="B20" s="1262" t="s">
        <v>4061</v>
      </c>
      <c r="C20" s="1262"/>
      <c r="D20" s="915">
        <v>-5501</v>
      </c>
      <c r="E20" s="691"/>
      <c r="F20" s="1262" t="s">
        <v>4040</v>
      </c>
      <c r="G20" s="1262"/>
      <c r="H20" s="1262"/>
      <c r="I20" s="1262"/>
      <c r="J20" s="1262"/>
      <c r="K20" s="1262"/>
    </row>
    <row r="22" spans="1:11" x14ac:dyDescent="0.2">
      <c r="E22" s="829"/>
    </row>
    <row r="23" spans="1:11" x14ac:dyDescent="0.2">
      <c r="A23" s="564" t="s">
        <v>540</v>
      </c>
      <c r="B23" s="565" t="s">
        <v>3595</v>
      </c>
    </row>
    <row r="25" spans="1:11" x14ac:dyDescent="0.2">
      <c r="D25" s="693"/>
    </row>
    <row r="26" spans="1:11" ht="24.75" customHeight="1" x14ac:dyDescent="0.2">
      <c r="B26" s="1021" t="s">
        <v>4194</v>
      </c>
      <c r="C26" s="1021"/>
      <c r="D26" s="914">
        <v>17279</v>
      </c>
    </row>
    <row r="27" spans="1:11" x14ac:dyDescent="0.2">
      <c r="D27" s="693"/>
    </row>
    <row r="28" spans="1:11" ht="32.25" customHeight="1" x14ac:dyDescent="0.2">
      <c r="B28" s="1021" t="s">
        <v>4195</v>
      </c>
      <c r="C28" s="1021"/>
      <c r="D28" s="914"/>
    </row>
    <row r="29" spans="1:11" x14ac:dyDescent="0.2">
      <c r="D29" s="693"/>
    </row>
    <row r="30" spans="1:11" ht="40.5" customHeight="1" x14ac:dyDescent="0.2">
      <c r="B30" s="1263" t="s">
        <v>4052</v>
      </c>
      <c r="C30" s="1264"/>
      <c r="D30" s="914">
        <v>16272</v>
      </c>
    </row>
    <row r="31" spans="1:11" x14ac:dyDescent="0.2">
      <c r="D31" s="693"/>
    </row>
    <row r="32" spans="1:11" ht="45.75" customHeight="1" x14ac:dyDescent="0.2">
      <c r="B32" s="1021" t="s">
        <v>4036</v>
      </c>
      <c r="C32" s="1021"/>
      <c r="D32" s="914"/>
      <c r="G32" s="1265" t="s">
        <v>4051</v>
      </c>
      <c r="H32" s="1266"/>
      <c r="I32" s="1267"/>
    </row>
    <row r="33" spans="2:13" x14ac:dyDescent="0.2">
      <c r="D33" s="693"/>
    </row>
    <row r="34" spans="2:13" ht="32.25" customHeight="1" x14ac:dyDescent="0.2">
      <c r="B34" s="1263" t="s">
        <v>4053</v>
      </c>
      <c r="C34" s="1264"/>
      <c r="D34" s="914"/>
      <c r="E34" s="1268" t="str">
        <f>IF((D30+D34)&lt;&gt;D15,"Benefit payments entered in cells D30 &amp; D34 do not equal benefit payments entered from valuation report below. Please confirm amounts.","")</f>
        <v/>
      </c>
      <c r="F34" s="1268"/>
      <c r="G34" s="1268"/>
      <c r="H34" s="1268"/>
      <c r="I34" s="1268"/>
      <c r="K34" s="829"/>
    </row>
    <row r="35" spans="2:13" x14ac:dyDescent="0.2">
      <c r="D35" s="693"/>
    </row>
    <row r="36" spans="2:13" ht="39.75" customHeight="1" x14ac:dyDescent="0.2">
      <c r="B36" s="1021" t="s">
        <v>4037</v>
      </c>
      <c r="C36" s="1021"/>
      <c r="D36" s="914"/>
    </row>
    <row r="37" spans="2:13" x14ac:dyDescent="0.2">
      <c r="D37" s="693"/>
    </row>
    <row r="40" spans="2:13" ht="14.25" x14ac:dyDescent="0.2">
      <c r="B40" s="691" t="s">
        <v>4047</v>
      </c>
      <c r="C40" s="691"/>
      <c r="D40" s="691"/>
      <c r="E40" s="691"/>
      <c r="F40" s="691"/>
      <c r="G40" s="691"/>
      <c r="H40" s="691"/>
      <c r="I40" s="691"/>
      <c r="J40" s="691"/>
      <c r="K40" s="692">
        <f>D13</f>
        <v>218892</v>
      </c>
      <c r="L40" s="692"/>
    </row>
    <row r="41" spans="2:13" ht="14.25" x14ac:dyDescent="0.2">
      <c r="B41" s="691" t="s">
        <v>3596</v>
      </c>
      <c r="C41" s="691"/>
      <c r="D41" s="691"/>
      <c r="E41" s="691"/>
      <c r="F41" s="691"/>
      <c r="G41" s="691"/>
      <c r="H41" s="691"/>
      <c r="I41" s="691"/>
      <c r="J41" s="691"/>
      <c r="K41" s="692"/>
      <c r="L41" s="692">
        <f>D14</f>
        <v>222672</v>
      </c>
      <c r="M41" s="829"/>
    </row>
    <row r="42" spans="2:13" ht="14.25" x14ac:dyDescent="0.2">
      <c r="B42" s="691" t="s">
        <v>1146</v>
      </c>
      <c r="C42" s="691"/>
      <c r="D42" s="691"/>
      <c r="E42" s="691"/>
      <c r="F42" s="691"/>
      <c r="G42" s="691"/>
      <c r="H42" s="691"/>
      <c r="I42" s="691"/>
      <c r="J42" s="691"/>
      <c r="K42" s="692">
        <f>D16</f>
        <v>16153</v>
      </c>
      <c r="L42" s="692"/>
    </row>
    <row r="43" spans="2:13" ht="14.25" x14ac:dyDescent="0.2">
      <c r="B43" s="691" t="s">
        <v>3597</v>
      </c>
      <c r="C43" s="691"/>
      <c r="D43" s="691"/>
      <c r="E43" s="691"/>
      <c r="F43" s="691"/>
      <c r="G43" s="691"/>
      <c r="H43" s="691"/>
      <c r="I43" s="691"/>
      <c r="J43" s="691"/>
      <c r="K43" s="692"/>
      <c r="L43" s="692">
        <f>IF(D19&gt;0,D19,0)</f>
        <v>9708</v>
      </c>
    </row>
    <row r="44" spans="2:13" ht="14.25" x14ac:dyDescent="0.2">
      <c r="B44" s="691" t="s">
        <v>3598</v>
      </c>
      <c r="C44" s="691"/>
      <c r="D44" s="691"/>
      <c r="E44" s="691"/>
      <c r="F44" s="691"/>
      <c r="G44" s="691"/>
      <c r="H44" s="691"/>
      <c r="I44" s="691"/>
      <c r="J44" s="691"/>
      <c r="K44" s="692">
        <f>IF(D17&gt;0,D17,0)</f>
        <v>8148</v>
      </c>
      <c r="L44" s="692"/>
    </row>
    <row r="45" spans="2:13" ht="14.25" x14ac:dyDescent="0.2">
      <c r="B45" s="691" t="s">
        <v>3599</v>
      </c>
      <c r="C45" s="691"/>
      <c r="D45" s="691"/>
      <c r="E45" s="691"/>
      <c r="F45" s="691"/>
      <c r="G45" s="691"/>
      <c r="H45" s="691"/>
      <c r="I45" s="691"/>
      <c r="J45" s="691"/>
      <c r="K45" s="692">
        <f>IF(D19&lt;0,-D19,0)</f>
        <v>0</v>
      </c>
      <c r="L45" s="692"/>
    </row>
    <row r="46" spans="2:13" ht="14.25" x14ac:dyDescent="0.2">
      <c r="B46" s="691" t="s">
        <v>3600</v>
      </c>
      <c r="C46" s="691"/>
      <c r="D46" s="691"/>
      <c r="E46" s="691"/>
      <c r="F46" s="691"/>
      <c r="G46" s="691"/>
      <c r="H46" s="691"/>
      <c r="I46" s="691"/>
      <c r="J46" s="691"/>
      <c r="K46" s="692"/>
      <c r="L46" s="692">
        <f>IF(D17&lt;0,-D17,0)</f>
        <v>0</v>
      </c>
    </row>
    <row r="47" spans="2:13" ht="14.25" x14ac:dyDescent="0.2">
      <c r="B47" s="691" t="s">
        <v>3601</v>
      </c>
      <c r="C47" s="691"/>
      <c r="D47" s="691"/>
      <c r="E47" s="691"/>
      <c r="F47" s="691"/>
      <c r="G47" s="691"/>
      <c r="H47" s="691"/>
      <c r="I47" s="691"/>
      <c r="J47" s="691"/>
      <c r="K47" s="692"/>
      <c r="L47" s="692">
        <f>IF(D20&gt;0,D20,0)</f>
        <v>0</v>
      </c>
    </row>
    <row r="48" spans="2:13" ht="14.25" x14ac:dyDescent="0.2">
      <c r="B48" s="691" t="s">
        <v>3602</v>
      </c>
      <c r="C48" s="691"/>
      <c r="D48" s="691"/>
      <c r="E48" s="691"/>
      <c r="F48" s="691"/>
      <c r="G48" s="691"/>
      <c r="H48" s="691"/>
      <c r="I48" s="691"/>
      <c r="J48" s="691"/>
      <c r="K48" s="692">
        <f>IF(D18&gt;0,D18,0)</f>
        <v>0</v>
      </c>
      <c r="L48" s="692"/>
    </row>
    <row r="49" spans="2:13" ht="14.25" x14ac:dyDescent="0.2">
      <c r="B49" s="691" t="s">
        <v>3603</v>
      </c>
      <c r="C49" s="691"/>
      <c r="D49" s="691"/>
      <c r="E49" s="691"/>
      <c r="F49" s="691"/>
      <c r="G49" s="691"/>
      <c r="H49" s="691"/>
      <c r="I49" s="691"/>
      <c r="J49" s="691"/>
      <c r="K49" s="692">
        <f>IF(D20&lt;0,-D20,0)</f>
        <v>5501</v>
      </c>
      <c r="L49" s="692"/>
    </row>
    <row r="50" spans="2:13" ht="14.25" x14ac:dyDescent="0.2">
      <c r="B50" s="691" t="s">
        <v>3604</v>
      </c>
      <c r="C50" s="691"/>
      <c r="D50" s="691"/>
      <c r="E50" s="691"/>
      <c r="F50" s="691"/>
      <c r="G50" s="691"/>
      <c r="H50" s="691"/>
      <c r="I50" s="691"/>
      <c r="J50" s="691"/>
      <c r="K50" s="692"/>
      <c r="L50" s="692">
        <f>IF(D18&lt;0,-D18,0)</f>
        <v>42</v>
      </c>
    </row>
    <row r="51" spans="2:13" ht="14.25" x14ac:dyDescent="0.2">
      <c r="B51" s="691" t="s">
        <v>4038</v>
      </c>
      <c r="C51" s="691"/>
      <c r="D51" s="691"/>
      <c r="E51" s="691"/>
      <c r="F51" s="691"/>
      <c r="G51" s="691"/>
      <c r="H51" s="691"/>
      <c r="I51" s="691"/>
      <c r="J51" s="691"/>
      <c r="K51" s="692"/>
      <c r="L51" s="692">
        <f>D30</f>
        <v>16272</v>
      </c>
    </row>
    <row r="52" spans="2:13" ht="14.25" x14ac:dyDescent="0.2">
      <c r="B52" s="691" t="s">
        <v>4044</v>
      </c>
      <c r="C52" s="691"/>
      <c r="D52" s="691"/>
      <c r="E52" s="691"/>
      <c r="F52" s="691"/>
      <c r="G52" s="691"/>
      <c r="H52" s="691"/>
      <c r="I52" s="691"/>
      <c r="J52" s="691"/>
      <c r="K52" s="692"/>
      <c r="L52" s="692">
        <f>D32</f>
        <v>0</v>
      </c>
    </row>
    <row r="53" spans="2:13" ht="14.25" x14ac:dyDescent="0.2">
      <c r="B53" s="691" t="s">
        <v>4045</v>
      </c>
      <c r="C53" s="691"/>
      <c r="D53" s="691"/>
      <c r="E53" s="691"/>
      <c r="F53" s="691"/>
      <c r="G53" s="691"/>
      <c r="H53" s="691"/>
      <c r="I53" s="691"/>
      <c r="J53" s="691"/>
      <c r="K53" s="692"/>
      <c r="L53" s="692">
        <f>D34</f>
        <v>0</v>
      </c>
    </row>
    <row r="54" spans="2:13" ht="14.25" x14ac:dyDescent="0.2">
      <c r="B54" s="691" t="s">
        <v>4046</v>
      </c>
      <c r="C54" s="691"/>
      <c r="D54" s="691"/>
      <c r="E54" s="691"/>
      <c r="F54" s="691"/>
      <c r="G54" s="691"/>
      <c r="H54" s="691"/>
      <c r="I54" s="691"/>
      <c r="J54" s="691"/>
      <c r="K54" s="692"/>
      <c r="L54" s="692">
        <f>D36</f>
        <v>0</v>
      </c>
    </row>
    <row r="55" spans="2:13" ht="14.25" x14ac:dyDescent="0.2">
      <c r="B55" s="691"/>
      <c r="C55" s="691" t="s">
        <v>3606</v>
      </c>
      <c r="D55" s="691"/>
      <c r="E55" s="691"/>
      <c r="F55" s="691"/>
      <c r="G55" s="691"/>
      <c r="H55" s="691"/>
      <c r="I55" s="691"/>
      <c r="J55" s="691"/>
      <c r="K55" s="694">
        <f>SUM(K40:K54)</f>
        <v>248694</v>
      </c>
      <c r="L55" s="694">
        <f>SUM(L40:L54)</f>
        <v>248694</v>
      </c>
      <c r="M55" s="829">
        <f>K55-L55</f>
        <v>0</v>
      </c>
    </row>
    <row r="56" spans="2:13" ht="14.25" x14ac:dyDescent="0.2">
      <c r="B56" s="691"/>
      <c r="C56" s="691"/>
      <c r="D56" s="691"/>
      <c r="E56" s="691"/>
      <c r="F56" s="691"/>
      <c r="G56" s="691"/>
      <c r="H56" s="691"/>
      <c r="I56" s="691"/>
      <c r="J56" s="831"/>
      <c r="K56" s="732"/>
      <c r="L56" s="732"/>
    </row>
    <row r="57" spans="2:13" ht="14.25" x14ac:dyDescent="0.2">
      <c r="B57" s="691" t="s">
        <v>3607</v>
      </c>
      <c r="C57" s="691"/>
      <c r="D57" s="691"/>
      <c r="E57" s="691"/>
      <c r="F57" s="691"/>
      <c r="G57" s="691"/>
      <c r="H57" s="691"/>
      <c r="I57" s="691"/>
      <c r="J57" s="831"/>
      <c r="K57" s="695">
        <f>D26</f>
        <v>17279</v>
      </c>
      <c r="L57" s="695"/>
    </row>
    <row r="58" spans="2:13" ht="14.25" x14ac:dyDescent="0.2">
      <c r="B58" s="691" t="s">
        <v>1146</v>
      </c>
      <c r="C58" s="691"/>
      <c r="D58" s="691"/>
      <c r="E58" s="691"/>
      <c r="F58" s="691"/>
      <c r="G58" s="691"/>
      <c r="H58" s="691"/>
      <c r="I58" s="691"/>
      <c r="J58" s="831"/>
      <c r="K58" s="695"/>
      <c r="L58" s="695">
        <f>K57</f>
        <v>17279</v>
      </c>
    </row>
    <row r="59" spans="2:13" ht="14.25" x14ac:dyDescent="0.2">
      <c r="B59" s="691"/>
      <c r="C59" s="691" t="s">
        <v>3608</v>
      </c>
      <c r="D59" s="691"/>
      <c r="E59" s="691"/>
      <c r="F59" s="691"/>
      <c r="G59" s="691"/>
      <c r="H59" s="691"/>
      <c r="I59" s="691"/>
      <c r="J59" s="831"/>
      <c r="K59" s="695"/>
      <c r="L59" s="695"/>
    </row>
    <row r="60" spans="2:13" ht="14.25" x14ac:dyDescent="0.2">
      <c r="B60" s="691" t="s">
        <v>3609</v>
      </c>
      <c r="C60" s="691"/>
      <c r="D60" s="691"/>
      <c r="E60" s="691"/>
      <c r="F60" s="691"/>
      <c r="G60" s="691"/>
      <c r="H60" s="691"/>
      <c r="I60" s="691"/>
      <c r="J60" s="831"/>
      <c r="K60" s="695">
        <f>D28</f>
        <v>0</v>
      </c>
      <c r="L60" s="695"/>
    </row>
    <row r="61" spans="2:13" ht="14.25" x14ac:dyDescent="0.2">
      <c r="B61" s="691" t="s">
        <v>1146</v>
      </c>
      <c r="C61" s="691"/>
      <c r="D61" s="691"/>
      <c r="E61" s="691"/>
      <c r="F61" s="691"/>
      <c r="G61" s="691"/>
      <c r="H61" s="691"/>
      <c r="I61" s="691"/>
      <c r="J61" s="691"/>
      <c r="K61" s="692"/>
      <c r="L61" s="692">
        <f>K60</f>
        <v>0</v>
      </c>
    </row>
    <row r="62" spans="2:13" ht="14.25" x14ac:dyDescent="0.2">
      <c r="B62" s="691"/>
      <c r="C62" s="691" t="s">
        <v>3610</v>
      </c>
      <c r="D62" s="691"/>
      <c r="E62" s="691"/>
      <c r="F62" s="691"/>
      <c r="G62" s="691"/>
      <c r="H62" s="691"/>
      <c r="I62" s="691"/>
      <c r="J62" s="691"/>
      <c r="K62" s="692"/>
      <c r="L62" s="692"/>
    </row>
    <row r="64" spans="2:13" x14ac:dyDescent="0.2">
      <c r="K64" s="829"/>
    </row>
    <row r="66" spans="1:9" x14ac:dyDescent="0.2">
      <c r="A66" s="571" t="s">
        <v>801</v>
      </c>
      <c r="B66" s="1250" t="s">
        <v>3611</v>
      </c>
      <c r="C66" s="1251"/>
      <c r="D66" s="1251"/>
      <c r="E66" s="1251"/>
      <c r="F66" s="1251"/>
      <c r="G66" s="1251"/>
      <c r="H66" s="1251"/>
      <c r="I66" s="1252"/>
    </row>
    <row r="69" spans="1:9" x14ac:dyDescent="0.2">
      <c r="B69" s="590"/>
      <c r="C69" s="626" t="s">
        <v>2029</v>
      </c>
      <c r="D69" s="626" t="s">
        <v>2030</v>
      </c>
    </row>
    <row r="70" spans="1:9" x14ac:dyDescent="0.2">
      <c r="B70" s="590" t="s">
        <v>4050</v>
      </c>
      <c r="C70" s="696">
        <f>G91</f>
        <v>218892</v>
      </c>
      <c r="D70" s="696">
        <f>H91</f>
        <v>0</v>
      </c>
    </row>
    <row r="71" spans="1:9" x14ac:dyDescent="0.2">
      <c r="B71" s="590" t="s">
        <v>4049</v>
      </c>
      <c r="C71" s="696">
        <f t="shared" ref="C71:D74" si="0">G92</f>
        <v>0</v>
      </c>
      <c r="D71" s="696">
        <f t="shared" si="0"/>
        <v>222672</v>
      </c>
      <c r="E71" s="829"/>
    </row>
    <row r="72" spans="1:9" x14ac:dyDescent="0.2">
      <c r="B72" s="590" t="s">
        <v>2064</v>
      </c>
      <c r="C72" s="696">
        <f t="shared" si="0"/>
        <v>16153</v>
      </c>
      <c r="D72" s="696">
        <f t="shared" si="0"/>
        <v>0</v>
      </c>
    </row>
    <row r="73" spans="1:9" ht="25.5" x14ac:dyDescent="0.2">
      <c r="B73" s="590" t="s">
        <v>3571</v>
      </c>
      <c r="C73" s="696">
        <f t="shared" si="0"/>
        <v>0</v>
      </c>
      <c r="D73" s="696">
        <f t="shared" si="0"/>
        <v>1560</v>
      </c>
    </row>
    <row r="74" spans="1:9" x14ac:dyDescent="0.2">
      <c r="B74" s="590" t="s">
        <v>3572</v>
      </c>
      <c r="C74" s="696">
        <f t="shared" si="0"/>
        <v>0</v>
      </c>
      <c r="D74" s="696">
        <f t="shared" si="0"/>
        <v>0</v>
      </c>
    </row>
    <row r="75" spans="1:9" ht="25.5" x14ac:dyDescent="0.2">
      <c r="B75" s="590" t="s">
        <v>3574</v>
      </c>
      <c r="C75" s="696">
        <f t="shared" ref="C75:D78" si="1">G96</f>
        <v>0</v>
      </c>
      <c r="D75" s="696">
        <f t="shared" si="1"/>
        <v>0</v>
      </c>
    </row>
    <row r="76" spans="1:9" x14ac:dyDescent="0.2">
      <c r="B76" s="590" t="s">
        <v>3576</v>
      </c>
      <c r="C76" s="696">
        <f t="shared" si="1"/>
        <v>5459</v>
      </c>
      <c r="D76" s="696">
        <f t="shared" si="1"/>
        <v>0</v>
      </c>
    </row>
    <row r="77" spans="1:9" ht="25.5" x14ac:dyDescent="0.2">
      <c r="B77" s="590" t="s">
        <v>4057</v>
      </c>
      <c r="C77" s="696">
        <f t="shared" si="1"/>
        <v>0</v>
      </c>
      <c r="D77" s="696">
        <f t="shared" si="1"/>
        <v>16272</v>
      </c>
    </row>
    <row r="78" spans="1:9" ht="25.5" x14ac:dyDescent="0.2">
      <c r="B78" s="590" t="s">
        <v>3612</v>
      </c>
      <c r="C78" s="696">
        <f t="shared" si="1"/>
        <v>17279</v>
      </c>
      <c r="D78" s="696">
        <f t="shared" si="1"/>
        <v>0</v>
      </c>
    </row>
    <row r="79" spans="1:9" x14ac:dyDescent="0.2">
      <c r="B79" s="590" t="s">
        <v>3995</v>
      </c>
      <c r="C79" s="696"/>
      <c r="D79" s="696">
        <f>H100</f>
        <v>17279</v>
      </c>
    </row>
    <row r="80" spans="1:9" x14ac:dyDescent="0.2">
      <c r="B80" s="590" t="s">
        <v>4067</v>
      </c>
      <c r="C80" s="696"/>
      <c r="D80" s="696">
        <f>H101</f>
        <v>0</v>
      </c>
    </row>
    <row r="81" spans="2:10" x14ac:dyDescent="0.2">
      <c r="B81" s="590"/>
      <c r="C81" s="697"/>
      <c r="D81" s="697"/>
    </row>
    <row r="82" spans="2:10" ht="13.5" thickBot="1" x14ac:dyDescent="0.25">
      <c r="B82" s="590"/>
      <c r="C82" s="698">
        <f>SUM(C70:C81)</f>
        <v>257783</v>
      </c>
      <c r="D82" s="698">
        <f>SUM(D70:D81)</f>
        <v>257783</v>
      </c>
      <c r="E82" s="829"/>
      <c r="F82" s="829"/>
      <c r="G82" s="829"/>
    </row>
    <row r="83" spans="2:10" ht="13.5" thickTop="1" x14ac:dyDescent="0.2"/>
    <row r="85" spans="2:10" x14ac:dyDescent="0.2">
      <c r="B85" s="1256" t="s">
        <v>3613</v>
      </c>
      <c r="C85" s="1256"/>
      <c r="D85" s="1256"/>
      <c r="E85" s="1256"/>
      <c r="F85" s="1256"/>
      <c r="G85" s="1256"/>
      <c r="H85" s="1256"/>
    </row>
    <row r="86" spans="2:10" x14ac:dyDescent="0.2">
      <c r="B86" s="1256"/>
      <c r="C86" s="1256"/>
      <c r="D86" s="1256"/>
      <c r="E86" s="1256"/>
      <c r="F86" s="1256"/>
      <c r="G86" s="1256"/>
      <c r="H86" s="1256"/>
    </row>
    <row r="87" spans="2:10" ht="18" x14ac:dyDescent="0.25">
      <c r="B87" s="592"/>
      <c r="C87" s="592"/>
      <c r="D87" s="592"/>
      <c r="E87" s="592"/>
      <c r="F87" s="592"/>
      <c r="G87" s="592"/>
      <c r="H87" s="591"/>
    </row>
    <row r="88" spans="2:10" ht="18" x14ac:dyDescent="0.2">
      <c r="B88" s="592"/>
      <c r="C88" s="593"/>
      <c r="D88" s="595"/>
      <c r="E88" s="699"/>
      <c r="F88" s="592"/>
      <c r="G88" s="1191" t="s">
        <v>902</v>
      </c>
      <c r="H88" s="1261"/>
    </row>
    <row r="89" spans="2:10" x14ac:dyDescent="0.2">
      <c r="B89" s="590"/>
      <c r="C89" s="627"/>
      <c r="D89" s="628"/>
      <c r="E89" s="700"/>
      <c r="G89" s="701"/>
      <c r="H89" s="702"/>
    </row>
    <row r="90" spans="2:10" x14ac:dyDescent="0.2">
      <c r="B90" s="590"/>
      <c r="C90" s="594" t="s">
        <v>509</v>
      </c>
      <c r="D90" s="122" t="s">
        <v>510</v>
      </c>
      <c r="E90" s="703" t="s">
        <v>2070</v>
      </c>
      <c r="G90" s="584" t="s">
        <v>509</v>
      </c>
      <c r="H90" s="585" t="s">
        <v>510</v>
      </c>
    </row>
    <row r="91" spans="2:10" x14ac:dyDescent="0.2">
      <c r="B91" s="590" t="s">
        <v>4050</v>
      </c>
      <c r="C91" s="674">
        <f>K40</f>
        <v>218892</v>
      </c>
      <c r="D91" s="629"/>
      <c r="E91" s="908">
        <f>C91-D91</f>
        <v>218892</v>
      </c>
      <c r="G91" s="705">
        <f t="shared" ref="G91:G99" si="2">IF(E91&lt;0,0,E91)</f>
        <v>218892</v>
      </c>
      <c r="H91" s="630">
        <f t="shared" ref="H91:H99" si="3">IF(E91&gt;0,0,E91*-1)</f>
        <v>0</v>
      </c>
      <c r="J91" s="697"/>
    </row>
    <row r="92" spans="2:10" x14ac:dyDescent="0.2">
      <c r="B92" s="590" t="s">
        <v>4049</v>
      </c>
      <c r="C92" s="631">
        <f>IF(L41-K40&lt;0,L41,0)</f>
        <v>0</v>
      </c>
      <c r="D92" s="630">
        <f>IF(L41-K40&gt;0,L41,0)</f>
        <v>222672</v>
      </c>
      <c r="E92" s="908">
        <f>C92-D92</f>
        <v>-222672</v>
      </c>
      <c r="G92" s="705">
        <f>IF(E92&lt;0,0,E92)</f>
        <v>0</v>
      </c>
      <c r="H92" s="630">
        <f>IF(E92&gt;0,0,E92*-1)</f>
        <v>222672</v>
      </c>
      <c r="J92" s="697"/>
    </row>
    <row r="93" spans="2:10" x14ac:dyDescent="0.2">
      <c r="B93" s="590" t="s">
        <v>2064</v>
      </c>
      <c r="C93" s="631">
        <f>K42+K58+K61</f>
        <v>16153</v>
      </c>
      <c r="D93" s="630"/>
      <c r="E93" s="908">
        <f t="shared" ref="E93:E101" si="4">C93-D93</f>
        <v>16153</v>
      </c>
      <c r="G93" s="705">
        <f>IF(E93&lt;0,0,E93+E102)</f>
        <v>16153</v>
      </c>
      <c r="H93" s="630">
        <f>IF(E93&gt;0,0,-E93+E102)</f>
        <v>0</v>
      </c>
    </row>
    <row r="94" spans="2:10" ht="25.5" x14ac:dyDescent="0.2">
      <c r="B94" s="590" t="s">
        <v>3571</v>
      </c>
      <c r="C94" s="631">
        <f>K43+K44</f>
        <v>8148</v>
      </c>
      <c r="D94" s="630">
        <f>L43+L44</f>
        <v>9708</v>
      </c>
      <c r="E94" s="908">
        <f t="shared" si="4"/>
        <v>-1560</v>
      </c>
      <c r="G94" s="705">
        <f>IF(E94&lt;0,0,E94)</f>
        <v>0</v>
      </c>
      <c r="H94" s="630">
        <f t="shared" si="3"/>
        <v>1560</v>
      </c>
      <c r="J94" s="697"/>
    </row>
    <row r="95" spans="2:10" x14ac:dyDescent="0.2">
      <c r="B95" s="590" t="s">
        <v>3572</v>
      </c>
      <c r="C95" s="631">
        <f>K47+K48</f>
        <v>0</v>
      </c>
      <c r="D95" s="630">
        <f>L47+L48</f>
        <v>0</v>
      </c>
      <c r="E95" s="908">
        <f t="shared" si="4"/>
        <v>0</v>
      </c>
      <c r="G95" s="705">
        <f t="shared" si="2"/>
        <v>0</v>
      </c>
      <c r="H95" s="630">
        <f t="shared" si="3"/>
        <v>0</v>
      </c>
      <c r="J95" s="830"/>
    </row>
    <row r="96" spans="2:10" ht="25.5" x14ac:dyDescent="0.2">
      <c r="B96" s="590" t="s">
        <v>3574</v>
      </c>
      <c r="C96" s="631">
        <f>K45+K46</f>
        <v>0</v>
      </c>
      <c r="D96" s="630"/>
      <c r="E96" s="908">
        <f t="shared" si="4"/>
        <v>0</v>
      </c>
      <c r="G96" s="705">
        <f t="shared" si="2"/>
        <v>0</v>
      </c>
      <c r="H96" s="630">
        <f t="shared" si="3"/>
        <v>0</v>
      </c>
      <c r="J96" s="829"/>
    </row>
    <row r="97" spans="2:10" x14ac:dyDescent="0.2">
      <c r="B97" s="590" t="s">
        <v>3576</v>
      </c>
      <c r="C97" s="631">
        <f>K49+K50</f>
        <v>5501</v>
      </c>
      <c r="D97" s="630">
        <f>L49+L50</f>
        <v>42</v>
      </c>
      <c r="E97" s="908">
        <f>C97-D97</f>
        <v>5459</v>
      </c>
      <c r="G97" s="705">
        <f>IF(E97&lt;0,0,E97)</f>
        <v>5459</v>
      </c>
      <c r="H97" s="630">
        <f>IF(E97&gt;0,0,E97*-1)</f>
        <v>0</v>
      </c>
    </row>
    <row r="98" spans="2:10" ht="25.5" x14ac:dyDescent="0.2">
      <c r="B98" s="590" t="s">
        <v>4057</v>
      </c>
      <c r="C98" s="631">
        <f>K51</f>
        <v>0</v>
      </c>
      <c r="D98" s="690">
        <f>L51+L52</f>
        <v>16272</v>
      </c>
      <c r="E98" s="908">
        <f>C98-D98</f>
        <v>-16272</v>
      </c>
      <c r="G98" s="705">
        <f>IF(E98&lt;0,0,E98)</f>
        <v>0</v>
      </c>
      <c r="H98" s="630">
        <f>IF(E98&gt;0,0,E98*-1)</f>
        <v>16272</v>
      </c>
    </row>
    <row r="99" spans="2:10" ht="25.5" x14ac:dyDescent="0.2">
      <c r="B99" s="590" t="s">
        <v>3612</v>
      </c>
      <c r="C99" s="631">
        <f>K57+K60</f>
        <v>17279</v>
      </c>
      <c r="D99" s="630">
        <f>L57+L60</f>
        <v>0</v>
      </c>
      <c r="E99" s="908">
        <f t="shared" si="4"/>
        <v>17279</v>
      </c>
      <c r="G99" s="705">
        <f t="shared" si="2"/>
        <v>17279</v>
      </c>
      <c r="H99" s="630">
        <f t="shared" si="3"/>
        <v>0</v>
      </c>
    </row>
    <row r="100" spans="2:10" x14ac:dyDescent="0.2">
      <c r="B100" s="590" t="s">
        <v>3995</v>
      </c>
      <c r="C100" s="631"/>
      <c r="D100" s="630">
        <f>L53+L58</f>
        <v>17279</v>
      </c>
      <c r="E100" s="908">
        <f t="shared" si="4"/>
        <v>-17279</v>
      </c>
      <c r="G100" s="705">
        <f t="shared" ref="G100:G101" si="5">IF(E100&lt;0,0,E100)</f>
        <v>0</v>
      </c>
      <c r="H100" s="630">
        <f t="shared" ref="H100:H101" si="6">IF(E100&gt;0,0,E100*-1)</f>
        <v>17279</v>
      </c>
    </row>
    <row r="101" spans="2:10" x14ac:dyDescent="0.2">
      <c r="B101" s="590" t="s">
        <v>4066</v>
      </c>
      <c r="C101" s="909"/>
      <c r="D101" s="910">
        <f>L54+L61</f>
        <v>0</v>
      </c>
      <c r="E101" s="908">
        <f t="shared" si="4"/>
        <v>0</v>
      </c>
      <c r="G101" s="705">
        <f t="shared" si="5"/>
        <v>0</v>
      </c>
      <c r="H101" s="630">
        <f t="shared" si="6"/>
        <v>0</v>
      </c>
    </row>
    <row r="102" spans="2:10" x14ac:dyDescent="0.2">
      <c r="C102" s="706">
        <f>SUM(C90:C101)</f>
        <v>265973</v>
      </c>
      <c r="D102" s="707">
        <f>SUM(D90:D101)</f>
        <v>265973</v>
      </c>
      <c r="E102" s="708">
        <f>SUM(E90:E101)</f>
        <v>0</v>
      </c>
      <c r="G102" s="706">
        <f>SUM(G90:G101)</f>
        <v>257783</v>
      </c>
      <c r="H102" s="707">
        <f>SUM(H90:H101)</f>
        <v>257783</v>
      </c>
      <c r="J102" s="829">
        <f>G102-H102</f>
        <v>0</v>
      </c>
    </row>
    <row r="104" spans="2:10" x14ac:dyDescent="0.2">
      <c r="G104" s="829"/>
    </row>
    <row r="105" spans="2:10" x14ac:dyDescent="0.2">
      <c r="C105" s="829"/>
    </row>
    <row r="106" spans="2:10" x14ac:dyDescent="0.2">
      <c r="C106" s="829"/>
    </row>
  </sheetData>
  <customSheetViews>
    <customSheetView guid="{D2B860EA-92EC-4999-9A59-C624E1F8C7FB}" scale="90" fitToPage="1" hiddenRows="1">
      <selection activeCell="A40" sqref="A40:XFD62"/>
      <pageMargins left="0.25" right="0.25" top="0.25" bottom="0.25" header="0" footer="0"/>
      <pageSetup scale="36" orientation="landscape" r:id="rId1"/>
    </customSheetView>
    <customSheetView guid="{C1197650-3ED8-49E4-8E4C-0D1D4B503FC0}" scale="90" fitToPage="1" hiddenRows="1">
      <selection activeCell="A40" sqref="A40:XFD62"/>
      <pageMargins left="0.25" right="0.25" top="0.25" bottom="0.25" header="0" footer="0"/>
      <pageSetup scale="36" orientation="landscape" r:id="rId2"/>
    </customSheetView>
  </customSheetViews>
  <mergeCells count="21">
    <mergeCell ref="A1:C1"/>
    <mergeCell ref="A4:C4"/>
    <mergeCell ref="B17:C17"/>
    <mergeCell ref="F17:K17"/>
    <mergeCell ref="B18:C18"/>
    <mergeCell ref="F18:K18"/>
    <mergeCell ref="B28:C28"/>
    <mergeCell ref="B66:I66"/>
    <mergeCell ref="B85:H86"/>
    <mergeCell ref="G88:H88"/>
    <mergeCell ref="B19:C19"/>
    <mergeCell ref="F19:K19"/>
    <mergeCell ref="B20:C20"/>
    <mergeCell ref="F20:K20"/>
    <mergeCell ref="B26:C26"/>
    <mergeCell ref="B30:C30"/>
    <mergeCell ref="B34:C34"/>
    <mergeCell ref="B32:C32"/>
    <mergeCell ref="B36:C36"/>
    <mergeCell ref="G32:I32"/>
    <mergeCell ref="E34:I34"/>
  </mergeCells>
  <pageMargins left="0.25" right="0.25" top="0.25" bottom="0.25" header="0" footer="0"/>
  <pageSetup scale="36" orientation="landscape"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50"/>
  <sheetViews>
    <sheetView topLeftCell="A117" workbookViewId="0">
      <selection activeCell="J62" sqref="J62"/>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3.5703125"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103" t="s">
        <v>95</v>
      </c>
      <c r="B2" s="1104"/>
      <c r="C2" s="1104"/>
      <c r="D2" s="1104"/>
      <c r="E2" s="1104"/>
      <c r="F2" s="1104"/>
      <c r="G2" s="1104"/>
      <c r="H2" s="1104"/>
      <c r="I2" s="1104"/>
      <c r="J2" s="1104"/>
      <c r="K2" s="1104"/>
      <c r="L2" s="1104"/>
      <c r="M2" s="1104"/>
      <c r="N2" s="1104"/>
      <c r="O2" s="1105"/>
    </row>
    <row r="4" spans="1:16" ht="65.25" customHeight="1" x14ac:dyDescent="0.2">
      <c r="B4" s="1106" t="s">
        <v>1094</v>
      </c>
      <c r="C4" s="1032"/>
      <c r="D4" s="1032"/>
      <c r="E4" s="1032"/>
      <c r="F4" s="1032"/>
      <c r="G4" s="1032"/>
      <c r="H4" s="1032"/>
      <c r="I4" s="1032"/>
      <c r="J4" s="1032"/>
      <c r="K4" s="1032"/>
      <c r="L4" s="1032"/>
      <c r="M4" s="1032"/>
      <c r="N4" s="1032"/>
      <c r="O4" s="1032"/>
      <c r="P4" s="1032"/>
    </row>
    <row r="5" spans="1:16" ht="7.5" customHeight="1" x14ac:dyDescent="0.2">
      <c r="B5" s="24"/>
    </row>
    <row r="6" spans="1:16" ht="12" customHeight="1" x14ac:dyDescent="0.2">
      <c r="B6" s="30" t="s">
        <v>513</v>
      </c>
      <c r="C6" s="1032" t="s">
        <v>150</v>
      </c>
      <c r="D6" s="1032"/>
      <c r="E6" s="1032"/>
      <c r="F6" s="1032"/>
      <c r="G6" s="1032"/>
      <c r="H6" s="1032"/>
      <c r="I6" s="1032"/>
      <c r="J6" s="1032"/>
      <c r="K6" s="1032"/>
      <c r="L6" s="1032"/>
      <c r="M6" s="1032"/>
      <c r="N6" s="1032"/>
      <c r="O6" s="1032"/>
    </row>
    <row r="7" spans="1:16" ht="4.5" customHeight="1" x14ac:dyDescent="0.2">
      <c r="B7" s="30"/>
      <c r="C7" s="24"/>
      <c r="D7" s="24"/>
      <c r="E7" s="24"/>
      <c r="F7" s="24"/>
      <c r="G7" s="24"/>
      <c r="H7" s="24"/>
      <c r="I7" s="24"/>
      <c r="J7" s="24"/>
      <c r="K7" s="24"/>
      <c r="L7" s="24"/>
      <c r="M7" s="24"/>
      <c r="N7" s="24"/>
      <c r="O7" s="24"/>
    </row>
    <row r="8" spans="1:16" ht="19.899999999999999" customHeight="1" x14ac:dyDescent="0.2">
      <c r="B8" s="30" t="s">
        <v>514</v>
      </c>
      <c r="C8" s="1019" t="s">
        <v>4155</v>
      </c>
      <c r="D8" s="1019"/>
      <c r="E8" s="1019"/>
      <c r="F8" s="1019"/>
      <c r="G8" s="1019"/>
      <c r="H8" s="1019"/>
      <c r="I8" s="1019"/>
      <c r="J8" s="1019"/>
      <c r="K8" s="1019"/>
      <c r="L8" s="1019"/>
      <c r="M8" s="1019"/>
      <c r="N8" s="1019"/>
      <c r="O8" s="1019"/>
    </row>
    <row r="9" spans="1:16" ht="19.899999999999999" customHeight="1" x14ac:dyDescent="0.2">
      <c r="B9" s="30"/>
      <c r="C9" s="1019"/>
      <c r="D9" s="1019"/>
      <c r="E9" s="1019"/>
      <c r="F9" s="1019"/>
      <c r="G9" s="1019"/>
      <c r="H9" s="1019"/>
      <c r="I9" s="1019"/>
      <c r="J9" s="1019"/>
      <c r="K9" s="1019"/>
      <c r="L9" s="1019"/>
      <c r="M9" s="1019"/>
      <c r="N9" s="1019"/>
      <c r="O9" s="1019"/>
    </row>
    <row r="10" spans="1:16" ht="4.5" customHeight="1" x14ac:dyDescent="0.2">
      <c r="B10" s="30"/>
    </row>
    <row r="11" spans="1:16" ht="12.75" customHeight="1" x14ac:dyDescent="0.2">
      <c r="B11" s="30" t="s">
        <v>515</v>
      </c>
      <c r="C11" s="1019" t="s">
        <v>452</v>
      </c>
      <c r="D11" s="1019"/>
      <c r="E11" s="1019"/>
      <c r="F11" s="1019"/>
      <c r="G11" s="1019"/>
      <c r="H11" s="1019"/>
      <c r="I11" s="1019"/>
      <c r="J11" s="1019"/>
      <c r="K11" s="1019"/>
      <c r="L11" s="1019"/>
      <c r="M11" s="1019"/>
      <c r="N11" s="1019"/>
      <c r="O11" s="1019"/>
    </row>
    <row r="12" spans="1:16" ht="39.6" customHeight="1" x14ac:dyDescent="0.2">
      <c r="B12" s="30"/>
      <c r="C12" s="1019"/>
      <c r="D12" s="1019"/>
      <c r="E12" s="1019"/>
      <c r="F12" s="1019"/>
      <c r="G12" s="1019"/>
      <c r="H12" s="1019"/>
      <c r="I12" s="1019"/>
      <c r="J12" s="1019"/>
      <c r="K12" s="1019"/>
      <c r="L12" s="1019"/>
      <c r="M12" s="1019"/>
      <c r="N12" s="1019"/>
      <c r="O12" s="1019"/>
    </row>
    <row r="13" spans="1:16" ht="4.5" customHeight="1" x14ac:dyDescent="0.2">
      <c r="B13" s="30"/>
      <c r="C13" s="24"/>
    </row>
    <row r="14" spans="1:16" ht="12.75" customHeight="1" x14ac:dyDescent="0.2">
      <c r="B14" s="30" t="s">
        <v>541</v>
      </c>
      <c r="C14" s="1019" t="s">
        <v>253</v>
      </c>
      <c r="D14" s="1019"/>
      <c r="E14" s="1019"/>
      <c r="F14" s="1019"/>
      <c r="G14" s="1019"/>
      <c r="H14" s="1019"/>
      <c r="I14" s="1019"/>
      <c r="J14" s="1019"/>
      <c r="K14" s="1019"/>
      <c r="L14" s="1019"/>
      <c r="M14" s="1019"/>
      <c r="N14" s="1019"/>
      <c r="O14" s="1019"/>
    </row>
    <row r="15" spans="1:16" ht="39.6" customHeight="1" x14ac:dyDescent="0.2">
      <c r="B15" s="30"/>
      <c r="C15" s="1019"/>
      <c r="D15" s="1019"/>
      <c r="E15" s="1019"/>
      <c r="F15" s="1019"/>
      <c r="G15" s="1019"/>
      <c r="H15" s="1019"/>
      <c r="I15" s="1019"/>
      <c r="J15" s="1019"/>
      <c r="K15" s="1019"/>
      <c r="L15" s="1019"/>
      <c r="M15" s="1019"/>
      <c r="N15" s="1019"/>
      <c r="O15" s="1019"/>
    </row>
    <row r="16" spans="1:16" ht="5.25" customHeight="1" x14ac:dyDescent="0.2">
      <c r="B16" s="30"/>
      <c r="C16" s="24"/>
    </row>
    <row r="17" spans="1:15" ht="12.75" customHeight="1" x14ac:dyDescent="0.2">
      <c r="B17" s="30" t="s">
        <v>542</v>
      </c>
      <c r="C17" s="1019" t="s">
        <v>1006</v>
      </c>
      <c r="D17" s="1019"/>
      <c r="E17" s="1019"/>
      <c r="F17" s="1019"/>
      <c r="G17" s="1019"/>
      <c r="H17" s="1019"/>
      <c r="I17" s="1019"/>
      <c r="J17" s="1019"/>
      <c r="K17" s="1019"/>
      <c r="L17" s="1019"/>
      <c r="M17" s="1019"/>
      <c r="N17" s="1019"/>
      <c r="O17" s="1019"/>
    </row>
    <row r="18" spans="1:15" ht="12.75" customHeight="1" x14ac:dyDescent="0.2">
      <c r="B18" s="30"/>
      <c r="C18" s="1019"/>
      <c r="D18" s="1019"/>
      <c r="E18" s="1019"/>
      <c r="F18" s="1019"/>
      <c r="G18" s="1019"/>
      <c r="H18" s="1019"/>
      <c r="I18" s="1019"/>
      <c r="J18" s="1019"/>
      <c r="K18" s="1019"/>
      <c r="L18" s="1019"/>
      <c r="M18" s="1019"/>
      <c r="N18" s="1019"/>
      <c r="O18" s="1019"/>
    </row>
    <row r="19" spans="1:15" ht="4.5" customHeight="1" x14ac:dyDescent="0.2">
      <c r="B19" s="29"/>
    </row>
    <row r="20" spans="1:15" ht="12.75" customHeight="1" x14ac:dyDescent="0.2">
      <c r="B20" s="30" t="s">
        <v>855</v>
      </c>
      <c r="C20" s="1019" t="s">
        <v>828</v>
      </c>
      <c r="D20" s="1019"/>
      <c r="E20" s="1019"/>
      <c r="F20" s="1019"/>
      <c r="G20" s="1019"/>
      <c r="H20" s="1019"/>
      <c r="I20" s="1019"/>
      <c r="J20" s="1019"/>
      <c r="K20" s="1019"/>
      <c r="L20" s="1019"/>
      <c r="M20" s="1019"/>
      <c r="N20" s="1019"/>
      <c r="O20" s="1019"/>
    </row>
    <row r="21" spans="1:15" ht="12.75" customHeight="1" x14ac:dyDescent="0.2">
      <c r="B21" s="30"/>
      <c r="C21" s="1019"/>
      <c r="D21" s="1019"/>
      <c r="E21" s="1019"/>
      <c r="F21" s="1019"/>
      <c r="G21" s="1019"/>
      <c r="H21" s="1019"/>
      <c r="I21" s="1019"/>
      <c r="J21" s="1019"/>
      <c r="K21" s="1019"/>
      <c r="L21" s="1019"/>
      <c r="M21" s="1019"/>
      <c r="N21" s="1019"/>
      <c r="O21" s="1019"/>
    </row>
    <row r="22" spans="1:15" ht="12" customHeight="1" x14ac:dyDescent="0.2">
      <c r="B22" s="24"/>
    </row>
    <row r="23" spans="1:15" ht="45.75" customHeight="1" x14ac:dyDescent="0.2">
      <c r="A23" s="4" t="s">
        <v>539</v>
      </c>
      <c r="B23" s="1107" t="s">
        <v>914</v>
      </c>
      <c r="C23" s="1108"/>
      <c r="D23" s="1108"/>
      <c r="E23" s="1108"/>
      <c r="F23" s="1108"/>
      <c r="G23" s="1108"/>
      <c r="H23" s="1108"/>
      <c r="I23" s="1108"/>
      <c r="J23" s="1108"/>
      <c r="K23" s="1108"/>
      <c r="L23" s="1108"/>
      <c r="M23" s="1108"/>
      <c r="N23" s="1108"/>
      <c r="O23" s="1109"/>
    </row>
    <row r="25" spans="1:15" x14ac:dyDescent="0.2">
      <c r="C25" s="1102" t="s">
        <v>1016</v>
      </c>
      <c r="D25" s="1102"/>
      <c r="E25" s="1102"/>
      <c r="F25" s="1102"/>
      <c r="H25" s="3" t="s">
        <v>506</v>
      </c>
    </row>
    <row r="26" spans="1:15" ht="4.5" customHeight="1" x14ac:dyDescent="0.2"/>
    <row r="27" spans="1:15" ht="12.75" customHeight="1" x14ac:dyDescent="0.2">
      <c r="C27" t="s">
        <v>717</v>
      </c>
      <c r="H27" s="287">
        <v>0</v>
      </c>
    </row>
    <row r="28" spans="1:15" ht="12.75" customHeight="1" x14ac:dyDescent="0.2">
      <c r="C28" t="s">
        <v>90</v>
      </c>
      <c r="H28" s="287">
        <v>0</v>
      </c>
    </row>
    <row r="29" spans="1:15" x14ac:dyDescent="0.2">
      <c r="C29" t="s">
        <v>507</v>
      </c>
      <c r="H29" s="288">
        <v>15378691</v>
      </c>
      <c r="N29" s="987"/>
    </row>
    <row r="30" spans="1:15" x14ac:dyDescent="0.2">
      <c r="C30" t="s">
        <v>905</v>
      </c>
      <c r="H30" s="287">
        <v>939549</v>
      </c>
      <c r="N30" s="357"/>
    </row>
    <row r="31" spans="1:15" x14ac:dyDescent="0.2">
      <c r="C31" t="s">
        <v>714</v>
      </c>
      <c r="H31" s="287">
        <v>1165426</v>
      </c>
      <c r="N31" s="357"/>
    </row>
    <row r="32" spans="1:15" x14ac:dyDescent="0.2">
      <c r="C32" s="579" t="s">
        <v>4200</v>
      </c>
      <c r="H32" s="287">
        <v>540000</v>
      </c>
      <c r="N32" s="357"/>
    </row>
    <row r="33" spans="1:15" x14ac:dyDescent="0.2">
      <c r="C33" t="s">
        <v>906</v>
      </c>
      <c r="H33" s="287">
        <v>54237</v>
      </c>
      <c r="N33" s="357"/>
    </row>
    <row r="34" spans="1:15" ht="12.75" customHeight="1" x14ac:dyDescent="0.2">
      <c r="C34" t="s">
        <v>907</v>
      </c>
      <c r="H34" s="287">
        <v>70000</v>
      </c>
      <c r="J34" s="1030"/>
      <c r="K34" s="1030"/>
      <c r="L34" s="1030"/>
      <c r="M34" s="1030"/>
      <c r="N34" s="1030"/>
      <c r="O34" s="1030"/>
    </row>
    <row r="35" spans="1:15" x14ac:dyDescent="0.2">
      <c r="C35" s="280" t="s">
        <v>720</v>
      </c>
      <c r="H35" s="287">
        <v>0</v>
      </c>
      <c r="N35" s="357"/>
    </row>
    <row r="36" spans="1:15" x14ac:dyDescent="0.2">
      <c r="C36" s="280" t="s">
        <v>721</v>
      </c>
      <c r="H36" s="287">
        <v>0</v>
      </c>
    </row>
    <row r="37" spans="1:15" x14ac:dyDescent="0.2">
      <c r="C37" s="1032" t="s">
        <v>948</v>
      </c>
      <c r="D37" s="1032"/>
      <c r="E37" s="1032"/>
      <c r="F37" s="1032"/>
      <c r="H37" s="287">
        <v>0</v>
      </c>
    </row>
    <row r="38" spans="1:15" x14ac:dyDescent="0.2">
      <c r="C38" s="1032" t="s">
        <v>949</v>
      </c>
      <c r="D38" s="1032"/>
      <c r="E38" s="1032"/>
      <c r="F38" s="1032"/>
      <c r="H38" s="287">
        <v>0</v>
      </c>
    </row>
    <row r="39" spans="1:15" ht="12.75" customHeight="1" x14ac:dyDescent="0.2">
      <c r="H39" s="25"/>
    </row>
    <row r="40" spans="1:15" ht="13.5" thickBot="1" x14ac:dyDescent="0.25">
      <c r="D40" t="s">
        <v>511</v>
      </c>
      <c r="H40" s="59">
        <f>SUM(H27:H39)</f>
        <v>18147903</v>
      </c>
    </row>
    <row r="41" spans="1:15" ht="13.5" thickTop="1" x14ac:dyDescent="0.2">
      <c r="H41" s="40"/>
    </row>
    <row r="42" spans="1:15" ht="36.75" customHeight="1" x14ac:dyDescent="0.2">
      <c r="A42" s="4" t="s">
        <v>540</v>
      </c>
      <c r="B42" s="1100" t="s">
        <v>639</v>
      </c>
      <c r="C42" s="1098"/>
      <c r="D42" s="1098"/>
      <c r="E42" s="1098"/>
      <c r="F42" s="1098"/>
      <c r="G42" s="1098"/>
      <c r="H42" s="1098"/>
      <c r="I42" s="1098"/>
      <c r="J42" s="1098"/>
      <c r="K42" s="1098"/>
      <c r="L42" s="1098"/>
      <c r="M42" s="1098"/>
      <c r="N42" s="1098"/>
      <c r="O42" s="1099"/>
    </row>
    <row r="43" spans="1:15" x14ac:dyDescent="0.2">
      <c r="H43" s="40"/>
    </row>
    <row r="44" spans="1:15" x14ac:dyDescent="0.2">
      <c r="H44" s="43" t="s">
        <v>506</v>
      </c>
    </row>
    <row r="45" spans="1:15" ht="4.5" customHeight="1" x14ac:dyDescent="0.2">
      <c r="H45" s="40"/>
    </row>
    <row r="46" spans="1:15" x14ac:dyDescent="0.2">
      <c r="C46" t="s">
        <v>189</v>
      </c>
      <c r="H46" s="60"/>
    </row>
    <row r="47" spans="1:15" x14ac:dyDescent="0.2">
      <c r="D47" t="s">
        <v>505</v>
      </c>
      <c r="H47" s="287">
        <f>12812+12600+481900</f>
        <v>507312</v>
      </c>
      <c r="J47" s="579" t="s">
        <v>4180</v>
      </c>
      <c r="N47" s="357"/>
    </row>
    <row r="48" spans="1:15" x14ac:dyDescent="0.2">
      <c r="D48" t="s">
        <v>304</v>
      </c>
      <c r="H48" s="285"/>
      <c r="N48" s="283"/>
    </row>
    <row r="49" spans="3:14" x14ac:dyDescent="0.2">
      <c r="D49" t="s">
        <v>305</v>
      </c>
      <c r="H49" s="285"/>
      <c r="N49" s="283"/>
    </row>
    <row r="50" spans="3:14" ht="4.5" customHeight="1" x14ac:dyDescent="0.2">
      <c r="H50" s="281"/>
      <c r="N50" s="283"/>
    </row>
    <row r="51" spans="3:14" x14ac:dyDescent="0.2">
      <c r="C51" t="s">
        <v>1017</v>
      </c>
      <c r="H51" s="289"/>
      <c r="N51" s="289"/>
    </row>
    <row r="52" spans="3:14" x14ac:dyDescent="0.2">
      <c r="D52" t="s">
        <v>505</v>
      </c>
      <c r="H52" s="285">
        <f>12145+31650+121986+1444783</f>
        <v>1610564</v>
      </c>
      <c r="N52" s="283"/>
    </row>
    <row r="53" spans="3:14" x14ac:dyDescent="0.2">
      <c r="D53" t="s">
        <v>304</v>
      </c>
      <c r="H53" s="287">
        <f>1192+36000+24338+48250+57136</f>
        <v>166916</v>
      </c>
      <c r="N53" s="357"/>
    </row>
    <row r="54" spans="3:14" x14ac:dyDescent="0.2">
      <c r="D54" t="s">
        <v>305</v>
      </c>
      <c r="H54" s="285">
        <v>0</v>
      </c>
    </row>
    <row r="55" spans="3:14" ht="4.5" customHeight="1" x14ac:dyDescent="0.2">
      <c r="H55" s="281"/>
    </row>
    <row r="56" spans="3:14" x14ac:dyDescent="0.2">
      <c r="C56" t="s">
        <v>989</v>
      </c>
      <c r="H56" s="289"/>
    </row>
    <row r="57" spans="3:14" x14ac:dyDescent="0.2">
      <c r="D57" t="s">
        <v>505</v>
      </c>
      <c r="H57" s="285"/>
    </row>
    <row r="58" spans="3:14" x14ac:dyDescent="0.2">
      <c r="D58" t="s">
        <v>304</v>
      </c>
      <c r="H58" s="285"/>
    </row>
    <row r="59" spans="3:14" x14ac:dyDescent="0.2">
      <c r="D59" t="s">
        <v>305</v>
      </c>
      <c r="H59" s="285">
        <v>0</v>
      </c>
    </row>
    <row r="60" spans="3:14" ht="4.5" customHeight="1" x14ac:dyDescent="0.2">
      <c r="H60" s="281"/>
    </row>
    <row r="61" spans="3:14" x14ac:dyDescent="0.2">
      <c r="C61" t="s">
        <v>815</v>
      </c>
      <c r="H61" s="289"/>
    </row>
    <row r="62" spans="3:14" x14ac:dyDescent="0.2">
      <c r="D62" t="s">
        <v>505</v>
      </c>
      <c r="H62" s="285">
        <f>13948+46111+372845+793987</f>
        <v>1226891</v>
      </c>
    </row>
    <row r="63" spans="3:14" x14ac:dyDescent="0.2">
      <c r="D63" t="s">
        <v>304</v>
      </c>
      <c r="H63" s="285">
        <v>0</v>
      </c>
    </row>
    <row r="64" spans="3:14" x14ac:dyDescent="0.2">
      <c r="D64" t="s">
        <v>305</v>
      </c>
      <c r="H64" s="285">
        <v>0</v>
      </c>
      <c r="J64" s="829" t="s">
        <v>4180</v>
      </c>
    </row>
    <row r="65" spans="3:14" ht="5.25" customHeight="1" x14ac:dyDescent="0.2">
      <c r="H65" s="281"/>
    </row>
    <row r="66" spans="3:14" x14ac:dyDescent="0.2">
      <c r="C66" t="s">
        <v>183</v>
      </c>
      <c r="H66" s="289"/>
      <c r="J66" s="5"/>
    </row>
    <row r="67" spans="3:14" x14ac:dyDescent="0.2">
      <c r="D67" t="s">
        <v>505</v>
      </c>
      <c r="H67" s="285">
        <v>0</v>
      </c>
    </row>
    <row r="68" spans="3:14" x14ac:dyDescent="0.2">
      <c r="D68" t="s">
        <v>304</v>
      </c>
      <c r="H68" s="285">
        <v>0</v>
      </c>
    </row>
    <row r="69" spans="3:14" x14ac:dyDescent="0.2">
      <c r="D69" t="s">
        <v>305</v>
      </c>
      <c r="H69" s="285">
        <v>0</v>
      </c>
    </row>
    <row r="70" spans="3:14" ht="3" customHeight="1" x14ac:dyDescent="0.2">
      <c r="H70" s="281"/>
    </row>
    <row r="71" spans="3:14" x14ac:dyDescent="0.2">
      <c r="C71" s="579" t="s">
        <v>4199</v>
      </c>
      <c r="H71" s="289"/>
    </row>
    <row r="72" spans="3:14" x14ac:dyDescent="0.2">
      <c r="D72" t="s">
        <v>505</v>
      </c>
      <c r="H72" s="285">
        <v>540000</v>
      </c>
      <c r="J72" s="579" t="s">
        <v>4180</v>
      </c>
      <c r="N72" s="283"/>
    </row>
    <row r="73" spans="3:14" x14ac:dyDescent="0.2">
      <c r="D73" t="s">
        <v>304</v>
      </c>
      <c r="H73" s="285">
        <v>13067331</v>
      </c>
      <c r="J73" s="579" t="s">
        <v>4180</v>
      </c>
      <c r="L73" s="5"/>
      <c r="N73" s="283"/>
    </row>
    <row r="74" spans="3:14" x14ac:dyDescent="0.2">
      <c r="D74" t="s">
        <v>305</v>
      </c>
      <c r="H74" s="285"/>
      <c r="N74" s="283"/>
    </row>
    <row r="75" spans="3:14" ht="4.5" customHeight="1" x14ac:dyDescent="0.2">
      <c r="H75" s="281"/>
      <c r="N75" s="283"/>
    </row>
    <row r="76" spans="3:14" x14ac:dyDescent="0.2">
      <c r="C76" t="s">
        <v>306</v>
      </c>
      <c r="H76" s="289"/>
      <c r="N76" s="289"/>
    </row>
    <row r="77" spans="3:14" x14ac:dyDescent="0.2">
      <c r="D77" t="s">
        <v>505</v>
      </c>
      <c r="H77" s="285">
        <v>204991</v>
      </c>
      <c r="N77" s="283"/>
    </row>
    <row r="78" spans="3:14" x14ac:dyDescent="0.2">
      <c r="D78" t="s">
        <v>304</v>
      </c>
      <c r="H78" s="285"/>
      <c r="N78" s="283"/>
    </row>
    <row r="79" spans="3:14" x14ac:dyDescent="0.2">
      <c r="D79" t="s">
        <v>305</v>
      </c>
      <c r="H79" s="285">
        <f>32832+70000</f>
        <v>102832</v>
      </c>
      <c r="N79" s="283"/>
    </row>
    <row r="80" spans="3:14" ht="4.5" customHeight="1" x14ac:dyDescent="0.2">
      <c r="H80" s="281"/>
      <c r="N80" s="283"/>
    </row>
    <row r="81" spans="2:14" ht="12.75" customHeight="1" x14ac:dyDescent="0.2">
      <c r="C81" t="s">
        <v>172</v>
      </c>
      <c r="H81" s="281"/>
      <c r="N81" s="283"/>
    </row>
    <row r="82" spans="2:14" ht="12.75" customHeight="1" x14ac:dyDescent="0.2">
      <c r="D82" t="s">
        <v>505</v>
      </c>
      <c r="H82" s="285"/>
      <c r="N82" s="283"/>
    </row>
    <row r="83" spans="2:14" ht="12.75" customHeight="1" x14ac:dyDescent="0.2">
      <c r="D83" t="s">
        <v>304</v>
      </c>
      <c r="H83" s="285"/>
      <c r="N83" s="283"/>
    </row>
    <row r="84" spans="2:14" ht="12.75" customHeight="1" x14ac:dyDescent="0.2">
      <c r="D84" t="s">
        <v>305</v>
      </c>
      <c r="H84" s="285">
        <v>721066</v>
      </c>
      <c r="J84" s="579" t="s">
        <v>4180</v>
      </c>
      <c r="L84" s="5"/>
    </row>
    <row r="85" spans="2:14" ht="4.5" customHeight="1" x14ac:dyDescent="0.2">
      <c r="H85" s="281"/>
    </row>
    <row r="86" spans="2:14" ht="12.75" customHeight="1" x14ac:dyDescent="0.2">
      <c r="C86" s="280" t="s">
        <v>726</v>
      </c>
      <c r="H86" s="281"/>
    </row>
    <row r="87" spans="2:14" ht="12.75" customHeight="1" x14ac:dyDescent="0.2">
      <c r="D87" t="s">
        <v>505</v>
      </c>
      <c r="H87" s="285">
        <v>0</v>
      </c>
    </row>
    <row r="88" spans="2:14" ht="12.75" customHeight="1" x14ac:dyDescent="0.2">
      <c r="D88" t="s">
        <v>304</v>
      </c>
      <c r="H88" s="285">
        <v>0</v>
      </c>
    </row>
    <row r="89" spans="2:14" ht="12.75" customHeight="1" x14ac:dyDescent="0.2">
      <c r="D89" t="s">
        <v>305</v>
      </c>
      <c r="H89" s="285">
        <v>0</v>
      </c>
    </row>
    <row r="90" spans="2:14" ht="4.5" customHeight="1" x14ac:dyDescent="0.2">
      <c r="H90" s="281"/>
    </row>
    <row r="91" spans="2:14" ht="12.75" customHeight="1" x14ac:dyDescent="0.2">
      <c r="B91" s="2"/>
      <c r="C91" s="1032" t="s">
        <v>946</v>
      </c>
      <c r="D91" s="1032"/>
      <c r="E91" s="1032"/>
      <c r="F91" s="1032"/>
      <c r="H91" s="285">
        <v>0</v>
      </c>
    </row>
    <row r="92" spans="2:14" ht="12.75" customHeight="1" x14ac:dyDescent="0.2">
      <c r="B92" s="2"/>
      <c r="C92" s="1032" t="s">
        <v>947</v>
      </c>
      <c r="D92" s="1032"/>
      <c r="E92" s="1032"/>
      <c r="F92" s="1032"/>
      <c r="H92" s="285">
        <v>0</v>
      </c>
      <c r="J92" s="1101" t="s">
        <v>4180</v>
      </c>
    </row>
    <row r="93" spans="2:14" ht="12.75" customHeight="1" x14ac:dyDescent="0.2">
      <c r="H93" s="34"/>
      <c r="J93" s="1101"/>
    </row>
    <row r="94" spans="2:14" ht="22.5" customHeight="1" thickBot="1" x14ac:dyDescent="0.25">
      <c r="D94" t="s">
        <v>308</v>
      </c>
      <c r="H94" s="59">
        <f>SUM(H46:H93)</f>
        <v>18147903</v>
      </c>
      <c r="J94" s="1101"/>
    </row>
    <row r="95" spans="2:14" ht="12.75" customHeight="1" thickTop="1" x14ac:dyDescent="0.2"/>
    <row r="97" spans="1:15" ht="26.25" customHeight="1" x14ac:dyDescent="0.2">
      <c r="A97" s="4" t="s">
        <v>801</v>
      </c>
      <c r="B97" s="1097" t="s">
        <v>91</v>
      </c>
      <c r="C97" s="1098"/>
      <c r="D97" s="1098"/>
      <c r="E97" s="1098"/>
      <c r="F97" s="1098"/>
      <c r="G97" s="1098"/>
      <c r="H97" s="1098"/>
      <c r="I97" s="1098"/>
      <c r="J97" s="1098"/>
      <c r="K97" s="1098"/>
      <c r="L97" s="1098"/>
      <c r="M97" s="1098"/>
      <c r="N97" s="1098"/>
      <c r="O97" s="1099"/>
    </row>
    <row r="98" spans="1:15" ht="12.75" customHeight="1" x14ac:dyDescent="0.2">
      <c r="A98" s="4"/>
      <c r="B98" s="4"/>
      <c r="C98" s="4"/>
      <c r="D98" s="4"/>
      <c r="E98" s="4"/>
      <c r="F98" s="4"/>
      <c r="G98" s="4"/>
      <c r="H98" s="4"/>
      <c r="I98" s="4"/>
      <c r="J98" s="4"/>
      <c r="K98" s="4"/>
      <c r="L98" s="4"/>
      <c r="M98" s="4"/>
      <c r="N98" s="4"/>
      <c r="O98" s="4"/>
    </row>
    <row r="99" spans="1:15" x14ac:dyDescent="0.2">
      <c r="K99" s="27"/>
      <c r="L99" s="36" t="s">
        <v>509</v>
      </c>
      <c r="N99" s="36" t="s">
        <v>510</v>
      </c>
    </row>
    <row r="100" spans="1:15" ht="6" customHeight="1" x14ac:dyDescent="0.2">
      <c r="K100" s="27"/>
      <c r="L100" s="27"/>
      <c r="N100" s="27"/>
    </row>
    <row r="101" spans="1:15" ht="12.75" customHeight="1" x14ac:dyDescent="0.2">
      <c r="B101" t="s">
        <v>717</v>
      </c>
      <c r="K101" s="27"/>
      <c r="L101" s="194">
        <f>H27</f>
        <v>0</v>
      </c>
      <c r="N101" s="90"/>
    </row>
    <row r="102" spans="1:15" ht="12.75" customHeight="1" x14ac:dyDescent="0.2">
      <c r="B102" t="s">
        <v>90</v>
      </c>
      <c r="K102" s="27"/>
      <c r="L102" s="91">
        <f>H28</f>
        <v>0</v>
      </c>
      <c r="N102" s="90"/>
    </row>
    <row r="103" spans="1:15" x14ac:dyDescent="0.2">
      <c r="B103" t="s">
        <v>507</v>
      </c>
      <c r="K103" s="72"/>
      <c r="L103" s="61">
        <f>H29</f>
        <v>15378691</v>
      </c>
      <c r="N103" s="61"/>
    </row>
    <row r="104" spans="1:15" x14ac:dyDescent="0.2">
      <c r="B104" t="s">
        <v>905</v>
      </c>
      <c r="K104" s="72"/>
      <c r="L104" s="61">
        <f>H30</f>
        <v>939549</v>
      </c>
      <c r="N104" s="61"/>
    </row>
    <row r="105" spans="1:15" x14ac:dyDescent="0.2">
      <c r="B105" t="s">
        <v>508</v>
      </c>
      <c r="K105" s="72"/>
      <c r="L105" s="61">
        <f>H31</f>
        <v>1165426</v>
      </c>
      <c r="N105" s="61"/>
    </row>
    <row r="106" spans="1:15" x14ac:dyDescent="0.2">
      <c r="B106" s="579" t="s">
        <v>4200</v>
      </c>
      <c r="K106" s="72"/>
      <c r="L106" s="61">
        <f>+H32</f>
        <v>540000</v>
      </c>
      <c r="N106" s="61"/>
    </row>
    <row r="107" spans="1:15" x14ac:dyDescent="0.2">
      <c r="B107" t="s">
        <v>915</v>
      </c>
      <c r="K107" s="72"/>
      <c r="L107" s="61">
        <f t="shared" ref="L107:L112" si="0">H33</f>
        <v>54237</v>
      </c>
      <c r="N107" s="61"/>
    </row>
    <row r="108" spans="1:15" x14ac:dyDescent="0.2">
      <c r="B108" t="s">
        <v>907</v>
      </c>
      <c r="K108" s="72"/>
      <c r="L108" s="61">
        <f t="shared" si="0"/>
        <v>70000</v>
      </c>
      <c r="N108" s="61"/>
    </row>
    <row r="109" spans="1:15" x14ac:dyDescent="0.2">
      <c r="B109" s="280" t="s">
        <v>720</v>
      </c>
      <c r="K109" s="72"/>
      <c r="L109" s="61">
        <f t="shared" si="0"/>
        <v>0</v>
      </c>
      <c r="N109" s="61"/>
    </row>
    <row r="110" spans="1:15" x14ac:dyDescent="0.2">
      <c r="B110" s="280" t="s">
        <v>721</v>
      </c>
      <c r="K110" s="72"/>
      <c r="L110" s="61">
        <f t="shared" si="0"/>
        <v>0</v>
      </c>
      <c r="N110" s="61"/>
    </row>
    <row r="111" spans="1:15" x14ac:dyDescent="0.2">
      <c r="B111" t="s">
        <v>724</v>
      </c>
      <c r="K111" s="72"/>
      <c r="L111" s="61">
        <f t="shared" si="0"/>
        <v>0</v>
      </c>
      <c r="N111" s="61"/>
    </row>
    <row r="112" spans="1:15" x14ac:dyDescent="0.2">
      <c r="B112" t="s">
        <v>725</v>
      </c>
      <c r="K112" s="72"/>
      <c r="L112" s="61">
        <f t="shared" si="0"/>
        <v>0</v>
      </c>
      <c r="N112" s="61"/>
    </row>
    <row r="113" spans="3:14" x14ac:dyDescent="0.2">
      <c r="C113" t="s">
        <v>309</v>
      </c>
      <c r="L113" s="61"/>
      <c r="N113" s="61">
        <f>H47</f>
        <v>507312</v>
      </c>
    </row>
    <row r="114" spans="3:14" x14ac:dyDescent="0.2">
      <c r="C114" t="s">
        <v>310</v>
      </c>
      <c r="L114" s="61"/>
      <c r="N114" s="61">
        <f>H48</f>
        <v>0</v>
      </c>
    </row>
    <row r="115" spans="3:14" ht="12.75" customHeight="1" x14ac:dyDescent="0.2">
      <c r="C115" t="s">
        <v>928</v>
      </c>
      <c r="L115" s="61"/>
      <c r="N115" s="61">
        <f>H49</f>
        <v>0</v>
      </c>
    </row>
    <row r="116" spans="3:14" x14ac:dyDescent="0.2">
      <c r="C116" t="s">
        <v>929</v>
      </c>
      <c r="L116" s="61"/>
      <c r="N116" s="61">
        <f>H52</f>
        <v>1610564</v>
      </c>
    </row>
    <row r="117" spans="3:14" ht="14.25" x14ac:dyDescent="0.2">
      <c r="C117" t="s">
        <v>930</v>
      </c>
      <c r="L117" s="61"/>
      <c r="M117" s="39"/>
      <c r="N117" s="61">
        <f>H53</f>
        <v>166916</v>
      </c>
    </row>
    <row r="118" spans="3:14" ht="12.75" customHeight="1" x14ac:dyDescent="0.2">
      <c r="C118" t="s">
        <v>97</v>
      </c>
      <c r="L118" s="61"/>
      <c r="N118" s="61">
        <f>H54</f>
        <v>0</v>
      </c>
    </row>
    <row r="119" spans="3:14" x14ac:dyDescent="0.2">
      <c r="C119" t="s">
        <v>98</v>
      </c>
      <c r="L119" s="61"/>
      <c r="N119" s="61">
        <f>H57</f>
        <v>0</v>
      </c>
    </row>
    <row r="120" spans="3:14" x14ac:dyDescent="0.2">
      <c r="C120" t="s">
        <v>99</v>
      </c>
      <c r="L120" s="61"/>
      <c r="N120" s="61">
        <f>H58</f>
        <v>0</v>
      </c>
    </row>
    <row r="121" spans="3:14" x14ac:dyDescent="0.2">
      <c r="C121" t="s">
        <v>100</v>
      </c>
      <c r="L121" s="61"/>
      <c r="N121" s="61">
        <f>H59</f>
        <v>0</v>
      </c>
    </row>
    <row r="122" spans="3:14" x14ac:dyDescent="0.2">
      <c r="C122" t="s">
        <v>442</v>
      </c>
      <c r="L122" s="61"/>
      <c r="N122" s="61">
        <f>H62</f>
        <v>1226891</v>
      </c>
    </row>
    <row r="123" spans="3:14" x14ac:dyDescent="0.2">
      <c r="C123" t="s">
        <v>444</v>
      </c>
      <c r="L123" s="61"/>
      <c r="N123" s="61">
        <f>H63</f>
        <v>0</v>
      </c>
    </row>
    <row r="124" spans="3:14" x14ac:dyDescent="0.2">
      <c r="C124" t="s">
        <v>445</v>
      </c>
      <c r="L124" s="61"/>
      <c r="N124" s="61">
        <f>H64</f>
        <v>0</v>
      </c>
    </row>
    <row r="125" spans="3:14" x14ac:dyDescent="0.2">
      <c r="C125" t="s">
        <v>101</v>
      </c>
      <c r="L125" s="61"/>
      <c r="N125" s="61">
        <f>H67</f>
        <v>0</v>
      </c>
    </row>
    <row r="126" spans="3:14" x14ac:dyDescent="0.2">
      <c r="C126" t="s">
        <v>102</v>
      </c>
      <c r="L126" s="61"/>
      <c r="N126" s="61">
        <f>H68</f>
        <v>0</v>
      </c>
    </row>
    <row r="127" spans="3:14" x14ac:dyDescent="0.2">
      <c r="C127" t="s">
        <v>441</v>
      </c>
      <c r="L127" s="61"/>
      <c r="N127" s="61">
        <f>H69</f>
        <v>0</v>
      </c>
    </row>
    <row r="128" spans="3:14" x14ac:dyDescent="0.2">
      <c r="C128" s="579" t="s">
        <v>4201</v>
      </c>
      <c r="L128" s="61"/>
      <c r="N128" s="61">
        <f>H72</f>
        <v>540000</v>
      </c>
    </row>
    <row r="129" spans="3:14" x14ac:dyDescent="0.2">
      <c r="C129" s="579" t="s">
        <v>4202</v>
      </c>
      <c r="L129" s="61"/>
      <c r="N129" s="61">
        <f>H73</f>
        <v>13067331</v>
      </c>
    </row>
    <row r="130" spans="3:14" x14ac:dyDescent="0.2">
      <c r="C130" s="579" t="s">
        <v>4203</v>
      </c>
      <c r="L130" s="61"/>
      <c r="N130" s="61">
        <f>H74</f>
        <v>0</v>
      </c>
    </row>
    <row r="131" spans="3:14" x14ac:dyDescent="0.2">
      <c r="C131" t="s">
        <v>446</v>
      </c>
      <c r="L131" s="61"/>
      <c r="N131" s="61">
        <f>H77</f>
        <v>204991</v>
      </c>
    </row>
    <row r="132" spans="3:14" x14ac:dyDescent="0.2">
      <c r="C132" t="s">
        <v>447</v>
      </c>
      <c r="L132" s="61"/>
      <c r="N132" s="61">
        <f>H78</f>
        <v>0</v>
      </c>
    </row>
    <row r="133" spans="3:14" x14ac:dyDescent="0.2">
      <c r="C133" t="s">
        <v>448</v>
      </c>
      <c r="L133" s="61"/>
      <c r="N133" s="61">
        <f>H79</f>
        <v>102832</v>
      </c>
    </row>
    <row r="134" spans="3:14" x14ac:dyDescent="0.2">
      <c r="C134" t="s">
        <v>545</v>
      </c>
      <c r="L134" s="61"/>
      <c r="N134" s="61">
        <f>H82</f>
        <v>0</v>
      </c>
    </row>
    <row r="135" spans="3:14" x14ac:dyDescent="0.2">
      <c r="C135" t="s">
        <v>546</v>
      </c>
      <c r="L135" s="61"/>
      <c r="N135" s="61">
        <f>H83</f>
        <v>0</v>
      </c>
    </row>
    <row r="136" spans="3:14" x14ac:dyDescent="0.2">
      <c r="C136" t="s">
        <v>547</v>
      </c>
      <c r="L136" s="61"/>
      <c r="N136" s="61">
        <f>H84</f>
        <v>721066</v>
      </c>
    </row>
    <row r="137" spans="3:14" x14ac:dyDescent="0.2">
      <c r="C137" s="280" t="s">
        <v>566</v>
      </c>
      <c r="L137" s="61"/>
      <c r="N137" s="61">
        <f>H87</f>
        <v>0</v>
      </c>
    </row>
    <row r="138" spans="3:14" x14ac:dyDescent="0.2">
      <c r="C138" s="280" t="s">
        <v>567</v>
      </c>
      <c r="L138" s="61"/>
      <c r="N138" s="61">
        <f>H88</f>
        <v>0</v>
      </c>
    </row>
    <row r="139" spans="3:14" x14ac:dyDescent="0.2">
      <c r="C139" s="280" t="s">
        <v>568</v>
      </c>
      <c r="L139" s="61"/>
      <c r="N139" s="61">
        <f>H89</f>
        <v>0</v>
      </c>
    </row>
    <row r="140" spans="3:14" x14ac:dyDescent="0.2">
      <c r="C140" t="s">
        <v>166</v>
      </c>
      <c r="L140" s="61"/>
      <c r="N140" s="61">
        <f>H91</f>
        <v>0</v>
      </c>
    </row>
    <row r="141" spans="3:14" x14ac:dyDescent="0.2">
      <c r="C141" t="s">
        <v>829</v>
      </c>
      <c r="L141" s="61"/>
      <c r="N141" s="61">
        <f>H92</f>
        <v>0</v>
      </c>
    </row>
    <row r="142" spans="3:14" x14ac:dyDescent="0.2">
      <c r="L142" s="57"/>
      <c r="N142" s="57"/>
    </row>
    <row r="143" spans="3:14" ht="13.5" thickBot="1" x14ac:dyDescent="0.25">
      <c r="K143" s="5">
        <f>SUM(K103:K142)</f>
        <v>0</v>
      </c>
      <c r="L143" s="58">
        <f>SUM(L101:L142)</f>
        <v>18147903</v>
      </c>
      <c r="N143" s="58">
        <f>SUM(N101:N142)</f>
        <v>18147903</v>
      </c>
    </row>
    <row r="144" spans="3:14" ht="13.5" thickTop="1" x14ac:dyDescent="0.2"/>
    <row r="147" spans="2:15" ht="24" customHeight="1" x14ac:dyDescent="0.2">
      <c r="B147" s="14"/>
      <c r="C147" s="1019" t="s">
        <v>569</v>
      </c>
      <c r="D147" s="1019"/>
      <c r="E147" s="1019"/>
      <c r="F147" s="1019"/>
      <c r="G147" s="1019"/>
      <c r="H147" s="1019"/>
      <c r="I147" s="1019"/>
      <c r="J147" s="1019"/>
      <c r="K147" s="1019"/>
      <c r="L147" s="1019"/>
      <c r="M147" s="1019"/>
      <c r="N147" s="1019"/>
      <c r="O147" s="1019"/>
    </row>
    <row r="149" spans="2:15" x14ac:dyDescent="0.2">
      <c r="C149" t="s">
        <v>165</v>
      </c>
    </row>
    <row r="150" spans="2:15" x14ac:dyDescent="0.2">
      <c r="C150" t="s">
        <v>94</v>
      </c>
    </row>
  </sheetData>
  <customSheetViews>
    <customSheetView guid="{D2B860EA-92EC-4999-9A59-C624E1F8C7FB}">
      <selection activeCell="H77" sqref="H77"/>
      <rowBreaks count="1" manualBreakCount="1">
        <brk id="74" max="15" man="1"/>
      </rowBreaks>
      <pageMargins left="0.5" right="0.45" top="0.66" bottom="0.76" header="0.5" footer="0.5"/>
      <printOptions horizontalCentered="1"/>
      <pageSetup scale="66" orientation="portrait" r:id="rId1"/>
      <headerFooter alignWithMargins="0">
        <oddHeader>&amp;R&amp;"Arial,Bold"&amp;12Entry A</oddHeader>
        <oddFooter>&amp;L&amp;8&amp;D - County model&amp;R&amp;P</oddFooter>
      </headerFooter>
    </customSheetView>
    <customSheetView guid="{C1197650-3ED8-49E4-8E4C-0D1D4B503FC0}">
      <selection activeCell="H77" sqref="H77"/>
      <rowBreaks count="1" manualBreakCount="1">
        <brk id="74" max="15" man="1"/>
      </rowBreaks>
      <pageMargins left="0.5" right="0.45" top="0.66" bottom="0.76" header="0.5" footer="0.5"/>
      <printOptions horizontalCentered="1"/>
      <pageSetup scale="66" orientation="portrait" r:id="rId2"/>
      <headerFooter alignWithMargins="0">
        <oddHeader>&amp;R&amp;"Arial,Bold"&amp;12Entry A</oddHeader>
        <oddFooter>&amp;L&amp;8&amp;D - County model&amp;R&amp;P</oddFooter>
      </headerFooter>
    </customSheetView>
  </customSheetViews>
  <mergeCells count="19">
    <mergeCell ref="C25:F25"/>
    <mergeCell ref="A2:O2"/>
    <mergeCell ref="B4:P4"/>
    <mergeCell ref="C6:O6"/>
    <mergeCell ref="C8:O9"/>
    <mergeCell ref="C11:O12"/>
    <mergeCell ref="C14:O15"/>
    <mergeCell ref="C17:O18"/>
    <mergeCell ref="B23:O23"/>
    <mergeCell ref="C20:O21"/>
    <mergeCell ref="C147:O147"/>
    <mergeCell ref="B97:O97"/>
    <mergeCell ref="B42:O42"/>
    <mergeCell ref="J92:J94"/>
    <mergeCell ref="J34:O34"/>
    <mergeCell ref="C37:F37"/>
    <mergeCell ref="C38:F38"/>
    <mergeCell ref="C91:F91"/>
    <mergeCell ref="C92:F92"/>
  </mergeCells>
  <phoneticPr fontId="14" type="noConversion"/>
  <printOptions horizontalCentered="1"/>
  <pageMargins left="0.5" right="0.45" top="0.66" bottom="0.76" header="0.5" footer="0.5"/>
  <pageSetup scale="66" orientation="portrait" r:id="rId3"/>
  <headerFooter alignWithMargins="0">
    <oddHeader>&amp;R&amp;"Arial,Bold"&amp;12Entry A</oddHeader>
    <oddFooter>&amp;L&amp;8&amp;D - County model&amp;R&amp;P</oddFooter>
  </headerFooter>
  <rowBreaks count="1" manualBreakCount="1">
    <brk id="75" max="15" man="1"/>
  </rowBreaks>
  <legacy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U30"/>
  <sheetViews>
    <sheetView workbookViewId="0"/>
  </sheetViews>
  <sheetFormatPr defaultRowHeight="12.75" x14ac:dyDescent="0.2"/>
  <cols>
    <col min="3" max="3" width="12" bestFit="1" customWidth="1"/>
    <col min="9" max="9" width="17.7109375" bestFit="1" customWidth="1"/>
    <col min="10" max="10" width="15" bestFit="1" customWidth="1"/>
    <col min="11" max="11" width="15.85546875" bestFit="1" customWidth="1"/>
    <col min="13" max="14" width="15" bestFit="1" customWidth="1"/>
    <col min="15" max="15" width="12.28515625" bestFit="1" customWidth="1"/>
    <col min="16" max="16" width="2.7109375" customWidth="1"/>
    <col min="17" max="17" width="15" bestFit="1" customWidth="1"/>
    <col min="18" max="19" width="16.140625" customWidth="1"/>
    <col min="20" max="20" width="11.42578125" bestFit="1" customWidth="1"/>
    <col min="21" max="21" width="9.28515625" bestFit="1" customWidth="1"/>
  </cols>
  <sheetData>
    <row r="3" spans="1:21" x14ac:dyDescent="0.2">
      <c r="A3" t="s">
        <v>3549</v>
      </c>
      <c r="I3" s="25">
        <f>(34204505533-1050012433)*0.0000457</f>
        <v>1515160</v>
      </c>
      <c r="J3" s="25"/>
      <c r="M3" s="25">
        <v>43503399006</v>
      </c>
      <c r="N3" s="25"/>
      <c r="O3" s="369"/>
      <c r="P3" s="369"/>
      <c r="Q3" s="25">
        <f>34204505533-1050012433</f>
        <v>33154493100</v>
      </c>
      <c r="R3" s="25"/>
      <c r="S3" s="369"/>
      <c r="T3" s="369"/>
      <c r="U3" s="369"/>
    </row>
    <row r="4" spans="1:21" x14ac:dyDescent="0.2">
      <c r="A4" t="s">
        <v>3550</v>
      </c>
      <c r="I4" s="25"/>
      <c r="J4" s="25">
        <f>(44577535234-1074136233)*0.0000457</f>
        <v>1988105</v>
      </c>
      <c r="K4" s="769">
        <f>J4/32786624464</f>
        <v>6.0637699999999997E-5</v>
      </c>
      <c r="M4" s="25"/>
      <c r="N4" s="25">
        <v>32786624459</v>
      </c>
      <c r="O4" s="369"/>
      <c r="P4" s="369"/>
      <c r="Q4" s="25"/>
      <c r="R4" s="25">
        <v>43503399001</v>
      </c>
      <c r="S4" s="369"/>
      <c r="T4" s="369"/>
      <c r="U4" s="369"/>
    </row>
    <row r="5" spans="1:21" x14ac:dyDescent="0.2">
      <c r="A5" t="s">
        <v>3551</v>
      </c>
      <c r="I5" s="25">
        <f>(3973971849+8)*0.0000457-1</f>
        <v>181610</v>
      </c>
      <c r="J5" s="25"/>
      <c r="M5" s="25">
        <v>1625508164</v>
      </c>
      <c r="N5" s="25"/>
      <c r="O5" s="369"/>
      <c r="P5" s="369"/>
      <c r="Q5" s="25">
        <v>3973971849</v>
      </c>
      <c r="R5" s="25"/>
      <c r="S5" s="369"/>
      <c r="T5" s="369"/>
      <c r="U5" s="369"/>
    </row>
    <row r="6" spans="1:21" x14ac:dyDescent="0.2">
      <c r="A6" t="s">
        <v>3552</v>
      </c>
      <c r="I6" s="25"/>
      <c r="J6" s="25">
        <v>0</v>
      </c>
      <c r="M6" s="25"/>
      <c r="N6" s="25"/>
      <c r="O6" s="369"/>
      <c r="P6" s="369"/>
      <c r="Q6" s="25"/>
      <c r="R6" s="25"/>
      <c r="S6" s="369"/>
      <c r="T6" s="369"/>
      <c r="U6" s="369"/>
    </row>
    <row r="7" spans="1:21" x14ac:dyDescent="0.2">
      <c r="A7" t="s">
        <v>3553</v>
      </c>
      <c r="I7" s="25"/>
      <c r="J7" s="25">
        <v>0</v>
      </c>
      <c r="M7" s="25"/>
      <c r="N7" s="25"/>
      <c r="O7" s="369"/>
      <c r="P7" s="369"/>
      <c r="Q7" s="25"/>
      <c r="R7" s="25"/>
      <c r="S7" s="369"/>
      <c r="T7" s="369"/>
      <c r="U7" s="369"/>
    </row>
    <row r="8" spans="1:21" x14ac:dyDescent="0.2">
      <c r="A8" t="s">
        <v>3554</v>
      </c>
      <c r="I8" s="25"/>
      <c r="J8" s="25">
        <v>0</v>
      </c>
      <c r="M8" s="25"/>
      <c r="N8" s="25"/>
      <c r="O8" s="369"/>
      <c r="P8" s="369"/>
      <c r="Q8" s="25"/>
      <c r="R8" s="25"/>
      <c r="S8" s="369"/>
      <c r="T8" s="369"/>
      <c r="U8" s="369"/>
    </row>
    <row r="9" spans="1:21" x14ac:dyDescent="0.2">
      <c r="A9" t="s">
        <v>3556</v>
      </c>
      <c r="I9" s="25">
        <v>0</v>
      </c>
      <c r="J9" s="25"/>
      <c r="M9" s="25"/>
      <c r="N9" s="25"/>
      <c r="O9" s="369"/>
      <c r="P9" s="369"/>
      <c r="Q9" s="25"/>
      <c r="R9" s="25"/>
      <c r="S9" s="369"/>
      <c r="T9" s="369"/>
      <c r="U9" s="369"/>
    </row>
    <row r="10" spans="1:21" x14ac:dyDescent="0.2">
      <c r="A10" t="s">
        <v>3557</v>
      </c>
      <c r="I10" s="25">
        <v>0</v>
      </c>
      <c r="J10" s="25"/>
      <c r="M10" s="25"/>
      <c r="N10" s="25"/>
      <c r="O10" s="369"/>
      <c r="P10" s="369"/>
      <c r="Q10" s="25"/>
      <c r="R10" s="25"/>
      <c r="S10" s="369"/>
      <c r="T10" s="369"/>
      <c r="U10" s="369"/>
    </row>
    <row r="11" spans="1:21" x14ac:dyDescent="0.2">
      <c r="A11" s="182" t="s">
        <v>3558</v>
      </c>
      <c r="I11" s="25">
        <v>0</v>
      </c>
      <c r="J11" s="25"/>
      <c r="M11" s="25"/>
      <c r="N11" s="25"/>
      <c r="O11" s="369"/>
      <c r="P11" s="369"/>
      <c r="Q11" s="25"/>
      <c r="R11" s="25"/>
      <c r="S11" s="369"/>
      <c r="T11" s="369"/>
      <c r="U11" s="369"/>
    </row>
    <row r="12" spans="1:21" x14ac:dyDescent="0.2">
      <c r="A12" t="s">
        <v>3560</v>
      </c>
      <c r="I12" s="25">
        <v>0</v>
      </c>
      <c r="J12" s="25"/>
      <c r="M12" s="25"/>
      <c r="N12" s="25"/>
      <c r="O12" s="369"/>
      <c r="P12" s="369"/>
      <c r="Q12" s="25"/>
      <c r="R12" s="25"/>
      <c r="S12" s="369"/>
      <c r="T12" s="369"/>
      <c r="U12" s="369"/>
    </row>
    <row r="13" spans="1:21" x14ac:dyDescent="0.2">
      <c r="A13" t="s">
        <v>3561</v>
      </c>
      <c r="I13" s="25">
        <v>0</v>
      </c>
      <c r="J13" s="25"/>
      <c r="M13" s="25"/>
      <c r="N13" s="25"/>
      <c r="O13" s="369"/>
      <c r="P13" s="369"/>
      <c r="Q13" s="25">
        <v>55068042</v>
      </c>
      <c r="R13" s="25"/>
      <c r="S13" s="369"/>
      <c r="T13" s="369"/>
      <c r="U13" s="369"/>
    </row>
    <row r="14" spans="1:21" x14ac:dyDescent="0.2">
      <c r="A14" t="s">
        <v>3562</v>
      </c>
      <c r="I14" s="25">
        <f>7300373661*0.0000457</f>
        <v>333627</v>
      </c>
      <c r="J14" s="25"/>
      <c r="M14" s="25"/>
      <c r="N14" s="25"/>
      <c r="O14" s="369"/>
      <c r="P14" s="369"/>
      <c r="Q14" s="25">
        <v>7300373661</v>
      </c>
      <c r="R14" s="25"/>
      <c r="S14" s="369"/>
      <c r="T14" s="369"/>
      <c r="U14" s="369"/>
    </row>
    <row r="15" spans="1:21" x14ac:dyDescent="0.2">
      <c r="A15" t="s">
        <v>3564</v>
      </c>
      <c r="I15" s="25"/>
      <c r="J15" s="25">
        <f>99895159*0.0000457</f>
        <v>4565</v>
      </c>
      <c r="M15" s="25"/>
      <c r="N15" s="25">
        <v>2350861287</v>
      </c>
      <c r="O15" s="369"/>
      <c r="P15" s="369"/>
      <c r="Q15" s="25"/>
      <c r="R15" s="25">
        <v>99895159</v>
      </c>
      <c r="S15" s="369"/>
      <c r="T15" s="369"/>
      <c r="U15" s="369"/>
    </row>
    <row r="16" spans="1:21" x14ac:dyDescent="0.2">
      <c r="A16" t="s">
        <v>3565</v>
      </c>
      <c r="I16" s="25">
        <f>55068042*0.0000457</f>
        <v>2517</v>
      </c>
      <c r="J16" s="25">
        <v>0</v>
      </c>
      <c r="M16" s="25"/>
      <c r="N16" s="25">
        <v>12184938</v>
      </c>
      <c r="O16" s="369"/>
      <c r="P16" s="369"/>
      <c r="Q16" s="25"/>
      <c r="R16" s="25">
        <v>0</v>
      </c>
      <c r="S16" s="369"/>
      <c r="T16" s="369"/>
      <c r="U16" s="369"/>
    </row>
    <row r="17" spans="1:21" x14ac:dyDescent="0.2">
      <c r="A17" s="182" t="s">
        <v>3566</v>
      </c>
      <c r="I17" s="25"/>
      <c r="J17" s="25">
        <v>0</v>
      </c>
      <c r="M17" s="25"/>
      <c r="N17" s="25">
        <v>9029286691</v>
      </c>
      <c r="O17" s="369"/>
      <c r="P17" s="369"/>
      <c r="Q17" s="25"/>
      <c r="R17" s="25">
        <v>0</v>
      </c>
      <c r="S17" s="369"/>
      <c r="T17" s="369"/>
      <c r="U17" s="369"/>
    </row>
    <row r="18" spans="1:21" x14ac:dyDescent="0.2">
      <c r="A18" t="s">
        <v>3568</v>
      </c>
      <c r="I18" s="25"/>
      <c r="J18" s="25">
        <f>880612500*0.0000457</f>
        <v>40244</v>
      </c>
      <c r="M18" s="25"/>
      <c r="N18" s="25">
        <v>950812690</v>
      </c>
      <c r="O18" s="369"/>
      <c r="P18" s="369"/>
      <c r="Q18" s="25"/>
      <c r="R18" s="25">
        <v>880612500</v>
      </c>
      <c r="S18" s="369"/>
      <c r="T18" s="369"/>
      <c r="U18" s="369"/>
    </row>
    <row r="19" spans="1:21" x14ac:dyDescent="0.2">
      <c r="A19" t="s">
        <v>3569</v>
      </c>
      <c r="I19" s="25">
        <v>0</v>
      </c>
      <c r="J19" s="25"/>
      <c r="M19" s="25"/>
      <c r="N19" s="25"/>
      <c r="O19" s="369"/>
      <c r="P19" s="369"/>
      <c r="Q19" s="25"/>
      <c r="R19" s="25"/>
      <c r="S19" s="369"/>
      <c r="T19" s="369"/>
      <c r="U19" s="369"/>
    </row>
    <row r="20" spans="1:21" x14ac:dyDescent="0.2">
      <c r="A20" t="s">
        <v>3570</v>
      </c>
      <c r="I20" s="25">
        <v>0</v>
      </c>
      <c r="J20" s="25">
        <v>0</v>
      </c>
      <c r="M20" s="25"/>
      <c r="N20" s="25"/>
      <c r="O20" s="369"/>
      <c r="P20" s="369"/>
      <c r="Q20" s="25"/>
      <c r="R20" s="25"/>
      <c r="S20" s="369"/>
      <c r="T20" s="369"/>
      <c r="U20" s="369"/>
    </row>
    <row r="21" spans="1:21" x14ac:dyDescent="0.2">
      <c r="I21" s="5">
        <f>SUM(I3:I20)</f>
        <v>2032914</v>
      </c>
      <c r="J21" s="5">
        <f>SUM(J3:J20)</f>
        <v>2032914</v>
      </c>
      <c r="M21" s="5">
        <f>SUM(M3:M20)</f>
        <v>45128907170</v>
      </c>
      <c r="N21" s="5">
        <f>SUM(N3:N20)</f>
        <v>45129770065</v>
      </c>
      <c r="O21" s="369">
        <f>M21-N21</f>
        <v>-862895</v>
      </c>
      <c r="P21" s="369"/>
      <c r="Q21" s="5">
        <f>SUM(Q3:Q20)</f>
        <v>44483906652</v>
      </c>
      <c r="R21" s="5">
        <f>SUM(R3:R20)</f>
        <v>44483906660</v>
      </c>
      <c r="S21" s="369">
        <f>Q21-R21</f>
        <v>-8</v>
      </c>
      <c r="T21" s="369"/>
      <c r="U21" s="369"/>
    </row>
    <row r="22" spans="1:21" x14ac:dyDescent="0.2">
      <c r="O22" s="369"/>
      <c r="P22" s="369"/>
      <c r="Q22" s="369"/>
      <c r="R22" s="369"/>
      <c r="S22" s="369"/>
      <c r="T22" s="369"/>
      <c r="U22" s="369"/>
    </row>
    <row r="23" spans="1:21" x14ac:dyDescent="0.2">
      <c r="I23" s="5">
        <f>I21-J21</f>
        <v>0</v>
      </c>
    </row>
    <row r="30" spans="1:21" x14ac:dyDescent="0.2">
      <c r="C30">
        <f>44577535234-1074136233</f>
        <v>43503399001</v>
      </c>
    </row>
  </sheetData>
  <customSheetViews>
    <customSheetView guid="{D2B860EA-92EC-4999-9A59-C624E1F8C7FB}" state="hidden">
      <selection activeCell="I3" sqref="I3"/>
      <pageMargins left="0.7" right="0.7" top="0.75" bottom="0.75" header="0.3" footer="0.3"/>
      <pageSetup scale="75" orientation="landscape" r:id="rId1"/>
    </customSheetView>
    <customSheetView guid="{C1197650-3ED8-49E4-8E4C-0D1D4B503FC0}" state="hidden">
      <selection activeCell="I3" sqref="I3"/>
      <pageMargins left="0.7" right="0.7" top="0.75" bottom="0.75" header="0.3" footer="0.3"/>
      <pageSetup scale="75" orientation="landscape" r:id="rId2"/>
    </customSheetView>
  </customSheetViews>
  <conditionalFormatting sqref="A4:A20">
    <cfRule type="expression" dxfId="6" priority="2">
      <formula>#REF!=2</formula>
    </cfRule>
  </conditionalFormatting>
  <pageMargins left="0.7" right="0.7" top="0.75" bottom="0.75" header="0.3" footer="0.3"/>
  <pageSetup scale="75"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191"/>
  <sheetViews>
    <sheetView topLeftCell="A146" zoomScale="80" zoomScaleNormal="80" workbookViewId="0">
      <selection activeCell="E139" sqref="E139"/>
    </sheetView>
  </sheetViews>
  <sheetFormatPr defaultColWidth="9.140625" defaultRowHeight="12.75" x14ac:dyDescent="0.2"/>
  <cols>
    <col min="1" max="1" width="9.140625" style="736" customWidth="1"/>
    <col min="2" max="2" width="66" style="736" customWidth="1"/>
    <col min="3" max="3" width="27.85546875" style="736" customWidth="1"/>
    <col min="4" max="4" width="16.85546875" style="736" customWidth="1"/>
    <col min="5" max="5" width="17.5703125" style="736" customWidth="1"/>
    <col min="6" max="6" width="9.140625" style="736"/>
    <col min="7" max="8" width="15" style="736" bestFit="1" customWidth="1"/>
    <col min="9" max="9" width="11" style="736" customWidth="1"/>
    <col min="10" max="10" width="9.140625" style="736" customWidth="1"/>
    <col min="11" max="11" width="15" style="736" bestFit="1" customWidth="1"/>
    <col min="12" max="12" width="16" style="736" bestFit="1" customWidth="1"/>
    <col min="13" max="13" width="9.140625" style="736" customWidth="1"/>
    <col min="14" max="14" width="16.5703125" style="736" customWidth="1"/>
    <col min="15" max="16" width="11.28515625" style="736" bestFit="1" customWidth="1"/>
    <col min="17" max="17" width="10.85546875" style="736" customWidth="1"/>
    <col min="18" max="16384" width="9.140625" style="736"/>
  </cols>
  <sheetData>
    <row r="1" spans="1:12" ht="15.75" x14ac:dyDescent="0.25">
      <c r="A1" s="1269" t="s">
        <v>3616</v>
      </c>
      <c r="B1" s="1270"/>
      <c r="C1" s="1271"/>
    </row>
    <row r="4" spans="1:12" ht="81" customHeight="1" x14ac:dyDescent="0.2">
      <c r="A4" s="1272" t="s">
        <v>4064</v>
      </c>
      <c r="B4" s="1273"/>
      <c r="C4" s="1273"/>
    </row>
    <row r="5" spans="1:12" ht="12.75" customHeight="1" x14ac:dyDescent="0.2"/>
    <row r="6" spans="1:12" ht="12.75" customHeight="1" x14ac:dyDescent="0.2"/>
    <row r="7" spans="1:12" ht="12.75" customHeight="1" x14ac:dyDescent="0.2">
      <c r="A7" s="737" t="s">
        <v>539</v>
      </c>
      <c r="B7" s="1274" t="s">
        <v>3646</v>
      </c>
      <c r="C7" s="1275"/>
      <c r="D7" s="1275"/>
      <c r="E7" s="1275"/>
      <c r="F7" s="1275"/>
      <c r="G7" s="1275"/>
      <c r="H7" s="1275"/>
      <c r="I7" s="1275"/>
      <c r="J7" s="1275"/>
      <c r="K7" s="1275"/>
      <c r="L7" s="1275"/>
    </row>
    <row r="8" spans="1:12" ht="12.75" customHeight="1" x14ac:dyDescent="0.2">
      <c r="G8" s="560"/>
      <c r="H8" s="560"/>
      <c r="I8" s="738"/>
      <c r="J8" s="560"/>
      <c r="L8" s="560"/>
    </row>
    <row r="9" spans="1:12" ht="12.75" customHeight="1" x14ac:dyDescent="0.2">
      <c r="B9" s="736" t="s">
        <v>3645</v>
      </c>
      <c r="D9" s="560"/>
      <c r="F9" s="560"/>
      <c r="H9" s="560"/>
      <c r="I9" s="560"/>
    </row>
    <row r="10" spans="1:12" ht="12.75" customHeight="1" x14ac:dyDescent="0.2">
      <c r="D10" s="602"/>
      <c r="F10" s="560"/>
      <c r="H10" s="560"/>
      <c r="I10" s="813"/>
    </row>
    <row r="11" spans="1:12" ht="12.75" customHeight="1" x14ac:dyDescent="0.2">
      <c r="B11" s="739" t="s">
        <v>2033</v>
      </c>
      <c r="D11" s="616">
        <v>0.95</v>
      </c>
      <c r="F11" s="739"/>
      <c r="H11" s="560"/>
    </row>
    <row r="12" spans="1:12" ht="12.75" customHeight="1" x14ac:dyDescent="0.2">
      <c r="B12" s="739" t="s">
        <v>4068</v>
      </c>
      <c r="D12" s="616">
        <v>0.05</v>
      </c>
      <c r="E12" s="736" t="s">
        <v>3647</v>
      </c>
      <c r="F12" s="739"/>
      <c r="H12" s="560"/>
      <c r="I12" s="560"/>
    </row>
    <row r="13" spans="1:12" ht="12.75" customHeight="1" x14ac:dyDescent="0.2">
      <c r="B13" s="740" t="s">
        <v>2051</v>
      </c>
      <c r="D13" s="587">
        <f>SUM(D11:D12)</f>
        <v>1</v>
      </c>
      <c r="E13" s="739" t="str">
        <f>IF(D13=1,"=100%","DOES NOT EQUAL 100%!!!")</f>
        <v>=100%</v>
      </c>
      <c r="H13" s="560"/>
      <c r="I13" s="560"/>
    </row>
    <row r="14" spans="1:12" ht="12.75" customHeight="1" x14ac:dyDescent="0.2">
      <c r="B14" s="741"/>
      <c r="H14" s="560"/>
      <c r="I14" s="560"/>
    </row>
    <row r="15" spans="1:12" ht="12.75" customHeight="1" x14ac:dyDescent="0.2">
      <c r="B15" s="742" t="s">
        <v>3621</v>
      </c>
      <c r="H15" s="560"/>
      <c r="I15" s="560"/>
    </row>
    <row r="16" spans="1:12" ht="12.75" customHeight="1" x14ac:dyDescent="0.2">
      <c r="B16" s="741" t="s">
        <v>2052</v>
      </c>
      <c r="D16" s="616">
        <v>0.95</v>
      </c>
      <c r="H16" s="560"/>
      <c r="I16" s="560"/>
    </row>
    <row r="17" spans="1:11" ht="12.75" customHeight="1" x14ac:dyDescent="0.2">
      <c r="B17" s="741" t="s">
        <v>2053</v>
      </c>
      <c r="D17" s="616">
        <v>0</v>
      </c>
      <c r="H17" s="560"/>
      <c r="I17" s="560"/>
    </row>
    <row r="18" spans="1:11" ht="12.75" customHeight="1" x14ac:dyDescent="0.2">
      <c r="B18" s="741" t="s">
        <v>2054</v>
      </c>
      <c r="D18" s="616">
        <v>0</v>
      </c>
      <c r="H18" s="560"/>
      <c r="I18" s="560"/>
    </row>
    <row r="19" spans="1:11" ht="12.75" customHeight="1" x14ac:dyDescent="0.2">
      <c r="B19" s="741" t="s">
        <v>2055</v>
      </c>
      <c r="D19" s="616">
        <v>0</v>
      </c>
      <c r="H19" s="560"/>
      <c r="I19" s="560"/>
    </row>
    <row r="20" spans="1:11" ht="12.75" customHeight="1" x14ac:dyDescent="0.2">
      <c r="B20" s="741" t="s">
        <v>2056</v>
      </c>
      <c r="D20" s="616">
        <v>0</v>
      </c>
      <c r="H20" s="560"/>
      <c r="I20" s="560"/>
    </row>
    <row r="21" spans="1:11" ht="12.75" customHeight="1" x14ac:dyDescent="0.2">
      <c r="B21" s="741" t="s">
        <v>2057</v>
      </c>
      <c r="D21" s="616">
        <v>0</v>
      </c>
      <c r="H21" s="560"/>
      <c r="I21" s="560"/>
    </row>
    <row r="22" spans="1:11" ht="12.75" customHeight="1" x14ac:dyDescent="0.2">
      <c r="B22" s="741" t="s">
        <v>2058</v>
      </c>
      <c r="D22" s="616">
        <v>0</v>
      </c>
      <c r="H22" s="560"/>
      <c r="I22" s="560"/>
    </row>
    <row r="23" spans="1:11" ht="12.75" customHeight="1" x14ac:dyDescent="0.2">
      <c r="B23" s="741" t="s">
        <v>2059</v>
      </c>
      <c r="D23" s="616">
        <v>0</v>
      </c>
      <c r="H23" s="772"/>
      <c r="I23" s="560"/>
    </row>
    <row r="24" spans="1:11" ht="12.75" customHeight="1" x14ac:dyDescent="0.2">
      <c r="B24" s="741" t="s">
        <v>2060</v>
      </c>
      <c r="D24" s="616">
        <v>0</v>
      </c>
      <c r="H24" s="772"/>
      <c r="I24" s="560"/>
    </row>
    <row r="25" spans="1:11" ht="12.75" customHeight="1" x14ac:dyDescent="0.2">
      <c r="B25" s="740" t="s">
        <v>3631</v>
      </c>
      <c r="D25" s="587">
        <f>SUM(D16:D24)</f>
        <v>0.95</v>
      </c>
      <c r="E25" s="739" t="str">
        <f>IF(D25=D11,"Equals Governmental Activities","DOES NOT EQUAL Governmental Activities!!!")</f>
        <v>Equals Governmental Activities</v>
      </c>
      <c r="H25" s="560"/>
      <c r="I25" s="560"/>
    </row>
    <row r="26" spans="1:11" ht="12.75" customHeight="1" x14ac:dyDescent="0.2">
      <c r="D26" s="560"/>
      <c r="F26" s="560"/>
      <c r="H26" s="560"/>
      <c r="I26" s="560"/>
    </row>
    <row r="28" spans="1:11" ht="25.5" customHeight="1" x14ac:dyDescent="0.2">
      <c r="A28" s="737" t="s">
        <v>540</v>
      </c>
      <c r="B28" s="1276" t="s">
        <v>4056</v>
      </c>
      <c r="C28" s="1169"/>
      <c r="D28" s="1169"/>
      <c r="E28" s="1169"/>
    </row>
    <row r="31" spans="1:11" ht="16.5" customHeight="1" x14ac:dyDescent="0.2">
      <c r="B31" s="770" t="s">
        <v>4054</v>
      </c>
      <c r="C31" s="770"/>
      <c r="D31" s="968">
        <v>1985685</v>
      </c>
      <c r="E31" s="751"/>
      <c r="F31" s="743"/>
      <c r="G31" s="743"/>
      <c r="H31" s="743"/>
      <c r="I31" s="743"/>
      <c r="J31" s="743"/>
      <c r="K31" s="969"/>
    </row>
    <row r="32" spans="1:11" ht="17.45" customHeight="1" x14ac:dyDescent="0.2">
      <c r="B32" s="770" t="s">
        <v>4055</v>
      </c>
      <c r="C32" s="770"/>
      <c r="D32" s="968">
        <v>1474358</v>
      </c>
      <c r="E32" s="751"/>
      <c r="F32" s="743"/>
      <c r="G32" s="743"/>
      <c r="H32" s="743"/>
      <c r="I32" s="743"/>
      <c r="J32" s="743"/>
      <c r="K32" s="969"/>
    </row>
    <row r="33" spans="1:17" ht="17.45" customHeight="1" x14ac:dyDescent="0.2">
      <c r="B33" s="770" t="s">
        <v>3960</v>
      </c>
      <c r="C33" s="770"/>
      <c r="D33" s="968">
        <v>36876</v>
      </c>
      <c r="E33" s="751"/>
      <c r="F33" s="743"/>
      <c r="G33" s="743"/>
      <c r="H33" s="743"/>
      <c r="I33" s="743"/>
      <c r="J33" s="743"/>
      <c r="K33" s="969"/>
    </row>
    <row r="34" spans="1:17" ht="17.45" customHeight="1" x14ac:dyDescent="0.2">
      <c r="B34" s="770" t="s">
        <v>3655</v>
      </c>
      <c r="C34" s="770"/>
      <c r="D34" s="968">
        <v>69267</v>
      </c>
      <c r="E34" s="745"/>
      <c r="F34" s="743"/>
      <c r="G34" s="743"/>
      <c r="H34" s="743"/>
      <c r="I34" s="743"/>
      <c r="J34" s="743"/>
      <c r="K34" s="969"/>
    </row>
    <row r="35" spans="1:17" ht="17.45" customHeight="1" x14ac:dyDescent="0.2">
      <c r="B35" s="770" t="s">
        <v>4059</v>
      </c>
      <c r="C35" s="770"/>
      <c r="D35" s="968">
        <v>0</v>
      </c>
      <c r="E35" s="745"/>
      <c r="F35" s="743"/>
      <c r="G35" s="743"/>
      <c r="H35" s="743"/>
      <c r="I35" s="743"/>
      <c r="J35" s="743"/>
      <c r="K35" s="969"/>
    </row>
    <row r="36" spans="1:17" ht="17.45" customHeight="1" x14ac:dyDescent="0.2">
      <c r="B36" s="1277" t="s">
        <v>3961</v>
      </c>
      <c r="C36" s="1277"/>
      <c r="D36" s="968">
        <v>-136139</v>
      </c>
      <c r="E36" s="745"/>
      <c r="F36" s="1278"/>
      <c r="G36" s="1278"/>
      <c r="H36" s="1278"/>
      <c r="I36" s="1278"/>
      <c r="J36" s="1278"/>
      <c r="K36" s="1278"/>
    </row>
    <row r="37" spans="1:17" ht="17.45" customHeight="1" x14ac:dyDescent="0.2">
      <c r="B37" s="1277" t="s">
        <v>3962</v>
      </c>
      <c r="C37" s="1277"/>
      <c r="D37" s="968">
        <v>-406032</v>
      </c>
      <c r="E37" s="745"/>
      <c r="F37" s="1278"/>
      <c r="G37" s="1278"/>
      <c r="H37" s="1278"/>
      <c r="I37" s="1278"/>
      <c r="J37" s="1278"/>
      <c r="K37" s="1278"/>
    </row>
    <row r="38" spans="1:17" ht="17.45" customHeight="1" x14ac:dyDescent="0.2">
      <c r="B38" s="1277" t="s">
        <v>3963</v>
      </c>
      <c r="C38" s="1277"/>
      <c r="D38" s="968">
        <v>-1549</v>
      </c>
      <c r="E38" s="745"/>
      <c r="F38" s="970"/>
      <c r="G38" s="970"/>
      <c r="H38" s="970"/>
      <c r="I38" s="970"/>
      <c r="J38" s="970"/>
      <c r="K38" s="970"/>
    </row>
    <row r="39" spans="1:17" ht="17.45" customHeight="1" x14ac:dyDescent="0.2">
      <c r="B39" s="1277" t="s">
        <v>3652</v>
      </c>
      <c r="C39" s="1277"/>
      <c r="D39" s="968"/>
      <c r="E39" s="743"/>
      <c r="F39" s="1277" t="s">
        <v>3617</v>
      </c>
      <c r="G39" s="1277"/>
      <c r="H39" s="1277"/>
      <c r="I39" s="1277"/>
      <c r="J39" s="1277"/>
      <c r="K39" s="1277"/>
    </row>
    <row r="40" spans="1:17" ht="17.45" customHeight="1" x14ac:dyDescent="0.2">
      <c r="B40" s="1277" t="s">
        <v>3653</v>
      </c>
      <c r="C40" s="1277"/>
      <c r="D40" s="968"/>
      <c r="E40" s="743"/>
      <c r="F40" s="1277" t="s">
        <v>3617</v>
      </c>
      <c r="G40" s="1277"/>
      <c r="H40" s="1277"/>
      <c r="I40" s="1277"/>
      <c r="J40" s="1277"/>
      <c r="K40" s="1277"/>
      <c r="M40" s="746"/>
    </row>
    <row r="41" spans="1:17" ht="17.45" customHeight="1" x14ac:dyDescent="0.2">
      <c r="B41" s="1277" t="s">
        <v>3654</v>
      </c>
      <c r="C41" s="1277"/>
      <c r="D41" s="968"/>
      <c r="F41" s="1277" t="s">
        <v>3617</v>
      </c>
      <c r="G41" s="1277"/>
      <c r="H41" s="1277"/>
      <c r="I41" s="1277"/>
      <c r="J41" s="1277"/>
      <c r="K41" s="1277"/>
      <c r="M41" s="746"/>
    </row>
    <row r="43" spans="1:17" ht="38.25" x14ac:dyDescent="0.2">
      <c r="A43" s="737" t="s">
        <v>801</v>
      </c>
      <c r="B43" s="747" t="s">
        <v>3964</v>
      </c>
      <c r="L43" s="752"/>
      <c r="M43" s="748"/>
      <c r="N43" s="752"/>
      <c r="P43" s="752"/>
      <c r="Q43" s="752"/>
    </row>
    <row r="44" spans="1:17" x14ac:dyDescent="0.2">
      <c r="L44" s="752"/>
      <c r="M44" s="748"/>
      <c r="N44" s="752"/>
      <c r="P44" s="752"/>
      <c r="Q44" s="752"/>
    </row>
    <row r="45" spans="1:17" x14ac:dyDescent="0.2">
      <c r="D45" s="693"/>
      <c r="L45" s="752"/>
      <c r="N45" s="752"/>
      <c r="P45" s="752"/>
      <c r="Q45" s="752"/>
    </row>
    <row r="46" spans="1:17" ht="27" customHeight="1" x14ac:dyDescent="0.2">
      <c r="B46" s="1279" t="s">
        <v>4093</v>
      </c>
      <c r="C46" s="1279"/>
      <c r="D46" s="914">
        <v>43000</v>
      </c>
      <c r="K46" s="746"/>
      <c r="L46" s="752"/>
      <c r="M46" s="746"/>
      <c r="N46" s="752"/>
      <c r="O46" s="746"/>
      <c r="P46" s="752"/>
      <c r="Q46" s="752"/>
    </row>
    <row r="47" spans="1:17" x14ac:dyDescent="0.2">
      <c r="D47" s="693"/>
      <c r="L47" s="752"/>
      <c r="N47" s="752"/>
      <c r="P47" s="752"/>
      <c r="Q47" s="752"/>
    </row>
    <row r="48" spans="1:17" ht="29.25" customHeight="1" x14ac:dyDescent="0.2">
      <c r="B48" s="1279" t="s">
        <v>4092</v>
      </c>
      <c r="C48" s="1279"/>
      <c r="D48" s="914">
        <v>0</v>
      </c>
      <c r="L48" s="752"/>
      <c r="M48" s="746"/>
      <c r="N48" s="752"/>
      <c r="P48" s="752"/>
      <c r="Q48" s="752"/>
    </row>
    <row r="49" spans="2:17" x14ac:dyDescent="0.2">
      <c r="L49" s="752"/>
      <c r="M49" s="746"/>
      <c r="N49" s="752"/>
      <c r="Q49" s="752"/>
    </row>
    <row r="50" spans="2:17" ht="12.75" hidden="1" customHeight="1" x14ac:dyDescent="0.2">
      <c r="L50" s="752"/>
      <c r="O50" s="72"/>
      <c r="P50" s="72"/>
    </row>
    <row r="51" spans="2:17" ht="14.25" hidden="1" customHeight="1" x14ac:dyDescent="0.2">
      <c r="B51" s="743" t="s">
        <v>3649</v>
      </c>
      <c r="C51" s="743"/>
      <c r="D51" s="743"/>
      <c r="E51" s="743"/>
      <c r="F51" s="743"/>
      <c r="G51" s="743"/>
      <c r="H51" s="743"/>
      <c r="I51" s="743"/>
      <c r="J51" s="743"/>
      <c r="K51" s="752"/>
      <c r="M51" s="748"/>
      <c r="O51" s="72"/>
      <c r="P51" s="72"/>
    </row>
    <row r="52" spans="2:17" ht="14.25" hidden="1" customHeight="1" x14ac:dyDescent="0.2">
      <c r="B52" s="743" t="s">
        <v>3619</v>
      </c>
      <c r="C52" s="743"/>
      <c r="D52" s="743"/>
      <c r="E52" s="743"/>
      <c r="F52" s="743"/>
      <c r="G52" s="743"/>
      <c r="H52" s="743"/>
      <c r="I52" s="743"/>
      <c r="J52" s="743"/>
      <c r="K52" s="752"/>
      <c r="L52" s="749"/>
      <c r="M52" s="748"/>
      <c r="O52" s="72"/>
      <c r="P52" s="72"/>
    </row>
    <row r="53" spans="2:17" ht="14.25" hidden="1" customHeight="1" x14ac:dyDescent="0.2">
      <c r="B53" s="743" t="s">
        <v>3618</v>
      </c>
      <c r="C53" s="743"/>
      <c r="D53" s="743"/>
      <c r="E53" s="743"/>
      <c r="F53" s="743"/>
      <c r="G53" s="743"/>
      <c r="H53" s="743"/>
      <c r="I53" s="743"/>
      <c r="J53" s="743"/>
      <c r="K53" s="752"/>
      <c r="O53" s="72"/>
      <c r="P53" s="72"/>
    </row>
    <row r="54" spans="2:17" ht="14.25" hidden="1" customHeight="1" x14ac:dyDescent="0.2">
      <c r="B54" s="743" t="s">
        <v>3597</v>
      </c>
      <c r="C54" s="743"/>
      <c r="D54" s="743"/>
      <c r="E54" s="743"/>
      <c r="F54" s="743"/>
      <c r="G54" s="743"/>
      <c r="H54" s="743"/>
      <c r="I54" s="743"/>
      <c r="J54" s="743"/>
      <c r="K54" s="752"/>
      <c r="L54" s="750"/>
      <c r="O54" s="72"/>
      <c r="P54" s="72"/>
    </row>
    <row r="55" spans="2:17" ht="14.25" hidden="1" customHeight="1" x14ac:dyDescent="0.2">
      <c r="B55" s="743" t="s">
        <v>3598</v>
      </c>
      <c r="C55" s="743"/>
      <c r="D55" s="743"/>
      <c r="E55" s="743"/>
      <c r="F55" s="743"/>
      <c r="G55" s="743"/>
      <c r="H55" s="743"/>
      <c r="I55" s="743"/>
      <c r="J55" s="751"/>
      <c r="K55" s="752"/>
      <c r="L55" s="752"/>
      <c r="O55" s="72"/>
      <c r="P55" s="72"/>
    </row>
    <row r="56" spans="2:17" ht="14.25" hidden="1" customHeight="1" x14ac:dyDescent="0.2">
      <c r="B56" s="743" t="s">
        <v>3599</v>
      </c>
      <c r="C56" s="743"/>
      <c r="D56" s="743"/>
      <c r="E56" s="743"/>
      <c r="F56" s="743"/>
      <c r="G56" s="743"/>
      <c r="H56" s="743"/>
      <c r="I56" s="743"/>
      <c r="J56" s="743"/>
      <c r="K56" s="752"/>
      <c r="O56" s="72"/>
      <c r="P56" s="72"/>
    </row>
    <row r="57" spans="2:17" ht="14.25" hidden="1" customHeight="1" x14ac:dyDescent="0.2">
      <c r="B57" s="743" t="s">
        <v>3600</v>
      </c>
      <c r="C57" s="743"/>
      <c r="D57" s="743"/>
      <c r="E57" s="743"/>
      <c r="F57" s="743"/>
      <c r="G57" s="743"/>
      <c r="H57" s="743"/>
      <c r="I57" s="743"/>
      <c r="J57" s="743"/>
      <c r="K57" s="752"/>
      <c r="L57" s="72"/>
      <c r="O57" s="72"/>
      <c r="P57" s="72"/>
    </row>
    <row r="58" spans="2:17" ht="14.25" hidden="1" customHeight="1" x14ac:dyDescent="0.2">
      <c r="B58" s="743" t="s">
        <v>3601</v>
      </c>
      <c r="C58" s="743"/>
      <c r="D58" s="743"/>
      <c r="E58" s="743"/>
      <c r="F58" s="743"/>
      <c r="G58" s="743"/>
      <c r="H58" s="743"/>
      <c r="I58" s="743"/>
      <c r="J58" s="743"/>
      <c r="K58" s="752"/>
      <c r="O58" s="72"/>
      <c r="P58" s="72"/>
    </row>
    <row r="59" spans="2:17" ht="14.25" hidden="1" customHeight="1" x14ac:dyDescent="0.2">
      <c r="B59" s="743" t="s">
        <v>3602</v>
      </c>
      <c r="C59" s="743"/>
      <c r="D59" s="743"/>
      <c r="E59" s="743"/>
      <c r="F59" s="743"/>
      <c r="G59" s="743"/>
      <c r="H59" s="743"/>
      <c r="I59" s="743"/>
      <c r="J59" s="743"/>
      <c r="K59" s="752"/>
      <c r="L59" s="749"/>
      <c r="O59" s="72"/>
      <c r="P59" s="72"/>
    </row>
    <row r="60" spans="2:17" ht="14.25" hidden="1" customHeight="1" x14ac:dyDescent="0.2">
      <c r="B60" s="743" t="s">
        <v>3603</v>
      </c>
      <c r="C60" s="743"/>
      <c r="D60" s="743"/>
      <c r="E60" s="743"/>
      <c r="F60" s="743"/>
      <c r="G60" s="743"/>
      <c r="H60" s="743"/>
      <c r="I60" s="743"/>
      <c r="J60" s="743"/>
      <c r="K60" s="752"/>
      <c r="L60" s="749"/>
      <c r="O60" s="72"/>
      <c r="P60" s="72"/>
    </row>
    <row r="61" spans="2:17" ht="14.25" hidden="1" customHeight="1" x14ac:dyDescent="0.2">
      <c r="B61" s="743" t="s">
        <v>3604</v>
      </c>
      <c r="C61" s="743"/>
      <c r="D61" s="743"/>
      <c r="E61" s="743"/>
      <c r="F61" s="743"/>
      <c r="G61" s="743"/>
      <c r="H61" s="743"/>
      <c r="I61" s="743"/>
      <c r="J61" s="743"/>
      <c r="K61" s="752"/>
      <c r="L61" s="71"/>
      <c r="O61" s="72"/>
      <c r="P61" s="72"/>
    </row>
    <row r="62" spans="2:17" ht="14.25" hidden="1" customHeight="1" x14ac:dyDescent="0.2">
      <c r="B62" s="743" t="s">
        <v>3633</v>
      </c>
      <c r="C62" s="743"/>
      <c r="D62" s="743"/>
      <c r="E62" s="743"/>
      <c r="F62" s="743"/>
      <c r="G62" s="743"/>
      <c r="H62" s="743"/>
      <c r="I62" s="743"/>
      <c r="J62" s="743"/>
      <c r="K62" s="752"/>
      <c r="L62" s="749"/>
      <c r="O62" s="72"/>
      <c r="P62" s="72"/>
    </row>
    <row r="63" spans="2:17" ht="14.25" hidden="1" customHeight="1" x14ac:dyDescent="0.2">
      <c r="B63" s="743" t="s">
        <v>3635</v>
      </c>
      <c r="C63" s="743"/>
      <c r="D63" s="743"/>
      <c r="E63" s="743"/>
      <c r="F63" s="743"/>
      <c r="G63" s="743"/>
      <c r="H63" s="743"/>
      <c r="I63" s="743"/>
      <c r="J63" s="743"/>
      <c r="K63" s="752"/>
      <c r="L63" s="749"/>
      <c r="O63" s="72"/>
      <c r="P63" s="72"/>
    </row>
    <row r="64" spans="2:17" ht="14.25" hidden="1" customHeight="1" x14ac:dyDescent="0.2">
      <c r="B64" s="743" t="s">
        <v>3632</v>
      </c>
      <c r="C64" s="743"/>
      <c r="D64" s="743"/>
      <c r="E64" s="743"/>
      <c r="F64" s="743"/>
      <c r="G64" s="743"/>
      <c r="H64" s="743"/>
      <c r="I64" s="743"/>
      <c r="J64" s="743"/>
      <c r="K64" s="752"/>
      <c r="O64" s="72"/>
      <c r="P64" s="72"/>
    </row>
    <row r="65" spans="2:16" ht="14.25" hidden="1" customHeight="1" x14ac:dyDescent="0.2">
      <c r="B65" s="743" t="s">
        <v>3634</v>
      </c>
      <c r="C65" s="743"/>
      <c r="D65" s="743"/>
      <c r="E65" s="743"/>
      <c r="F65" s="743"/>
      <c r="G65" s="743"/>
      <c r="H65" s="743"/>
      <c r="I65" s="743"/>
      <c r="J65" s="743"/>
      <c r="K65" s="752"/>
      <c r="O65" s="72"/>
      <c r="P65" s="72"/>
    </row>
    <row r="66" spans="2:16" ht="14.25" hidden="1" customHeight="1" x14ac:dyDescent="0.2">
      <c r="C66" s="743"/>
      <c r="D66" s="743"/>
      <c r="E66" s="743"/>
      <c r="F66" s="743"/>
      <c r="G66" s="743"/>
      <c r="H66" s="743"/>
      <c r="I66" s="743"/>
      <c r="J66" s="743"/>
      <c r="K66" s="752"/>
      <c r="O66" s="72"/>
      <c r="P66" s="72"/>
    </row>
    <row r="67" spans="2:16" ht="14.25" hidden="1" customHeight="1" x14ac:dyDescent="0.2">
      <c r="C67" s="743"/>
      <c r="D67" s="743"/>
      <c r="E67" s="743"/>
      <c r="F67" s="743"/>
      <c r="G67" s="743"/>
      <c r="H67" s="743"/>
      <c r="I67" s="743"/>
      <c r="J67" s="743"/>
      <c r="K67" s="752"/>
      <c r="L67" s="752"/>
      <c r="O67" s="72"/>
      <c r="P67" s="72"/>
    </row>
    <row r="68" spans="2:16" ht="14.25" hidden="1" customHeight="1" x14ac:dyDescent="0.2">
      <c r="B68" s="743" t="s">
        <v>3605</v>
      </c>
      <c r="C68" s="743"/>
      <c r="D68" s="743"/>
      <c r="E68" s="743"/>
      <c r="F68" s="743"/>
      <c r="G68" s="743"/>
      <c r="H68" s="743"/>
      <c r="I68" s="771"/>
      <c r="J68" s="743"/>
      <c r="K68" s="752"/>
      <c r="L68" s="809"/>
      <c r="O68" s="72"/>
      <c r="P68" s="72"/>
    </row>
    <row r="69" spans="2:16" ht="14.25" hidden="1" customHeight="1" x14ac:dyDescent="0.2">
      <c r="B69" s="743"/>
      <c r="C69" s="743" t="s">
        <v>3606</v>
      </c>
      <c r="D69" s="743"/>
      <c r="E69" s="743"/>
      <c r="F69" s="743"/>
      <c r="G69" s="743"/>
      <c r="H69" s="743"/>
      <c r="I69" s="743"/>
      <c r="J69" s="743"/>
      <c r="K69" s="810"/>
      <c r="L69" s="72"/>
      <c r="O69" s="72"/>
      <c r="P69" s="72"/>
    </row>
    <row r="70" spans="2:16" ht="14.25" hidden="1" customHeight="1" x14ac:dyDescent="0.2">
      <c r="B70" s="743"/>
      <c r="C70" s="743"/>
      <c r="D70" s="743"/>
      <c r="E70" s="743"/>
      <c r="F70" s="743"/>
      <c r="G70" s="743"/>
      <c r="H70" s="743"/>
      <c r="I70" s="743"/>
      <c r="J70" s="743"/>
      <c r="K70" s="811"/>
      <c r="L70" s="750"/>
      <c r="O70" s="72"/>
      <c r="P70" s="72"/>
    </row>
    <row r="71" spans="2:16" ht="14.25" hidden="1" customHeight="1" x14ac:dyDescent="0.2">
      <c r="B71" s="743"/>
      <c r="C71" s="743"/>
      <c r="D71" s="743"/>
      <c r="E71" s="743"/>
      <c r="F71" s="743"/>
      <c r="G71" s="743"/>
      <c r="H71" s="743"/>
      <c r="I71" s="743"/>
      <c r="J71" s="743"/>
      <c r="K71" s="811"/>
      <c r="O71" s="72"/>
      <c r="P71" s="72"/>
    </row>
    <row r="72" spans="2:16" ht="14.25" hidden="1" customHeight="1" x14ac:dyDescent="0.2">
      <c r="B72" s="743"/>
      <c r="C72" s="743"/>
      <c r="D72" s="743"/>
      <c r="E72" s="743"/>
      <c r="F72" s="743"/>
      <c r="G72" s="743"/>
      <c r="H72" s="743"/>
      <c r="I72" s="743"/>
      <c r="J72" s="743"/>
      <c r="K72" s="811"/>
      <c r="O72" s="72"/>
      <c r="P72" s="72"/>
    </row>
    <row r="73" spans="2:16" ht="28.5" hidden="1" customHeight="1" x14ac:dyDescent="0.2">
      <c r="B73" s="745" t="s">
        <v>3607</v>
      </c>
      <c r="C73" s="743"/>
      <c r="D73" s="743"/>
      <c r="E73" s="743"/>
      <c r="F73" s="743"/>
      <c r="G73" s="743"/>
      <c r="H73" s="743"/>
      <c r="I73" s="743"/>
      <c r="J73" s="743"/>
      <c r="K73" s="752"/>
      <c r="O73" s="72"/>
      <c r="P73" s="72"/>
    </row>
    <row r="74" spans="2:16" ht="14.25" hidden="1" customHeight="1" x14ac:dyDescent="0.2">
      <c r="B74" s="768" t="s">
        <v>3622</v>
      </c>
      <c r="C74" s="743"/>
      <c r="D74" s="743"/>
      <c r="E74" s="743"/>
      <c r="F74" s="743"/>
      <c r="G74" s="743"/>
      <c r="H74" s="743"/>
      <c r="I74" s="743"/>
      <c r="J74" s="743"/>
      <c r="K74" s="752"/>
      <c r="L74" s="749"/>
      <c r="O74" s="72"/>
      <c r="P74" s="72"/>
    </row>
    <row r="75" spans="2:16" ht="14.25" hidden="1" customHeight="1" x14ac:dyDescent="0.2">
      <c r="B75" s="768" t="s">
        <v>3623</v>
      </c>
      <c r="C75" s="743"/>
      <c r="D75" s="743"/>
      <c r="E75" s="743"/>
      <c r="F75" s="743"/>
      <c r="G75" s="743"/>
      <c r="H75" s="743"/>
      <c r="I75" s="743"/>
      <c r="J75" s="743"/>
      <c r="K75" s="752"/>
      <c r="L75" s="749"/>
      <c r="O75" s="72"/>
      <c r="P75" s="72"/>
    </row>
    <row r="76" spans="2:16" ht="14.25" hidden="1" customHeight="1" x14ac:dyDescent="0.2">
      <c r="B76" s="768" t="s">
        <v>3624</v>
      </c>
      <c r="C76" s="743"/>
      <c r="D76" s="743"/>
      <c r="E76" s="743"/>
      <c r="F76" s="743"/>
      <c r="G76" s="743"/>
      <c r="H76" s="743"/>
      <c r="I76" s="743"/>
      <c r="J76" s="743"/>
      <c r="K76" s="752"/>
      <c r="L76" s="749"/>
      <c r="O76" s="72"/>
      <c r="P76" s="72"/>
    </row>
    <row r="77" spans="2:16" ht="14.25" hidden="1" customHeight="1" x14ac:dyDescent="0.2">
      <c r="B77" s="768" t="s">
        <v>3625</v>
      </c>
      <c r="C77" s="743"/>
      <c r="D77" s="743"/>
      <c r="E77" s="743"/>
      <c r="F77" s="743"/>
      <c r="G77" s="743"/>
      <c r="H77" s="743"/>
      <c r="I77" s="743"/>
      <c r="J77" s="743"/>
      <c r="K77" s="752"/>
      <c r="L77" s="749"/>
      <c r="O77" s="72"/>
      <c r="P77" s="72"/>
    </row>
    <row r="78" spans="2:16" ht="14.25" hidden="1" customHeight="1" x14ac:dyDescent="0.2">
      <c r="B78" s="768" t="s">
        <v>3626</v>
      </c>
      <c r="C78" s="743"/>
      <c r="D78" s="743"/>
      <c r="E78" s="743"/>
      <c r="F78" s="743"/>
      <c r="G78" s="743"/>
      <c r="H78" s="743"/>
      <c r="I78" s="743"/>
      <c r="J78" s="743"/>
      <c r="K78" s="752"/>
      <c r="L78" s="749"/>
      <c r="O78" s="72"/>
      <c r="P78" s="72"/>
    </row>
    <row r="79" spans="2:16" ht="14.25" hidden="1" customHeight="1" x14ac:dyDescent="0.2">
      <c r="B79" s="768" t="s">
        <v>3627</v>
      </c>
      <c r="C79" s="743"/>
      <c r="D79" s="743"/>
      <c r="E79" s="743"/>
      <c r="F79" s="743"/>
      <c r="G79" s="743"/>
      <c r="H79" s="743"/>
      <c r="I79" s="743"/>
      <c r="J79" s="743"/>
      <c r="K79" s="752"/>
      <c r="L79" s="749"/>
      <c r="O79" s="72"/>
      <c r="P79" s="72"/>
    </row>
    <row r="80" spans="2:16" ht="14.25" hidden="1" customHeight="1" x14ac:dyDescent="0.2">
      <c r="B80" s="768" t="s">
        <v>3628</v>
      </c>
      <c r="C80" s="743"/>
      <c r="D80" s="743"/>
      <c r="E80" s="743"/>
      <c r="F80" s="743"/>
      <c r="G80" s="743"/>
      <c r="H80" s="743"/>
      <c r="I80" s="743"/>
      <c r="J80" s="743"/>
      <c r="K80" s="752"/>
      <c r="L80" s="749"/>
      <c r="O80" s="72"/>
      <c r="P80" s="72"/>
    </row>
    <row r="81" spans="2:16" ht="14.25" hidden="1" customHeight="1" x14ac:dyDescent="0.2">
      <c r="B81" s="768" t="s">
        <v>3629</v>
      </c>
      <c r="C81" s="743"/>
      <c r="D81" s="743"/>
      <c r="E81" s="743"/>
      <c r="F81" s="743"/>
      <c r="G81" s="743"/>
      <c r="H81" s="743"/>
      <c r="I81" s="743"/>
      <c r="J81" s="743"/>
      <c r="K81" s="752"/>
      <c r="L81" s="749"/>
      <c r="O81" s="72"/>
      <c r="P81" s="72"/>
    </row>
    <row r="82" spans="2:16" ht="14.25" hidden="1" customHeight="1" x14ac:dyDescent="0.2">
      <c r="B82" s="768" t="s">
        <v>3630</v>
      </c>
      <c r="C82" s="743"/>
      <c r="D82" s="743"/>
      <c r="E82" s="743"/>
      <c r="F82" s="743"/>
      <c r="G82" s="743"/>
      <c r="H82" s="743"/>
      <c r="I82" s="743"/>
      <c r="J82" s="743"/>
      <c r="K82" s="752"/>
      <c r="L82" s="749"/>
      <c r="O82" s="72"/>
      <c r="P82" s="72"/>
    </row>
    <row r="83" spans="2:16" ht="14.25" hidden="1" customHeight="1" x14ac:dyDescent="0.2">
      <c r="C83" s="743"/>
      <c r="D83" s="743"/>
      <c r="E83" s="743"/>
      <c r="F83" s="743"/>
      <c r="G83" s="743"/>
      <c r="H83" s="743"/>
      <c r="I83" s="743"/>
      <c r="J83" s="743"/>
      <c r="K83" s="752"/>
      <c r="L83" s="752"/>
      <c r="O83" s="72"/>
      <c r="P83" s="72"/>
    </row>
    <row r="84" spans="2:16" ht="14.25" hidden="1" customHeight="1" x14ac:dyDescent="0.2">
      <c r="B84" s="743"/>
      <c r="C84" s="743" t="s">
        <v>3608</v>
      </c>
      <c r="D84" s="743"/>
      <c r="E84" s="743"/>
      <c r="F84" s="743"/>
      <c r="G84" s="743"/>
      <c r="H84" s="743"/>
      <c r="I84" s="743"/>
      <c r="J84" s="743"/>
      <c r="K84" s="752"/>
      <c r="O84" s="72"/>
      <c r="P84" s="72"/>
    </row>
    <row r="85" spans="2:16" ht="28.5" hidden="1" customHeight="1" x14ac:dyDescent="0.2">
      <c r="B85" s="745" t="s">
        <v>3620</v>
      </c>
      <c r="C85" s="743"/>
      <c r="D85" s="743"/>
      <c r="E85" s="743"/>
      <c r="F85" s="743"/>
      <c r="G85" s="743"/>
      <c r="H85" s="743"/>
      <c r="I85" s="743"/>
      <c r="J85" s="743"/>
      <c r="K85" s="752"/>
      <c r="O85" s="752"/>
    </row>
    <row r="86" spans="2:16" ht="14.25" hidden="1" customHeight="1" x14ac:dyDescent="0.2">
      <c r="B86" s="768" t="s">
        <v>3636</v>
      </c>
      <c r="C86" s="743"/>
      <c r="D86" s="743"/>
      <c r="E86" s="743"/>
      <c r="F86" s="743"/>
      <c r="G86" s="743"/>
      <c r="H86" s="743"/>
      <c r="I86" s="743"/>
      <c r="J86" s="743"/>
      <c r="K86" s="752"/>
      <c r="L86" s="749"/>
      <c r="P86" s="752"/>
    </row>
    <row r="87" spans="2:16" ht="14.25" hidden="1" customHeight="1" x14ac:dyDescent="0.2">
      <c r="B87" s="768" t="s">
        <v>3637</v>
      </c>
      <c r="C87" s="743"/>
      <c r="D87" s="743"/>
      <c r="E87" s="743"/>
      <c r="F87" s="743"/>
      <c r="G87" s="743"/>
      <c r="H87" s="743"/>
      <c r="I87" s="743"/>
      <c r="J87" s="743"/>
      <c r="K87" s="752"/>
      <c r="L87" s="749"/>
    </row>
    <row r="88" spans="2:16" ht="14.25" hidden="1" customHeight="1" x14ac:dyDescent="0.2">
      <c r="B88" s="768" t="s">
        <v>3638</v>
      </c>
      <c r="C88" s="743"/>
      <c r="D88" s="743"/>
      <c r="E88" s="743"/>
      <c r="F88" s="743"/>
      <c r="G88" s="743"/>
      <c r="H88" s="743"/>
      <c r="I88" s="743"/>
      <c r="J88" s="743"/>
      <c r="K88" s="752"/>
      <c r="L88" s="749"/>
    </row>
    <row r="89" spans="2:16" ht="14.25" hidden="1" customHeight="1" x14ac:dyDescent="0.2">
      <c r="B89" s="768" t="s">
        <v>3639</v>
      </c>
      <c r="C89" s="743"/>
      <c r="D89" s="743"/>
      <c r="E89" s="743"/>
      <c r="F89" s="743"/>
      <c r="G89" s="743"/>
      <c r="H89" s="743"/>
      <c r="I89" s="743"/>
      <c r="J89" s="743"/>
      <c r="K89" s="752"/>
      <c r="L89" s="749"/>
    </row>
    <row r="90" spans="2:16" ht="14.25" hidden="1" customHeight="1" x14ac:dyDescent="0.2">
      <c r="B90" s="768" t="s">
        <v>3640</v>
      </c>
      <c r="C90" s="743"/>
      <c r="D90" s="743"/>
      <c r="E90" s="743"/>
      <c r="F90" s="743"/>
      <c r="G90" s="743"/>
      <c r="H90" s="743"/>
      <c r="I90" s="743"/>
      <c r="J90" s="743"/>
      <c r="K90" s="752"/>
      <c r="L90" s="749"/>
    </row>
    <row r="91" spans="2:16" ht="14.25" hidden="1" customHeight="1" x14ac:dyDescent="0.2">
      <c r="B91" s="768" t="s">
        <v>3641</v>
      </c>
      <c r="C91" s="743"/>
      <c r="D91" s="743"/>
      <c r="E91" s="743"/>
      <c r="F91" s="743"/>
      <c r="G91" s="743"/>
      <c r="H91" s="743"/>
      <c r="I91" s="743"/>
      <c r="J91" s="743"/>
      <c r="K91" s="752"/>
      <c r="L91" s="749"/>
    </row>
    <row r="92" spans="2:16" ht="14.25" hidden="1" customHeight="1" x14ac:dyDescent="0.2">
      <c r="B92" s="768" t="s">
        <v>3642</v>
      </c>
      <c r="C92" s="743"/>
      <c r="D92" s="743"/>
      <c r="E92" s="743"/>
      <c r="F92" s="743"/>
      <c r="G92" s="743"/>
      <c r="H92" s="743"/>
      <c r="I92" s="743"/>
      <c r="J92" s="743"/>
      <c r="K92" s="752"/>
      <c r="L92" s="749"/>
    </row>
    <row r="93" spans="2:16" ht="14.25" hidden="1" customHeight="1" x14ac:dyDescent="0.2">
      <c r="B93" s="768" t="s">
        <v>3643</v>
      </c>
      <c r="C93" s="743"/>
      <c r="D93" s="743"/>
      <c r="E93" s="743"/>
      <c r="F93" s="743"/>
      <c r="G93" s="743"/>
      <c r="H93" s="743"/>
      <c r="I93" s="743"/>
      <c r="J93" s="743"/>
      <c r="K93" s="752"/>
      <c r="L93" s="749"/>
    </row>
    <row r="94" spans="2:16" ht="14.25" hidden="1" customHeight="1" x14ac:dyDescent="0.2">
      <c r="B94" s="768" t="s">
        <v>3644</v>
      </c>
      <c r="C94" s="743"/>
      <c r="D94" s="743"/>
      <c r="E94" s="743"/>
      <c r="F94" s="743"/>
      <c r="G94" s="743"/>
      <c r="H94" s="743"/>
      <c r="I94" s="743"/>
      <c r="J94" s="743"/>
      <c r="K94" s="752"/>
      <c r="L94" s="749"/>
    </row>
    <row r="95" spans="2:16" ht="14.25" hidden="1" customHeight="1" x14ac:dyDescent="0.2">
      <c r="B95" s="743"/>
      <c r="C95" s="743" t="s">
        <v>3610</v>
      </c>
      <c r="D95" s="743"/>
      <c r="E95" s="743"/>
      <c r="F95" s="743"/>
      <c r="G95" s="743"/>
      <c r="H95" s="743"/>
      <c r="I95" s="743"/>
      <c r="J95" s="743"/>
      <c r="K95" s="752"/>
      <c r="L95" s="752"/>
    </row>
    <row r="96" spans="2:16" ht="12.75" hidden="1" customHeight="1" x14ac:dyDescent="0.2"/>
    <row r="99" spans="1:9" x14ac:dyDescent="0.2">
      <c r="A99" s="753" t="s">
        <v>807</v>
      </c>
      <c r="B99" s="907" t="s">
        <v>4069</v>
      </c>
      <c r="C99" s="773"/>
      <c r="D99" s="773"/>
      <c r="E99" s="773"/>
      <c r="F99" s="773"/>
      <c r="G99" s="773"/>
      <c r="H99" s="773"/>
      <c r="I99" s="754"/>
    </row>
    <row r="102" spans="1:9" x14ac:dyDescent="0.2">
      <c r="B102" s="746"/>
      <c r="C102" s="626" t="s">
        <v>2029</v>
      </c>
      <c r="D102" s="626" t="s">
        <v>2030</v>
      </c>
    </row>
    <row r="103" spans="1:9" x14ac:dyDescent="0.2">
      <c r="B103" s="770" t="s">
        <v>1092</v>
      </c>
      <c r="C103" s="696">
        <f t="shared" ref="C103:D103" si="0">G149</f>
        <v>1851370</v>
      </c>
      <c r="D103" s="696">
        <f t="shared" si="0"/>
        <v>0</v>
      </c>
    </row>
    <row r="104" spans="1:9" x14ac:dyDescent="0.2">
      <c r="B104" s="746" t="s">
        <v>4058</v>
      </c>
      <c r="C104" s="696">
        <f t="shared" ref="C104" si="1">G150</f>
        <v>0</v>
      </c>
      <c r="D104" s="696">
        <f>H150</f>
        <v>1400640</v>
      </c>
    </row>
    <row r="105" spans="1:9" x14ac:dyDescent="0.2">
      <c r="B105" s="746" t="s">
        <v>4011</v>
      </c>
      <c r="C105" s="696">
        <f>G151</f>
        <v>65804</v>
      </c>
      <c r="D105" s="696">
        <f>H151</f>
        <v>0</v>
      </c>
      <c r="E105" s="749"/>
    </row>
    <row r="106" spans="1:9" x14ac:dyDescent="0.2">
      <c r="B106" s="746" t="s">
        <v>3953</v>
      </c>
      <c r="C106" s="696">
        <f t="shared" ref="C106:D113" si="2">G152</f>
        <v>0</v>
      </c>
      <c r="D106" s="696">
        <f t="shared" si="2"/>
        <v>0</v>
      </c>
    </row>
    <row r="107" spans="1:9" x14ac:dyDescent="0.2">
      <c r="B107" s="746" t="s">
        <v>3954</v>
      </c>
      <c r="C107" s="696">
        <f t="shared" si="2"/>
        <v>0</v>
      </c>
      <c r="D107" s="696">
        <f t="shared" si="2"/>
        <v>0</v>
      </c>
    </row>
    <row r="108" spans="1:9" x14ac:dyDescent="0.2">
      <c r="B108" s="746" t="s">
        <v>3955</v>
      </c>
      <c r="C108" s="696">
        <f t="shared" si="2"/>
        <v>0</v>
      </c>
      <c r="D108" s="696">
        <f t="shared" si="2"/>
        <v>0</v>
      </c>
    </row>
    <row r="109" spans="1:9" x14ac:dyDescent="0.2">
      <c r="B109" s="746" t="s">
        <v>3956</v>
      </c>
      <c r="C109" s="696">
        <f t="shared" si="2"/>
        <v>0</v>
      </c>
      <c r="D109" s="696">
        <f t="shared" si="2"/>
        <v>0</v>
      </c>
    </row>
    <row r="110" spans="1:9" x14ac:dyDescent="0.2">
      <c r="B110" s="746" t="s">
        <v>4009</v>
      </c>
      <c r="C110" s="696">
        <f t="shared" si="2"/>
        <v>0</v>
      </c>
      <c r="D110" s="696">
        <f t="shared" si="2"/>
        <v>0</v>
      </c>
    </row>
    <row r="111" spans="1:9" x14ac:dyDescent="0.2">
      <c r="B111" s="746" t="s">
        <v>3957</v>
      </c>
      <c r="C111" s="696">
        <f t="shared" si="2"/>
        <v>0</v>
      </c>
      <c r="D111" s="696">
        <f t="shared" si="2"/>
        <v>0</v>
      </c>
      <c r="E111" s="749"/>
    </row>
    <row r="112" spans="1:9" x14ac:dyDescent="0.2">
      <c r="B112" s="746" t="s">
        <v>3958</v>
      </c>
      <c r="C112" s="696">
        <f t="shared" si="2"/>
        <v>0</v>
      </c>
      <c r="D112" s="696">
        <f t="shared" si="2"/>
        <v>0</v>
      </c>
      <c r="E112" s="749"/>
    </row>
    <row r="113" spans="2:5" x14ac:dyDescent="0.2">
      <c r="B113" s="746" t="s">
        <v>3959</v>
      </c>
      <c r="C113" s="696">
        <f t="shared" si="2"/>
        <v>0</v>
      </c>
      <c r="D113" s="696">
        <f t="shared" si="2"/>
        <v>0</v>
      </c>
      <c r="E113" s="749"/>
    </row>
    <row r="114" spans="2:5" x14ac:dyDescent="0.2">
      <c r="B114" s="736" t="s">
        <v>4027</v>
      </c>
      <c r="C114" s="696">
        <f>G160</f>
        <v>0</v>
      </c>
      <c r="D114" s="696">
        <f>H160</f>
        <v>40850</v>
      </c>
    </row>
    <row r="115" spans="2:5" x14ac:dyDescent="0.2">
      <c r="B115" s="736" t="s">
        <v>4028</v>
      </c>
      <c r="C115" s="696">
        <f t="shared" ref="C115:D130" si="3">G161</f>
        <v>0</v>
      </c>
      <c r="D115" s="696">
        <f>H161</f>
        <v>0</v>
      </c>
    </row>
    <row r="116" spans="2:5" x14ac:dyDescent="0.2">
      <c r="B116" s="736" t="s">
        <v>4029</v>
      </c>
      <c r="C116" s="696">
        <f t="shared" si="3"/>
        <v>0</v>
      </c>
      <c r="D116" s="696">
        <f t="shared" si="3"/>
        <v>0</v>
      </c>
      <c r="E116" s="749"/>
    </row>
    <row r="117" spans="2:5" x14ac:dyDescent="0.2">
      <c r="B117" s="736" t="s">
        <v>4030</v>
      </c>
      <c r="C117" s="696">
        <f t="shared" si="3"/>
        <v>0</v>
      </c>
      <c r="D117" s="696">
        <f t="shared" si="3"/>
        <v>0</v>
      </c>
      <c r="E117" s="749"/>
    </row>
    <row r="118" spans="2:5" x14ac:dyDescent="0.2">
      <c r="B118" s="736" t="s">
        <v>4031</v>
      </c>
      <c r="C118" s="696">
        <f t="shared" si="3"/>
        <v>0</v>
      </c>
      <c r="D118" s="696">
        <f t="shared" si="3"/>
        <v>0</v>
      </c>
    </row>
    <row r="119" spans="2:5" x14ac:dyDescent="0.2">
      <c r="B119" s="736" t="s">
        <v>4032</v>
      </c>
      <c r="C119" s="696">
        <f t="shared" si="3"/>
        <v>0</v>
      </c>
      <c r="D119" s="696">
        <f t="shared" si="3"/>
        <v>0</v>
      </c>
    </row>
    <row r="120" spans="2:5" x14ac:dyDescent="0.2">
      <c r="B120" s="736" t="s">
        <v>4033</v>
      </c>
      <c r="C120" s="696">
        <f t="shared" si="3"/>
        <v>0</v>
      </c>
      <c r="D120" s="696">
        <f t="shared" si="3"/>
        <v>0</v>
      </c>
    </row>
    <row r="121" spans="2:5" x14ac:dyDescent="0.2">
      <c r="B121" s="736" t="s">
        <v>4034</v>
      </c>
      <c r="C121" s="696">
        <f t="shared" si="3"/>
        <v>0</v>
      </c>
      <c r="D121" s="696">
        <f t="shared" si="3"/>
        <v>0</v>
      </c>
    </row>
    <row r="122" spans="2:5" x14ac:dyDescent="0.2">
      <c r="B122" s="736" t="s">
        <v>4035</v>
      </c>
      <c r="C122" s="696">
        <f t="shared" si="3"/>
        <v>0</v>
      </c>
      <c r="D122" s="696">
        <f t="shared" si="3"/>
        <v>0</v>
      </c>
    </row>
    <row r="123" spans="2:5" x14ac:dyDescent="0.2">
      <c r="B123" s="736" t="s">
        <v>3636</v>
      </c>
      <c r="C123" s="696">
        <f t="shared" si="3"/>
        <v>0</v>
      </c>
      <c r="D123" s="696">
        <f t="shared" si="3"/>
        <v>0</v>
      </c>
    </row>
    <row r="124" spans="2:5" x14ac:dyDescent="0.2">
      <c r="B124" s="736" t="s">
        <v>3637</v>
      </c>
      <c r="C124" s="696">
        <f t="shared" si="3"/>
        <v>0</v>
      </c>
      <c r="D124" s="696">
        <f t="shared" si="3"/>
        <v>0</v>
      </c>
    </row>
    <row r="125" spans="2:5" x14ac:dyDescent="0.2">
      <c r="B125" s="736" t="s">
        <v>3638</v>
      </c>
      <c r="C125" s="696">
        <f t="shared" si="3"/>
        <v>0</v>
      </c>
      <c r="D125" s="696">
        <f t="shared" si="3"/>
        <v>0</v>
      </c>
    </row>
    <row r="126" spans="2:5" x14ac:dyDescent="0.2">
      <c r="B126" s="736" t="s">
        <v>3639</v>
      </c>
      <c r="C126" s="696">
        <f t="shared" si="3"/>
        <v>0</v>
      </c>
      <c r="D126" s="696">
        <f t="shared" si="3"/>
        <v>0</v>
      </c>
    </row>
    <row r="127" spans="2:5" x14ac:dyDescent="0.2">
      <c r="B127" s="736" t="s">
        <v>3640</v>
      </c>
      <c r="C127" s="696">
        <f t="shared" si="3"/>
        <v>0</v>
      </c>
      <c r="D127" s="696">
        <f t="shared" si="3"/>
        <v>0</v>
      </c>
    </row>
    <row r="128" spans="2:5" x14ac:dyDescent="0.2">
      <c r="B128" s="736" t="s">
        <v>3641</v>
      </c>
      <c r="C128" s="696">
        <f t="shared" si="3"/>
        <v>0</v>
      </c>
      <c r="D128" s="696">
        <f t="shared" si="3"/>
        <v>0</v>
      </c>
    </row>
    <row r="129" spans="2:8" x14ac:dyDescent="0.2">
      <c r="B129" s="736" t="s">
        <v>4010</v>
      </c>
      <c r="C129" s="696">
        <f t="shared" si="3"/>
        <v>0</v>
      </c>
      <c r="D129" s="696">
        <f t="shared" si="3"/>
        <v>0</v>
      </c>
    </row>
    <row r="130" spans="2:8" x14ac:dyDescent="0.2">
      <c r="B130" s="736" t="s">
        <v>3973</v>
      </c>
      <c r="C130" s="696">
        <f t="shared" si="3"/>
        <v>0</v>
      </c>
      <c r="D130" s="696">
        <f t="shared" si="3"/>
        <v>0</v>
      </c>
    </row>
    <row r="131" spans="2:8" x14ac:dyDescent="0.2">
      <c r="B131" s="736" t="s">
        <v>3644</v>
      </c>
      <c r="C131" s="696">
        <f t="shared" ref="C131:D139" si="4">G177</f>
        <v>0</v>
      </c>
      <c r="D131" s="696">
        <f t="shared" si="4"/>
        <v>0</v>
      </c>
    </row>
    <row r="132" spans="2:8" x14ac:dyDescent="0.2">
      <c r="B132" s="746" t="s">
        <v>3571</v>
      </c>
      <c r="C132" s="696">
        <f t="shared" si="4"/>
        <v>0</v>
      </c>
      <c r="D132" s="696">
        <f t="shared" si="4"/>
        <v>0</v>
      </c>
    </row>
    <row r="133" spans="2:8" x14ac:dyDescent="0.2">
      <c r="B133" s="746" t="s">
        <v>3572</v>
      </c>
      <c r="C133" s="696">
        <f t="shared" si="4"/>
        <v>0</v>
      </c>
      <c r="D133" s="696">
        <f t="shared" si="4"/>
        <v>0</v>
      </c>
    </row>
    <row r="134" spans="2:8" ht="25.5" x14ac:dyDescent="0.2">
      <c r="B134" s="746" t="s">
        <v>3650</v>
      </c>
      <c r="C134" s="696">
        <f t="shared" si="4"/>
        <v>0</v>
      </c>
      <c r="D134" s="696">
        <f t="shared" si="4"/>
        <v>0</v>
      </c>
    </row>
    <row r="135" spans="2:8" x14ac:dyDescent="0.2">
      <c r="B135" s="746" t="s">
        <v>3574</v>
      </c>
      <c r="C135" s="696">
        <f t="shared" si="4"/>
        <v>0</v>
      </c>
      <c r="D135" s="696">
        <f t="shared" si="4"/>
        <v>129332</v>
      </c>
    </row>
    <row r="136" spans="2:8" x14ac:dyDescent="0.2">
      <c r="B136" s="746" t="s">
        <v>3576</v>
      </c>
      <c r="C136" s="696">
        <f t="shared" si="4"/>
        <v>0</v>
      </c>
      <c r="D136" s="696">
        <f t="shared" si="4"/>
        <v>385730</v>
      </c>
    </row>
    <row r="137" spans="2:8" ht="25.5" x14ac:dyDescent="0.2">
      <c r="B137" s="746" t="s">
        <v>3651</v>
      </c>
      <c r="C137" s="696">
        <f>G183</f>
        <v>0</v>
      </c>
      <c r="D137" s="696">
        <f t="shared" si="4"/>
        <v>1472</v>
      </c>
      <c r="E137" s="749">
        <f>+D135+D136+D137</f>
        <v>516534</v>
      </c>
    </row>
    <row r="138" spans="2:8" ht="25.5" x14ac:dyDescent="0.2">
      <c r="B138" s="746" t="s">
        <v>4060</v>
      </c>
      <c r="C138" s="696">
        <f>G184</f>
        <v>40850</v>
      </c>
      <c r="D138" s="696">
        <f t="shared" si="4"/>
        <v>0</v>
      </c>
      <c r="E138" s="749">
        <f>+C138</f>
        <v>40850</v>
      </c>
    </row>
    <row r="139" spans="2:8" ht="25.5" x14ac:dyDescent="0.2">
      <c r="B139" s="746" t="s">
        <v>3656</v>
      </c>
      <c r="C139" s="696">
        <f>G185</f>
        <v>0</v>
      </c>
      <c r="D139" s="696">
        <f t="shared" si="4"/>
        <v>0</v>
      </c>
      <c r="E139" s="749">
        <f>+E137-E138</f>
        <v>475684</v>
      </c>
    </row>
    <row r="140" spans="2:8" x14ac:dyDescent="0.2">
      <c r="B140" s="746"/>
      <c r="C140" s="697"/>
      <c r="D140" s="697"/>
    </row>
    <row r="141" spans="2:8" ht="13.5" thickBot="1" x14ac:dyDescent="0.25">
      <c r="B141" s="746"/>
      <c r="C141" s="698">
        <f>SUM(C103:C140)</f>
        <v>1958024</v>
      </c>
      <c r="D141" s="698">
        <f>SUM(D103:D140)</f>
        <v>1958024</v>
      </c>
    </row>
    <row r="142" spans="2:8" ht="13.5" thickTop="1" x14ac:dyDescent="0.2"/>
    <row r="144" spans="2:8" ht="23.25" customHeight="1" x14ac:dyDescent="0.2">
      <c r="B144" s="755" t="s">
        <v>3613</v>
      </c>
      <c r="C144" s="755"/>
      <c r="D144" s="755"/>
      <c r="E144" s="755"/>
      <c r="F144" s="755"/>
      <c r="G144" s="755"/>
      <c r="H144" s="755"/>
    </row>
    <row r="145" spans="2:11" ht="12.75" customHeight="1" x14ac:dyDescent="0.2">
      <c r="B145" s="756"/>
      <c r="C145" s="756"/>
      <c r="D145" s="756"/>
      <c r="E145" s="756"/>
      <c r="F145" s="756"/>
      <c r="G145" s="756"/>
      <c r="H145" s="756"/>
      <c r="K145" s="749"/>
    </row>
    <row r="146" spans="2:11" ht="18" x14ac:dyDescent="0.2">
      <c r="C146" s="757"/>
      <c r="D146" s="758"/>
      <c r="E146" s="759"/>
      <c r="F146" s="756"/>
      <c r="G146" s="1280" t="s">
        <v>902</v>
      </c>
      <c r="H146" s="1281"/>
    </row>
    <row r="147" spans="2:11" x14ac:dyDescent="0.2">
      <c r="B147" s="746"/>
      <c r="C147" s="627"/>
      <c r="D147" s="734"/>
      <c r="E147" s="760"/>
      <c r="G147" s="761"/>
      <c r="H147" s="762"/>
    </row>
    <row r="148" spans="2:11" x14ac:dyDescent="0.2">
      <c r="B148" s="746"/>
      <c r="C148" s="594" t="s">
        <v>509</v>
      </c>
      <c r="D148" s="735" t="s">
        <v>510</v>
      </c>
      <c r="E148" s="763" t="s">
        <v>2070</v>
      </c>
      <c r="G148" s="764" t="s">
        <v>509</v>
      </c>
      <c r="H148" s="765" t="s">
        <v>510</v>
      </c>
    </row>
    <row r="149" spans="2:11" x14ac:dyDescent="0.2">
      <c r="B149" s="770" t="s">
        <v>1092</v>
      </c>
      <c r="C149" s="631">
        <f>IF(D31-D33-D35&gt;0,(D31-D33-D35)*D11,0)+1</f>
        <v>1851370</v>
      </c>
      <c r="D149" s="690">
        <f>IF(D31-D33-D35&lt;0,-(D31-D33-D35)*D11,0)</f>
        <v>0</v>
      </c>
      <c r="E149" s="704">
        <f t="shared" ref="E149" si="5">C149-D149</f>
        <v>1851370</v>
      </c>
      <c r="G149" s="705">
        <f t="shared" ref="G149" si="6">IF(E149&lt;0,0,E149)</f>
        <v>1851370</v>
      </c>
      <c r="H149" s="630">
        <f t="shared" ref="H149" si="7">IF(E149&gt;0,0,E149*-1)</f>
        <v>0</v>
      </c>
    </row>
    <row r="150" spans="2:11" x14ac:dyDescent="0.2">
      <c r="B150" s="746" t="s">
        <v>4058</v>
      </c>
      <c r="C150" s="631">
        <f>IF(D32&lt;0,D32*D11,0)</f>
        <v>0</v>
      </c>
      <c r="D150" s="690">
        <f>IF(D32&gt;0,D32*D11,0)</f>
        <v>1400640</v>
      </c>
      <c r="E150" s="704">
        <f t="shared" ref="E150:E185" si="8">C150-D150</f>
        <v>-1400640</v>
      </c>
      <c r="G150" s="705">
        <f t="shared" ref="G150:G177" si="9">IF(E150&lt;0,0,E150)</f>
        <v>0</v>
      </c>
      <c r="H150" s="630">
        <f>IF(E150&gt;0,0,E150*-1)</f>
        <v>1400640</v>
      </c>
      <c r="J150" s="812"/>
    </row>
    <row r="151" spans="2:11" x14ac:dyDescent="0.2">
      <c r="B151" s="746" t="s">
        <v>4011</v>
      </c>
      <c r="C151" s="631">
        <f t="shared" ref="C151:C159" si="10">IF($D$34&gt;0,$D$34*D16,0)</f>
        <v>65804</v>
      </c>
      <c r="D151" s="690">
        <f t="shared" ref="D151:D159" si="11">IF($D$34&lt;0,-$D$34*D16,0)</f>
        <v>0</v>
      </c>
      <c r="E151" s="704">
        <f t="shared" si="8"/>
        <v>65804</v>
      </c>
      <c r="G151" s="705">
        <f t="shared" si="9"/>
        <v>65804</v>
      </c>
      <c r="H151" s="630">
        <f>IF(E151&gt;0,0,E151*-1)</f>
        <v>0</v>
      </c>
      <c r="I151" s="750"/>
    </row>
    <row r="152" spans="2:11" x14ac:dyDescent="0.2">
      <c r="B152" s="746" t="s">
        <v>3953</v>
      </c>
      <c r="C152" s="631">
        <f t="shared" si="10"/>
        <v>0</v>
      </c>
      <c r="D152" s="690">
        <f t="shared" si="11"/>
        <v>0</v>
      </c>
      <c r="E152" s="704">
        <f t="shared" si="8"/>
        <v>0</v>
      </c>
      <c r="G152" s="705">
        <f t="shared" si="9"/>
        <v>0</v>
      </c>
      <c r="H152" s="630">
        <f t="shared" ref="H152:H159" si="12">IF(E152&gt;0,0,E152*-1)</f>
        <v>0</v>
      </c>
    </row>
    <row r="153" spans="2:11" x14ac:dyDescent="0.2">
      <c r="B153" s="746" t="s">
        <v>3954</v>
      </c>
      <c r="C153" s="631">
        <f t="shared" si="10"/>
        <v>0</v>
      </c>
      <c r="D153" s="690">
        <f t="shared" si="11"/>
        <v>0</v>
      </c>
      <c r="E153" s="704">
        <f t="shared" si="8"/>
        <v>0</v>
      </c>
      <c r="G153" s="705">
        <f t="shared" si="9"/>
        <v>0</v>
      </c>
      <c r="H153" s="630">
        <f t="shared" si="12"/>
        <v>0</v>
      </c>
    </row>
    <row r="154" spans="2:11" x14ac:dyDescent="0.2">
      <c r="B154" s="746" t="s">
        <v>3955</v>
      </c>
      <c r="C154" s="631">
        <f t="shared" si="10"/>
        <v>0</v>
      </c>
      <c r="D154" s="690">
        <f t="shared" si="11"/>
        <v>0</v>
      </c>
      <c r="E154" s="704">
        <f t="shared" si="8"/>
        <v>0</v>
      </c>
      <c r="G154" s="705">
        <f t="shared" si="9"/>
        <v>0</v>
      </c>
      <c r="H154" s="630">
        <f t="shared" si="12"/>
        <v>0</v>
      </c>
    </row>
    <row r="155" spans="2:11" x14ac:dyDescent="0.2">
      <c r="B155" s="746" t="s">
        <v>3956</v>
      </c>
      <c r="C155" s="631">
        <f t="shared" si="10"/>
        <v>0</v>
      </c>
      <c r="D155" s="690">
        <f t="shared" si="11"/>
        <v>0</v>
      </c>
      <c r="E155" s="704">
        <f t="shared" si="8"/>
        <v>0</v>
      </c>
      <c r="G155" s="705">
        <f t="shared" si="9"/>
        <v>0</v>
      </c>
      <c r="H155" s="630">
        <f t="shared" si="12"/>
        <v>0</v>
      </c>
    </row>
    <row r="156" spans="2:11" x14ac:dyDescent="0.2">
      <c r="B156" s="746" t="s">
        <v>4009</v>
      </c>
      <c r="C156" s="631">
        <f t="shared" si="10"/>
        <v>0</v>
      </c>
      <c r="D156" s="690">
        <f t="shared" si="11"/>
        <v>0</v>
      </c>
      <c r="E156" s="704">
        <f t="shared" si="8"/>
        <v>0</v>
      </c>
      <c r="G156" s="705">
        <f t="shared" si="9"/>
        <v>0</v>
      </c>
      <c r="H156" s="630">
        <f t="shared" si="12"/>
        <v>0</v>
      </c>
    </row>
    <row r="157" spans="2:11" x14ac:dyDescent="0.2">
      <c r="B157" s="746" t="s">
        <v>3957</v>
      </c>
      <c r="C157" s="631">
        <f t="shared" si="10"/>
        <v>0</v>
      </c>
      <c r="D157" s="690">
        <f t="shared" si="11"/>
        <v>0</v>
      </c>
      <c r="E157" s="704">
        <f t="shared" si="8"/>
        <v>0</v>
      </c>
      <c r="G157" s="705">
        <f t="shared" si="9"/>
        <v>0</v>
      </c>
      <c r="H157" s="630">
        <f t="shared" si="12"/>
        <v>0</v>
      </c>
    </row>
    <row r="158" spans="2:11" x14ac:dyDescent="0.2">
      <c r="B158" s="746" t="s">
        <v>3958</v>
      </c>
      <c r="C158" s="631">
        <f t="shared" si="10"/>
        <v>0</v>
      </c>
      <c r="D158" s="690">
        <f t="shared" si="11"/>
        <v>0</v>
      </c>
      <c r="E158" s="704">
        <f t="shared" si="8"/>
        <v>0</v>
      </c>
      <c r="G158" s="705">
        <f t="shared" si="9"/>
        <v>0</v>
      </c>
      <c r="H158" s="630">
        <f t="shared" si="12"/>
        <v>0</v>
      </c>
    </row>
    <row r="159" spans="2:11" x14ac:dyDescent="0.2">
      <c r="B159" s="746" t="s">
        <v>3959</v>
      </c>
      <c r="C159" s="631">
        <f t="shared" si="10"/>
        <v>0</v>
      </c>
      <c r="D159" s="690">
        <f t="shared" si="11"/>
        <v>0</v>
      </c>
      <c r="E159" s="704">
        <f t="shared" si="8"/>
        <v>0</v>
      </c>
      <c r="G159" s="705">
        <f t="shared" si="9"/>
        <v>0</v>
      </c>
      <c r="H159" s="630">
        <f t="shared" si="12"/>
        <v>0</v>
      </c>
    </row>
    <row r="160" spans="2:11" x14ac:dyDescent="0.2">
      <c r="B160" s="736" t="s">
        <v>4027</v>
      </c>
      <c r="C160" s="631">
        <f t="shared" ref="C160:C168" si="13">IF($D$46&lt;0,-$D$46*D16,0)</f>
        <v>0</v>
      </c>
      <c r="D160" s="690">
        <f t="shared" ref="D160:D168" si="14">IF($D$46&gt;0,$D$46*$D16,0)</f>
        <v>40850</v>
      </c>
      <c r="E160" s="704">
        <f t="shared" si="8"/>
        <v>-40850</v>
      </c>
      <c r="G160" s="705">
        <f t="shared" si="9"/>
        <v>0</v>
      </c>
      <c r="H160" s="690">
        <f>IF(E160&gt;0,0,-E160)</f>
        <v>40850</v>
      </c>
    </row>
    <row r="161" spans="2:8" x14ac:dyDescent="0.2">
      <c r="B161" s="736" t="s">
        <v>4028</v>
      </c>
      <c r="C161" s="631">
        <f t="shared" si="13"/>
        <v>0</v>
      </c>
      <c r="D161" s="690">
        <f t="shared" si="14"/>
        <v>0</v>
      </c>
      <c r="E161" s="704">
        <f t="shared" si="8"/>
        <v>0</v>
      </c>
      <c r="G161" s="705">
        <f t="shared" si="9"/>
        <v>0</v>
      </c>
      <c r="H161" s="690">
        <f t="shared" ref="H161:H185" si="15">IF(E161&gt;0,0,-E161)</f>
        <v>0</v>
      </c>
    </row>
    <row r="162" spans="2:8" x14ac:dyDescent="0.2">
      <c r="B162" s="736" t="s">
        <v>4029</v>
      </c>
      <c r="C162" s="631">
        <f t="shared" si="13"/>
        <v>0</v>
      </c>
      <c r="D162" s="690">
        <f t="shared" si="14"/>
        <v>0</v>
      </c>
      <c r="E162" s="704">
        <f t="shared" si="8"/>
        <v>0</v>
      </c>
      <c r="G162" s="705">
        <f t="shared" si="9"/>
        <v>0</v>
      </c>
      <c r="H162" s="690">
        <f t="shared" si="15"/>
        <v>0</v>
      </c>
    </row>
    <row r="163" spans="2:8" x14ac:dyDescent="0.2">
      <c r="B163" s="736" t="s">
        <v>4030</v>
      </c>
      <c r="C163" s="631">
        <f t="shared" si="13"/>
        <v>0</v>
      </c>
      <c r="D163" s="690">
        <f t="shared" si="14"/>
        <v>0</v>
      </c>
      <c r="E163" s="704">
        <f t="shared" si="8"/>
        <v>0</v>
      </c>
      <c r="G163" s="705">
        <f t="shared" si="9"/>
        <v>0</v>
      </c>
      <c r="H163" s="690">
        <f t="shared" si="15"/>
        <v>0</v>
      </c>
    </row>
    <row r="164" spans="2:8" x14ac:dyDescent="0.2">
      <c r="B164" s="736" t="s">
        <v>4031</v>
      </c>
      <c r="C164" s="631">
        <f t="shared" si="13"/>
        <v>0</v>
      </c>
      <c r="D164" s="690">
        <f t="shared" si="14"/>
        <v>0</v>
      </c>
      <c r="E164" s="704">
        <f t="shared" si="8"/>
        <v>0</v>
      </c>
      <c r="G164" s="705">
        <f t="shared" si="9"/>
        <v>0</v>
      </c>
      <c r="H164" s="690">
        <f t="shared" si="15"/>
        <v>0</v>
      </c>
    </row>
    <row r="165" spans="2:8" x14ac:dyDescent="0.2">
      <c r="B165" s="736" t="s">
        <v>4032</v>
      </c>
      <c r="C165" s="631">
        <f t="shared" si="13"/>
        <v>0</v>
      </c>
      <c r="D165" s="690">
        <f t="shared" si="14"/>
        <v>0</v>
      </c>
      <c r="E165" s="704">
        <f t="shared" si="8"/>
        <v>0</v>
      </c>
      <c r="G165" s="705">
        <f t="shared" si="9"/>
        <v>0</v>
      </c>
      <c r="H165" s="690">
        <f t="shared" si="15"/>
        <v>0</v>
      </c>
    </row>
    <row r="166" spans="2:8" x14ac:dyDescent="0.2">
      <c r="B166" s="736" t="s">
        <v>4033</v>
      </c>
      <c r="C166" s="631">
        <f t="shared" si="13"/>
        <v>0</v>
      </c>
      <c r="D166" s="690">
        <f t="shared" si="14"/>
        <v>0</v>
      </c>
      <c r="E166" s="704">
        <f t="shared" si="8"/>
        <v>0</v>
      </c>
      <c r="G166" s="705">
        <f t="shared" si="9"/>
        <v>0</v>
      </c>
      <c r="H166" s="690">
        <f t="shared" si="15"/>
        <v>0</v>
      </c>
    </row>
    <row r="167" spans="2:8" x14ac:dyDescent="0.2">
      <c r="B167" s="736" t="s">
        <v>4034</v>
      </c>
      <c r="C167" s="631">
        <f t="shared" si="13"/>
        <v>0</v>
      </c>
      <c r="D167" s="690">
        <f t="shared" si="14"/>
        <v>0</v>
      </c>
      <c r="E167" s="704">
        <f t="shared" si="8"/>
        <v>0</v>
      </c>
      <c r="G167" s="705">
        <f t="shared" si="9"/>
        <v>0</v>
      </c>
      <c r="H167" s="690">
        <f t="shared" si="15"/>
        <v>0</v>
      </c>
    </row>
    <row r="168" spans="2:8" x14ac:dyDescent="0.2">
      <c r="B168" s="736" t="s">
        <v>4035</v>
      </c>
      <c r="C168" s="631">
        <f t="shared" si="13"/>
        <v>0</v>
      </c>
      <c r="D168" s="690">
        <f t="shared" si="14"/>
        <v>0</v>
      </c>
      <c r="E168" s="704">
        <f t="shared" si="8"/>
        <v>0</v>
      </c>
      <c r="G168" s="705">
        <f t="shared" si="9"/>
        <v>0</v>
      </c>
      <c r="H168" s="690">
        <f t="shared" si="15"/>
        <v>0</v>
      </c>
    </row>
    <row r="169" spans="2:8" x14ac:dyDescent="0.2">
      <c r="B169" s="736" t="s">
        <v>3636</v>
      </c>
      <c r="C169" s="631">
        <f>IF($D$48&lt;0,-$D$48,0)</f>
        <v>0</v>
      </c>
      <c r="D169" s="690">
        <f t="shared" ref="D169:D177" si="16">IF($D$48&gt;0,$D$48*$D16,0)</f>
        <v>0</v>
      </c>
      <c r="E169" s="704">
        <f t="shared" si="8"/>
        <v>0</v>
      </c>
      <c r="G169" s="705">
        <f t="shared" si="9"/>
        <v>0</v>
      </c>
      <c r="H169" s="690">
        <f t="shared" si="15"/>
        <v>0</v>
      </c>
    </row>
    <row r="170" spans="2:8" x14ac:dyDescent="0.2">
      <c r="B170" s="736" t="s">
        <v>3637</v>
      </c>
      <c r="C170" s="631">
        <f t="shared" ref="C170:C177" si="17">IF($D$48&lt;0,-$D$48,0)</f>
        <v>0</v>
      </c>
      <c r="D170" s="690">
        <f t="shared" si="16"/>
        <v>0</v>
      </c>
      <c r="E170" s="704">
        <f t="shared" si="8"/>
        <v>0</v>
      </c>
      <c r="G170" s="705">
        <f t="shared" si="9"/>
        <v>0</v>
      </c>
      <c r="H170" s="690">
        <f t="shared" si="15"/>
        <v>0</v>
      </c>
    </row>
    <row r="171" spans="2:8" x14ac:dyDescent="0.2">
      <c r="B171" s="736" t="s">
        <v>3638</v>
      </c>
      <c r="C171" s="631">
        <f t="shared" si="17"/>
        <v>0</v>
      </c>
      <c r="D171" s="690">
        <f t="shared" si="16"/>
        <v>0</v>
      </c>
      <c r="E171" s="704">
        <f t="shared" si="8"/>
        <v>0</v>
      </c>
      <c r="G171" s="705">
        <f t="shared" si="9"/>
        <v>0</v>
      </c>
      <c r="H171" s="690">
        <f t="shared" si="15"/>
        <v>0</v>
      </c>
    </row>
    <row r="172" spans="2:8" x14ac:dyDescent="0.2">
      <c r="B172" s="736" t="s">
        <v>3639</v>
      </c>
      <c r="C172" s="631">
        <f t="shared" si="17"/>
        <v>0</v>
      </c>
      <c r="D172" s="690">
        <f t="shared" si="16"/>
        <v>0</v>
      </c>
      <c r="E172" s="704">
        <f t="shared" si="8"/>
        <v>0</v>
      </c>
      <c r="G172" s="705">
        <f t="shared" si="9"/>
        <v>0</v>
      </c>
      <c r="H172" s="690">
        <f t="shared" si="15"/>
        <v>0</v>
      </c>
    </row>
    <row r="173" spans="2:8" x14ac:dyDescent="0.2">
      <c r="B173" s="736" t="s">
        <v>3640</v>
      </c>
      <c r="C173" s="631">
        <f t="shared" si="17"/>
        <v>0</v>
      </c>
      <c r="D173" s="690">
        <f t="shared" si="16"/>
        <v>0</v>
      </c>
      <c r="E173" s="704">
        <f t="shared" si="8"/>
        <v>0</v>
      </c>
      <c r="G173" s="705">
        <f t="shared" si="9"/>
        <v>0</v>
      </c>
      <c r="H173" s="690">
        <f t="shared" si="15"/>
        <v>0</v>
      </c>
    </row>
    <row r="174" spans="2:8" x14ac:dyDescent="0.2">
      <c r="B174" s="736" t="s">
        <v>3641</v>
      </c>
      <c r="C174" s="631">
        <f t="shared" si="17"/>
        <v>0</v>
      </c>
      <c r="D174" s="690">
        <f t="shared" si="16"/>
        <v>0</v>
      </c>
      <c r="E174" s="704">
        <f t="shared" si="8"/>
        <v>0</v>
      </c>
      <c r="G174" s="705">
        <f t="shared" si="9"/>
        <v>0</v>
      </c>
      <c r="H174" s="690">
        <f t="shared" si="15"/>
        <v>0</v>
      </c>
    </row>
    <row r="175" spans="2:8" x14ac:dyDescent="0.2">
      <c r="B175" s="736" t="s">
        <v>4010</v>
      </c>
      <c r="C175" s="631">
        <f t="shared" si="17"/>
        <v>0</v>
      </c>
      <c r="D175" s="690">
        <f t="shared" si="16"/>
        <v>0</v>
      </c>
      <c r="E175" s="704">
        <f t="shared" si="8"/>
        <v>0</v>
      </c>
      <c r="G175" s="705">
        <f t="shared" si="9"/>
        <v>0</v>
      </c>
      <c r="H175" s="690">
        <f t="shared" si="15"/>
        <v>0</v>
      </c>
    </row>
    <row r="176" spans="2:8" x14ac:dyDescent="0.2">
      <c r="B176" s="736" t="s">
        <v>3973</v>
      </c>
      <c r="C176" s="631">
        <f t="shared" si="17"/>
        <v>0</v>
      </c>
      <c r="D176" s="690">
        <f t="shared" si="16"/>
        <v>0</v>
      </c>
      <c r="E176" s="704">
        <f t="shared" si="8"/>
        <v>0</v>
      </c>
      <c r="G176" s="705">
        <f t="shared" si="9"/>
        <v>0</v>
      </c>
      <c r="H176" s="690">
        <f t="shared" si="15"/>
        <v>0</v>
      </c>
    </row>
    <row r="177" spans="2:9" x14ac:dyDescent="0.2">
      <c r="B177" s="736" t="s">
        <v>3644</v>
      </c>
      <c r="C177" s="631">
        <f t="shared" si="17"/>
        <v>0</v>
      </c>
      <c r="D177" s="690">
        <f t="shared" si="16"/>
        <v>0</v>
      </c>
      <c r="E177" s="704">
        <f t="shared" si="8"/>
        <v>0</v>
      </c>
      <c r="G177" s="705">
        <f t="shared" si="9"/>
        <v>0</v>
      </c>
      <c r="H177" s="690">
        <f t="shared" si="15"/>
        <v>0</v>
      </c>
    </row>
    <row r="178" spans="2:9" x14ac:dyDescent="0.2">
      <c r="B178" s="746" t="s">
        <v>3571</v>
      </c>
      <c r="C178" s="631">
        <f>IF(D36&gt;0,D36*D25,0)</f>
        <v>0</v>
      </c>
      <c r="D178" s="690">
        <v>0</v>
      </c>
      <c r="E178" s="704">
        <f t="shared" si="8"/>
        <v>0</v>
      </c>
      <c r="G178" s="705">
        <f t="shared" ref="G178:G185" si="18">IF(E178&lt;0,0,E178)</f>
        <v>0</v>
      </c>
      <c r="H178" s="690">
        <f t="shared" si="15"/>
        <v>0</v>
      </c>
      <c r="I178" s="750"/>
    </row>
    <row r="179" spans="2:9" x14ac:dyDescent="0.2">
      <c r="B179" s="746" t="s">
        <v>3572</v>
      </c>
      <c r="C179" s="631">
        <f>IF(D37&gt;0,D37*D25,0)</f>
        <v>0</v>
      </c>
      <c r="D179" s="690">
        <v>0</v>
      </c>
      <c r="E179" s="704">
        <f t="shared" si="8"/>
        <v>0</v>
      </c>
      <c r="G179" s="705">
        <f t="shared" si="18"/>
        <v>0</v>
      </c>
      <c r="H179" s="690">
        <f t="shared" si="15"/>
        <v>0</v>
      </c>
      <c r="I179" s="750"/>
    </row>
    <row r="180" spans="2:9" ht="25.5" x14ac:dyDescent="0.2">
      <c r="B180" s="746" t="s">
        <v>3650</v>
      </c>
      <c r="C180" s="631">
        <f>IF(D38&gt;0,D38,0)</f>
        <v>0</v>
      </c>
      <c r="D180" s="690">
        <v>0</v>
      </c>
      <c r="E180" s="704">
        <f t="shared" si="8"/>
        <v>0</v>
      </c>
      <c r="G180" s="705">
        <f t="shared" si="18"/>
        <v>0</v>
      </c>
      <c r="H180" s="690">
        <f t="shared" si="15"/>
        <v>0</v>
      </c>
    </row>
    <row r="181" spans="2:9" x14ac:dyDescent="0.2">
      <c r="B181" s="746" t="s">
        <v>3574</v>
      </c>
      <c r="C181" s="631">
        <v>0</v>
      </c>
      <c r="D181" s="690">
        <f>IF(D36&lt;0,-D36,0)*D25</f>
        <v>129332</v>
      </c>
      <c r="E181" s="704">
        <f t="shared" si="8"/>
        <v>-129332</v>
      </c>
      <c r="G181" s="705">
        <f t="shared" si="18"/>
        <v>0</v>
      </c>
      <c r="H181" s="690">
        <f t="shared" si="15"/>
        <v>129332</v>
      </c>
    </row>
    <row r="182" spans="2:9" x14ac:dyDescent="0.2">
      <c r="B182" s="746" t="s">
        <v>3576</v>
      </c>
      <c r="C182" s="631">
        <v>0</v>
      </c>
      <c r="D182" s="690">
        <f>IF(D37&lt;0,-D37,0)*D25</f>
        <v>385730</v>
      </c>
      <c r="E182" s="704">
        <f t="shared" si="8"/>
        <v>-385730</v>
      </c>
      <c r="G182" s="705">
        <f t="shared" si="18"/>
        <v>0</v>
      </c>
      <c r="H182" s="690">
        <f t="shared" si="15"/>
        <v>385730</v>
      </c>
    </row>
    <row r="183" spans="2:9" ht="25.5" x14ac:dyDescent="0.2">
      <c r="B183" s="746" t="s">
        <v>3651</v>
      </c>
      <c r="C183" s="631">
        <v>0</v>
      </c>
      <c r="D183" s="690">
        <f>IF(D38&lt;0,-D38,)*D25</f>
        <v>1472</v>
      </c>
      <c r="E183" s="704">
        <f t="shared" si="8"/>
        <v>-1472</v>
      </c>
      <c r="G183" s="705">
        <f t="shared" si="18"/>
        <v>0</v>
      </c>
      <c r="H183" s="690">
        <f t="shared" si="15"/>
        <v>1472</v>
      </c>
    </row>
    <row r="184" spans="2:9" ht="25.5" x14ac:dyDescent="0.2">
      <c r="B184" s="746" t="s">
        <v>4060</v>
      </c>
      <c r="C184" s="631">
        <f>IF(D46&gt;0,D46*D25,0)</f>
        <v>40850</v>
      </c>
      <c r="D184" s="690">
        <f>IF(D46&lt;0,D46*D25,0)</f>
        <v>0</v>
      </c>
      <c r="E184" s="704">
        <f t="shared" si="8"/>
        <v>40850</v>
      </c>
      <c r="G184" s="705">
        <f t="shared" si="18"/>
        <v>40850</v>
      </c>
      <c r="H184" s="690">
        <f t="shared" si="15"/>
        <v>0</v>
      </c>
    </row>
    <row r="185" spans="2:9" ht="25.5" x14ac:dyDescent="0.2">
      <c r="B185" s="746" t="s">
        <v>3656</v>
      </c>
      <c r="C185" s="631">
        <f>IF(D48&gt;0,D48*D25,0)</f>
        <v>0</v>
      </c>
      <c r="D185" s="690">
        <f>IF(D48&lt;0,D48*D25,0)</f>
        <v>0</v>
      </c>
      <c r="E185" s="704">
        <f t="shared" si="8"/>
        <v>0</v>
      </c>
      <c r="G185" s="705">
        <f t="shared" si="18"/>
        <v>0</v>
      </c>
      <c r="H185" s="690">
        <f t="shared" si="15"/>
        <v>0</v>
      </c>
    </row>
    <row r="186" spans="2:9" x14ac:dyDescent="0.2">
      <c r="C186" s="766">
        <f>SUM(C149:C185)</f>
        <v>1958024</v>
      </c>
      <c r="D186" s="767">
        <f>SUM(D149:D185)</f>
        <v>1958024</v>
      </c>
      <c r="E186" s="708">
        <f>SUM(E148:E185)</f>
        <v>0</v>
      </c>
      <c r="G186" s="766">
        <f>SUM(G148:G185)</f>
        <v>1958024</v>
      </c>
      <c r="H186" s="767">
        <f>SUM(H148:H185)</f>
        <v>1958024</v>
      </c>
    </row>
    <row r="188" spans="2:9" x14ac:dyDescent="0.2">
      <c r="B188" s="749"/>
      <c r="C188" s="750"/>
      <c r="D188" s="749"/>
    </row>
    <row r="189" spans="2:9" x14ac:dyDescent="0.2">
      <c r="B189" s="750"/>
      <c r="C189" s="750"/>
      <c r="G189" s="749"/>
    </row>
    <row r="191" spans="2:9" x14ac:dyDescent="0.2">
      <c r="C191" s="750"/>
      <c r="D191" s="750"/>
    </row>
  </sheetData>
  <customSheetViews>
    <customSheetView guid="{D2B860EA-92EC-4999-9A59-C624E1F8C7FB}" scale="90" fitToPage="1" hiddenRows="1">
      <selection activeCell="I109" sqref="I109"/>
      <pageMargins left="0.25" right="0.25" top="0.75" bottom="0.75" header="0.3" footer="0.3"/>
      <pageSetup scale="25" orientation="landscape" r:id="rId1"/>
    </customSheetView>
    <customSheetView guid="{C1197650-3ED8-49E4-8E4C-0D1D4B503FC0}" scale="90" fitToPage="1" hiddenRows="1">
      <selection activeCell="I109" sqref="I109"/>
      <pageMargins left="0.25" right="0.25" top="0.75" bottom="0.75" header="0.3" footer="0.3"/>
      <pageSetup scale="25" orientation="landscape" r:id="rId2"/>
    </customSheetView>
  </customSheetViews>
  <mergeCells count="18">
    <mergeCell ref="B41:C41"/>
    <mergeCell ref="B46:C46"/>
    <mergeCell ref="B48:C48"/>
    <mergeCell ref="G146:H146"/>
    <mergeCell ref="B37:C37"/>
    <mergeCell ref="F37:K37"/>
    <mergeCell ref="B38:C38"/>
    <mergeCell ref="B39:C39"/>
    <mergeCell ref="F39:K39"/>
    <mergeCell ref="B40:C40"/>
    <mergeCell ref="F40:K40"/>
    <mergeCell ref="F41:K41"/>
    <mergeCell ref="A1:C1"/>
    <mergeCell ref="A4:C4"/>
    <mergeCell ref="B7:L7"/>
    <mergeCell ref="B28:E28"/>
    <mergeCell ref="B36:C36"/>
    <mergeCell ref="F36:K36"/>
  </mergeCells>
  <conditionalFormatting sqref="M34:M45">
    <cfRule type="expression" dxfId="5" priority="3">
      <formula>#REF!=2</formula>
    </cfRule>
  </conditionalFormatting>
  <conditionalFormatting sqref="M47:M55">
    <cfRule type="expression" dxfId="4" priority="1">
      <formula>#REF!=2</formula>
    </cfRule>
  </conditionalFormatting>
  <pageMargins left="0.25" right="0.25" top="0.75" bottom="0.75" header="0.3" footer="0.3"/>
  <pageSetup scale="25"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91"/>
  <sheetViews>
    <sheetView topLeftCell="A116" workbookViewId="0">
      <selection sqref="A1:C1"/>
    </sheetView>
  </sheetViews>
  <sheetFormatPr defaultColWidth="9.140625" defaultRowHeight="12.75" x14ac:dyDescent="0.2"/>
  <cols>
    <col min="1" max="1" width="9.140625" style="736" customWidth="1"/>
    <col min="2" max="2" width="54.42578125" style="736" customWidth="1"/>
    <col min="3" max="3" width="27.85546875" style="736" customWidth="1"/>
    <col min="4" max="4" width="16.85546875" style="736" customWidth="1"/>
    <col min="5" max="5" width="17.5703125" style="736" customWidth="1"/>
    <col min="6" max="6" width="9.140625" style="736"/>
    <col min="7" max="8" width="15" style="736" bestFit="1" customWidth="1"/>
    <col min="9" max="9" width="11" style="736" customWidth="1"/>
    <col min="10" max="10" width="9.140625" style="736" customWidth="1"/>
    <col min="11" max="11" width="15" style="736" bestFit="1" customWidth="1"/>
    <col min="12" max="12" width="16" style="736" bestFit="1" customWidth="1"/>
    <col min="13" max="13" width="9.140625" style="736" customWidth="1"/>
    <col min="14" max="14" width="16.5703125" style="736" customWidth="1"/>
    <col min="15" max="16" width="11.28515625" style="736" bestFit="1" customWidth="1"/>
    <col min="17" max="17" width="10.85546875" style="736" customWidth="1"/>
    <col min="18" max="16384" width="9.140625" style="736"/>
  </cols>
  <sheetData>
    <row r="1" spans="1:12" ht="15.75" x14ac:dyDescent="0.25">
      <c r="A1" s="1269" t="s">
        <v>3616</v>
      </c>
      <c r="B1" s="1270"/>
      <c r="C1" s="1271"/>
    </row>
    <row r="4" spans="1:12" ht="81" customHeight="1" x14ac:dyDescent="0.2">
      <c r="A4" s="1272" t="s">
        <v>4063</v>
      </c>
      <c r="B4" s="1273"/>
      <c r="C4" s="1273"/>
    </row>
    <row r="5" spans="1:12" ht="12.75" customHeight="1" x14ac:dyDescent="0.2"/>
    <row r="6" spans="1:12" ht="12.75" customHeight="1" x14ac:dyDescent="0.2"/>
    <row r="7" spans="1:12" ht="12.75" customHeight="1" x14ac:dyDescent="0.2">
      <c r="A7" s="737" t="s">
        <v>539</v>
      </c>
      <c r="B7" s="1274" t="s">
        <v>3646</v>
      </c>
      <c r="C7" s="1275"/>
      <c r="D7" s="1275"/>
      <c r="E7" s="1275"/>
      <c r="F7" s="1275"/>
      <c r="G7" s="1275"/>
      <c r="H7" s="1275"/>
      <c r="I7" s="1275"/>
      <c r="J7" s="1275"/>
      <c r="K7" s="1275"/>
      <c r="L7" s="1275"/>
    </row>
    <row r="8" spans="1:12" ht="12.75" customHeight="1" x14ac:dyDescent="0.2">
      <c r="G8" s="560"/>
      <c r="H8" s="560"/>
      <c r="I8" s="738"/>
      <c r="J8" s="560"/>
      <c r="L8" s="560"/>
    </row>
    <row r="9" spans="1:12" ht="12.75" customHeight="1" x14ac:dyDescent="0.2">
      <c r="B9" s="736" t="s">
        <v>3645</v>
      </c>
      <c r="D9" s="560"/>
      <c r="F9" s="560"/>
      <c r="H9" s="560"/>
      <c r="I9" s="560"/>
    </row>
    <row r="10" spans="1:12" ht="12.75" customHeight="1" x14ac:dyDescent="0.2">
      <c r="D10" s="602"/>
      <c r="F10" s="560"/>
      <c r="H10" s="560"/>
      <c r="I10" s="813"/>
    </row>
    <row r="11" spans="1:12" ht="12.75" customHeight="1" x14ac:dyDescent="0.2">
      <c r="B11" s="739" t="s">
        <v>2033</v>
      </c>
      <c r="D11" s="616">
        <v>0</v>
      </c>
      <c r="F11" s="739"/>
      <c r="H11" s="560"/>
    </row>
    <row r="12" spans="1:12" ht="12.75" customHeight="1" x14ac:dyDescent="0.2">
      <c r="B12" s="739" t="s">
        <v>4068</v>
      </c>
      <c r="D12" s="616">
        <v>0</v>
      </c>
      <c r="E12" s="736" t="s">
        <v>3647</v>
      </c>
      <c r="F12" s="739"/>
      <c r="H12" s="560"/>
      <c r="I12" s="560"/>
    </row>
    <row r="13" spans="1:12" ht="12.75" customHeight="1" x14ac:dyDescent="0.2">
      <c r="B13" s="740" t="s">
        <v>2051</v>
      </c>
      <c r="D13" s="587">
        <f>SUM(D11:D12)</f>
        <v>0</v>
      </c>
      <c r="E13" s="739" t="str">
        <f>IF(D13=1,"=100%","DOES NOT EQUAL 100%!!!")</f>
        <v>DOES NOT EQUAL 100%!!!</v>
      </c>
      <c r="H13" s="560"/>
      <c r="I13" s="560"/>
    </row>
    <row r="14" spans="1:12" ht="12.75" customHeight="1" x14ac:dyDescent="0.2">
      <c r="B14" s="741"/>
      <c r="H14" s="560"/>
      <c r="I14" s="560"/>
    </row>
    <row r="15" spans="1:12" ht="12.75" customHeight="1" x14ac:dyDescent="0.2">
      <c r="B15" s="742" t="s">
        <v>3621</v>
      </c>
      <c r="H15" s="560"/>
      <c r="I15" s="560"/>
    </row>
    <row r="16" spans="1:12" ht="12.75" customHeight="1" x14ac:dyDescent="0.2">
      <c r="B16" s="741" t="s">
        <v>2052</v>
      </c>
      <c r="D16" s="616">
        <v>0</v>
      </c>
      <c r="H16" s="560"/>
      <c r="I16" s="560"/>
    </row>
    <row r="17" spans="1:11" ht="12.75" customHeight="1" x14ac:dyDescent="0.2">
      <c r="B17" s="741" t="s">
        <v>2053</v>
      </c>
      <c r="D17" s="616">
        <v>0</v>
      </c>
      <c r="H17" s="560"/>
      <c r="I17" s="560"/>
    </row>
    <row r="18" spans="1:11" ht="12.75" customHeight="1" x14ac:dyDescent="0.2">
      <c r="B18" s="741" t="s">
        <v>2054</v>
      </c>
      <c r="D18" s="616">
        <v>0</v>
      </c>
      <c r="H18" s="560"/>
      <c r="I18" s="560"/>
    </row>
    <row r="19" spans="1:11" ht="12.75" customHeight="1" x14ac:dyDescent="0.2">
      <c r="B19" s="741" t="s">
        <v>2055</v>
      </c>
      <c r="D19" s="616">
        <v>0</v>
      </c>
      <c r="H19" s="560"/>
      <c r="I19" s="560"/>
    </row>
    <row r="20" spans="1:11" ht="12.75" customHeight="1" x14ac:dyDescent="0.2">
      <c r="B20" s="741" t="s">
        <v>2056</v>
      </c>
      <c r="D20" s="616">
        <v>0</v>
      </c>
      <c r="H20" s="560"/>
      <c r="I20" s="560"/>
    </row>
    <row r="21" spans="1:11" ht="12.75" customHeight="1" x14ac:dyDescent="0.2">
      <c r="B21" s="741" t="s">
        <v>2057</v>
      </c>
      <c r="D21" s="616">
        <v>0</v>
      </c>
      <c r="H21" s="560"/>
      <c r="I21" s="560"/>
    </row>
    <row r="22" spans="1:11" ht="12.75" customHeight="1" x14ac:dyDescent="0.2">
      <c r="B22" s="741" t="s">
        <v>2058</v>
      </c>
      <c r="D22" s="616">
        <v>0</v>
      </c>
      <c r="H22" s="560"/>
      <c r="I22" s="560"/>
    </row>
    <row r="23" spans="1:11" ht="12.75" customHeight="1" x14ac:dyDescent="0.2">
      <c r="B23" s="741" t="s">
        <v>2059</v>
      </c>
      <c r="D23" s="616">
        <v>0</v>
      </c>
      <c r="H23" s="772"/>
      <c r="I23" s="560"/>
    </row>
    <row r="24" spans="1:11" ht="12.75" customHeight="1" x14ac:dyDescent="0.2">
      <c r="B24" s="741" t="s">
        <v>2060</v>
      </c>
      <c r="D24" s="616">
        <v>0</v>
      </c>
      <c r="H24" s="772"/>
      <c r="I24" s="560"/>
    </row>
    <row r="25" spans="1:11" ht="12.75" customHeight="1" x14ac:dyDescent="0.2">
      <c r="B25" s="740" t="s">
        <v>3631</v>
      </c>
      <c r="D25" s="587">
        <f>SUM(D16:D24)</f>
        <v>0</v>
      </c>
      <c r="E25" s="739" t="str">
        <f>IF(D25=D11,"Equals Governmental Activities","DOES NOT EQUAL Governmental Activities!!!")</f>
        <v>Equals Governmental Activities</v>
      </c>
      <c r="H25" s="560"/>
      <c r="I25" s="560"/>
    </row>
    <row r="26" spans="1:11" ht="12.75" customHeight="1" x14ac:dyDescent="0.2">
      <c r="D26" s="560"/>
      <c r="F26" s="560"/>
      <c r="H26" s="560"/>
      <c r="I26" s="560"/>
    </row>
    <row r="28" spans="1:11" ht="25.5" customHeight="1" x14ac:dyDescent="0.2">
      <c r="A28" s="737" t="s">
        <v>540</v>
      </c>
      <c r="B28" s="1276" t="s">
        <v>4056</v>
      </c>
      <c r="C28" s="1169"/>
      <c r="D28" s="1169"/>
      <c r="E28" s="1169"/>
    </row>
    <row r="31" spans="1:11" ht="14.25" x14ac:dyDescent="0.2">
      <c r="B31" s="770" t="s">
        <v>4054</v>
      </c>
      <c r="C31" s="770"/>
      <c r="D31" s="913">
        <v>0</v>
      </c>
      <c r="E31" s="751"/>
      <c r="F31" s="743"/>
      <c r="G31" s="743"/>
      <c r="H31" s="743"/>
      <c r="I31" s="743"/>
      <c r="J31" s="743"/>
      <c r="K31" s="744"/>
    </row>
    <row r="32" spans="1:11" ht="14.25" x14ac:dyDescent="0.2">
      <c r="B32" s="770" t="s">
        <v>4055</v>
      </c>
      <c r="C32" s="770"/>
      <c r="D32" s="913"/>
      <c r="E32" s="743"/>
      <c r="F32" s="743"/>
      <c r="G32" s="743"/>
      <c r="H32" s="743"/>
      <c r="I32" s="743"/>
      <c r="J32" s="743"/>
      <c r="K32" s="744"/>
    </row>
    <row r="33" spans="1:17" ht="14.25" x14ac:dyDescent="0.2">
      <c r="B33" s="770" t="s">
        <v>3960</v>
      </c>
      <c r="C33" s="770"/>
      <c r="D33" s="913">
        <v>0</v>
      </c>
      <c r="E33" s="743"/>
      <c r="F33" s="743"/>
      <c r="G33" s="743"/>
      <c r="H33" s="743"/>
      <c r="I33" s="743"/>
      <c r="J33" s="743"/>
      <c r="K33" s="744"/>
    </row>
    <row r="34" spans="1:17" ht="14.25" x14ac:dyDescent="0.2">
      <c r="B34" s="770" t="s">
        <v>3655</v>
      </c>
      <c r="C34" s="770"/>
      <c r="D34" s="913">
        <v>0</v>
      </c>
      <c r="E34" s="745"/>
      <c r="F34" s="743"/>
      <c r="G34" s="743"/>
      <c r="H34" s="743"/>
      <c r="I34" s="743"/>
      <c r="J34" s="743"/>
      <c r="K34" s="744"/>
    </row>
    <row r="35" spans="1:17" ht="14.25" x14ac:dyDescent="0.2">
      <c r="B35" s="770" t="s">
        <v>4059</v>
      </c>
      <c r="C35" s="770"/>
      <c r="D35" s="913">
        <v>0</v>
      </c>
      <c r="E35" s="745"/>
      <c r="F35" s="743"/>
      <c r="G35" s="743"/>
      <c r="H35" s="743"/>
      <c r="I35" s="743"/>
      <c r="J35" s="743"/>
      <c r="K35" s="744"/>
    </row>
    <row r="36" spans="1:17" ht="27" customHeight="1" x14ac:dyDescent="0.2">
      <c r="B36" s="1282" t="s">
        <v>3961</v>
      </c>
      <c r="C36" s="1282"/>
      <c r="D36" s="913"/>
      <c r="E36" s="745"/>
      <c r="F36" s="1283"/>
      <c r="G36" s="1283"/>
      <c r="H36" s="1283"/>
      <c r="I36" s="1283"/>
      <c r="J36" s="1283"/>
      <c r="K36" s="1283"/>
    </row>
    <row r="37" spans="1:17" ht="19.5" customHeight="1" x14ac:dyDescent="0.2">
      <c r="B37" s="1282" t="s">
        <v>3962</v>
      </c>
      <c r="C37" s="1282"/>
      <c r="D37" s="913"/>
      <c r="E37" s="745"/>
      <c r="F37" s="1283"/>
      <c r="G37" s="1283"/>
      <c r="H37" s="1283"/>
      <c r="I37" s="1283"/>
      <c r="J37" s="1283"/>
      <c r="K37" s="1283"/>
    </row>
    <row r="38" spans="1:17" ht="21.75" customHeight="1" x14ac:dyDescent="0.2">
      <c r="B38" s="1282" t="s">
        <v>3963</v>
      </c>
      <c r="C38" s="1282"/>
      <c r="D38" s="913"/>
      <c r="E38" s="745"/>
      <c r="F38" s="881"/>
      <c r="G38" s="881"/>
      <c r="H38" s="881"/>
      <c r="I38" s="881"/>
      <c r="J38" s="881"/>
      <c r="K38" s="881"/>
    </row>
    <row r="39" spans="1:17" ht="17.25" customHeight="1" x14ac:dyDescent="0.2">
      <c r="B39" s="1282" t="s">
        <v>3652</v>
      </c>
      <c r="C39" s="1282"/>
      <c r="D39" s="913"/>
      <c r="E39" s="743"/>
      <c r="F39" s="1282" t="s">
        <v>3617</v>
      </c>
      <c r="G39" s="1282"/>
      <c r="H39" s="1282"/>
      <c r="I39" s="1282"/>
      <c r="J39" s="1282"/>
      <c r="K39" s="1282"/>
    </row>
    <row r="40" spans="1:17" ht="14.25" customHeight="1" x14ac:dyDescent="0.2">
      <c r="B40" s="1282" t="s">
        <v>3653</v>
      </c>
      <c r="C40" s="1282"/>
      <c r="D40" s="913"/>
      <c r="E40" s="743"/>
      <c r="F40" s="1282" t="s">
        <v>3617</v>
      </c>
      <c r="G40" s="1282"/>
      <c r="H40" s="1282"/>
      <c r="I40" s="1282"/>
      <c r="J40" s="1282"/>
      <c r="K40" s="1282"/>
      <c r="M40" s="746"/>
    </row>
    <row r="41" spans="1:17" ht="12.75" customHeight="1" x14ac:dyDescent="0.2">
      <c r="B41" s="1282" t="s">
        <v>3654</v>
      </c>
      <c r="C41" s="1282"/>
      <c r="D41" s="913"/>
      <c r="M41" s="746"/>
    </row>
    <row r="43" spans="1:17" ht="51" x14ac:dyDescent="0.2">
      <c r="A43" s="737" t="s">
        <v>540</v>
      </c>
      <c r="B43" s="747" t="s">
        <v>3964</v>
      </c>
      <c r="L43" s="752"/>
      <c r="M43" s="748"/>
      <c r="N43" s="752"/>
      <c r="P43" s="752"/>
      <c r="Q43" s="752"/>
    </row>
    <row r="44" spans="1:17" x14ac:dyDescent="0.2">
      <c r="L44" s="752"/>
      <c r="M44" s="748"/>
      <c r="N44" s="752"/>
      <c r="P44" s="752"/>
      <c r="Q44" s="752"/>
    </row>
    <row r="45" spans="1:17" x14ac:dyDescent="0.2">
      <c r="D45" s="693"/>
      <c r="L45" s="752"/>
      <c r="N45" s="752"/>
      <c r="P45" s="752"/>
      <c r="Q45" s="752"/>
    </row>
    <row r="46" spans="1:17" ht="27" customHeight="1" x14ac:dyDescent="0.2">
      <c r="B46" s="1279" t="s">
        <v>4062</v>
      </c>
      <c r="C46" s="1279"/>
      <c r="D46" s="914"/>
      <c r="K46" s="746"/>
      <c r="L46" s="752"/>
      <c r="M46" s="746"/>
      <c r="N46" s="752"/>
      <c r="O46" s="746"/>
      <c r="P46" s="752"/>
      <c r="Q46" s="752"/>
    </row>
    <row r="47" spans="1:17" x14ac:dyDescent="0.2">
      <c r="D47" s="693"/>
      <c r="L47" s="752"/>
      <c r="N47" s="752"/>
      <c r="P47" s="752"/>
      <c r="Q47" s="752"/>
    </row>
    <row r="48" spans="1:17" ht="29.25" customHeight="1" x14ac:dyDescent="0.2">
      <c r="B48" s="1279" t="s">
        <v>3648</v>
      </c>
      <c r="C48" s="1279"/>
      <c r="D48" s="914"/>
      <c r="L48" s="752"/>
      <c r="M48" s="746"/>
      <c r="N48" s="752"/>
      <c r="P48" s="752"/>
      <c r="Q48" s="752"/>
    </row>
    <row r="49" spans="2:17" x14ac:dyDescent="0.2">
      <c r="L49" s="752"/>
      <c r="M49" s="746"/>
      <c r="N49" s="752"/>
      <c r="Q49" s="752"/>
    </row>
    <row r="50" spans="2:17" ht="12.75" hidden="1" customHeight="1" x14ac:dyDescent="0.2">
      <c r="L50" s="752"/>
      <c r="O50" s="72"/>
      <c r="P50" s="72"/>
    </row>
    <row r="51" spans="2:17" ht="14.25" hidden="1" customHeight="1" x14ac:dyDescent="0.2">
      <c r="B51" s="743" t="s">
        <v>3649</v>
      </c>
      <c r="C51" s="743"/>
      <c r="D51" s="743"/>
      <c r="E51" s="743"/>
      <c r="F51" s="743"/>
      <c r="G51" s="743"/>
      <c r="H51" s="743"/>
      <c r="I51" s="743"/>
      <c r="J51" s="743"/>
      <c r="K51" s="752"/>
      <c r="M51" s="748"/>
      <c r="O51" s="72"/>
      <c r="P51" s="72"/>
    </row>
    <row r="52" spans="2:17" ht="14.25" hidden="1" customHeight="1" x14ac:dyDescent="0.2">
      <c r="B52" s="743" t="s">
        <v>3619</v>
      </c>
      <c r="C52" s="743"/>
      <c r="D52" s="743"/>
      <c r="E52" s="743"/>
      <c r="F52" s="743"/>
      <c r="G52" s="743"/>
      <c r="H52" s="743"/>
      <c r="I52" s="743"/>
      <c r="J52" s="743"/>
      <c r="K52" s="752"/>
      <c r="L52" s="749"/>
      <c r="M52" s="748"/>
      <c r="O52" s="72"/>
      <c r="P52" s="72"/>
    </row>
    <row r="53" spans="2:17" ht="14.25" hidden="1" customHeight="1" x14ac:dyDescent="0.2">
      <c r="B53" s="743" t="s">
        <v>3618</v>
      </c>
      <c r="C53" s="743"/>
      <c r="D53" s="743"/>
      <c r="E53" s="743"/>
      <c r="F53" s="743"/>
      <c r="G53" s="743"/>
      <c r="H53" s="743"/>
      <c r="I53" s="743"/>
      <c r="J53" s="743"/>
      <c r="K53" s="752"/>
      <c r="O53" s="72"/>
      <c r="P53" s="72"/>
    </row>
    <row r="54" spans="2:17" ht="14.25" hidden="1" customHeight="1" x14ac:dyDescent="0.2">
      <c r="B54" s="743" t="s">
        <v>3597</v>
      </c>
      <c r="C54" s="743"/>
      <c r="D54" s="743"/>
      <c r="E54" s="743"/>
      <c r="F54" s="743"/>
      <c r="G54" s="743"/>
      <c r="H54" s="743"/>
      <c r="I54" s="743"/>
      <c r="J54" s="743"/>
      <c r="K54" s="752"/>
      <c r="L54" s="750"/>
      <c r="O54" s="72"/>
      <c r="P54" s="72"/>
    </row>
    <row r="55" spans="2:17" ht="14.25" hidden="1" customHeight="1" x14ac:dyDescent="0.2">
      <c r="B55" s="743" t="s">
        <v>3598</v>
      </c>
      <c r="C55" s="743"/>
      <c r="D55" s="743"/>
      <c r="E55" s="743"/>
      <c r="F55" s="743"/>
      <c r="G55" s="743"/>
      <c r="H55" s="743"/>
      <c r="I55" s="743"/>
      <c r="J55" s="751"/>
      <c r="K55" s="752"/>
      <c r="L55" s="752"/>
      <c r="O55" s="72"/>
      <c r="P55" s="72"/>
    </row>
    <row r="56" spans="2:17" ht="14.25" hidden="1" customHeight="1" x14ac:dyDescent="0.2">
      <c r="B56" s="743" t="s">
        <v>3599</v>
      </c>
      <c r="C56" s="743"/>
      <c r="D56" s="743"/>
      <c r="E56" s="743"/>
      <c r="F56" s="743"/>
      <c r="G56" s="743"/>
      <c r="H56" s="743"/>
      <c r="I56" s="743"/>
      <c r="J56" s="743"/>
      <c r="K56" s="752"/>
      <c r="O56" s="72"/>
      <c r="P56" s="72"/>
    </row>
    <row r="57" spans="2:17" ht="14.25" hidden="1" customHeight="1" x14ac:dyDescent="0.2">
      <c r="B57" s="743" t="s">
        <v>3600</v>
      </c>
      <c r="C57" s="743"/>
      <c r="D57" s="743"/>
      <c r="E57" s="743"/>
      <c r="F57" s="743"/>
      <c r="G57" s="743"/>
      <c r="H57" s="743"/>
      <c r="I57" s="743"/>
      <c r="J57" s="743"/>
      <c r="K57" s="752"/>
      <c r="L57" s="72"/>
      <c r="O57" s="72"/>
      <c r="P57" s="72"/>
    </row>
    <row r="58" spans="2:17" ht="14.25" hidden="1" customHeight="1" x14ac:dyDescent="0.2">
      <c r="B58" s="743" t="s">
        <v>3601</v>
      </c>
      <c r="C58" s="743"/>
      <c r="D58" s="743"/>
      <c r="E58" s="743"/>
      <c r="F58" s="743"/>
      <c r="G58" s="743"/>
      <c r="H58" s="743"/>
      <c r="I58" s="743"/>
      <c r="J58" s="743"/>
      <c r="K58" s="752"/>
      <c r="O58" s="72"/>
      <c r="P58" s="72"/>
    </row>
    <row r="59" spans="2:17" ht="14.25" hidden="1" customHeight="1" x14ac:dyDescent="0.2">
      <c r="B59" s="743" t="s">
        <v>3602</v>
      </c>
      <c r="C59" s="743"/>
      <c r="D59" s="743"/>
      <c r="E59" s="743"/>
      <c r="F59" s="743"/>
      <c r="G59" s="743"/>
      <c r="H59" s="743"/>
      <c r="I59" s="743"/>
      <c r="J59" s="743"/>
      <c r="K59" s="752"/>
      <c r="L59" s="749"/>
      <c r="O59" s="72"/>
      <c r="P59" s="72"/>
    </row>
    <row r="60" spans="2:17" ht="14.25" hidden="1" customHeight="1" x14ac:dyDescent="0.2">
      <c r="B60" s="743" t="s">
        <v>3603</v>
      </c>
      <c r="C60" s="743"/>
      <c r="D60" s="743"/>
      <c r="E60" s="743"/>
      <c r="F60" s="743"/>
      <c r="G60" s="743"/>
      <c r="H60" s="743"/>
      <c r="I60" s="743"/>
      <c r="J60" s="743"/>
      <c r="K60" s="752"/>
      <c r="L60" s="749"/>
      <c r="O60" s="72"/>
      <c r="P60" s="72"/>
    </row>
    <row r="61" spans="2:17" ht="14.25" hidden="1" customHeight="1" x14ac:dyDescent="0.2">
      <c r="B61" s="743" t="s">
        <v>3604</v>
      </c>
      <c r="C61" s="743"/>
      <c r="D61" s="743"/>
      <c r="E61" s="743"/>
      <c r="F61" s="743"/>
      <c r="G61" s="743"/>
      <c r="H61" s="743"/>
      <c r="I61" s="743"/>
      <c r="J61" s="743"/>
      <c r="K61" s="752"/>
      <c r="L61" s="71"/>
      <c r="O61" s="72"/>
      <c r="P61" s="72"/>
    </row>
    <row r="62" spans="2:17" ht="14.25" hidden="1" customHeight="1" x14ac:dyDescent="0.2">
      <c r="B62" s="743" t="s">
        <v>3633</v>
      </c>
      <c r="C62" s="743"/>
      <c r="D62" s="743"/>
      <c r="E62" s="743"/>
      <c r="F62" s="743"/>
      <c r="G62" s="743"/>
      <c r="H62" s="743"/>
      <c r="I62" s="743"/>
      <c r="J62" s="743"/>
      <c r="K62" s="752"/>
      <c r="L62" s="749"/>
      <c r="O62" s="72"/>
      <c r="P62" s="72"/>
    </row>
    <row r="63" spans="2:17" ht="14.25" hidden="1" customHeight="1" x14ac:dyDescent="0.2">
      <c r="B63" s="743" t="s">
        <v>3635</v>
      </c>
      <c r="C63" s="743"/>
      <c r="D63" s="743"/>
      <c r="E63" s="743"/>
      <c r="F63" s="743"/>
      <c r="G63" s="743"/>
      <c r="H63" s="743"/>
      <c r="I63" s="743"/>
      <c r="J63" s="743"/>
      <c r="K63" s="752"/>
      <c r="L63" s="749"/>
      <c r="O63" s="72"/>
      <c r="P63" s="72"/>
    </row>
    <row r="64" spans="2:17" ht="14.25" hidden="1" customHeight="1" x14ac:dyDescent="0.2">
      <c r="B64" s="743" t="s">
        <v>3632</v>
      </c>
      <c r="C64" s="743"/>
      <c r="D64" s="743"/>
      <c r="E64" s="743"/>
      <c r="F64" s="743"/>
      <c r="G64" s="743"/>
      <c r="H64" s="743"/>
      <c r="I64" s="743"/>
      <c r="J64" s="743"/>
      <c r="K64" s="752"/>
      <c r="O64" s="72"/>
      <c r="P64" s="72"/>
    </row>
    <row r="65" spans="2:16" ht="14.25" hidden="1" customHeight="1" x14ac:dyDescent="0.2">
      <c r="B65" s="743" t="s">
        <v>3634</v>
      </c>
      <c r="C65" s="743"/>
      <c r="D65" s="743"/>
      <c r="E65" s="743"/>
      <c r="F65" s="743"/>
      <c r="G65" s="743"/>
      <c r="H65" s="743"/>
      <c r="I65" s="743"/>
      <c r="J65" s="743"/>
      <c r="K65" s="752"/>
      <c r="O65" s="72"/>
      <c r="P65" s="72"/>
    </row>
    <row r="66" spans="2:16" ht="14.25" hidden="1" customHeight="1" x14ac:dyDescent="0.2">
      <c r="C66" s="743"/>
      <c r="D66" s="743"/>
      <c r="E66" s="743"/>
      <c r="F66" s="743"/>
      <c r="G66" s="743"/>
      <c r="H66" s="743"/>
      <c r="I66" s="743"/>
      <c r="J66" s="743"/>
      <c r="K66" s="752"/>
      <c r="O66" s="72"/>
      <c r="P66" s="72"/>
    </row>
    <row r="67" spans="2:16" ht="14.25" hidden="1" customHeight="1" x14ac:dyDescent="0.2">
      <c r="C67" s="743"/>
      <c r="D67" s="743"/>
      <c r="E67" s="743"/>
      <c r="F67" s="743"/>
      <c r="G67" s="743"/>
      <c r="H67" s="743"/>
      <c r="I67" s="743"/>
      <c r="J67" s="743"/>
      <c r="K67" s="752"/>
      <c r="L67" s="752"/>
      <c r="O67" s="72"/>
      <c r="P67" s="72"/>
    </row>
    <row r="68" spans="2:16" ht="14.25" hidden="1" customHeight="1" x14ac:dyDescent="0.2">
      <c r="B68" s="743" t="s">
        <v>3605</v>
      </c>
      <c r="C68" s="743"/>
      <c r="D68" s="743"/>
      <c r="E68" s="743"/>
      <c r="F68" s="743"/>
      <c r="G68" s="743"/>
      <c r="H68" s="743"/>
      <c r="I68" s="771"/>
      <c r="J68" s="743"/>
      <c r="K68" s="752"/>
      <c r="L68" s="809"/>
      <c r="O68" s="72"/>
      <c r="P68" s="72"/>
    </row>
    <row r="69" spans="2:16" ht="14.25" hidden="1" customHeight="1" x14ac:dyDescent="0.2">
      <c r="B69" s="743"/>
      <c r="C69" s="743" t="s">
        <v>3606</v>
      </c>
      <c r="D69" s="743"/>
      <c r="E69" s="743"/>
      <c r="F69" s="743"/>
      <c r="G69" s="743"/>
      <c r="H69" s="743"/>
      <c r="I69" s="743"/>
      <c r="J69" s="743"/>
      <c r="K69" s="810"/>
      <c r="L69" s="72"/>
      <c r="O69" s="72"/>
      <c r="P69" s="72"/>
    </row>
    <row r="70" spans="2:16" ht="14.25" hidden="1" customHeight="1" x14ac:dyDescent="0.2">
      <c r="B70" s="743"/>
      <c r="C70" s="743"/>
      <c r="D70" s="743"/>
      <c r="E70" s="743"/>
      <c r="F70" s="743"/>
      <c r="G70" s="743"/>
      <c r="H70" s="743"/>
      <c r="I70" s="743"/>
      <c r="J70" s="743"/>
      <c r="K70" s="811"/>
      <c r="L70" s="750"/>
      <c r="O70" s="72"/>
      <c r="P70" s="72"/>
    </row>
    <row r="71" spans="2:16" ht="14.25" hidden="1" customHeight="1" x14ac:dyDescent="0.2">
      <c r="B71" s="743"/>
      <c r="C71" s="743"/>
      <c r="D71" s="743"/>
      <c r="E71" s="743"/>
      <c r="F71" s="743"/>
      <c r="G71" s="743"/>
      <c r="H71" s="743"/>
      <c r="I71" s="743"/>
      <c r="J71" s="743"/>
      <c r="K71" s="811"/>
      <c r="O71" s="72"/>
      <c r="P71" s="72"/>
    </row>
    <row r="72" spans="2:16" ht="14.25" hidden="1" customHeight="1" x14ac:dyDescent="0.2">
      <c r="B72" s="743"/>
      <c r="C72" s="743"/>
      <c r="D72" s="743"/>
      <c r="E72" s="743"/>
      <c r="F72" s="743"/>
      <c r="G72" s="743"/>
      <c r="H72" s="743"/>
      <c r="I72" s="743"/>
      <c r="J72" s="743"/>
      <c r="K72" s="811"/>
      <c r="O72" s="72"/>
      <c r="P72" s="72"/>
    </row>
    <row r="73" spans="2:16" ht="28.5" hidden="1" customHeight="1" x14ac:dyDescent="0.2">
      <c r="B73" s="745" t="s">
        <v>3607</v>
      </c>
      <c r="C73" s="743"/>
      <c r="D73" s="743"/>
      <c r="E73" s="743"/>
      <c r="F73" s="743"/>
      <c r="G73" s="743"/>
      <c r="H73" s="743"/>
      <c r="I73" s="743"/>
      <c r="J73" s="743"/>
      <c r="K73" s="752"/>
      <c r="O73" s="72"/>
      <c r="P73" s="72"/>
    </row>
    <row r="74" spans="2:16" ht="14.25" hidden="1" customHeight="1" x14ac:dyDescent="0.2">
      <c r="B74" s="768" t="s">
        <v>3622</v>
      </c>
      <c r="C74" s="743"/>
      <c r="D74" s="743"/>
      <c r="E74" s="743"/>
      <c r="F74" s="743"/>
      <c r="G74" s="743"/>
      <c r="H74" s="743"/>
      <c r="I74" s="743"/>
      <c r="J74" s="743"/>
      <c r="K74" s="752"/>
      <c r="L74" s="749"/>
      <c r="O74" s="72"/>
      <c r="P74" s="72"/>
    </row>
    <row r="75" spans="2:16" ht="14.25" hidden="1" customHeight="1" x14ac:dyDescent="0.2">
      <c r="B75" s="768" t="s">
        <v>3623</v>
      </c>
      <c r="C75" s="743"/>
      <c r="D75" s="743"/>
      <c r="E75" s="743"/>
      <c r="F75" s="743"/>
      <c r="G75" s="743"/>
      <c r="H75" s="743"/>
      <c r="I75" s="743"/>
      <c r="J75" s="743"/>
      <c r="K75" s="752"/>
      <c r="L75" s="749"/>
      <c r="O75" s="72"/>
      <c r="P75" s="72"/>
    </row>
    <row r="76" spans="2:16" ht="14.25" hidden="1" customHeight="1" x14ac:dyDescent="0.2">
      <c r="B76" s="768" t="s">
        <v>3624</v>
      </c>
      <c r="C76" s="743"/>
      <c r="D76" s="743"/>
      <c r="E76" s="743"/>
      <c r="F76" s="743"/>
      <c r="G76" s="743"/>
      <c r="H76" s="743"/>
      <c r="I76" s="743"/>
      <c r="J76" s="743"/>
      <c r="K76" s="752"/>
      <c r="L76" s="749"/>
      <c r="O76" s="72"/>
      <c r="P76" s="72"/>
    </row>
    <row r="77" spans="2:16" ht="14.25" hidden="1" customHeight="1" x14ac:dyDescent="0.2">
      <c r="B77" s="768" t="s">
        <v>3625</v>
      </c>
      <c r="C77" s="743"/>
      <c r="D77" s="743"/>
      <c r="E77" s="743"/>
      <c r="F77" s="743"/>
      <c r="G77" s="743"/>
      <c r="H77" s="743"/>
      <c r="I77" s="743"/>
      <c r="J77" s="743"/>
      <c r="K77" s="752"/>
      <c r="L77" s="749"/>
      <c r="O77" s="72"/>
      <c r="P77" s="72"/>
    </row>
    <row r="78" spans="2:16" ht="14.25" hidden="1" customHeight="1" x14ac:dyDescent="0.2">
      <c r="B78" s="768" t="s">
        <v>3626</v>
      </c>
      <c r="C78" s="743"/>
      <c r="D78" s="743"/>
      <c r="E78" s="743"/>
      <c r="F78" s="743"/>
      <c r="G78" s="743"/>
      <c r="H78" s="743"/>
      <c r="I78" s="743"/>
      <c r="J78" s="743"/>
      <c r="K78" s="752"/>
      <c r="L78" s="749"/>
      <c r="O78" s="72"/>
      <c r="P78" s="72"/>
    </row>
    <row r="79" spans="2:16" ht="14.25" hidden="1" customHeight="1" x14ac:dyDescent="0.2">
      <c r="B79" s="768" t="s">
        <v>3627</v>
      </c>
      <c r="C79" s="743"/>
      <c r="D79" s="743"/>
      <c r="E79" s="743"/>
      <c r="F79" s="743"/>
      <c r="G79" s="743"/>
      <c r="H79" s="743"/>
      <c r="I79" s="743"/>
      <c r="J79" s="743"/>
      <c r="K79" s="752"/>
      <c r="L79" s="749"/>
      <c r="O79" s="72"/>
      <c r="P79" s="72"/>
    </row>
    <row r="80" spans="2:16" ht="14.25" hidden="1" customHeight="1" x14ac:dyDescent="0.2">
      <c r="B80" s="768" t="s">
        <v>3628</v>
      </c>
      <c r="C80" s="743"/>
      <c r="D80" s="743"/>
      <c r="E80" s="743"/>
      <c r="F80" s="743"/>
      <c r="G80" s="743"/>
      <c r="H80" s="743"/>
      <c r="I80" s="743"/>
      <c r="J80" s="743"/>
      <c r="K80" s="752"/>
      <c r="L80" s="749"/>
      <c r="O80" s="72"/>
      <c r="P80" s="72"/>
    </row>
    <row r="81" spans="2:16" ht="14.25" hidden="1" customHeight="1" x14ac:dyDescent="0.2">
      <c r="B81" s="768" t="s">
        <v>3629</v>
      </c>
      <c r="C81" s="743"/>
      <c r="D81" s="743"/>
      <c r="E81" s="743"/>
      <c r="F81" s="743"/>
      <c r="G81" s="743"/>
      <c r="H81" s="743"/>
      <c r="I81" s="743"/>
      <c r="J81" s="743"/>
      <c r="K81" s="752"/>
      <c r="L81" s="749"/>
      <c r="O81" s="72"/>
      <c r="P81" s="72"/>
    </row>
    <row r="82" spans="2:16" ht="14.25" hidden="1" customHeight="1" x14ac:dyDescent="0.2">
      <c r="B82" s="768" t="s">
        <v>3630</v>
      </c>
      <c r="C82" s="743"/>
      <c r="D82" s="743"/>
      <c r="E82" s="743"/>
      <c r="F82" s="743"/>
      <c r="G82" s="743"/>
      <c r="H82" s="743"/>
      <c r="I82" s="743"/>
      <c r="J82" s="743"/>
      <c r="K82" s="752"/>
      <c r="L82" s="749"/>
      <c r="O82" s="72"/>
      <c r="P82" s="72"/>
    </row>
    <row r="83" spans="2:16" ht="14.25" hidden="1" customHeight="1" x14ac:dyDescent="0.2">
      <c r="C83" s="743"/>
      <c r="D83" s="743"/>
      <c r="E83" s="743"/>
      <c r="F83" s="743"/>
      <c r="G83" s="743"/>
      <c r="H83" s="743"/>
      <c r="I83" s="743"/>
      <c r="J83" s="743"/>
      <c r="K83" s="752"/>
      <c r="L83" s="752"/>
      <c r="O83" s="72"/>
      <c r="P83" s="72"/>
    </row>
    <row r="84" spans="2:16" ht="14.25" hidden="1" customHeight="1" x14ac:dyDescent="0.2">
      <c r="B84" s="743"/>
      <c r="C84" s="743" t="s">
        <v>3608</v>
      </c>
      <c r="D84" s="743"/>
      <c r="E84" s="743"/>
      <c r="F84" s="743"/>
      <c r="G84" s="743"/>
      <c r="H84" s="743"/>
      <c r="I84" s="743"/>
      <c r="J84" s="743"/>
      <c r="K84" s="752"/>
      <c r="O84" s="72"/>
      <c r="P84" s="72"/>
    </row>
    <row r="85" spans="2:16" ht="28.5" hidden="1" customHeight="1" x14ac:dyDescent="0.2">
      <c r="B85" s="745" t="s">
        <v>3620</v>
      </c>
      <c r="C85" s="743"/>
      <c r="D85" s="743"/>
      <c r="E85" s="743"/>
      <c r="F85" s="743"/>
      <c r="G85" s="743"/>
      <c r="H85" s="743"/>
      <c r="I85" s="743"/>
      <c r="J85" s="743"/>
      <c r="K85" s="752"/>
      <c r="O85" s="752"/>
    </row>
    <row r="86" spans="2:16" ht="14.25" hidden="1" customHeight="1" x14ac:dyDescent="0.2">
      <c r="B86" s="768" t="s">
        <v>3636</v>
      </c>
      <c r="C86" s="743"/>
      <c r="D86" s="743"/>
      <c r="E86" s="743"/>
      <c r="F86" s="743"/>
      <c r="G86" s="743"/>
      <c r="H86" s="743"/>
      <c r="I86" s="743"/>
      <c r="J86" s="743"/>
      <c r="K86" s="752"/>
      <c r="L86" s="749"/>
      <c r="P86" s="752"/>
    </row>
    <row r="87" spans="2:16" ht="14.25" hidden="1" customHeight="1" x14ac:dyDescent="0.2">
      <c r="B87" s="768" t="s">
        <v>3637</v>
      </c>
      <c r="C87" s="743"/>
      <c r="D87" s="743"/>
      <c r="E87" s="743"/>
      <c r="F87" s="743"/>
      <c r="G87" s="743"/>
      <c r="H87" s="743"/>
      <c r="I87" s="743"/>
      <c r="J87" s="743"/>
      <c r="K87" s="752"/>
      <c r="L87" s="749"/>
    </row>
    <row r="88" spans="2:16" ht="14.25" hidden="1" customHeight="1" x14ac:dyDescent="0.2">
      <c r="B88" s="768" t="s">
        <v>3638</v>
      </c>
      <c r="C88" s="743"/>
      <c r="D88" s="743"/>
      <c r="E88" s="743"/>
      <c r="F88" s="743"/>
      <c r="G88" s="743"/>
      <c r="H88" s="743"/>
      <c r="I88" s="743"/>
      <c r="J88" s="743"/>
      <c r="K88" s="752"/>
      <c r="L88" s="749"/>
    </row>
    <row r="89" spans="2:16" ht="14.25" hidden="1" customHeight="1" x14ac:dyDescent="0.2">
      <c r="B89" s="768" t="s">
        <v>3639</v>
      </c>
      <c r="C89" s="743"/>
      <c r="D89" s="743"/>
      <c r="E89" s="743"/>
      <c r="F89" s="743"/>
      <c r="G89" s="743"/>
      <c r="H89" s="743"/>
      <c r="I89" s="743"/>
      <c r="J89" s="743"/>
      <c r="K89" s="752"/>
      <c r="L89" s="749"/>
    </row>
    <row r="90" spans="2:16" ht="14.25" hidden="1" customHeight="1" x14ac:dyDescent="0.2">
      <c r="B90" s="768" t="s">
        <v>3640</v>
      </c>
      <c r="C90" s="743"/>
      <c r="D90" s="743"/>
      <c r="E90" s="743"/>
      <c r="F90" s="743"/>
      <c r="G90" s="743"/>
      <c r="H90" s="743"/>
      <c r="I90" s="743"/>
      <c r="J90" s="743"/>
      <c r="K90" s="752"/>
      <c r="L90" s="749"/>
    </row>
    <row r="91" spans="2:16" ht="14.25" hidden="1" customHeight="1" x14ac:dyDescent="0.2">
      <c r="B91" s="768" t="s">
        <v>3641</v>
      </c>
      <c r="C91" s="743"/>
      <c r="D91" s="743"/>
      <c r="E91" s="743"/>
      <c r="F91" s="743"/>
      <c r="G91" s="743"/>
      <c r="H91" s="743"/>
      <c r="I91" s="743"/>
      <c r="J91" s="743"/>
      <c r="K91" s="752"/>
      <c r="L91" s="749"/>
    </row>
    <row r="92" spans="2:16" ht="14.25" hidden="1" customHeight="1" x14ac:dyDescent="0.2">
      <c r="B92" s="768" t="s">
        <v>3642</v>
      </c>
      <c r="C92" s="743"/>
      <c r="D92" s="743"/>
      <c r="E92" s="743"/>
      <c r="F92" s="743"/>
      <c r="G92" s="743"/>
      <c r="H92" s="743"/>
      <c r="I92" s="743"/>
      <c r="J92" s="743"/>
      <c r="K92" s="752"/>
      <c r="L92" s="749"/>
    </row>
    <row r="93" spans="2:16" ht="14.25" hidden="1" customHeight="1" x14ac:dyDescent="0.2">
      <c r="B93" s="768" t="s">
        <v>3643</v>
      </c>
      <c r="C93" s="743"/>
      <c r="D93" s="743"/>
      <c r="E93" s="743"/>
      <c r="F93" s="743"/>
      <c r="G93" s="743"/>
      <c r="H93" s="743"/>
      <c r="I93" s="743"/>
      <c r="J93" s="743"/>
      <c r="K93" s="752"/>
      <c r="L93" s="749"/>
    </row>
    <row r="94" spans="2:16" ht="14.25" hidden="1" customHeight="1" x14ac:dyDescent="0.2">
      <c r="B94" s="768" t="s">
        <v>3644</v>
      </c>
      <c r="C94" s="743"/>
      <c r="D94" s="743"/>
      <c r="E94" s="743"/>
      <c r="F94" s="743"/>
      <c r="G94" s="743"/>
      <c r="H94" s="743"/>
      <c r="I94" s="743"/>
      <c r="J94" s="743"/>
      <c r="K94" s="752"/>
      <c r="L94" s="749"/>
    </row>
    <row r="95" spans="2:16" ht="14.25" hidden="1" customHeight="1" x14ac:dyDescent="0.2">
      <c r="B95" s="743"/>
      <c r="C95" s="743" t="s">
        <v>3610</v>
      </c>
      <c r="D95" s="743"/>
      <c r="E95" s="743"/>
      <c r="F95" s="743"/>
      <c r="G95" s="743"/>
      <c r="H95" s="743"/>
      <c r="I95" s="743"/>
      <c r="J95" s="743"/>
      <c r="K95" s="752"/>
      <c r="L95" s="752"/>
    </row>
    <row r="96" spans="2:16" ht="12.75" hidden="1" customHeight="1" x14ac:dyDescent="0.2"/>
    <row r="99" spans="1:9" x14ac:dyDescent="0.2">
      <c r="A99" s="753" t="s">
        <v>801</v>
      </c>
      <c r="B99" s="907" t="s">
        <v>4069</v>
      </c>
      <c r="C99" s="773"/>
      <c r="D99" s="773"/>
      <c r="E99" s="773"/>
      <c r="F99" s="773"/>
      <c r="G99" s="773"/>
      <c r="H99" s="773"/>
      <c r="I99" s="754"/>
    </row>
    <row r="102" spans="1:9" x14ac:dyDescent="0.2">
      <c r="B102" s="746"/>
      <c r="C102" s="626" t="s">
        <v>2029</v>
      </c>
      <c r="D102" s="626" t="s">
        <v>2030</v>
      </c>
    </row>
    <row r="103" spans="1:9" x14ac:dyDescent="0.2">
      <c r="B103" s="770" t="s">
        <v>1092</v>
      </c>
      <c r="C103" s="696">
        <f>G149</f>
        <v>0</v>
      </c>
      <c r="D103" s="696">
        <f>H149</f>
        <v>0</v>
      </c>
    </row>
    <row r="104" spans="1:9" x14ac:dyDescent="0.2">
      <c r="B104" s="746" t="s">
        <v>4058</v>
      </c>
      <c r="C104" s="696">
        <f>G150</f>
        <v>0</v>
      </c>
      <c r="D104" s="696">
        <f>H150</f>
        <v>0</v>
      </c>
    </row>
    <row r="105" spans="1:9" x14ac:dyDescent="0.2">
      <c r="B105" s="746" t="s">
        <v>4011</v>
      </c>
      <c r="C105" s="696">
        <f t="shared" ref="C105:C114" si="0">G151</f>
        <v>0</v>
      </c>
      <c r="D105" s="696">
        <f t="shared" ref="D105:D114" si="1">H151</f>
        <v>0</v>
      </c>
    </row>
    <row r="106" spans="1:9" x14ac:dyDescent="0.2">
      <c r="B106" s="746" t="s">
        <v>3953</v>
      </c>
      <c r="C106" s="696">
        <f t="shared" si="0"/>
        <v>0</v>
      </c>
      <c r="D106" s="696">
        <f t="shared" si="1"/>
        <v>0</v>
      </c>
    </row>
    <row r="107" spans="1:9" x14ac:dyDescent="0.2">
      <c r="B107" s="746" t="s">
        <v>3954</v>
      </c>
      <c r="C107" s="696">
        <f t="shared" si="0"/>
        <v>0</v>
      </c>
      <c r="D107" s="696">
        <f t="shared" si="1"/>
        <v>0</v>
      </c>
    </row>
    <row r="108" spans="1:9" x14ac:dyDescent="0.2">
      <c r="B108" s="746" t="s">
        <v>3955</v>
      </c>
      <c r="C108" s="696">
        <f t="shared" si="0"/>
        <v>0</v>
      </c>
      <c r="D108" s="696">
        <f t="shared" si="1"/>
        <v>0</v>
      </c>
    </row>
    <row r="109" spans="1:9" x14ac:dyDescent="0.2">
      <c r="B109" s="746" t="s">
        <v>3956</v>
      </c>
      <c r="C109" s="696">
        <f t="shared" si="0"/>
        <v>0</v>
      </c>
      <c r="D109" s="696">
        <f t="shared" si="1"/>
        <v>0</v>
      </c>
    </row>
    <row r="110" spans="1:9" x14ac:dyDescent="0.2">
      <c r="B110" s="746" t="s">
        <v>4009</v>
      </c>
      <c r="C110" s="696">
        <f t="shared" si="0"/>
        <v>0</v>
      </c>
      <c r="D110" s="696">
        <f t="shared" si="1"/>
        <v>0</v>
      </c>
    </row>
    <row r="111" spans="1:9" x14ac:dyDescent="0.2">
      <c r="B111" s="746" t="s">
        <v>3957</v>
      </c>
      <c r="C111" s="696">
        <f t="shared" si="0"/>
        <v>0</v>
      </c>
      <c r="D111" s="696">
        <f t="shared" si="1"/>
        <v>0</v>
      </c>
    </row>
    <row r="112" spans="1:9" x14ac:dyDescent="0.2">
      <c r="B112" s="746" t="s">
        <v>3958</v>
      </c>
      <c r="C112" s="696">
        <f t="shared" si="0"/>
        <v>0</v>
      </c>
      <c r="D112" s="696">
        <f t="shared" si="1"/>
        <v>0</v>
      </c>
    </row>
    <row r="113" spans="2:4" x14ac:dyDescent="0.2">
      <c r="B113" s="746" t="s">
        <v>3959</v>
      </c>
      <c r="C113" s="696">
        <f t="shared" si="0"/>
        <v>0</v>
      </c>
      <c r="D113" s="696">
        <f t="shared" si="1"/>
        <v>0</v>
      </c>
    </row>
    <row r="114" spans="2:4" x14ac:dyDescent="0.2">
      <c r="B114" s="736" t="s">
        <v>4027</v>
      </c>
      <c r="C114" s="696">
        <f t="shared" si="0"/>
        <v>0</v>
      </c>
      <c r="D114" s="696">
        <f t="shared" si="1"/>
        <v>0</v>
      </c>
    </row>
    <row r="115" spans="2:4" x14ac:dyDescent="0.2">
      <c r="B115" s="736" t="s">
        <v>4028</v>
      </c>
      <c r="C115" s="696">
        <f t="shared" ref="C115:D130" si="2">G161</f>
        <v>0</v>
      </c>
      <c r="D115" s="696">
        <f>H161</f>
        <v>0</v>
      </c>
    </row>
    <row r="116" spans="2:4" x14ac:dyDescent="0.2">
      <c r="B116" s="736" t="s">
        <v>4029</v>
      </c>
      <c r="C116" s="696">
        <f t="shared" si="2"/>
        <v>0</v>
      </c>
      <c r="D116" s="696">
        <f t="shared" si="2"/>
        <v>0</v>
      </c>
    </row>
    <row r="117" spans="2:4" x14ac:dyDescent="0.2">
      <c r="B117" s="736" t="s">
        <v>4030</v>
      </c>
      <c r="C117" s="696">
        <f t="shared" si="2"/>
        <v>0</v>
      </c>
      <c r="D117" s="696">
        <f t="shared" si="2"/>
        <v>0</v>
      </c>
    </row>
    <row r="118" spans="2:4" x14ac:dyDescent="0.2">
      <c r="B118" s="736" t="s">
        <v>4031</v>
      </c>
      <c r="C118" s="696">
        <f t="shared" si="2"/>
        <v>0</v>
      </c>
      <c r="D118" s="696">
        <f t="shared" si="2"/>
        <v>0</v>
      </c>
    </row>
    <row r="119" spans="2:4" x14ac:dyDescent="0.2">
      <c r="B119" s="736" t="s">
        <v>4032</v>
      </c>
      <c r="C119" s="696">
        <f t="shared" si="2"/>
        <v>0</v>
      </c>
      <c r="D119" s="696">
        <f t="shared" si="2"/>
        <v>0</v>
      </c>
    </row>
    <row r="120" spans="2:4" x14ac:dyDescent="0.2">
      <c r="B120" s="736" t="s">
        <v>4033</v>
      </c>
      <c r="C120" s="696">
        <f t="shared" si="2"/>
        <v>0</v>
      </c>
      <c r="D120" s="696">
        <f t="shared" si="2"/>
        <v>0</v>
      </c>
    </row>
    <row r="121" spans="2:4" x14ac:dyDescent="0.2">
      <c r="B121" s="736" t="s">
        <v>4034</v>
      </c>
      <c r="C121" s="696">
        <f t="shared" si="2"/>
        <v>0</v>
      </c>
      <c r="D121" s="696">
        <f t="shared" si="2"/>
        <v>0</v>
      </c>
    </row>
    <row r="122" spans="2:4" x14ac:dyDescent="0.2">
      <c r="B122" s="736" t="s">
        <v>4035</v>
      </c>
      <c r="C122" s="696">
        <f t="shared" si="2"/>
        <v>0</v>
      </c>
      <c r="D122" s="696">
        <f t="shared" si="2"/>
        <v>0</v>
      </c>
    </row>
    <row r="123" spans="2:4" x14ac:dyDescent="0.2">
      <c r="B123" s="736" t="s">
        <v>3636</v>
      </c>
      <c r="C123" s="696">
        <f t="shared" si="2"/>
        <v>0</v>
      </c>
      <c r="D123" s="696">
        <f t="shared" si="2"/>
        <v>0</v>
      </c>
    </row>
    <row r="124" spans="2:4" x14ac:dyDescent="0.2">
      <c r="B124" s="736" t="s">
        <v>3637</v>
      </c>
      <c r="C124" s="696">
        <f t="shared" si="2"/>
        <v>0</v>
      </c>
      <c r="D124" s="696">
        <f t="shared" si="2"/>
        <v>0</v>
      </c>
    </row>
    <row r="125" spans="2:4" x14ac:dyDescent="0.2">
      <c r="B125" s="736" t="s">
        <v>3638</v>
      </c>
      <c r="C125" s="696">
        <f t="shared" si="2"/>
        <v>0</v>
      </c>
      <c r="D125" s="696">
        <f t="shared" si="2"/>
        <v>0</v>
      </c>
    </row>
    <row r="126" spans="2:4" x14ac:dyDescent="0.2">
      <c r="B126" s="736" t="s">
        <v>3639</v>
      </c>
      <c r="C126" s="696">
        <f t="shared" si="2"/>
        <v>0</v>
      </c>
      <c r="D126" s="696">
        <f t="shared" si="2"/>
        <v>0</v>
      </c>
    </row>
    <row r="127" spans="2:4" x14ac:dyDescent="0.2">
      <c r="B127" s="736" t="s">
        <v>3640</v>
      </c>
      <c r="C127" s="696">
        <f t="shared" si="2"/>
        <v>0</v>
      </c>
      <c r="D127" s="696">
        <f t="shared" si="2"/>
        <v>0</v>
      </c>
    </row>
    <row r="128" spans="2:4" x14ac:dyDescent="0.2">
      <c r="B128" s="736" t="s">
        <v>3641</v>
      </c>
      <c r="C128" s="696">
        <f t="shared" si="2"/>
        <v>0</v>
      </c>
      <c r="D128" s="696">
        <f t="shared" si="2"/>
        <v>0</v>
      </c>
    </row>
    <row r="129" spans="2:8" x14ac:dyDescent="0.2">
      <c r="B129" s="736" t="s">
        <v>4010</v>
      </c>
      <c r="C129" s="696">
        <f t="shared" si="2"/>
        <v>0</v>
      </c>
      <c r="D129" s="696">
        <f t="shared" si="2"/>
        <v>0</v>
      </c>
    </row>
    <row r="130" spans="2:8" x14ac:dyDescent="0.2">
      <c r="B130" s="736" t="s">
        <v>3973</v>
      </c>
      <c r="C130" s="696">
        <f t="shared" si="2"/>
        <v>0</v>
      </c>
      <c r="D130" s="696">
        <f t="shared" si="2"/>
        <v>0</v>
      </c>
    </row>
    <row r="131" spans="2:8" x14ac:dyDescent="0.2">
      <c r="B131" s="736" t="s">
        <v>3644</v>
      </c>
      <c r="C131" s="696">
        <f t="shared" ref="C131:D139" si="3">G177</f>
        <v>0</v>
      </c>
      <c r="D131" s="696">
        <f t="shared" si="3"/>
        <v>0</v>
      </c>
    </row>
    <row r="132" spans="2:8" ht="25.5" x14ac:dyDescent="0.2">
      <c r="B132" s="746" t="s">
        <v>3571</v>
      </c>
      <c r="C132" s="696">
        <f t="shared" si="3"/>
        <v>0</v>
      </c>
      <c r="D132" s="696">
        <f t="shared" si="3"/>
        <v>0</v>
      </c>
    </row>
    <row r="133" spans="2:8" x14ac:dyDescent="0.2">
      <c r="B133" s="746" t="s">
        <v>3572</v>
      </c>
      <c r="C133" s="696">
        <f t="shared" si="3"/>
        <v>0</v>
      </c>
      <c r="D133" s="696">
        <f t="shared" si="3"/>
        <v>0</v>
      </c>
    </row>
    <row r="134" spans="2:8" ht="25.5" x14ac:dyDescent="0.2">
      <c r="B134" s="746" t="s">
        <v>3650</v>
      </c>
      <c r="C134" s="696">
        <f t="shared" si="3"/>
        <v>0</v>
      </c>
      <c r="D134" s="696">
        <f t="shared" si="3"/>
        <v>0</v>
      </c>
    </row>
    <row r="135" spans="2:8" ht="25.5" x14ac:dyDescent="0.2">
      <c r="B135" s="746" t="s">
        <v>3574</v>
      </c>
      <c r="C135" s="696">
        <f t="shared" si="3"/>
        <v>0</v>
      </c>
      <c r="D135" s="696">
        <f t="shared" si="3"/>
        <v>0</v>
      </c>
    </row>
    <row r="136" spans="2:8" x14ac:dyDescent="0.2">
      <c r="B136" s="746" t="s">
        <v>3576</v>
      </c>
      <c r="C136" s="696">
        <f t="shared" si="3"/>
        <v>0</v>
      </c>
      <c r="D136" s="696">
        <f t="shared" si="3"/>
        <v>0</v>
      </c>
    </row>
    <row r="137" spans="2:8" ht="25.5" x14ac:dyDescent="0.2">
      <c r="B137" s="746" t="s">
        <v>3651</v>
      </c>
      <c r="C137" s="696">
        <f>G183</f>
        <v>0</v>
      </c>
      <c r="D137" s="696">
        <f t="shared" si="3"/>
        <v>0</v>
      </c>
    </row>
    <row r="138" spans="2:8" ht="25.5" x14ac:dyDescent="0.2">
      <c r="B138" s="746" t="s">
        <v>4060</v>
      </c>
      <c r="C138" s="696">
        <f>G184</f>
        <v>0</v>
      </c>
      <c r="D138" s="696">
        <f t="shared" si="3"/>
        <v>0</v>
      </c>
    </row>
    <row r="139" spans="2:8" ht="25.5" x14ac:dyDescent="0.2">
      <c r="B139" s="746" t="s">
        <v>3656</v>
      </c>
      <c r="C139" s="696">
        <f>G185</f>
        <v>0</v>
      </c>
      <c r="D139" s="696">
        <f t="shared" si="3"/>
        <v>0</v>
      </c>
    </row>
    <row r="140" spans="2:8" x14ac:dyDescent="0.2">
      <c r="B140" s="746"/>
      <c r="C140" s="697"/>
      <c r="D140" s="697"/>
    </row>
    <row r="141" spans="2:8" ht="13.5" thickBot="1" x14ac:dyDescent="0.25">
      <c r="B141" s="746"/>
      <c r="C141" s="698">
        <f>SUM(C103:C140)</f>
        <v>0</v>
      </c>
      <c r="D141" s="698">
        <f>SUM(D103:D140)</f>
        <v>0</v>
      </c>
    </row>
    <row r="142" spans="2:8" ht="13.5" thickTop="1" x14ac:dyDescent="0.2"/>
    <row r="144" spans="2:8" ht="23.25" customHeight="1" x14ac:dyDescent="0.2">
      <c r="B144" s="755" t="s">
        <v>3613</v>
      </c>
      <c r="C144" s="755"/>
      <c r="D144" s="755"/>
      <c r="E144" s="755"/>
      <c r="F144" s="755"/>
      <c r="G144" s="755"/>
      <c r="H144" s="755"/>
    </row>
    <row r="145" spans="2:10" ht="12.75" customHeight="1" x14ac:dyDescent="0.2">
      <c r="B145" s="756"/>
      <c r="C145" s="756"/>
      <c r="D145" s="756"/>
      <c r="E145" s="756"/>
      <c r="F145" s="756"/>
      <c r="G145" s="756"/>
      <c r="H145" s="756"/>
    </row>
    <row r="146" spans="2:10" ht="18" x14ac:dyDescent="0.2">
      <c r="C146" s="757"/>
      <c r="D146" s="758"/>
      <c r="E146" s="759"/>
      <c r="F146" s="756"/>
      <c r="G146" s="1280" t="s">
        <v>902</v>
      </c>
      <c r="H146" s="1281"/>
    </row>
    <row r="147" spans="2:10" x14ac:dyDescent="0.2">
      <c r="B147" s="746"/>
      <c r="C147" s="627"/>
      <c r="D147" s="734"/>
      <c r="E147" s="760"/>
      <c r="G147" s="761"/>
      <c r="H147" s="762"/>
    </row>
    <row r="148" spans="2:10" x14ac:dyDescent="0.2">
      <c r="B148" s="746"/>
      <c r="C148" s="594" t="s">
        <v>509</v>
      </c>
      <c r="D148" s="735" t="s">
        <v>510</v>
      </c>
      <c r="E148" s="763" t="s">
        <v>2070</v>
      </c>
      <c r="G148" s="764" t="s">
        <v>509</v>
      </c>
      <c r="H148" s="765" t="s">
        <v>510</v>
      </c>
    </row>
    <row r="149" spans="2:10" x14ac:dyDescent="0.2">
      <c r="B149" s="770" t="s">
        <v>1092</v>
      </c>
      <c r="C149" s="631">
        <f>IF(D31-D33-D35&gt;0,(D31-D33-D35)*D11,0)</f>
        <v>0</v>
      </c>
      <c r="D149" s="690">
        <f>IF(D31-D33-D35&lt;0,-(D31-D33-D35)*D11,0)</f>
        <v>0</v>
      </c>
      <c r="E149" s="704">
        <f t="shared" ref="E149:E185" si="4">C149-D149</f>
        <v>0</v>
      </c>
      <c r="G149" s="705">
        <f t="shared" ref="G149:G150" si="5">IF(E149&lt;0,0,E149)</f>
        <v>0</v>
      </c>
      <c r="H149" s="630">
        <f t="shared" ref="H149:H150" si="6">IF(E149&gt;0,0,E149*-1)</f>
        <v>0</v>
      </c>
      <c r="J149" s="812"/>
    </row>
    <row r="150" spans="2:10" x14ac:dyDescent="0.2">
      <c r="B150" s="746" t="s">
        <v>4058</v>
      </c>
      <c r="C150" s="631">
        <f>IF(D32&lt;0,D32*D11,0)</f>
        <v>0</v>
      </c>
      <c r="D150" s="690">
        <f>IF(D32&gt;0,D32*D11,0)</f>
        <v>0</v>
      </c>
      <c r="E150" s="704">
        <f t="shared" si="4"/>
        <v>0</v>
      </c>
      <c r="G150" s="705">
        <f t="shared" si="5"/>
        <v>0</v>
      </c>
      <c r="H150" s="630">
        <f t="shared" si="6"/>
        <v>0</v>
      </c>
      <c r="J150" s="812"/>
    </row>
    <row r="151" spans="2:10" x14ac:dyDescent="0.2">
      <c r="B151" s="746" t="s">
        <v>4011</v>
      </c>
      <c r="C151" s="631">
        <f t="shared" ref="C151:C159" si="7">IF($D$34&gt;0,$D$34*D16,0)</f>
        <v>0</v>
      </c>
      <c r="D151" s="690">
        <f t="shared" ref="D151:D159" si="8">IF($D$34&lt;0,-$D$34*D16,0)</f>
        <v>0</v>
      </c>
      <c r="E151" s="704">
        <f t="shared" si="4"/>
        <v>0</v>
      </c>
      <c r="G151" s="705">
        <f t="shared" ref="G151:G177" si="9">IF(E151&lt;0,0,E151)</f>
        <v>0</v>
      </c>
      <c r="H151" s="630">
        <f>IF(E151&gt;0,0,E151*-1)</f>
        <v>0</v>
      </c>
      <c r="I151" s="750"/>
    </row>
    <row r="152" spans="2:10" x14ac:dyDescent="0.2">
      <c r="B152" s="746" t="s">
        <v>3953</v>
      </c>
      <c r="C152" s="631">
        <f t="shared" si="7"/>
        <v>0</v>
      </c>
      <c r="D152" s="690">
        <f t="shared" si="8"/>
        <v>0</v>
      </c>
      <c r="E152" s="704">
        <f t="shared" si="4"/>
        <v>0</v>
      </c>
      <c r="G152" s="705">
        <f t="shared" si="9"/>
        <v>0</v>
      </c>
      <c r="H152" s="630">
        <f t="shared" ref="H152:H159" si="10">IF(E152&gt;0,0,E152*-1)</f>
        <v>0</v>
      </c>
    </row>
    <row r="153" spans="2:10" x14ac:dyDescent="0.2">
      <c r="B153" s="746" t="s">
        <v>3954</v>
      </c>
      <c r="C153" s="631">
        <f t="shared" si="7"/>
        <v>0</v>
      </c>
      <c r="D153" s="690">
        <f t="shared" si="8"/>
        <v>0</v>
      </c>
      <c r="E153" s="704">
        <f t="shared" si="4"/>
        <v>0</v>
      </c>
      <c r="G153" s="705">
        <f t="shared" si="9"/>
        <v>0</v>
      </c>
      <c r="H153" s="630">
        <f t="shared" si="10"/>
        <v>0</v>
      </c>
    </row>
    <row r="154" spans="2:10" x14ac:dyDescent="0.2">
      <c r="B154" s="746" t="s">
        <v>3955</v>
      </c>
      <c r="C154" s="631">
        <f t="shared" si="7"/>
        <v>0</v>
      </c>
      <c r="D154" s="690">
        <f t="shared" si="8"/>
        <v>0</v>
      </c>
      <c r="E154" s="704">
        <f t="shared" si="4"/>
        <v>0</v>
      </c>
      <c r="G154" s="705">
        <f t="shared" si="9"/>
        <v>0</v>
      </c>
      <c r="H154" s="630">
        <f t="shared" si="10"/>
        <v>0</v>
      </c>
    </row>
    <row r="155" spans="2:10" x14ac:dyDescent="0.2">
      <c r="B155" s="746" t="s">
        <v>3956</v>
      </c>
      <c r="C155" s="631">
        <f t="shared" si="7"/>
        <v>0</v>
      </c>
      <c r="D155" s="690">
        <f t="shared" si="8"/>
        <v>0</v>
      </c>
      <c r="E155" s="704">
        <f t="shared" si="4"/>
        <v>0</v>
      </c>
      <c r="G155" s="705">
        <f t="shared" si="9"/>
        <v>0</v>
      </c>
      <c r="H155" s="630">
        <f t="shared" si="10"/>
        <v>0</v>
      </c>
    </row>
    <row r="156" spans="2:10" x14ac:dyDescent="0.2">
      <c r="B156" s="746" t="s">
        <v>4009</v>
      </c>
      <c r="C156" s="631">
        <f t="shared" si="7"/>
        <v>0</v>
      </c>
      <c r="D156" s="690">
        <f t="shared" si="8"/>
        <v>0</v>
      </c>
      <c r="E156" s="704">
        <f t="shared" si="4"/>
        <v>0</v>
      </c>
      <c r="G156" s="705">
        <f t="shared" si="9"/>
        <v>0</v>
      </c>
      <c r="H156" s="630">
        <f t="shared" si="10"/>
        <v>0</v>
      </c>
    </row>
    <row r="157" spans="2:10" x14ac:dyDescent="0.2">
      <c r="B157" s="746" t="s">
        <v>3957</v>
      </c>
      <c r="C157" s="631">
        <f t="shared" si="7"/>
        <v>0</v>
      </c>
      <c r="D157" s="690">
        <f t="shared" si="8"/>
        <v>0</v>
      </c>
      <c r="E157" s="704">
        <f t="shared" si="4"/>
        <v>0</v>
      </c>
      <c r="G157" s="705">
        <f t="shared" si="9"/>
        <v>0</v>
      </c>
      <c r="H157" s="630">
        <f t="shared" si="10"/>
        <v>0</v>
      </c>
    </row>
    <row r="158" spans="2:10" x14ac:dyDescent="0.2">
      <c r="B158" s="746" t="s">
        <v>3958</v>
      </c>
      <c r="C158" s="631">
        <f t="shared" si="7"/>
        <v>0</v>
      </c>
      <c r="D158" s="690">
        <f t="shared" si="8"/>
        <v>0</v>
      </c>
      <c r="E158" s="704">
        <f t="shared" si="4"/>
        <v>0</v>
      </c>
      <c r="G158" s="705">
        <f t="shared" si="9"/>
        <v>0</v>
      </c>
      <c r="H158" s="630">
        <f t="shared" si="10"/>
        <v>0</v>
      </c>
    </row>
    <row r="159" spans="2:10" x14ac:dyDescent="0.2">
      <c r="B159" s="746" t="s">
        <v>3959</v>
      </c>
      <c r="C159" s="631">
        <f t="shared" si="7"/>
        <v>0</v>
      </c>
      <c r="D159" s="690">
        <f t="shared" si="8"/>
        <v>0</v>
      </c>
      <c r="E159" s="704">
        <f t="shared" si="4"/>
        <v>0</v>
      </c>
      <c r="G159" s="705">
        <f t="shared" si="9"/>
        <v>0</v>
      </c>
      <c r="H159" s="630">
        <f t="shared" si="10"/>
        <v>0</v>
      </c>
    </row>
    <row r="160" spans="2:10" x14ac:dyDescent="0.2">
      <c r="B160" s="736" t="s">
        <v>4027</v>
      </c>
      <c r="C160" s="631">
        <f t="shared" ref="C160:C168" si="11">IF($D$46&lt;0,-$D$46*D16,0)</f>
        <v>0</v>
      </c>
      <c r="D160" s="690">
        <f t="shared" ref="D160:D168" si="12">IF($D$46&gt;0,$D$46*$D16,0)</f>
        <v>0</v>
      </c>
      <c r="E160" s="704">
        <f t="shared" si="4"/>
        <v>0</v>
      </c>
      <c r="G160" s="705">
        <f t="shared" si="9"/>
        <v>0</v>
      </c>
      <c r="H160" s="690">
        <f>IF(E160&gt;0,0,-E160)</f>
        <v>0</v>
      </c>
    </row>
    <row r="161" spans="2:8" x14ac:dyDescent="0.2">
      <c r="B161" s="736" t="s">
        <v>4028</v>
      </c>
      <c r="C161" s="631">
        <f t="shared" si="11"/>
        <v>0</v>
      </c>
      <c r="D161" s="690">
        <f t="shared" si="12"/>
        <v>0</v>
      </c>
      <c r="E161" s="704">
        <f t="shared" si="4"/>
        <v>0</v>
      </c>
      <c r="G161" s="705">
        <f t="shared" si="9"/>
        <v>0</v>
      </c>
      <c r="H161" s="690">
        <f t="shared" ref="H161:H185" si="13">IF(E161&gt;0,0,-E161)</f>
        <v>0</v>
      </c>
    </row>
    <row r="162" spans="2:8" x14ac:dyDescent="0.2">
      <c r="B162" s="736" t="s">
        <v>4029</v>
      </c>
      <c r="C162" s="631">
        <f t="shared" si="11"/>
        <v>0</v>
      </c>
      <c r="D162" s="690">
        <f t="shared" si="12"/>
        <v>0</v>
      </c>
      <c r="E162" s="704">
        <f t="shared" si="4"/>
        <v>0</v>
      </c>
      <c r="G162" s="705">
        <f t="shared" si="9"/>
        <v>0</v>
      </c>
      <c r="H162" s="690">
        <f t="shared" si="13"/>
        <v>0</v>
      </c>
    </row>
    <row r="163" spans="2:8" x14ac:dyDescent="0.2">
      <c r="B163" s="736" t="s">
        <v>4030</v>
      </c>
      <c r="C163" s="631">
        <f t="shared" si="11"/>
        <v>0</v>
      </c>
      <c r="D163" s="690">
        <f t="shared" si="12"/>
        <v>0</v>
      </c>
      <c r="E163" s="704">
        <f t="shared" si="4"/>
        <v>0</v>
      </c>
      <c r="G163" s="705">
        <f t="shared" si="9"/>
        <v>0</v>
      </c>
      <c r="H163" s="690">
        <f t="shared" si="13"/>
        <v>0</v>
      </c>
    </row>
    <row r="164" spans="2:8" x14ac:dyDescent="0.2">
      <c r="B164" s="736" t="s">
        <v>4031</v>
      </c>
      <c r="C164" s="631">
        <f t="shared" si="11"/>
        <v>0</v>
      </c>
      <c r="D164" s="690">
        <f t="shared" si="12"/>
        <v>0</v>
      </c>
      <c r="E164" s="704">
        <f t="shared" si="4"/>
        <v>0</v>
      </c>
      <c r="G164" s="705">
        <f t="shared" si="9"/>
        <v>0</v>
      </c>
      <c r="H164" s="690">
        <f t="shared" si="13"/>
        <v>0</v>
      </c>
    </row>
    <row r="165" spans="2:8" x14ac:dyDescent="0.2">
      <c r="B165" s="736" t="s">
        <v>4032</v>
      </c>
      <c r="C165" s="631">
        <f t="shared" si="11"/>
        <v>0</v>
      </c>
      <c r="D165" s="690">
        <f t="shared" si="12"/>
        <v>0</v>
      </c>
      <c r="E165" s="704">
        <f t="shared" si="4"/>
        <v>0</v>
      </c>
      <c r="G165" s="705">
        <f t="shared" si="9"/>
        <v>0</v>
      </c>
      <c r="H165" s="690">
        <f t="shared" si="13"/>
        <v>0</v>
      </c>
    </row>
    <row r="166" spans="2:8" x14ac:dyDescent="0.2">
      <c r="B166" s="736" t="s">
        <v>4033</v>
      </c>
      <c r="C166" s="631">
        <f t="shared" si="11"/>
        <v>0</v>
      </c>
      <c r="D166" s="690">
        <f t="shared" si="12"/>
        <v>0</v>
      </c>
      <c r="E166" s="704">
        <f t="shared" si="4"/>
        <v>0</v>
      </c>
      <c r="G166" s="705">
        <f t="shared" si="9"/>
        <v>0</v>
      </c>
      <c r="H166" s="690">
        <f t="shared" si="13"/>
        <v>0</v>
      </c>
    </row>
    <row r="167" spans="2:8" x14ac:dyDescent="0.2">
      <c r="B167" s="736" t="s">
        <v>4034</v>
      </c>
      <c r="C167" s="631">
        <f t="shared" si="11"/>
        <v>0</v>
      </c>
      <c r="D167" s="690">
        <f t="shared" si="12"/>
        <v>0</v>
      </c>
      <c r="E167" s="704">
        <f t="shared" si="4"/>
        <v>0</v>
      </c>
      <c r="G167" s="705">
        <f t="shared" si="9"/>
        <v>0</v>
      </c>
      <c r="H167" s="690">
        <f t="shared" si="13"/>
        <v>0</v>
      </c>
    </row>
    <row r="168" spans="2:8" x14ac:dyDescent="0.2">
      <c r="B168" s="736" t="s">
        <v>4035</v>
      </c>
      <c r="C168" s="631">
        <f t="shared" si="11"/>
        <v>0</v>
      </c>
      <c r="D168" s="690">
        <f t="shared" si="12"/>
        <v>0</v>
      </c>
      <c r="E168" s="704">
        <f t="shared" si="4"/>
        <v>0</v>
      </c>
      <c r="G168" s="705">
        <f t="shared" si="9"/>
        <v>0</v>
      </c>
      <c r="H168" s="690">
        <f t="shared" si="13"/>
        <v>0</v>
      </c>
    </row>
    <row r="169" spans="2:8" x14ac:dyDescent="0.2">
      <c r="B169" s="736" t="s">
        <v>3636</v>
      </c>
      <c r="C169" s="631">
        <f>IF($D$48&lt;0,-$D$48,0)</f>
        <v>0</v>
      </c>
      <c r="D169" s="690">
        <f t="shared" ref="D169:D177" si="14">IF($D$48&gt;0,$D$48*$D16,0)</f>
        <v>0</v>
      </c>
      <c r="E169" s="704">
        <f t="shared" si="4"/>
        <v>0</v>
      </c>
      <c r="G169" s="705">
        <f t="shared" si="9"/>
        <v>0</v>
      </c>
      <c r="H169" s="690">
        <f t="shared" si="13"/>
        <v>0</v>
      </c>
    </row>
    <row r="170" spans="2:8" x14ac:dyDescent="0.2">
      <c r="B170" s="736" t="s">
        <v>3637</v>
      </c>
      <c r="C170" s="631">
        <f t="shared" ref="C170:C177" si="15">IF($D$48&lt;0,-$D$48,0)</f>
        <v>0</v>
      </c>
      <c r="D170" s="690">
        <f t="shared" si="14"/>
        <v>0</v>
      </c>
      <c r="E170" s="704">
        <f t="shared" si="4"/>
        <v>0</v>
      </c>
      <c r="G170" s="705">
        <f t="shared" si="9"/>
        <v>0</v>
      </c>
      <c r="H170" s="690">
        <f t="shared" si="13"/>
        <v>0</v>
      </c>
    </row>
    <row r="171" spans="2:8" x14ac:dyDescent="0.2">
      <c r="B171" s="736" t="s">
        <v>3638</v>
      </c>
      <c r="C171" s="631">
        <f t="shared" si="15"/>
        <v>0</v>
      </c>
      <c r="D171" s="690">
        <f t="shared" si="14"/>
        <v>0</v>
      </c>
      <c r="E171" s="704">
        <f t="shared" si="4"/>
        <v>0</v>
      </c>
      <c r="G171" s="705">
        <f t="shared" si="9"/>
        <v>0</v>
      </c>
      <c r="H171" s="690">
        <f t="shared" si="13"/>
        <v>0</v>
      </c>
    </row>
    <row r="172" spans="2:8" x14ac:dyDescent="0.2">
      <c r="B172" s="736" t="s">
        <v>3639</v>
      </c>
      <c r="C172" s="631">
        <f t="shared" si="15"/>
        <v>0</v>
      </c>
      <c r="D172" s="690">
        <f t="shared" si="14"/>
        <v>0</v>
      </c>
      <c r="E172" s="704">
        <f t="shared" si="4"/>
        <v>0</v>
      </c>
      <c r="G172" s="705">
        <f t="shared" si="9"/>
        <v>0</v>
      </c>
      <c r="H172" s="690">
        <f t="shared" si="13"/>
        <v>0</v>
      </c>
    </row>
    <row r="173" spans="2:8" x14ac:dyDescent="0.2">
      <c r="B173" s="736" t="s">
        <v>3640</v>
      </c>
      <c r="C173" s="631">
        <f t="shared" si="15"/>
        <v>0</v>
      </c>
      <c r="D173" s="690">
        <f t="shared" si="14"/>
        <v>0</v>
      </c>
      <c r="E173" s="704">
        <f t="shared" si="4"/>
        <v>0</v>
      </c>
      <c r="G173" s="705">
        <f t="shared" si="9"/>
        <v>0</v>
      </c>
      <c r="H173" s="690">
        <f t="shared" si="13"/>
        <v>0</v>
      </c>
    </row>
    <row r="174" spans="2:8" x14ac:dyDescent="0.2">
      <c r="B174" s="736" t="s">
        <v>3641</v>
      </c>
      <c r="C174" s="631">
        <f t="shared" si="15"/>
        <v>0</v>
      </c>
      <c r="D174" s="690">
        <f t="shared" si="14"/>
        <v>0</v>
      </c>
      <c r="E174" s="704">
        <f t="shared" si="4"/>
        <v>0</v>
      </c>
      <c r="G174" s="705">
        <f t="shared" si="9"/>
        <v>0</v>
      </c>
      <c r="H174" s="690">
        <f t="shared" si="13"/>
        <v>0</v>
      </c>
    </row>
    <row r="175" spans="2:8" x14ac:dyDescent="0.2">
      <c r="B175" s="736" t="s">
        <v>4010</v>
      </c>
      <c r="C175" s="631">
        <f t="shared" si="15"/>
        <v>0</v>
      </c>
      <c r="D175" s="690">
        <f t="shared" si="14"/>
        <v>0</v>
      </c>
      <c r="E175" s="704">
        <f t="shared" si="4"/>
        <v>0</v>
      </c>
      <c r="G175" s="705">
        <f t="shared" si="9"/>
        <v>0</v>
      </c>
      <c r="H175" s="690">
        <f t="shared" si="13"/>
        <v>0</v>
      </c>
    </row>
    <row r="176" spans="2:8" x14ac:dyDescent="0.2">
      <c r="B176" s="736" t="s">
        <v>3973</v>
      </c>
      <c r="C176" s="631">
        <f t="shared" si="15"/>
        <v>0</v>
      </c>
      <c r="D176" s="690">
        <f t="shared" si="14"/>
        <v>0</v>
      </c>
      <c r="E176" s="704">
        <f t="shared" si="4"/>
        <v>0</v>
      </c>
      <c r="G176" s="705">
        <f t="shared" si="9"/>
        <v>0</v>
      </c>
      <c r="H176" s="690">
        <f t="shared" si="13"/>
        <v>0</v>
      </c>
    </row>
    <row r="177" spans="2:9" x14ac:dyDescent="0.2">
      <c r="B177" s="736" t="s">
        <v>3644</v>
      </c>
      <c r="C177" s="631">
        <f t="shared" si="15"/>
        <v>0</v>
      </c>
      <c r="D177" s="690">
        <f t="shared" si="14"/>
        <v>0</v>
      </c>
      <c r="E177" s="704">
        <f t="shared" si="4"/>
        <v>0</v>
      </c>
      <c r="G177" s="705">
        <f t="shared" si="9"/>
        <v>0</v>
      </c>
      <c r="H177" s="690">
        <f t="shared" si="13"/>
        <v>0</v>
      </c>
    </row>
    <row r="178" spans="2:9" ht="25.5" x14ac:dyDescent="0.2">
      <c r="B178" s="746" t="s">
        <v>3571</v>
      </c>
      <c r="C178" s="631">
        <f>IF(D36&gt;0,D36*D25,0)</f>
        <v>0</v>
      </c>
      <c r="D178" s="690">
        <v>0</v>
      </c>
      <c r="E178" s="704">
        <f t="shared" si="4"/>
        <v>0</v>
      </c>
      <c r="G178" s="705">
        <f t="shared" ref="G178:G185" si="16">IF(E178&lt;0,0,E178)</f>
        <v>0</v>
      </c>
      <c r="H178" s="690">
        <f t="shared" si="13"/>
        <v>0</v>
      </c>
      <c r="I178" s="750"/>
    </row>
    <row r="179" spans="2:9" x14ac:dyDescent="0.2">
      <c r="B179" s="746" t="s">
        <v>3572</v>
      </c>
      <c r="C179" s="631">
        <f>IF(D37&gt;0,D37*D25,0)</f>
        <v>0</v>
      </c>
      <c r="D179" s="690">
        <v>0</v>
      </c>
      <c r="E179" s="704">
        <f t="shared" si="4"/>
        <v>0</v>
      </c>
      <c r="G179" s="705">
        <f t="shared" si="16"/>
        <v>0</v>
      </c>
      <c r="H179" s="690">
        <f t="shared" si="13"/>
        <v>0</v>
      </c>
      <c r="I179" s="750"/>
    </row>
    <row r="180" spans="2:9" ht="25.5" x14ac:dyDescent="0.2">
      <c r="B180" s="746" t="s">
        <v>3650</v>
      </c>
      <c r="C180" s="631">
        <f>IF(D38&gt;0,D38,0)</f>
        <v>0</v>
      </c>
      <c r="D180" s="690">
        <v>0</v>
      </c>
      <c r="E180" s="704">
        <f t="shared" si="4"/>
        <v>0</v>
      </c>
      <c r="G180" s="705">
        <f t="shared" si="16"/>
        <v>0</v>
      </c>
      <c r="H180" s="690">
        <f t="shared" si="13"/>
        <v>0</v>
      </c>
    </row>
    <row r="181" spans="2:9" ht="25.5" x14ac:dyDescent="0.2">
      <c r="B181" s="746" t="s">
        <v>3574</v>
      </c>
      <c r="C181" s="631">
        <v>0</v>
      </c>
      <c r="D181" s="690">
        <f>IF(D36&lt;0,-D36,0)*D25</f>
        <v>0</v>
      </c>
      <c r="E181" s="704">
        <f t="shared" si="4"/>
        <v>0</v>
      </c>
      <c r="G181" s="705">
        <f t="shared" si="16"/>
        <v>0</v>
      </c>
      <c r="H181" s="690">
        <f t="shared" si="13"/>
        <v>0</v>
      </c>
    </row>
    <row r="182" spans="2:9" x14ac:dyDescent="0.2">
      <c r="B182" s="746" t="s">
        <v>3576</v>
      </c>
      <c r="C182" s="631">
        <v>0</v>
      </c>
      <c r="D182" s="690">
        <f>IF(D37&lt;0,-D37,0)*D25</f>
        <v>0</v>
      </c>
      <c r="E182" s="704">
        <f t="shared" si="4"/>
        <v>0</v>
      </c>
      <c r="G182" s="705">
        <f t="shared" si="16"/>
        <v>0</v>
      </c>
      <c r="H182" s="690">
        <f t="shared" si="13"/>
        <v>0</v>
      </c>
    </row>
    <row r="183" spans="2:9" ht="25.5" x14ac:dyDescent="0.2">
      <c r="B183" s="746" t="s">
        <v>3651</v>
      </c>
      <c r="C183" s="631">
        <v>0</v>
      </c>
      <c r="D183" s="690">
        <f>IF(D38&lt;0,-D38,)*D25</f>
        <v>0</v>
      </c>
      <c r="E183" s="704">
        <f t="shared" si="4"/>
        <v>0</v>
      </c>
      <c r="G183" s="705">
        <f t="shared" si="16"/>
        <v>0</v>
      </c>
      <c r="H183" s="690">
        <f t="shared" si="13"/>
        <v>0</v>
      </c>
    </row>
    <row r="184" spans="2:9" ht="25.5" x14ac:dyDescent="0.2">
      <c r="B184" s="746" t="s">
        <v>4060</v>
      </c>
      <c r="C184" s="631">
        <f>IF(D46&gt;0,D46*D25,0)</f>
        <v>0</v>
      </c>
      <c r="D184" s="690">
        <f>IF(D46&lt;0,D46*D25,0)</f>
        <v>0</v>
      </c>
      <c r="E184" s="704">
        <f t="shared" si="4"/>
        <v>0</v>
      </c>
      <c r="G184" s="705">
        <f t="shared" si="16"/>
        <v>0</v>
      </c>
      <c r="H184" s="690">
        <f t="shared" si="13"/>
        <v>0</v>
      </c>
    </row>
    <row r="185" spans="2:9" ht="25.5" x14ac:dyDescent="0.2">
      <c r="B185" s="746" t="s">
        <v>3656</v>
      </c>
      <c r="C185" s="631">
        <f>IF(D48&gt;0,D48*D25,0)</f>
        <v>0</v>
      </c>
      <c r="D185" s="690">
        <f>IF(D48&lt;0,D48*D25,0)</f>
        <v>0</v>
      </c>
      <c r="E185" s="704">
        <f t="shared" si="4"/>
        <v>0</v>
      </c>
      <c r="G185" s="705">
        <f t="shared" si="16"/>
        <v>0</v>
      </c>
      <c r="H185" s="690">
        <f t="shared" si="13"/>
        <v>0</v>
      </c>
    </row>
    <row r="186" spans="2:9" x14ac:dyDescent="0.2">
      <c r="C186" s="766">
        <f>SUM(C149:C185)</f>
        <v>0</v>
      </c>
      <c r="D186" s="767">
        <f>SUM(D149:D185)</f>
        <v>0</v>
      </c>
      <c r="E186" s="708">
        <f>SUM(E148:E185)</f>
        <v>0</v>
      </c>
      <c r="G186" s="766">
        <f>SUM(G148:G185)</f>
        <v>0</v>
      </c>
      <c r="H186" s="767">
        <f>SUM(H148:H185)</f>
        <v>0</v>
      </c>
    </row>
    <row r="188" spans="2:9" x14ac:dyDescent="0.2">
      <c r="B188" s="749"/>
      <c r="C188" s="750">
        <f>C186-D186</f>
        <v>0</v>
      </c>
      <c r="D188" s="749"/>
    </row>
    <row r="189" spans="2:9" x14ac:dyDescent="0.2">
      <c r="B189" s="750"/>
      <c r="G189" s="749"/>
    </row>
    <row r="191" spans="2:9" x14ac:dyDescent="0.2">
      <c r="C191" s="750"/>
      <c r="D191" s="750"/>
    </row>
  </sheetData>
  <sheetProtection algorithmName="SHA-512" hashValue="XMJMAWs6AntIjCo2PG6JJkQ0guJaENpvbI8Ao+CvrwT1vxOHSOOS8THBGcDqicxcqoOUX9g2f8GJ69wDW7g+xQ==" saltValue="Gqyv81nrnivQkFUFXVxUQQ==" spinCount="100000" sheet="1" objects="1" scenarios="1"/>
  <customSheetViews>
    <customSheetView guid="{D2B860EA-92EC-4999-9A59-C624E1F8C7FB}" hiddenRows="1" topLeftCell="A13">
      <selection activeCell="N44" sqref="N44"/>
      <pageMargins left="0.7" right="0.7" top="0.75" bottom="0.75" header="0.3" footer="0.3"/>
      <pageSetup orientation="portrait" r:id="rId1"/>
    </customSheetView>
    <customSheetView guid="{C1197650-3ED8-49E4-8E4C-0D1D4B503FC0}" hiddenRows="1" topLeftCell="A13">
      <selection activeCell="N44" sqref="N44"/>
      <pageMargins left="0.7" right="0.7" top="0.75" bottom="0.75" header="0.3" footer="0.3"/>
      <pageSetup orientation="portrait" r:id="rId2"/>
    </customSheetView>
  </customSheetViews>
  <mergeCells count="17">
    <mergeCell ref="B41:C41"/>
    <mergeCell ref="B46:C46"/>
    <mergeCell ref="B48:C48"/>
    <mergeCell ref="G146:H146"/>
    <mergeCell ref="B37:C37"/>
    <mergeCell ref="F37:K37"/>
    <mergeCell ref="B38:C38"/>
    <mergeCell ref="B39:C39"/>
    <mergeCell ref="F39:K39"/>
    <mergeCell ref="B40:C40"/>
    <mergeCell ref="F40:K40"/>
    <mergeCell ref="A1:C1"/>
    <mergeCell ref="A4:C4"/>
    <mergeCell ref="B7:L7"/>
    <mergeCell ref="B28:E28"/>
    <mergeCell ref="B36:C36"/>
    <mergeCell ref="F36:K36"/>
  </mergeCells>
  <conditionalFormatting sqref="M34:M45">
    <cfRule type="expression" dxfId="3" priority="3">
      <formula>#REF!=2</formula>
    </cfRule>
  </conditionalFormatting>
  <conditionalFormatting sqref="M47:M55">
    <cfRule type="expression" dxfId="2" priority="1">
      <formula>#REF!=2</formula>
    </cfRule>
  </conditionalFormatting>
  <pageMargins left="0.7" right="0.7" top="0.75" bottom="0.75" header="0.3" footer="0.3"/>
  <pageSetup orientation="portrait"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91"/>
  <sheetViews>
    <sheetView topLeftCell="B116" workbookViewId="0">
      <selection sqref="A1:C1"/>
    </sheetView>
  </sheetViews>
  <sheetFormatPr defaultColWidth="9.140625" defaultRowHeight="12.75" x14ac:dyDescent="0.2"/>
  <cols>
    <col min="1" max="1" width="9.140625" style="736" customWidth="1"/>
    <col min="2" max="2" width="54.42578125" style="736" customWidth="1"/>
    <col min="3" max="3" width="27.85546875" style="736" customWidth="1"/>
    <col min="4" max="4" width="16.85546875" style="736" customWidth="1"/>
    <col min="5" max="5" width="17.5703125" style="736" customWidth="1"/>
    <col min="6" max="6" width="9.140625" style="736"/>
    <col min="7" max="8" width="15" style="736" bestFit="1" customWidth="1"/>
    <col min="9" max="9" width="11" style="736" customWidth="1"/>
    <col min="10" max="10" width="9.140625" style="736" customWidth="1"/>
    <col min="11" max="11" width="15" style="736" bestFit="1" customWidth="1"/>
    <col min="12" max="12" width="16" style="736" bestFit="1" customWidth="1"/>
    <col min="13" max="13" width="9.140625" style="736" customWidth="1"/>
    <col min="14" max="14" width="16.5703125" style="736" customWidth="1"/>
    <col min="15" max="16" width="11.28515625" style="736" bestFit="1" customWidth="1"/>
    <col min="17" max="17" width="10.85546875" style="736" customWidth="1"/>
    <col min="18" max="16384" width="9.140625" style="736"/>
  </cols>
  <sheetData>
    <row r="1" spans="1:12" ht="15.75" x14ac:dyDescent="0.25">
      <c r="A1" s="1269" t="s">
        <v>3616</v>
      </c>
      <c r="B1" s="1270"/>
      <c r="C1" s="1271"/>
    </row>
    <row r="4" spans="1:12" ht="81" customHeight="1" x14ac:dyDescent="0.2">
      <c r="A4" s="1272" t="s">
        <v>4063</v>
      </c>
      <c r="B4" s="1273"/>
      <c r="C4" s="1273"/>
    </row>
    <row r="5" spans="1:12" ht="12.75" customHeight="1" x14ac:dyDescent="0.2"/>
    <row r="6" spans="1:12" ht="12.75" customHeight="1" x14ac:dyDescent="0.2"/>
    <row r="7" spans="1:12" ht="12.75" customHeight="1" x14ac:dyDescent="0.2">
      <c r="A7" s="737" t="s">
        <v>539</v>
      </c>
      <c r="B7" s="1274" t="s">
        <v>3646</v>
      </c>
      <c r="C7" s="1275"/>
      <c r="D7" s="1275"/>
      <c r="E7" s="1275"/>
      <c r="F7" s="1275"/>
      <c r="G7" s="1275"/>
      <c r="H7" s="1275"/>
      <c r="I7" s="1275"/>
      <c r="J7" s="1275"/>
      <c r="K7" s="1275"/>
      <c r="L7" s="1275"/>
    </row>
    <row r="8" spans="1:12" ht="12.75" customHeight="1" x14ac:dyDescent="0.2">
      <c r="G8" s="560"/>
      <c r="H8" s="560"/>
      <c r="I8" s="738"/>
      <c r="J8" s="560"/>
      <c r="L8" s="560"/>
    </row>
    <row r="9" spans="1:12" ht="12.75" customHeight="1" x14ac:dyDescent="0.2">
      <c r="B9" s="736" t="s">
        <v>3645</v>
      </c>
      <c r="D9" s="560"/>
      <c r="F9" s="560"/>
      <c r="H9" s="560"/>
      <c r="I9" s="560"/>
    </row>
    <row r="10" spans="1:12" ht="12.75" customHeight="1" x14ac:dyDescent="0.2">
      <c r="D10" s="602"/>
      <c r="F10" s="560"/>
      <c r="H10" s="560"/>
      <c r="I10" s="813"/>
    </row>
    <row r="11" spans="1:12" ht="12.75" customHeight="1" x14ac:dyDescent="0.2">
      <c r="B11" s="739" t="s">
        <v>2033</v>
      </c>
      <c r="D11" s="616">
        <v>0</v>
      </c>
      <c r="F11" s="739"/>
      <c r="H11" s="560"/>
    </row>
    <row r="12" spans="1:12" ht="12.75" customHeight="1" x14ac:dyDescent="0.2">
      <c r="B12" s="739" t="s">
        <v>4068</v>
      </c>
      <c r="D12" s="616">
        <v>0</v>
      </c>
      <c r="E12" s="736" t="s">
        <v>3647</v>
      </c>
      <c r="F12" s="739"/>
      <c r="H12" s="560"/>
      <c r="I12" s="560"/>
    </row>
    <row r="13" spans="1:12" ht="12.75" customHeight="1" x14ac:dyDescent="0.2">
      <c r="B13" s="740" t="s">
        <v>2051</v>
      </c>
      <c r="D13" s="587">
        <f>SUM(D11:D12)</f>
        <v>0</v>
      </c>
      <c r="E13" s="739" t="str">
        <f>IF(D13=1,"=100%","DOES NOT EQUAL 100%!!!")</f>
        <v>DOES NOT EQUAL 100%!!!</v>
      </c>
      <c r="H13" s="560"/>
      <c r="I13" s="560"/>
    </row>
    <row r="14" spans="1:12" ht="12.75" customHeight="1" x14ac:dyDescent="0.2">
      <c r="B14" s="741"/>
      <c r="H14" s="560"/>
      <c r="I14" s="560"/>
    </row>
    <row r="15" spans="1:12" ht="12.75" customHeight="1" x14ac:dyDescent="0.2">
      <c r="B15" s="742" t="s">
        <v>3621</v>
      </c>
      <c r="H15" s="560"/>
      <c r="I15" s="560"/>
    </row>
    <row r="16" spans="1:12" ht="12.75" customHeight="1" x14ac:dyDescent="0.2">
      <c r="B16" s="741" t="s">
        <v>2052</v>
      </c>
      <c r="D16" s="616">
        <v>0</v>
      </c>
      <c r="H16" s="560"/>
      <c r="I16" s="560"/>
    </row>
    <row r="17" spans="1:11" ht="12.75" customHeight="1" x14ac:dyDescent="0.2">
      <c r="B17" s="741" t="s">
        <v>2053</v>
      </c>
      <c r="D17" s="616">
        <v>0</v>
      </c>
      <c r="H17" s="560"/>
      <c r="I17" s="560"/>
    </row>
    <row r="18" spans="1:11" ht="12.75" customHeight="1" x14ac:dyDescent="0.2">
      <c r="B18" s="741" t="s">
        <v>2054</v>
      </c>
      <c r="D18" s="616">
        <v>0</v>
      </c>
      <c r="H18" s="560"/>
      <c r="I18" s="560"/>
    </row>
    <row r="19" spans="1:11" ht="12.75" customHeight="1" x14ac:dyDescent="0.2">
      <c r="B19" s="741" t="s">
        <v>2055</v>
      </c>
      <c r="D19" s="616">
        <v>0</v>
      </c>
      <c r="H19" s="560"/>
      <c r="I19" s="560"/>
    </row>
    <row r="20" spans="1:11" ht="12.75" customHeight="1" x14ac:dyDescent="0.2">
      <c r="B20" s="741" t="s">
        <v>2056</v>
      </c>
      <c r="D20" s="616">
        <v>0</v>
      </c>
      <c r="H20" s="560"/>
      <c r="I20" s="560"/>
    </row>
    <row r="21" spans="1:11" ht="12.75" customHeight="1" x14ac:dyDescent="0.2">
      <c r="B21" s="741" t="s">
        <v>2057</v>
      </c>
      <c r="D21" s="616">
        <v>0</v>
      </c>
      <c r="H21" s="560"/>
      <c r="I21" s="560"/>
    </row>
    <row r="22" spans="1:11" ht="12.75" customHeight="1" x14ac:dyDescent="0.2">
      <c r="B22" s="741" t="s">
        <v>2058</v>
      </c>
      <c r="D22" s="616">
        <v>0</v>
      </c>
      <c r="H22" s="560"/>
      <c r="I22" s="560"/>
    </row>
    <row r="23" spans="1:11" ht="12.75" customHeight="1" x14ac:dyDescent="0.2">
      <c r="B23" s="741" t="s">
        <v>2059</v>
      </c>
      <c r="D23" s="616">
        <v>0</v>
      </c>
      <c r="H23" s="772"/>
      <c r="I23" s="560"/>
    </row>
    <row r="24" spans="1:11" ht="12.75" customHeight="1" x14ac:dyDescent="0.2">
      <c r="B24" s="741" t="s">
        <v>2060</v>
      </c>
      <c r="D24" s="616">
        <v>0</v>
      </c>
      <c r="H24" s="772"/>
      <c r="I24" s="560"/>
    </row>
    <row r="25" spans="1:11" ht="12.75" customHeight="1" x14ac:dyDescent="0.2">
      <c r="B25" s="740" t="s">
        <v>3631</v>
      </c>
      <c r="D25" s="587">
        <f>SUM(D16:D24)</f>
        <v>0</v>
      </c>
      <c r="E25" s="739" t="str">
        <f>IF(D25=D11,"Equals Governmental Activities","DOES NOT EQUAL Governmental Activities!!!")</f>
        <v>Equals Governmental Activities</v>
      </c>
      <c r="H25" s="560"/>
      <c r="I25" s="560"/>
    </row>
    <row r="26" spans="1:11" ht="12.75" customHeight="1" x14ac:dyDescent="0.2">
      <c r="D26" s="560"/>
      <c r="F26" s="560"/>
      <c r="H26" s="560"/>
      <c r="I26" s="560"/>
    </row>
    <row r="28" spans="1:11" ht="25.5" customHeight="1" x14ac:dyDescent="0.2">
      <c r="A28" s="737" t="s">
        <v>540</v>
      </c>
      <c r="B28" s="1276" t="s">
        <v>4056</v>
      </c>
      <c r="C28" s="1169"/>
      <c r="D28" s="1169"/>
      <c r="E28" s="1169"/>
    </row>
    <row r="31" spans="1:11" ht="14.25" x14ac:dyDescent="0.2">
      <c r="B31" s="770" t="s">
        <v>4054</v>
      </c>
      <c r="C31" s="770"/>
      <c r="D31" s="913"/>
      <c r="E31" s="751"/>
      <c r="F31" s="743"/>
      <c r="G31" s="743"/>
      <c r="H31" s="743"/>
      <c r="I31" s="743"/>
      <c r="J31" s="743"/>
      <c r="K31" s="744"/>
    </row>
    <row r="32" spans="1:11" ht="14.25" x14ac:dyDescent="0.2">
      <c r="B32" s="770" t="s">
        <v>4055</v>
      </c>
      <c r="C32" s="770"/>
      <c r="D32" s="913"/>
      <c r="E32" s="743"/>
      <c r="F32" s="743"/>
      <c r="G32" s="743"/>
      <c r="H32" s="743"/>
      <c r="I32" s="743"/>
      <c r="J32" s="743"/>
      <c r="K32" s="744"/>
    </row>
    <row r="33" spans="1:17" ht="14.25" x14ac:dyDescent="0.2">
      <c r="B33" s="770" t="s">
        <v>3960</v>
      </c>
      <c r="C33" s="770"/>
      <c r="D33" s="913"/>
      <c r="E33" s="743"/>
      <c r="F33" s="743"/>
      <c r="G33" s="743"/>
      <c r="H33" s="743"/>
      <c r="I33" s="743"/>
      <c r="J33" s="743"/>
      <c r="K33" s="744"/>
    </row>
    <row r="34" spans="1:17" ht="14.25" x14ac:dyDescent="0.2">
      <c r="B34" s="770" t="s">
        <v>3655</v>
      </c>
      <c r="C34" s="770"/>
      <c r="D34" s="913"/>
      <c r="E34" s="745"/>
      <c r="F34" s="743"/>
      <c r="G34" s="743"/>
      <c r="H34" s="743"/>
      <c r="I34" s="743"/>
      <c r="J34" s="743"/>
      <c r="K34" s="744"/>
    </row>
    <row r="35" spans="1:17" ht="14.25" x14ac:dyDescent="0.2">
      <c r="B35" s="770" t="s">
        <v>4059</v>
      </c>
      <c r="C35" s="770"/>
      <c r="D35" s="913"/>
      <c r="E35" s="745"/>
      <c r="F35" s="743"/>
      <c r="G35" s="743"/>
      <c r="H35" s="743"/>
      <c r="I35" s="743"/>
      <c r="J35" s="743"/>
      <c r="K35" s="744"/>
    </row>
    <row r="36" spans="1:17" ht="27" customHeight="1" x14ac:dyDescent="0.2">
      <c r="B36" s="1282" t="s">
        <v>3961</v>
      </c>
      <c r="C36" s="1282"/>
      <c r="D36" s="913"/>
      <c r="E36" s="745"/>
      <c r="F36" s="1283"/>
      <c r="G36" s="1283"/>
      <c r="H36" s="1283"/>
      <c r="I36" s="1283"/>
      <c r="J36" s="1283"/>
      <c r="K36" s="1283"/>
    </row>
    <row r="37" spans="1:17" ht="19.5" customHeight="1" x14ac:dyDescent="0.2">
      <c r="B37" s="1282" t="s">
        <v>3962</v>
      </c>
      <c r="C37" s="1282"/>
      <c r="D37" s="913"/>
      <c r="E37" s="745"/>
      <c r="F37" s="1283"/>
      <c r="G37" s="1283"/>
      <c r="H37" s="1283"/>
      <c r="I37" s="1283"/>
      <c r="J37" s="1283"/>
      <c r="K37" s="1283"/>
    </row>
    <row r="38" spans="1:17" ht="21.75" customHeight="1" x14ac:dyDescent="0.2">
      <c r="B38" s="1282" t="s">
        <v>3963</v>
      </c>
      <c r="C38" s="1282"/>
      <c r="D38" s="913"/>
      <c r="E38" s="745"/>
      <c r="F38" s="881"/>
      <c r="G38" s="881"/>
      <c r="H38" s="881"/>
      <c r="I38" s="881"/>
      <c r="J38" s="881"/>
      <c r="K38" s="881"/>
    </row>
    <row r="39" spans="1:17" ht="17.25" customHeight="1" x14ac:dyDescent="0.2">
      <c r="B39" s="1282" t="s">
        <v>3652</v>
      </c>
      <c r="C39" s="1282"/>
      <c r="D39" s="913"/>
      <c r="E39" s="743"/>
      <c r="F39" s="1282" t="s">
        <v>3617</v>
      </c>
      <c r="G39" s="1282"/>
      <c r="H39" s="1282"/>
      <c r="I39" s="1282"/>
      <c r="J39" s="1282"/>
      <c r="K39" s="1282"/>
    </row>
    <row r="40" spans="1:17" ht="14.25" x14ac:dyDescent="0.2">
      <c r="B40" s="1282" t="s">
        <v>3653</v>
      </c>
      <c r="C40" s="1282"/>
      <c r="D40" s="913"/>
      <c r="E40" s="743"/>
      <c r="F40" s="1282" t="s">
        <v>3617</v>
      </c>
      <c r="G40" s="1282"/>
      <c r="H40" s="1282"/>
      <c r="I40" s="1282"/>
      <c r="J40" s="1282"/>
      <c r="K40" s="1282"/>
      <c r="M40" s="746"/>
    </row>
    <row r="41" spans="1:17" x14ac:dyDescent="0.2">
      <c r="B41" s="1282" t="s">
        <v>3654</v>
      </c>
      <c r="C41" s="1282"/>
      <c r="D41" s="913"/>
      <c r="M41" s="746"/>
    </row>
    <row r="43" spans="1:17" ht="51" x14ac:dyDescent="0.2">
      <c r="A43" s="737" t="s">
        <v>540</v>
      </c>
      <c r="B43" s="747" t="s">
        <v>3964</v>
      </c>
      <c r="L43" s="752"/>
      <c r="M43" s="748"/>
      <c r="N43" s="752"/>
      <c r="P43" s="752"/>
      <c r="Q43" s="752"/>
    </row>
    <row r="44" spans="1:17" x14ac:dyDescent="0.2">
      <c r="L44" s="752"/>
      <c r="M44" s="748"/>
      <c r="N44" s="752"/>
      <c r="P44" s="752"/>
      <c r="Q44" s="752"/>
    </row>
    <row r="45" spans="1:17" x14ac:dyDescent="0.2">
      <c r="D45" s="693"/>
      <c r="L45" s="752"/>
      <c r="N45" s="752"/>
      <c r="P45" s="752"/>
      <c r="Q45" s="752"/>
    </row>
    <row r="46" spans="1:17" ht="27" customHeight="1" x14ac:dyDescent="0.2">
      <c r="B46" s="1279" t="s">
        <v>4062</v>
      </c>
      <c r="C46" s="1279"/>
      <c r="D46" s="914"/>
      <c r="K46" s="746"/>
      <c r="L46" s="752"/>
      <c r="M46" s="746"/>
      <c r="N46" s="752"/>
      <c r="O46" s="746"/>
      <c r="P46" s="752"/>
      <c r="Q46" s="752"/>
    </row>
    <row r="47" spans="1:17" x14ac:dyDescent="0.2">
      <c r="D47" s="693"/>
      <c r="L47" s="752"/>
      <c r="N47" s="752"/>
      <c r="P47" s="752"/>
      <c r="Q47" s="752"/>
    </row>
    <row r="48" spans="1:17" ht="29.25" customHeight="1" x14ac:dyDescent="0.2">
      <c r="B48" s="1279" t="s">
        <v>3648</v>
      </c>
      <c r="C48" s="1279"/>
      <c r="D48" s="914"/>
      <c r="L48" s="752"/>
      <c r="M48" s="746"/>
      <c r="N48" s="752"/>
      <c r="P48" s="752"/>
      <c r="Q48" s="752"/>
    </row>
    <row r="49" spans="2:17" x14ac:dyDescent="0.2">
      <c r="L49" s="752"/>
      <c r="M49" s="746"/>
      <c r="N49" s="752"/>
      <c r="Q49" s="752"/>
    </row>
    <row r="50" spans="2:17" ht="12.75" hidden="1" customHeight="1" x14ac:dyDescent="0.2">
      <c r="L50" s="752"/>
      <c r="O50" s="72"/>
      <c r="P50" s="72"/>
    </row>
    <row r="51" spans="2:17" ht="14.25" hidden="1" customHeight="1" x14ac:dyDescent="0.2">
      <c r="B51" s="743" t="s">
        <v>3649</v>
      </c>
      <c r="C51" s="743"/>
      <c r="D51" s="743"/>
      <c r="E51" s="743"/>
      <c r="F51" s="743"/>
      <c r="G51" s="743"/>
      <c r="H51" s="743"/>
      <c r="I51" s="743"/>
      <c r="J51" s="743"/>
      <c r="K51" s="752"/>
      <c r="M51" s="748"/>
      <c r="O51" s="72"/>
      <c r="P51" s="72"/>
    </row>
    <row r="52" spans="2:17" ht="14.25" hidden="1" customHeight="1" x14ac:dyDescent="0.2">
      <c r="B52" s="743" t="s">
        <v>3619</v>
      </c>
      <c r="C52" s="743"/>
      <c r="D52" s="743"/>
      <c r="E52" s="743"/>
      <c r="F52" s="743"/>
      <c r="G52" s="743"/>
      <c r="H52" s="743"/>
      <c r="I52" s="743"/>
      <c r="J52" s="743"/>
      <c r="K52" s="752"/>
      <c r="L52" s="749"/>
      <c r="M52" s="748"/>
      <c r="O52" s="72"/>
      <c r="P52" s="72"/>
    </row>
    <row r="53" spans="2:17" ht="14.25" hidden="1" customHeight="1" x14ac:dyDescent="0.2">
      <c r="B53" s="743" t="s">
        <v>3618</v>
      </c>
      <c r="C53" s="743"/>
      <c r="D53" s="743"/>
      <c r="E53" s="743"/>
      <c r="F53" s="743"/>
      <c r="G53" s="743"/>
      <c r="H53" s="743"/>
      <c r="I53" s="743"/>
      <c r="J53" s="743"/>
      <c r="K53" s="752"/>
      <c r="O53" s="72"/>
      <c r="P53" s="72"/>
    </row>
    <row r="54" spans="2:17" ht="14.25" hidden="1" customHeight="1" x14ac:dyDescent="0.2">
      <c r="B54" s="743" t="s">
        <v>3597</v>
      </c>
      <c r="C54" s="743"/>
      <c r="D54" s="743"/>
      <c r="E54" s="743"/>
      <c r="F54" s="743"/>
      <c r="G54" s="743"/>
      <c r="H54" s="743"/>
      <c r="I54" s="743"/>
      <c r="J54" s="743"/>
      <c r="K54" s="752"/>
      <c r="L54" s="750"/>
      <c r="O54" s="72"/>
      <c r="P54" s="72"/>
    </row>
    <row r="55" spans="2:17" ht="14.25" hidden="1" customHeight="1" x14ac:dyDescent="0.2">
      <c r="B55" s="743" t="s">
        <v>3598</v>
      </c>
      <c r="C55" s="743"/>
      <c r="D55" s="743"/>
      <c r="E55" s="743"/>
      <c r="F55" s="743"/>
      <c r="G55" s="743"/>
      <c r="H55" s="743"/>
      <c r="I55" s="743"/>
      <c r="J55" s="751"/>
      <c r="K55" s="752"/>
      <c r="L55" s="752"/>
      <c r="O55" s="72"/>
      <c r="P55" s="72"/>
    </row>
    <row r="56" spans="2:17" ht="14.25" hidden="1" customHeight="1" x14ac:dyDescent="0.2">
      <c r="B56" s="743" t="s">
        <v>3599</v>
      </c>
      <c r="C56" s="743"/>
      <c r="D56" s="743"/>
      <c r="E56" s="743"/>
      <c r="F56" s="743"/>
      <c r="G56" s="743"/>
      <c r="H56" s="743"/>
      <c r="I56" s="743"/>
      <c r="J56" s="743"/>
      <c r="K56" s="752"/>
      <c r="O56" s="72"/>
      <c r="P56" s="72"/>
    </row>
    <row r="57" spans="2:17" ht="14.25" hidden="1" customHeight="1" x14ac:dyDescent="0.2">
      <c r="B57" s="743" t="s">
        <v>3600</v>
      </c>
      <c r="C57" s="743"/>
      <c r="D57" s="743"/>
      <c r="E57" s="743"/>
      <c r="F57" s="743"/>
      <c r="G57" s="743"/>
      <c r="H57" s="743"/>
      <c r="I57" s="743"/>
      <c r="J57" s="743"/>
      <c r="K57" s="752"/>
      <c r="L57" s="72"/>
      <c r="O57" s="72"/>
      <c r="P57" s="72"/>
    </row>
    <row r="58" spans="2:17" ht="14.25" hidden="1" customHeight="1" x14ac:dyDescent="0.2">
      <c r="B58" s="743" t="s">
        <v>3601</v>
      </c>
      <c r="C58" s="743"/>
      <c r="D58" s="743"/>
      <c r="E58" s="743"/>
      <c r="F58" s="743"/>
      <c r="G58" s="743"/>
      <c r="H58" s="743"/>
      <c r="I58" s="743"/>
      <c r="J58" s="743"/>
      <c r="K58" s="752"/>
      <c r="O58" s="72"/>
      <c r="P58" s="72"/>
    </row>
    <row r="59" spans="2:17" ht="14.25" hidden="1" customHeight="1" x14ac:dyDescent="0.2">
      <c r="B59" s="743" t="s">
        <v>3602</v>
      </c>
      <c r="C59" s="743"/>
      <c r="D59" s="743"/>
      <c r="E59" s="743"/>
      <c r="F59" s="743"/>
      <c r="G59" s="743"/>
      <c r="H59" s="743"/>
      <c r="I59" s="743"/>
      <c r="J59" s="743"/>
      <c r="K59" s="752"/>
      <c r="L59" s="749"/>
      <c r="O59" s="72"/>
      <c r="P59" s="72"/>
    </row>
    <row r="60" spans="2:17" ht="14.25" hidden="1" customHeight="1" x14ac:dyDescent="0.2">
      <c r="B60" s="743" t="s">
        <v>3603</v>
      </c>
      <c r="C60" s="743"/>
      <c r="D60" s="743"/>
      <c r="E60" s="743"/>
      <c r="F60" s="743"/>
      <c r="G60" s="743"/>
      <c r="H60" s="743"/>
      <c r="I60" s="743"/>
      <c r="J60" s="743"/>
      <c r="K60" s="752"/>
      <c r="L60" s="749"/>
      <c r="O60" s="72"/>
      <c r="P60" s="72"/>
    </row>
    <row r="61" spans="2:17" ht="14.25" hidden="1" customHeight="1" x14ac:dyDescent="0.2">
      <c r="B61" s="743" t="s">
        <v>3604</v>
      </c>
      <c r="C61" s="743"/>
      <c r="D61" s="743"/>
      <c r="E61" s="743"/>
      <c r="F61" s="743"/>
      <c r="G61" s="743"/>
      <c r="H61" s="743"/>
      <c r="I61" s="743"/>
      <c r="J61" s="743"/>
      <c r="K61" s="752"/>
      <c r="L61" s="71"/>
      <c r="O61" s="72"/>
      <c r="P61" s="72"/>
    </row>
    <row r="62" spans="2:17" ht="14.25" hidden="1" customHeight="1" x14ac:dyDescent="0.2">
      <c r="B62" s="743" t="s">
        <v>3633</v>
      </c>
      <c r="C62" s="743"/>
      <c r="D62" s="743"/>
      <c r="E62" s="743"/>
      <c r="F62" s="743"/>
      <c r="G62" s="743"/>
      <c r="H62" s="743"/>
      <c r="I62" s="743"/>
      <c r="J62" s="743"/>
      <c r="K62" s="752"/>
      <c r="L62" s="749"/>
      <c r="O62" s="72"/>
      <c r="P62" s="72"/>
    </row>
    <row r="63" spans="2:17" ht="14.25" hidden="1" customHeight="1" x14ac:dyDescent="0.2">
      <c r="B63" s="743" t="s">
        <v>3635</v>
      </c>
      <c r="C63" s="743"/>
      <c r="D63" s="743"/>
      <c r="E63" s="743"/>
      <c r="F63" s="743"/>
      <c r="G63" s="743"/>
      <c r="H63" s="743"/>
      <c r="I63" s="743"/>
      <c r="J63" s="743"/>
      <c r="K63" s="752"/>
      <c r="L63" s="749"/>
      <c r="O63" s="72"/>
      <c r="P63" s="72"/>
    </row>
    <row r="64" spans="2:17" ht="14.25" hidden="1" customHeight="1" x14ac:dyDescent="0.2">
      <c r="B64" s="743" t="s">
        <v>3632</v>
      </c>
      <c r="C64" s="743"/>
      <c r="D64" s="743"/>
      <c r="E64" s="743"/>
      <c r="F64" s="743"/>
      <c r="G64" s="743"/>
      <c r="H64" s="743"/>
      <c r="I64" s="743"/>
      <c r="J64" s="743"/>
      <c r="K64" s="752"/>
      <c r="O64" s="72"/>
      <c r="P64" s="72"/>
    </row>
    <row r="65" spans="2:16" ht="14.25" hidden="1" customHeight="1" x14ac:dyDescent="0.2">
      <c r="B65" s="743" t="s">
        <v>3634</v>
      </c>
      <c r="C65" s="743"/>
      <c r="D65" s="743"/>
      <c r="E65" s="743"/>
      <c r="F65" s="743"/>
      <c r="G65" s="743"/>
      <c r="H65" s="743"/>
      <c r="I65" s="743"/>
      <c r="J65" s="743"/>
      <c r="K65" s="752"/>
      <c r="O65" s="72"/>
      <c r="P65" s="72"/>
    </row>
    <row r="66" spans="2:16" ht="14.25" hidden="1" customHeight="1" x14ac:dyDescent="0.2">
      <c r="C66" s="743"/>
      <c r="D66" s="743"/>
      <c r="E66" s="743"/>
      <c r="F66" s="743"/>
      <c r="G66" s="743"/>
      <c r="H66" s="743"/>
      <c r="I66" s="743"/>
      <c r="J66" s="743"/>
      <c r="K66" s="752"/>
      <c r="O66" s="72"/>
      <c r="P66" s="72"/>
    </row>
    <row r="67" spans="2:16" ht="14.25" hidden="1" customHeight="1" x14ac:dyDescent="0.2">
      <c r="C67" s="743"/>
      <c r="D67" s="743"/>
      <c r="E67" s="743"/>
      <c r="F67" s="743"/>
      <c r="G67" s="743"/>
      <c r="H67" s="743"/>
      <c r="I67" s="743"/>
      <c r="J67" s="743"/>
      <c r="K67" s="752"/>
      <c r="L67" s="752"/>
      <c r="O67" s="72"/>
      <c r="P67" s="72"/>
    </row>
    <row r="68" spans="2:16" ht="14.25" hidden="1" customHeight="1" x14ac:dyDescent="0.2">
      <c r="B68" s="743" t="s">
        <v>3605</v>
      </c>
      <c r="C68" s="743"/>
      <c r="D68" s="743"/>
      <c r="E68" s="743"/>
      <c r="F68" s="743"/>
      <c r="G68" s="743"/>
      <c r="H68" s="743"/>
      <c r="I68" s="771"/>
      <c r="J68" s="743"/>
      <c r="K68" s="752"/>
      <c r="L68" s="809"/>
      <c r="O68" s="72"/>
      <c r="P68" s="72"/>
    </row>
    <row r="69" spans="2:16" ht="14.25" hidden="1" customHeight="1" x14ac:dyDescent="0.2">
      <c r="B69" s="743"/>
      <c r="C69" s="743" t="s">
        <v>3606</v>
      </c>
      <c r="D69" s="743"/>
      <c r="E69" s="743"/>
      <c r="F69" s="743"/>
      <c r="G69" s="743"/>
      <c r="H69" s="743"/>
      <c r="I69" s="743"/>
      <c r="J69" s="743"/>
      <c r="K69" s="810"/>
      <c r="L69" s="72"/>
      <c r="O69" s="72"/>
      <c r="P69" s="72"/>
    </row>
    <row r="70" spans="2:16" ht="14.25" hidden="1" customHeight="1" x14ac:dyDescent="0.2">
      <c r="B70" s="743"/>
      <c r="C70" s="743"/>
      <c r="D70" s="743"/>
      <c r="E70" s="743"/>
      <c r="F70" s="743"/>
      <c r="G70" s="743"/>
      <c r="H70" s="743"/>
      <c r="I70" s="743"/>
      <c r="J70" s="743"/>
      <c r="K70" s="811"/>
      <c r="L70" s="750"/>
      <c r="O70" s="72"/>
      <c r="P70" s="72"/>
    </row>
    <row r="71" spans="2:16" ht="14.25" hidden="1" customHeight="1" x14ac:dyDescent="0.2">
      <c r="B71" s="743"/>
      <c r="C71" s="743"/>
      <c r="D71" s="743"/>
      <c r="E71" s="743"/>
      <c r="F71" s="743"/>
      <c r="G71" s="743"/>
      <c r="H71" s="743"/>
      <c r="I71" s="743"/>
      <c r="J71" s="743"/>
      <c r="K71" s="811"/>
      <c r="O71" s="72"/>
      <c r="P71" s="72"/>
    </row>
    <row r="72" spans="2:16" ht="14.25" hidden="1" customHeight="1" x14ac:dyDescent="0.2">
      <c r="B72" s="743"/>
      <c r="C72" s="743"/>
      <c r="D72" s="743"/>
      <c r="E72" s="743"/>
      <c r="F72" s="743"/>
      <c r="G72" s="743"/>
      <c r="H72" s="743"/>
      <c r="I72" s="743"/>
      <c r="J72" s="743"/>
      <c r="K72" s="811"/>
      <c r="O72" s="72"/>
      <c r="P72" s="72"/>
    </row>
    <row r="73" spans="2:16" ht="28.5" hidden="1" customHeight="1" x14ac:dyDescent="0.2">
      <c r="B73" s="745" t="s">
        <v>3607</v>
      </c>
      <c r="C73" s="743"/>
      <c r="D73" s="743"/>
      <c r="E73" s="743"/>
      <c r="F73" s="743"/>
      <c r="G73" s="743"/>
      <c r="H73" s="743"/>
      <c r="I73" s="743"/>
      <c r="J73" s="743"/>
      <c r="K73" s="752"/>
      <c r="O73" s="72"/>
      <c r="P73" s="72"/>
    </row>
    <row r="74" spans="2:16" ht="14.25" hidden="1" customHeight="1" x14ac:dyDescent="0.2">
      <c r="B74" s="768" t="s">
        <v>3622</v>
      </c>
      <c r="C74" s="743"/>
      <c r="D74" s="743"/>
      <c r="E74" s="743"/>
      <c r="F74" s="743"/>
      <c r="G74" s="743"/>
      <c r="H74" s="743"/>
      <c r="I74" s="743"/>
      <c r="J74" s="743"/>
      <c r="K74" s="752"/>
      <c r="L74" s="749"/>
      <c r="O74" s="72"/>
      <c r="P74" s="72"/>
    </row>
    <row r="75" spans="2:16" ht="14.25" hidden="1" customHeight="1" x14ac:dyDescent="0.2">
      <c r="B75" s="768" t="s">
        <v>3623</v>
      </c>
      <c r="C75" s="743"/>
      <c r="D75" s="743"/>
      <c r="E75" s="743"/>
      <c r="F75" s="743"/>
      <c r="G75" s="743"/>
      <c r="H75" s="743"/>
      <c r="I75" s="743"/>
      <c r="J75" s="743"/>
      <c r="K75" s="752"/>
      <c r="L75" s="749"/>
      <c r="O75" s="72"/>
      <c r="P75" s="72"/>
    </row>
    <row r="76" spans="2:16" ht="14.25" hidden="1" customHeight="1" x14ac:dyDescent="0.2">
      <c r="B76" s="768" t="s">
        <v>3624</v>
      </c>
      <c r="C76" s="743"/>
      <c r="D76" s="743"/>
      <c r="E76" s="743"/>
      <c r="F76" s="743"/>
      <c r="G76" s="743"/>
      <c r="H76" s="743"/>
      <c r="I76" s="743"/>
      <c r="J76" s="743"/>
      <c r="K76" s="752"/>
      <c r="L76" s="749"/>
      <c r="O76" s="72"/>
      <c r="P76" s="72"/>
    </row>
    <row r="77" spans="2:16" ht="14.25" hidden="1" customHeight="1" x14ac:dyDescent="0.2">
      <c r="B77" s="768" t="s">
        <v>3625</v>
      </c>
      <c r="C77" s="743"/>
      <c r="D77" s="743"/>
      <c r="E77" s="743"/>
      <c r="F77" s="743"/>
      <c r="G77" s="743"/>
      <c r="H77" s="743"/>
      <c r="I77" s="743"/>
      <c r="J77" s="743"/>
      <c r="K77" s="752"/>
      <c r="L77" s="749"/>
      <c r="O77" s="72"/>
      <c r="P77" s="72"/>
    </row>
    <row r="78" spans="2:16" ht="14.25" hidden="1" customHeight="1" x14ac:dyDescent="0.2">
      <c r="B78" s="768" t="s">
        <v>3626</v>
      </c>
      <c r="C78" s="743"/>
      <c r="D78" s="743"/>
      <c r="E78" s="743"/>
      <c r="F78" s="743"/>
      <c r="G78" s="743"/>
      <c r="H78" s="743"/>
      <c r="I78" s="743"/>
      <c r="J78" s="743"/>
      <c r="K78" s="752"/>
      <c r="L78" s="749"/>
      <c r="O78" s="72"/>
      <c r="P78" s="72"/>
    </row>
    <row r="79" spans="2:16" ht="14.25" hidden="1" customHeight="1" x14ac:dyDescent="0.2">
      <c r="B79" s="768" t="s">
        <v>3627</v>
      </c>
      <c r="C79" s="743"/>
      <c r="D79" s="743"/>
      <c r="E79" s="743"/>
      <c r="F79" s="743"/>
      <c r="G79" s="743"/>
      <c r="H79" s="743"/>
      <c r="I79" s="743"/>
      <c r="J79" s="743"/>
      <c r="K79" s="752"/>
      <c r="L79" s="749"/>
      <c r="O79" s="72"/>
      <c r="P79" s="72"/>
    </row>
    <row r="80" spans="2:16" ht="14.25" hidden="1" customHeight="1" x14ac:dyDescent="0.2">
      <c r="B80" s="768" t="s">
        <v>3628</v>
      </c>
      <c r="C80" s="743"/>
      <c r="D80" s="743"/>
      <c r="E80" s="743"/>
      <c r="F80" s="743"/>
      <c r="G80" s="743"/>
      <c r="H80" s="743"/>
      <c r="I80" s="743"/>
      <c r="J80" s="743"/>
      <c r="K80" s="752"/>
      <c r="L80" s="749"/>
      <c r="O80" s="72"/>
      <c r="P80" s="72"/>
    </row>
    <row r="81" spans="2:16" ht="14.25" hidden="1" customHeight="1" x14ac:dyDescent="0.2">
      <c r="B81" s="768" t="s">
        <v>3629</v>
      </c>
      <c r="C81" s="743"/>
      <c r="D81" s="743"/>
      <c r="E81" s="743"/>
      <c r="F81" s="743"/>
      <c r="G81" s="743"/>
      <c r="H81" s="743"/>
      <c r="I81" s="743"/>
      <c r="J81" s="743"/>
      <c r="K81" s="752"/>
      <c r="L81" s="749"/>
      <c r="O81" s="72"/>
      <c r="P81" s="72"/>
    </row>
    <row r="82" spans="2:16" ht="14.25" hidden="1" customHeight="1" x14ac:dyDescent="0.2">
      <c r="B82" s="768" t="s">
        <v>3630</v>
      </c>
      <c r="C82" s="743"/>
      <c r="D82" s="743"/>
      <c r="E82" s="743"/>
      <c r="F82" s="743"/>
      <c r="G82" s="743"/>
      <c r="H82" s="743"/>
      <c r="I82" s="743"/>
      <c r="J82" s="743"/>
      <c r="K82" s="752"/>
      <c r="L82" s="749"/>
      <c r="O82" s="72"/>
      <c r="P82" s="72"/>
    </row>
    <row r="83" spans="2:16" ht="14.25" hidden="1" customHeight="1" x14ac:dyDescent="0.2">
      <c r="C83" s="743"/>
      <c r="D83" s="743"/>
      <c r="E83" s="743"/>
      <c r="F83" s="743"/>
      <c r="G83" s="743"/>
      <c r="H83" s="743"/>
      <c r="I83" s="743"/>
      <c r="J83" s="743"/>
      <c r="K83" s="752"/>
      <c r="L83" s="752"/>
      <c r="O83" s="72"/>
      <c r="P83" s="72"/>
    </row>
    <row r="84" spans="2:16" ht="14.25" hidden="1" customHeight="1" x14ac:dyDescent="0.2">
      <c r="B84" s="743"/>
      <c r="C84" s="743" t="s">
        <v>3608</v>
      </c>
      <c r="D84" s="743"/>
      <c r="E84" s="743"/>
      <c r="F84" s="743"/>
      <c r="G84" s="743"/>
      <c r="H84" s="743"/>
      <c r="I84" s="743"/>
      <c r="J84" s="743"/>
      <c r="K84" s="752"/>
      <c r="O84" s="72"/>
      <c r="P84" s="72"/>
    </row>
    <row r="85" spans="2:16" ht="28.5" hidden="1" customHeight="1" x14ac:dyDescent="0.2">
      <c r="B85" s="745" t="s">
        <v>3620</v>
      </c>
      <c r="C85" s="743"/>
      <c r="D85" s="743"/>
      <c r="E85" s="743"/>
      <c r="F85" s="743"/>
      <c r="G85" s="743"/>
      <c r="H85" s="743"/>
      <c r="I85" s="743"/>
      <c r="J85" s="743"/>
      <c r="K85" s="752"/>
      <c r="O85" s="752"/>
    </row>
    <row r="86" spans="2:16" ht="14.25" hidden="1" customHeight="1" x14ac:dyDescent="0.2">
      <c r="B86" s="768" t="s">
        <v>3636</v>
      </c>
      <c r="C86" s="743"/>
      <c r="D86" s="743"/>
      <c r="E86" s="743"/>
      <c r="F86" s="743"/>
      <c r="G86" s="743"/>
      <c r="H86" s="743"/>
      <c r="I86" s="743"/>
      <c r="J86" s="743"/>
      <c r="K86" s="752"/>
      <c r="L86" s="749"/>
      <c r="P86" s="752"/>
    </row>
    <row r="87" spans="2:16" ht="14.25" hidden="1" customHeight="1" x14ac:dyDescent="0.2">
      <c r="B87" s="768" t="s">
        <v>3637</v>
      </c>
      <c r="C87" s="743"/>
      <c r="D87" s="743"/>
      <c r="E87" s="743"/>
      <c r="F87" s="743"/>
      <c r="G87" s="743"/>
      <c r="H87" s="743"/>
      <c r="I87" s="743"/>
      <c r="J87" s="743"/>
      <c r="K87" s="752"/>
      <c r="L87" s="749"/>
    </row>
    <row r="88" spans="2:16" ht="14.25" hidden="1" customHeight="1" x14ac:dyDescent="0.2">
      <c r="B88" s="768" t="s">
        <v>3638</v>
      </c>
      <c r="C88" s="743"/>
      <c r="D88" s="743"/>
      <c r="E88" s="743"/>
      <c r="F88" s="743"/>
      <c r="G88" s="743"/>
      <c r="H88" s="743"/>
      <c r="I88" s="743"/>
      <c r="J88" s="743"/>
      <c r="K88" s="752"/>
      <c r="L88" s="749"/>
    </row>
    <row r="89" spans="2:16" ht="14.25" hidden="1" customHeight="1" x14ac:dyDescent="0.2">
      <c r="B89" s="768" t="s">
        <v>3639</v>
      </c>
      <c r="C89" s="743"/>
      <c r="D89" s="743"/>
      <c r="E89" s="743"/>
      <c r="F89" s="743"/>
      <c r="G89" s="743"/>
      <c r="H89" s="743"/>
      <c r="I89" s="743"/>
      <c r="J89" s="743"/>
      <c r="K89" s="752"/>
      <c r="L89" s="749"/>
    </row>
    <row r="90" spans="2:16" ht="14.25" hidden="1" customHeight="1" x14ac:dyDescent="0.2">
      <c r="B90" s="768" t="s">
        <v>3640</v>
      </c>
      <c r="C90" s="743"/>
      <c r="D90" s="743"/>
      <c r="E90" s="743"/>
      <c r="F90" s="743"/>
      <c r="G90" s="743"/>
      <c r="H90" s="743"/>
      <c r="I90" s="743"/>
      <c r="J90" s="743"/>
      <c r="K90" s="752"/>
      <c r="L90" s="749"/>
    </row>
    <row r="91" spans="2:16" ht="14.25" hidden="1" customHeight="1" x14ac:dyDescent="0.2">
      <c r="B91" s="768" t="s">
        <v>3641</v>
      </c>
      <c r="C91" s="743"/>
      <c r="D91" s="743"/>
      <c r="E91" s="743"/>
      <c r="F91" s="743"/>
      <c r="G91" s="743"/>
      <c r="H91" s="743"/>
      <c r="I91" s="743"/>
      <c r="J91" s="743"/>
      <c r="K91" s="752"/>
      <c r="L91" s="749"/>
    </row>
    <row r="92" spans="2:16" ht="14.25" hidden="1" customHeight="1" x14ac:dyDescent="0.2">
      <c r="B92" s="768" t="s">
        <v>3642</v>
      </c>
      <c r="C92" s="743"/>
      <c r="D92" s="743"/>
      <c r="E92" s="743"/>
      <c r="F92" s="743"/>
      <c r="G92" s="743"/>
      <c r="H92" s="743"/>
      <c r="I92" s="743"/>
      <c r="J92" s="743"/>
      <c r="K92" s="752"/>
      <c r="L92" s="749"/>
    </row>
    <row r="93" spans="2:16" ht="14.25" hidden="1" customHeight="1" x14ac:dyDescent="0.2">
      <c r="B93" s="768" t="s">
        <v>3643</v>
      </c>
      <c r="C93" s="743"/>
      <c r="D93" s="743"/>
      <c r="E93" s="743"/>
      <c r="F93" s="743"/>
      <c r="G93" s="743"/>
      <c r="H93" s="743"/>
      <c r="I93" s="743"/>
      <c r="J93" s="743"/>
      <c r="K93" s="752"/>
      <c r="L93" s="749"/>
    </row>
    <row r="94" spans="2:16" ht="14.25" hidden="1" customHeight="1" x14ac:dyDescent="0.2">
      <c r="B94" s="768" t="s">
        <v>3644</v>
      </c>
      <c r="C94" s="743"/>
      <c r="D94" s="743"/>
      <c r="E94" s="743"/>
      <c r="F94" s="743"/>
      <c r="G94" s="743"/>
      <c r="H94" s="743"/>
      <c r="I94" s="743"/>
      <c r="J94" s="743"/>
      <c r="K94" s="752"/>
      <c r="L94" s="749"/>
    </row>
    <row r="95" spans="2:16" ht="14.25" hidden="1" customHeight="1" x14ac:dyDescent="0.2">
      <c r="B95" s="743"/>
      <c r="C95" s="743" t="s">
        <v>3610</v>
      </c>
      <c r="D95" s="743"/>
      <c r="E95" s="743"/>
      <c r="F95" s="743"/>
      <c r="G95" s="743"/>
      <c r="H95" s="743"/>
      <c r="I95" s="743"/>
      <c r="J95" s="743"/>
      <c r="K95" s="752"/>
      <c r="L95" s="752"/>
    </row>
    <row r="96" spans="2:16" ht="12.75" hidden="1" customHeight="1" x14ac:dyDescent="0.2"/>
    <row r="99" spans="1:9" x14ac:dyDescent="0.2">
      <c r="A99" s="753" t="s">
        <v>801</v>
      </c>
      <c r="B99" s="907" t="s">
        <v>4069</v>
      </c>
      <c r="C99" s="773"/>
      <c r="D99" s="773"/>
      <c r="E99" s="773"/>
      <c r="F99" s="773"/>
      <c r="G99" s="773"/>
      <c r="H99" s="773"/>
      <c r="I99" s="754"/>
    </row>
    <row r="102" spans="1:9" x14ac:dyDescent="0.2">
      <c r="B102" s="746"/>
      <c r="C102" s="626" t="s">
        <v>2029</v>
      </c>
      <c r="D102" s="626" t="s">
        <v>2030</v>
      </c>
    </row>
    <row r="103" spans="1:9" x14ac:dyDescent="0.2">
      <c r="B103" s="770" t="s">
        <v>1092</v>
      </c>
      <c r="C103" s="696">
        <f>G149</f>
        <v>0</v>
      </c>
      <c r="D103" s="696">
        <f>H149</f>
        <v>0</v>
      </c>
    </row>
    <row r="104" spans="1:9" x14ac:dyDescent="0.2">
      <c r="B104" s="746" t="s">
        <v>4058</v>
      </c>
      <c r="C104" s="696">
        <f>G150</f>
        <v>0</v>
      </c>
      <c r="D104" s="696">
        <f>H150</f>
        <v>0</v>
      </c>
    </row>
    <row r="105" spans="1:9" x14ac:dyDescent="0.2">
      <c r="B105" s="746" t="s">
        <v>4011</v>
      </c>
      <c r="C105" s="696">
        <f t="shared" ref="C105:D113" si="0">G151</f>
        <v>0</v>
      </c>
      <c r="D105" s="696">
        <f t="shared" si="0"/>
        <v>0</v>
      </c>
    </row>
    <row r="106" spans="1:9" x14ac:dyDescent="0.2">
      <c r="B106" s="746" t="s">
        <v>3953</v>
      </c>
      <c r="C106" s="696">
        <f t="shared" si="0"/>
        <v>0</v>
      </c>
      <c r="D106" s="696">
        <f t="shared" si="0"/>
        <v>0</v>
      </c>
    </row>
    <row r="107" spans="1:9" x14ac:dyDescent="0.2">
      <c r="B107" s="746" t="s">
        <v>3954</v>
      </c>
      <c r="C107" s="696">
        <f t="shared" si="0"/>
        <v>0</v>
      </c>
      <c r="D107" s="696">
        <f t="shared" si="0"/>
        <v>0</v>
      </c>
    </row>
    <row r="108" spans="1:9" x14ac:dyDescent="0.2">
      <c r="B108" s="746" t="s">
        <v>3955</v>
      </c>
      <c r="C108" s="696">
        <f t="shared" si="0"/>
        <v>0</v>
      </c>
      <c r="D108" s="696">
        <f t="shared" si="0"/>
        <v>0</v>
      </c>
    </row>
    <row r="109" spans="1:9" x14ac:dyDescent="0.2">
      <c r="B109" s="746" t="s">
        <v>3956</v>
      </c>
      <c r="C109" s="696">
        <f t="shared" si="0"/>
        <v>0</v>
      </c>
      <c r="D109" s="696">
        <f t="shared" si="0"/>
        <v>0</v>
      </c>
    </row>
    <row r="110" spans="1:9" x14ac:dyDescent="0.2">
      <c r="B110" s="746" t="s">
        <v>4009</v>
      </c>
      <c r="C110" s="696">
        <f t="shared" si="0"/>
        <v>0</v>
      </c>
      <c r="D110" s="696">
        <f t="shared" si="0"/>
        <v>0</v>
      </c>
    </row>
    <row r="111" spans="1:9" x14ac:dyDescent="0.2">
      <c r="B111" s="746" t="s">
        <v>3957</v>
      </c>
      <c r="C111" s="696">
        <f t="shared" si="0"/>
        <v>0</v>
      </c>
      <c r="D111" s="696">
        <f t="shared" si="0"/>
        <v>0</v>
      </c>
    </row>
    <row r="112" spans="1:9" x14ac:dyDescent="0.2">
      <c r="B112" s="746" t="s">
        <v>3958</v>
      </c>
      <c r="C112" s="696">
        <f t="shared" si="0"/>
        <v>0</v>
      </c>
      <c r="D112" s="696">
        <f t="shared" si="0"/>
        <v>0</v>
      </c>
    </row>
    <row r="113" spans="2:4" x14ac:dyDescent="0.2">
      <c r="B113" s="746" t="s">
        <v>3959</v>
      </c>
      <c r="C113" s="696">
        <f t="shared" si="0"/>
        <v>0</v>
      </c>
      <c r="D113" s="696">
        <f t="shared" si="0"/>
        <v>0</v>
      </c>
    </row>
    <row r="114" spans="2:4" x14ac:dyDescent="0.2">
      <c r="B114" s="736" t="s">
        <v>4027</v>
      </c>
      <c r="C114" s="696">
        <f>G160</f>
        <v>0</v>
      </c>
      <c r="D114" s="696">
        <f>H160</f>
        <v>0</v>
      </c>
    </row>
    <row r="115" spans="2:4" x14ac:dyDescent="0.2">
      <c r="B115" s="736" t="s">
        <v>4028</v>
      </c>
      <c r="C115" s="696">
        <f t="shared" ref="C115:D130" si="1">G161</f>
        <v>0</v>
      </c>
      <c r="D115" s="696">
        <f>H161</f>
        <v>0</v>
      </c>
    </row>
    <row r="116" spans="2:4" x14ac:dyDescent="0.2">
      <c r="B116" s="736" t="s">
        <v>4029</v>
      </c>
      <c r="C116" s="696">
        <f t="shared" si="1"/>
        <v>0</v>
      </c>
      <c r="D116" s="696">
        <f t="shared" si="1"/>
        <v>0</v>
      </c>
    </row>
    <row r="117" spans="2:4" x14ac:dyDescent="0.2">
      <c r="B117" s="736" t="s">
        <v>4030</v>
      </c>
      <c r="C117" s="696">
        <f t="shared" si="1"/>
        <v>0</v>
      </c>
      <c r="D117" s="696">
        <f t="shared" si="1"/>
        <v>0</v>
      </c>
    </row>
    <row r="118" spans="2:4" x14ac:dyDescent="0.2">
      <c r="B118" s="736" t="s">
        <v>4031</v>
      </c>
      <c r="C118" s="696">
        <f t="shared" si="1"/>
        <v>0</v>
      </c>
      <c r="D118" s="696">
        <f t="shared" si="1"/>
        <v>0</v>
      </c>
    </row>
    <row r="119" spans="2:4" x14ac:dyDescent="0.2">
      <c r="B119" s="736" t="s">
        <v>4032</v>
      </c>
      <c r="C119" s="696">
        <f t="shared" si="1"/>
        <v>0</v>
      </c>
      <c r="D119" s="696">
        <f t="shared" si="1"/>
        <v>0</v>
      </c>
    </row>
    <row r="120" spans="2:4" x14ac:dyDescent="0.2">
      <c r="B120" s="736" t="s">
        <v>4033</v>
      </c>
      <c r="C120" s="696">
        <f t="shared" si="1"/>
        <v>0</v>
      </c>
      <c r="D120" s="696">
        <f t="shared" si="1"/>
        <v>0</v>
      </c>
    </row>
    <row r="121" spans="2:4" x14ac:dyDescent="0.2">
      <c r="B121" s="736" t="s">
        <v>4034</v>
      </c>
      <c r="C121" s="696">
        <f t="shared" si="1"/>
        <v>0</v>
      </c>
      <c r="D121" s="696">
        <f t="shared" si="1"/>
        <v>0</v>
      </c>
    </row>
    <row r="122" spans="2:4" x14ac:dyDescent="0.2">
      <c r="B122" s="736" t="s">
        <v>4035</v>
      </c>
      <c r="C122" s="696">
        <f t="shared" si="1"/>
        <v>0</v>
      </c>
      <c r="D122" s="696">
        <f t="shared" si="1"/>
        <v>0</v>
      </c>
    </row>
    <row r="123" spans="2:4" x14ac:dyDescent="0.2">
      <c r="B123" s="736" t="s">
        <v>3636</v>
      </c>
      <c r="C123" s="696">
        <f t="shared" si="1"/>
        <v>0</v>
      </c>
      <c r="D123" s="696">
        <f t="shared" si="1"/>
        <v>0</v>
      </c>
    </row>
    <row r="124" spans="2:4" x14ac:dyDescent="0.2">
      <c r="B124" s="736" t="s">
        <v>3637</v>
      </c>
      <c r="C124" s="696">
        <f t="shared" si="1"/>
        <v>0</v>
      </c>
      <c r="D124" s="696">
        <f t="shared" si="1"/>
        <v>0</v>
      </c>
    </row>
    <row r="125" spans="2:4" x14ac:dyDescent="0.2">
      <c r="B125" s="736" t="s">
        <v>3638</v>
      </c>
      <c r="C125" s="696">
        <f t="shared" si="1"/>
        <v>0</v>
      </c>
      <c r="D125" s="696">
        <f t="shared" si="1"/>
        <v>0</v>
      </c>
    </row>
    <row r="126" spans="2:4" x14ac:dyDescent="0.2">
      <c r="B126" s="736" t="s">
        <v>3639</v>
      </c>
      <c r="C126" s="696">
        <f t="shared" si="1"/>
        <v>0</v>
      </c>
      <c r="D126" s="696">
        <f t="shared" si="1"/>
        <v>0</v>
      </c>
    </row>
    <row r="127" spans="2:4" x14ac:dyDescent="0.2">
      <c r="B127" s="736" t="s">
        <v>3640</v>
      </c>
      <c r="C127" s="696">
        <f t="shared" si="1"/>
        <v>0</v>
      </c>
      <c r="D127" s="696">
        <f t="shared" si="1"/>
        <v>0</v>
      </c>
    </row>
    <row r="128" spans="2:4" x14ac:dyDescent="0.2">
      <c r="B128" s="736" t="s">
        <v>3641</v>
      </c>
      <c r="C128" s="696">
        <f t="shared" si="1"/>
        <v>0</v>
      </c>
      <c r="D128" s="696">
        <f t="shared" si="1"/>
        <v>0</v>
      </c>
    </row>
    <row r="129" spans="2:8" x14ac:dyDescent="0.2">
      <c r="B129" s="736" t="s">
        <v>4010</v>
      </c>
      <c r="C129" s="696">
        <f t="shared" si="1"/>
        <v>0</v>
      </c>
      <c r="D129" s="696">
        <f t="shared" si="1"/>
        <v>0</v>
      </c>
    </row>
    <row r="130" spans="2:8" x14ac:dyDescent="0.2">
      <c r="B130" s="736" t="s">
        <v>3973</v>
      </c>
      <c r="C130" s="696">
        <f t="shared" si="1"/>
        <v>0</v>
      </c>
      <c r="D130" s="696">
        <f t="shared" si="1"/>
        <v>0</v>
      </c>
    </row>
    <row r="131" spans="2:8" x14ac:dyDescent="0.2">
      <c r="B131" s="736" t="s">
        <v>3644</v>
      </c>
      <c r="C131" s="696">
        <f t="shared" ref="C131:D139" si="2">G177</f>
        <v>0</v>
      </c>
      <c r="D131" s="696">
        <f t="shared" si="2"/>
        <v>0</v>
      </c>
    </row>
    <row r="132" spans="2:8" ht="25.5" x14ac:dyDescent="0.2">
      <c r="B132" s="746" t="s">
        <v>3571</v>
      </c>
      <c r="C132" s="696">
        <f t="shared" si="2"/>
        <v>0</v>
      </c>
      <c r="D132" s="696">
        <f t="shared" si="2"/>
        <v>0</v>
      </c>
    </row>
    <row r="133" spans="2:8" x14ac:dyDescent="0.2">
      <c r="B133" s="746" t="s">
        <v>3572</v>
      </c>
      <c r="C133" s="696">
        <f t="shared" si="2"/>
        <v>0</v>
      </c>
      <c r="D133" s="696">
        <f t="shared" si="2"/>
        <v>0</v>
      </c>
    </row>
    <row r="134" spans="2:8" ht="25.5" x14ac:dyDescent="0.2">
      <c r="B134" s="746" t="s">
        <v>3650</v>
      </c>
      <c r="C134" s="696">
        <f t="shared" si="2"/>
        <v>0</v>
      </c>
      <c r="D134" s="696">
        <f t="shared" si="2"/>
        <v>0</v>
      </c>
    </row>
    <row r="135" spans="2:8" ht="25.5" x14ac:dyDescent="0.2">
      <c r="B135" s="746" t="s">
        <v>3574</v>
      </c>
      <c r="C135" s="696">
        <f t="shared" si="2"/>
        <v>0</v>
      </c>
      <c r="D135" s="696">
        <f t="shared" si="2"/>
        <v>0</v>
      </c>
    </row>
    <row r="136" spans="2:8" x14ac:dyDescent="0.2">
      <c r="B136" s="746" t="s">
        <v>3576</v>
      </c>
      <c r="C136" s="696">
        <f t="shared" si="2"/>
        <v>0</v>
      </c>
      <c r="D136" s="696">
        <f t="shared" si="2"/>
        <v>0</v>
      </c>
    </row>
    <row r="137" spans="2:8" ht="25.5" x14ac:dyDescent="0.2">
      <c r="B137" s="746" t="s">
        <v>3651</v>
      </c>
      <c r="C137" s="696">
        <f>G183</f>
        <v>0</v>
      </c>
      <c r="D137" s="696">
        <f t="shared" si="2"/>
        <v>0</v>
      </c>
    </row>
    <row r="138" spans="2:8" ht="25.5" x14ac:dyDescent="0.2">
      <c r="B138" s="746" t="s">
        <v>4060</v>
      </c>
      <c r="C138" s="696">
        <f>G184</f>
        <v>0</v>
      </c>
      <c r="D138" s="696">
        <f t="shared" si="2"/>
        <v>0</v>
      </c>
    </row>
    <row r="139" spans="2:8" ht="25.5" x14ac:dyDescent="0.2">
      <c r="B139" s="746" t="s">
        <v>3656</v>
      </c>
      <c r="C139" s="696">
        <f>G185</f>
        <v>0</v>
      </c>
      <c r="D139" s="696">
        <f t="shared" si="2"/>
        <v>0</v>
      </c>
    </row>
    <row r="140" spans="2:8" x14ac:dyDescent="0.2">
      <c r="B140" s="746"/>
      <c r="C140" s="697"/>
      <c r="D140" s="697"/>
    </row>
    <row r="141" spans="2:8" ht="13.5" thickBot="1" x14ac:dyDescent="0.25">
      <c r="B141" s="746"/>
      <c r="C141" s="698">
        <f>SUM(C103:C140)</f>
        <v>0</v>
      </c>
      <c r="D141" s="698">
        <f>SUM(D103:D140)</f>
        <v>0</v>
      </c>
    </row>
    <row r="142" spans="2:8" ht="13.5" thickTop="1" x14ac:dyDescent="0.2"/>
    <row r="144" spans="2:8" ht="23.25" customHeight="1" x14ac:dyDescent="0.2">
      <c r="B144" s="755" t="s">
        <v>3613</v>
      </c>
      <c r="C144" s="755"/>
      <c r="D144" s="755"/>
      <c r="E144" s="755"/>
      <c r="F144" s="755"/>
      <c r="G144" s="755"/>
      <c r="H144" s="755"/>
    </row>
    <row r="145" spans="2:10" ht="12.75" customHeight="1" x14ac:dyDescent="0.2">
      <c r="B145" s="756"/>
      <c r="C145" s="756"/>
      <c r="D145" s="756"/>
      <c r="E145" s="756"/>
      <c r="F145" s="756"/>
      <c r="G145" s="756"/>
      <c r="H145" s="756"/>
    </row>
    <row r="146" spans="2:10" ht="18" x14ac:dyDescent="0.2">
      <c r="C146" s="757"/>
      <c r="D146" s="758"/>
      <c r="E146" s="759"/>
      <c r="F146" s="756"/>
      <c r="G146" s="1280" t="s">
        <v>902</v>
      </c>
      <c r="H146" s="1281"/>
    </row>
    <row r="147" spans="2:10" x14ac:dyDescent="0.2">
      <c r="B147" s="746"/>
      <c r="C147" s="627"/>
      <c r="D147" s="734"/>
      <c r="E147" s="760"/>
      <c r="G147" s="761"/>
      <c r="H147" s="762"/>
    </row>
    <row r="148" spans="2:10" x14ac:dyDescent="0.2">
      <c r="B148" s="746"/>
      <c r="C148" s="594" t="s">
        <v>509</v>
      </c>
      <c r="D148" s="735" t="s">
        <v>510</v>
      </c>
      <c r="E148" s="763" t="s">
        <v>2070</v>
      </c>
      <c r="G148" s="764" t="s">
        <v>509</v>
      </c>
      <c r="H148" s="765" t="s">
        <v>510</v>
      </c>
    </row>
    <row r="149" spans="2:10" x14ac:dyDescent="0.2">
      <c r="B149" s="770" t="s">
        <v>1092</v>
      </c>
      <c r="C149" s="631">
        <f>IF(D31-D33-D35&gt;0,(D31-D33-D35)*D11,0)</f>
        <v>0</v>
      </c>
      <c r="D149" s="690">
        <f>IF(D31-D33-D35&lt;0,-(D31-D33-D35)*D11,0)</f>
        <v>0</v>
      </c>
      <c r="E149" s="704">
        <f t="shared" ref="E149:E185" si="3">C149-D149</f>
        <v>0</v>
      </c>
      <c r="G149" s="705">
        <f t="shared" ref="G149:G177" si="4">IF(E149&lt;0,0,E149)</f>
        <v>0</v>
      </c>
      <c r="H149" s="630">
        <f>IF(E149&gt;0,0,E149*-1)</f>
        <v>0</v>
      </c>
      <c r="J149" s="812"/>
    </row>
    <row r="150" spans="2:10" x14ac:dyDescent="0.2">
      <c r="B150" s="746" t="s">
        <v>4058</v>
      </c>
      <c r="C150" s="631">
        <f>IF(D32&lt;0,D32*D11,0)</f>
        <v>0</v>
      </c>
      <c r="D150" s="690">
        <f>IF(D32&gt;0,D32*D11,0)</f>
        <v>0</v>
      </c>
      <c r="E150" s="704">
        <f t="shared" si="3"/>
        <v>0</v>
      </c>
      <c r="G150" s="705">
        <f t="shared" ref="G150" si="5">IF(E150&lt;0,0,E150)</f>
        <v>0</v>
      </c>
      <c r="H150" s="630">
        <f>IF(E150&gt;0,0,E150*-1)</f>
        <v>0</v>
      </c>
      <c r="J150" s="812"/>
    </row>
    <row r="151" spans="2:10" x14ac:dyDescent="0.2">
      <c r="B151" s="746" t="s">
        <v>4011</v>
      </c>
      <c r="C151" s="631">
        <f t="shared" ref="C151:C159" si="6">IF($D$34&gt;0,$D$34*D16,0)</f>
        <v>0</v>
      </c>
      <c r="D151" s="690">
        <f t="shared" ref="D151:D159" si="7">IF($D$34&lt;0,-$D$34*D16,0)</f>
        <v>0</v>
      </c>
      <c r="E151" s="704">
        <f t="shared" si="3"/>
        <v>0</v>
      </c>
      <c r="G151" s="705">
        <f t="shared" si="4"/>
        <v>0</v>
      </c>
      <c r="H151" s="630">
        <f>IF(E151&gt;0,0,E151*-1)</f>
        <v>0</v>
      </c>
      <c r="I151" s="750"/>
    </row>
    <row r="152" spans="2:10" x14ac:dyDescent="0.2">
      <c r="B152" s="746" t="s">
        <v>3953</v>
      </c>
      <c r="C152" s="631">
        <f t="shared" si="6"/>
        <v>0</v>
      </c>
      <c r="D152" s="690">
        <f t="shared" si="7"/>
        <v>0</v>
      </c>
      <c r="E152" s="704">
        <f t="shared" si="3"/>
        <v>0</v>
      </c>
      <c r="G152" s="705">
        <f t="shared" si="4"/>
        <v>0</v>
      </c>
      <c r="H152" s="630">
        <f t="shared" ref="H152:H159" si="8">IF(E152&gt;0,0,E152*-1)</f>
        <v>0</v>
      </c>
    </row>
    <row r="153" spans="2:10" x14ac:dyDescent="0.2">
      <c r="B153" s="746" t="s">
        <v>3954</v>
      </c>
      <c r="C153" s="631">
        <f t="shared" si="6"/>
        <v>0</v>
      </c>
      <c r="D153" s="690">
        <f t="shared" si="7"/>
        <v>0</v>
      </c>
      <c r="E153" s="704">
        <f t="shared" si="3"/>
        <v>0</v>
      </c>
      <c r="G153" s="705">
        <f t="shared" si="4"/>
        <v>0</v>
      </c>
      <c r="H153" s="630">
        <f t="shared" si="8"/>
        <v>0</v>
      </c>
    </row>
    <row r="154" spans="2:10" x14ac:dyDescent="0.2">
      <c r="B154" s="746" t="s">
        <v>3955</v>
      </c>
      <c r="C154" s="631">
        <f t="shared" si="6"/>
        <v>0</v>
      </c>
      <c r="D154" s="690">
        <f t="shared" si="7"/>
        <v>0</v>
      </c>
      <c r="E154" s="704">
        <f t="shared" si="3"/>
        <v>0</v>
      </c>
      <c r="G154" s="705">
        <f t="shared" si="4"/>
        <v>0</v>
      </c>
      <c r="H154" s="630">
        <f t="shared" si="8"/>
        <v>0</v>
      </c>
    </row>
    <row r="155" spans="2:10" x14ac:dyDescent="0.2">
      <c r="B155" s="746" t="s">
        <v>3956</v>
      </c>
      <c r="C155" s="631">
        <f t="shared" si="6"/>
        <v>0</v>
      </c>
      <c r="D155" s="690">
        <f t="shared" si="7"/>
        <v>0</v>
      </c>
      <c r="E155" s="704">
        <f t="shared" si="3"/>
        <v>0</v>
      </c>
      <c r="G155" s="705">
        <f t="shared" si="4"/>
        <v>0</v>
      </c>
      <c r="H155" s="630">
        <f t="shared" si="8"/>
        <v>0</v>
      </c>
    </row>
    <row r="156" spans="2:10" x14ac:dyDescent="0.2">
      <c r="B156" s="746" t="s">
        <v>4009</v>
      </c>
      <c r="C156" s="631">
        <f t="shared" si="6"/>
        <v>0</v>
      </c>
      <c r="D156" s="690">
        <f t="shared" si="7"/>
        <v>0</v>
      </c>
      <c r="E156" s="704">
        <f t="shared" si="3"/>
        <v>0</v>
      </c>
      <c r="G156" s="705">
        <f t="shared" si="4"/>
        <v>0</v>
      </c>
      <c r="H156" s="630">
        <f t="shared" si="8"/>
        <v>0</v>
      </c>
    </row>
    <row r="157" spans="2:10" x14ac:dyDescent="0.2">
      <c r="B157" s="746" t="s">
        <v>3957</v>
      </c>
      <c r="C157" s="631">
        <f t="shared" si="6"/>
        <v>0</v>
      </c>
      <c r="D157" s="690">
        <f t="shared" si="7"/>
        <v>0</v>
      </c>
      <c r="E157" s="704">
        <f t="shared" si="3"/>
        <v>0</v>
      </c>
      <c r="G157" s="705">
        <f t="shared" si="4"/>
        <v>0</v>
      </c>
      <c r="H157" s="630">
        <f t="shared" si="8"/>
        <v>0</v>
      </c>
    </row>
    <row r="158" spans="2:10" x14ac:dyDescent="0.2">
      <c r="B158" s="746" t="s">
        <v>3958</v>
      </c>
      <c r="C158" s="631">
        <f t="shared" si="6"/>
        <v>0</v>
      </c>
      <c r="D158" s="690">
        <f t="shared" si="7"/>
        <v>0</v>
      </c>
      <c r="E158" s="704">
        <f t="shared" si="3"/>
        <v>0</v>
      </c>
      <c r="G158" s="705">
        <f t="shared" si="4"/>
        <v>0</v>
      </c>
      <c r="H158" s="630">
        <f t="shared" si="8"/>
        <v>0</v>
      </c>
    </row>
    <row r="159" spans="2:10" x14ac:dyDescent="0.2">
      <c r="B159" s="746" t="s">
        <v>3959</v>
      </c>
      <c r="C159" s="631">
        <f t="shared" si="6"/>
        <v>0</v>
      </c>
      <c r="D159" s="690">
        <f t="shared" si="7"/>
        <v>0</v>
      </c>
      <c r="E159" s="704">
        <f t="shared" si="3"/>
        <v>0</v>
      </c>
      <c r="G159" s="705">
        <f t="shared" si="4"/>
        <v>0</v>
      </c>
      <c r="H159" s="630">
        <f t="shared" si="8"/>
        <v>0</v>
      </c>
    </row>
    <row r="160" spans="2:10" x14ac:dyDescent="0.2">
      <c r="B160" s="736" t="s">
        <v>4027</v>
      </c>
      <c r="C160" s="631">
        <f t="shared" ref="C160:C168" si="9">IF($D$46&lt;0,-$D$46*D16,0)</f>
        <v>0</v>
      </c>
      <c r="D160" s="690">
        <f t="shared" ref="D160:D168" si="10">IF($D$46&gt;0,$D$46*$D16,0)</f>
        <v>0</v>
      </c>
      <c r="E160" s="704">
        <f t="shared" si="3"/>
        <v>0</v>
      </c>
      <c r="G160" s="705">
        <f t="shared" si="4"/>
        <v>0</v>
      </c>
      <c r="H160" s="690">
        <f>IF(E160&gt;0,0,-E160)</f>
        <v>0</v>
      </c>
    </row>
    <row r="161" spans="2:8" x14ac:dyDescent="0.2">
      <c r="B161" s="736" t="s">
        <v>4028</v>
      </c>
      <c r="C161" s="631">
        <f t="shared" si="9"/>
        <v>0</v>
      </c>
      <c r="D161" s="690">
        <f t="shared" si="10"/>
        <v>0</v>
      </c>
      <c r="E161" s="704">
        <f t="shared" si="3"/>
        <v>0</v>
      </c>
      <c r="G161" s="705">
        <f t="shared" si="4"/>
        <v>0</v>
      </c>
      <c r="H161" s="690">
        <f t="shared" ref="H161:H185" si="11">IF(E161&gt;0,0,-E161)</f>
        <v>0</v>
      </c>
    </row>
    <row r="162" spans="2:8" x14ac:dyDescent="0.2">
      <c r="B162" s="736" t="s">
        <v>4029</v>
      </c>
      <c r="C162" s="631">
        <f t="shared" si="9"/>
        <v>0</v>
      </c>
      <c r="D162" s="690">
        <f t="shared" si="10"/>
        <v>0</v>
      </c>
      <c r="E162" s="704">
        <f t="shared" si="3"/>
        <v>0</v>
      </c>
      <c r="G162" s="705">
        <f t="shared" si="4"/>
        <v>0</v>
      </c>
      <c r="H162" s="690">
        <f t="shared" si="11"/>
        <v>0</v>
      </c>
    </row>
    <row r="163" spans="2:8" x14ac:dyDescent="0.2">
      <c r="B163" s="736" t="s">
        <v>4030</v>
      </c>
      <c r="C163" s="631">
        <f t="shared" si="9"/>
        <v>0</v>
      </c>
      <c r="D163" s="690">
        <f t="shared" si="10"/>
        <v>0</v>
      </c>
      <c r="E163" s="704">
        <f t="shared" si="3"/>
        <v>0</v>
      </c>
      <c r="G163" s="705">
        <f t="shared" si="4"/>
        <v>0</v>
      </c>
      <c r="H163" s="690">
        <f t="shared" si="11"/>
        <v>0</v>
      </c>
    </row>
    <row r="164" spans="2:8" x14ac:dyDescent="0.2">
      <c r="B164" s="736" t="s">
        <v>4031</v>
      </c>
      <c r="C164" s="631">
        <f t="shared" si="9"/>
        <v>0</v>
      </c>
      <c r="D164" s="690">
        <f t="shared" si="10"/>
        <v>0</v>
      </c>
      <c r="E164" s="704">
        <f t="shared" si="3"/>
        <v>0</v>
      </c>
      <c r="G164" s="705">
        <f t="shared" si="4"/>
        <v>0</v>
      </c>
      <c r="H164" s="690">
        <f t="shared" si="11"/>
        <v>0</v>
      </c>
    </row>
    <row r="165" spans="2:8" x14ac:dyDescent="0.2">
      <c r="B165" s="736" t="s">
        <v>4032</v>
      </c>
      <c r="C165" s="631">
        <f t="shared" si="9"/>
        <v>0</v>
      </c>
      <c r="D165" s="690">
        <f t="shared" si="10"/>
        <v>0</v>
      </c>
      <c r="E165" s="704">
        <f t="shared" si="3"/>
        <v>0</v>
      </c>
      <c r="G165" s="705">
        <f t="shared" si="4"/>
        <v>0</v>
      </c>
      <c r="H165" s="690">
        <f t="shared" si="11"/>
        <v>0</v>
      </c>
    </row>
    <row r="166" spans="2:8" x14ac:dyDescent="0.2">
      <c r="B166" s="736" t="s">
        <v>4033</v>
      </c>
      <c r="C166" s="631">
        <f t="shared" si="9"/>
        <v>0</v>
      </c>
      <c r="D166" s="690">
        <f t="shared" si="10"/>
        <v>0</v>
      </c>
      <c r="E166" s="704">
        <f t="shared" si="3"/>
        <v>0</v>
      </c>
      <c r="G166" s="705">
        <f t="shared" si="4"/>
        <v>0</v>
      </c>
      <c r="H166" s="690">
        <f t="shared" si="11"/>
        <v>0</v>
      </c>
    </row>
    <row r="167" spans="2:8" x14ac:dyDescent="0.2">
      <c r="B167" s="736" t="s">
        <v>4034</v>
      </c>
      <c r="C167" s="631">
        <f t="shared" si="9"/>
        <v>0</v>
      </c>
      <c r="D167" s="690">
        <f t="shared" si="10"/>
        <v>0</v>
      </c>
      <c r="E167" s="704">
        <f t="shared" si="3"/>
        <v>0</v>
      </c>
      <c r="G167" s="705">
        <f t="shared" si="4"/>
        <v>0</v>
      </c>
      <c r="H167" s="690">
        <f t="shared" si="11"/>
        <v>0</v>
      </c>
    </row>
    <row r="168" spans="2:8" x14ac:dyDescent="0.2">
      <c r="B168" s="736" t="s">
        <v>4035</v>
      </c>
      <c r="C168" s="631">
        <f t="shared" si="9"/>
        <v>0</v>
      </c>
      <c r="D168" s="690">
        <f t="shared" si="10"/>
        <v>0</v>
      </c>
      <c r="E168" s="704">
        <f t="shared" si="3"/>
        <v>0</v>
      </c>
      <c r="G168" s="705">
        <f t="shared" si="4"/>
        <v>0</v>
      </c>
      <c r="H168" s="690">
        <f t="shared" si="11"/>
        <v>0</v>
      </c>
    </row>
    <row r="169" spans="2:8" x14ac:dyDescent="0.2">
      <c r="B169" s="736" t="s">
        <v>3636</v>
      </c>
      <c r="C169" s="631">
        <f>IF($D$48&lt;0,-$D$48,0)</f>
        <v>0</v>
      </c>
      <c r="D169" s="690">
        <f t="shared" ref="D169:D177" si="12">IF($D$48&gt;0,$D$48*$D16,0)</f>
        <v>0</v>
      </c>
      <c r="E169" s="704">
        <f t="shared" si="3"/>
        <v>0</v>
      </c>
      <c r="G169" s="705">
        <f t="shared" si="4"/>
        <v>0</v>
      </c>
      <c r="H169" s="690">
        <f t="shared" si="11"/>
        <v>0</v>
      </c>
    </row>
    <row r="170" spans="2:8" x14ac:dyDescent="0.2">
      <c r="B170" s="736" t="s">
        <v>3637</v>
      </c>
      <c r="C170" s="631">
        <f t="shared" ref="C170:C177" si="13">IF($D$48&lt;0,-$D$48,0)</f>
        <v>0</v>
      </c>
      <c r="D170" s="690">
        <f t="shared" si="12"/>
        <v>0</v>
      </c>
      <c r="E170" s="704">
        <f t="shared" si="3"/>
        <v>0</v>
      </c>
      <c r="G170" s="705">
        <f t="shared" si="4"/>
        <v>0</v>
      </c>
      <c r="H170" s="690">
        <f t="shared" si="11"/>
        <v>0</v>
      </c>
    </row>
    <row r="171" spans="2:8" x14ac:dyDescent="0.2">
      <c r="B171" s="736" t="s">
        <v>3638</v>
      </c>
      <c r="C171" s="631">
        <f t="shared" si="13"/>
        <v>0</v>
      </c>
      <c r="D171" s="690">
        <f t="shared" si="12"/>
        <v>0</v>
      </c>
      <c r="E171" s="704">
        <f t="shared" si="3"/>
        <v>0</v>
      </c>
      <c r="G171" s="705">
        <f t="shared" si="4"/>
        <v>0</v>
      </c>
      <c r="H171" s="690">
        <f t="shared" si="11"/>
        <v>0</v>
      </c>
    </row>
    <row r="172" spans="2:8" x14ac:dyDescent="0.2">
      <c r="B172" s="736" t="s">
        <v>3639</v>
      </c>
      <c r="C172" s="631">
        <f t="shared" si="13"/>
        <v>0</v>
      </c>
      <c r="D172" s="690">
        <f t="shared" si="12"/>
        <v>0</v>
      </c>
      <c r="E172" s="704">
        <f t="shared" si="3"/>
        <v>0</v>
      </c>
      <c r="G172" s="705">
        <f t="shared" si="4"/>
        <v>0</v>
      </c>
      <c r="H172" s="690">
        <f t="shared" si="11"/>
        <v>0</v>
      </c>
    </row>
    <row r="173" spans="2:8" x14ac:dyDescent="0.2">
      <c r="B173" s="736" t="s">
        <v>3640</v>
      </c>
      <c r="C173" s="631">
        <f t="shared" si="13"/>
        <v>0</v>
      </c>
      <c r="D173" s="690">
        <f t="shared" si="12"/>
        <v>0</v>
      </c>
      <c r="E173" s="704">
        <f t="shared" si="3"/>
        <v>0</v>
      </c>
      <c r="G173" s="705">
        <f t="shared" si="4"/>
        <v>0</v>
      </c>
      <c r="H173" s="690">
        <f t="shared" si="11"/>
        <v>0</v>
      </c>
    </row>
    <row r="174" spans="2:8" x14ac:dyDescent="0.2">
      <c r="B174" s="736" t="s">
        <v>3641</v>
      </c>
      <c r="C174" s="631">
        <f t="shared" si="13"/>
        <v>0</v>
      </c>
      <c r="D174" s="690">
        <f t="shared" si="12"/>
        <v>0</v>
      </c>
      <c r="E174" s="704">
        <f t="shared" si="3"/>
        <v>0</v>
      </c>
      <c r="G174" s="705">
        <f t="shared" si="4"/>
        <v>0</v>
      </c>
      <c r="H174" s="690">
        <f t="shared" si="11"/>
        <v>0</v>
      </c>
    </row>
    <row r="175" spans="2:8" x14ac:dyDescent="0.2">
      <c r="B175" s="736" t="s">
        <v>4010</v>
      </c>
      <c r="C175" s="631">
        <f t="shared" si="13"/>
        <v>0</v>
      </c>
      <c r="D175" s="690">
        <f t="shared" si="12"/>
        <v>0</v>
      </c>
      <c r="E175" s="704">
        <f t="shared" si="3"/>
        <v>0</v>
      </c>
      <c r="G175" s="705">
        <f t="shared" si="4"/>
        <v>0</v>
      </c>
      <c r="H175" s="690">
        <f t="shared" si="11"/>
        <v>0</v>
      </c>
    </row>
    <row r="176" spans="2:8" x14ac:dyDescent="0.2">
      <c r="B176" s="736" t="s">
        <v>3973</v>
      </c>
      <c r="C176" s="631">
        <f t="shared" si="13"/>
        <v>0</v>
      </c>
      <c r="D176" s="690">
        <f t="shared" si="12"/>
        <v>0</v>
      </c>
      <c r="E176" s="704">
        <f t="shared" si="3"/>
        <v>0</v>
      </c>
      <c r="G176" s="705">
        <f t="shared" si="4"/>
        <v>0</v>
      </c>
      <c r="H176" s="690">
        <f t="shared" si="11"/>
        <v>0</v>
      </c>
    </row>
    <row r="177" spans="2:9" x14ac:dyDescent="0.2">
      <c r="B177" s="736" t="s">
        <v>3644</v>
      </c>
      <c r="C177" s="631">
        <f t="shared" si="13"/>
        <v>0</v>
      </c>
      <c r="D177" s="690">
        <f t="shared" si="12"/>
        <v>0</v>
      </c>
      <c r="E177" s="704">
        <f t="shared" si="3"/>
        <v>0</v>
      </c>
      <c r="G177" s="705">
        <f t="shared" si="4"/>
        <v>0</v>
      </c>
      <c r="H177" s="690">
        <f t="shared" si="11"/>
        <v>0</v>
      </c>
    </row>
    <row r="178" spans="2:9" ht="25.5" x14ac:dyDescent="0.2">
      <c r="B178" s="746" t="s">
        <v>3571</v>
      </c>
      <c r="C178" s="631">
        <f>IF(D36&gt;0,D36*D25,0)</f>
        <v>0</v>
      </c>
      <c r="D178" s="690">
        <v>0</v>
      </c>
      <c r="E178" s="704">
        <f t="shared" si="3"/>
        <v>0</v>
      </c>
      <c r="G178" s="705">
        <f>IF(E178&lt;0,0,E178)</f>
        <v>0</v>
      </c>
      <c r="H178" s="690">
        <f t="shared" si="11"/>
        <v>0</v>
      </c>
      <c r="I178" s="750"/>
    </row>
    <row r="179" spans="2:9" x14ac:dyDescent="0.2">
      <c r="B179" s="746" t="s">
        <v>3572</v>
      </c>
      <c r="C179" s="631">
        <f>IF(D37&gt;0,D37*D25,0)</f>
        <v>0</v>
      </c>
      <c r="D179" s="690">
        <v>0</v>
      </c>
      <c r="E179" s="704">
        <f t="shared" si="3"/>
        <v>0</v>
      </c>
      <c r="G179" s="705">
        <f>IF(E179&lt;0,0,E179)</f>
        <v>0</v>
      </c>
      <c r="H179" s="690">
        <f t="shared" si="11"/>
        <v>0</v>
      </c>
      <c r="I179" s="750"/>
    </row>
    <row r="180" spans="2:9" ht="25.5" x14ac:dyDescent="0.2">
      <c r="B180" s="746" t="s">
        <v>3650</v>
      </c>
      <c r="C180" s="631">
        <f>IF(D38&gt;0,D38,0)</f>
        <v>0</v>
      </c>
      <c r="D180" s="690">
        <v>0</v>
      </c>
      <c r="E180" s="704">
        <f t="shared" si="3"/>
        <v>0</v>
      </c>
      <c r="G180" s="705">
        <f t="shared" ref="G180:G181" si="14">IF(E180&lt;0,0,E180)</f>
        <v>0</v>
      </c>
      <c r="H180" s="690">
        <f t="shared" si="11"/>
        <v>0</v>
      </c>
    </row>
    <row r="181" spans="2:9" ht="25.5" x14ac:dyDescent="0.2">
      <c r="B181" s="746" t="s">
        <v>3574</v>
      </c>
      <c r="C181" s="631">
        <v>0</v>
      </c>
      <c r="D181" s="690">
        <f>IF(D36&lt;0,-D36,0)*D25</f>
        <v>0</v>
      </c>
      <c r="E181" s="704">
        <f t="shared" si="3"/>
        <v>0</v>
      </c>
      <c r="G181" s="705">
        <f t="shared" si="14"/>
        <v>0</v>
      </c>
      <c r="H181" s="690">
        <f t="shared" si="11"/>
        <v>0</v>
      </c>
    </row>
    <row r="182" spans="2:9" x14ac:dyDescent="0.2">
      <c r="B182" s="746" t="s">
        <v>3576</v>
      </c>
      <c r="C182" s="631">
        <v>0</v>
      </c>
      <c r="D182" s="690">
        <f>IF(D37&lt;0,-D37,0)*D25</f>
        <v>0</v>
      </c>
      <c r="E182" s="704">
        <f t="shared" si="3"/>
        <v>0</v>
      </c>
      <c r="G182" s="705">
        <f>IF(E182&lt;0,0,E182)</f>
        <v>0</v>
      </c>
      <c r="H182" s="690">
        <f t="shared" si="11"/>
        <v>0</v>
      </c>
    </row>
    <row r="183" spans="2:9" ht="25.5" x14ac:dyDescent="0.2">
      <c r="B183" s="746" t="s">
        <v>3651</v>
      </c>
      <c r="C183" s="631">
        <v>0</v>
      </c>
      <c r="D183" s="690">
        <f>IF(D38&lt;0,-D38,)*D25</f>
        <v>0</v>
      </c>
      <c r="E183" s="704">
        <f t="shared" si="3"/>
        <v>0</v>
      </c>
      <c r="G183" s="705">
        <f>IF(E183&lt;0,0,E183)</f>
        <v>0</v>
      </c>
      <c r="H183" s="690">
        <f t="shared" si="11"/>
        <v>0</v>
      </c>
    </row>
    <row r="184" spans="2:9" ht="25.5" x14ac:dyDescent="0.2">
      <c r="B184" s="746" t="s">
        <v>4060</v>
      </c>
      <c r="C184" s="631">
        <f>IF(D46&gt;0,D46*D25,0)</f>
        <v>0</v>
      </c>
      <c r="D184" s="690">
        <f>IF(D46&lt;0,D46*D25,0)</f>
        <v>0</v>
      </c>
      <c r="E184" s="704">
        <f t="shared" si="3"/>
        <v>0</v>
      </c>
      <c r="G184" s="705">
        <f>IF(E184&lt;0,0,E184)</f>
        <v>0</v>
      </c>
      <c r="H184" s="690">
        <f t="shared" si="11"/>
        <v>0</v>
      </c>
    </row>
    <row r="185" spans="2:9" ht="25.5" x14ac:dyDescent="0.2">
      <c r="B185" s="746" t="s">
        <v>3656</v>
      </c>
      <c r="C185" s="631">
        <f>IF(D48&gt;0,D48*D25,0)</f>
        <v>0</v>
      </c>
      <c r="D185" s="690">
        <f>IF(D48&lt;0,D48*D25,0)</f>
        <v>0</v>
      </c>
      <c r="E185" s="704">
        <f t="shared" si="3"/>
        <v>0</v>
      </c>
      <c r="G185" s="705">
        <f>IF(E185&lt;0,0,E185)</f>
        <v>0</v>
      </c>
      <c r="H185" s="690">
        <f t="shared" si="11"/>
        <v>0</v>
      </c>
    </row>
    <row r="186" spans="2:9" x14ac:dyDescent="0.2">
      <c r="C186" s="766">
        <f>SUM(C149:C185)</f>
        <v>0</v>
      </c>
      <c r="D186" s="767">
        <f>SUM(D149:D185)</f>
        <v>0</v>
      </c>
      <c r="E186" s="708">
        <f>SUM(E148:E185)</f>
        <v>0</v>
      </c>
      <c r="G186" s="766">
        <f>SUM(G148:G185)</f>
        <v>0</v>
      </c>
      <c r="H186" s="767">
        <f>SUM(H148:H185)</f>
        <v>0</v>
      </c>
    </row>
    <row r="188" spans="2:9" x14ac:dyDescent="0.2">
      <c r="B188" s="749"/>
      <c r="C188" s="750">
        <f>C186-D186</f>
        <v>0</v>
      </c>
      <c r="D188" s="749"/>
    </row>
    <row r="189" spans="2:9" x14ac:dyDescent="0.2">
      <c r="B189" s="750"/>
      <c r="G189" s="749"/>
    </row>
    <row r="191" spans="2:9" x14ac:dyDescent="0.2">
      <c r="C191" s="750"/>
      <c r="D191" s="750"/>
    </row>
  </sheetData>
  <sheetProtection algorithmName="SHA-512" hashValue="sKC+aXcn85wOrWEBySV5S2ESE6IdFaVKnfk2JFO/o+ggvoWMWeuEotiQxuCmL41EV/1HJ1gwzAvkVQNDic/OAg==" saltValue="JESpaaL6Q96d1OUMpHw4CQ==" spinCount="100000" sheet="1" objects="1" scenarios="1"/>
  <customSheetViews>
    <customSheetView guid="{D2B860EA-92EC-4999-9A59-C624E1F8C7FB}" hiddenRows="1" topLeftCell="A19">
      <selection activeCell="F28" sqref="F28"/>
      <pageMargins left="0.7" right="0.7" top="0.75" bottom="0.75" header="0.3" footer="0.3"/>
      <pageSetup orientation="portrait" r:id="rId1"/>
    </customSheetView>
    <customSheetView guid="{C1197650-3ED8-49E4-8E4C-0D1D4B503FC0}" hiddenRows="1" topLeftCell="A19">
      <selection activeCell="F28" sqref="F28"/>
      <pageMargins left="0.7" right="0.7" top="0.75" bottom="0.75" header="0.3" footer="0.3"/>
      <pageSetup orientation="portrait" r:id="rId2"/>
    </customSheetView>
  </customSheetViews>
  <mergeCells count="17">
    <mergeCell ref="B41:C41"/>
    <mergeCell ref="B46:C46"/>
    <mergeCell ref="B48:C48"/>
    <mergeCell ref="G146:H146"/>
    <mergeCell ref="B37:C37"/>
    <mergeCell ref="F37:K37"/>
    <mergeCell ref="B38:C38"/>
    <mergeCell ref="B39:C39"/>
    <mergeCell ref="F39:K39"/>
    <mergeCell ref="B40:C40"/>
    <mergeCell ref="F40:K40"/>
    <mergeCell ref="A1:C1"/>
    <mergeCell ref="A4:C4"/>
    <mergeCell ref="B7:L7"/>
    <mergeCell ref="B28:E28"/>
    <mergeCell ref="B36:C36"/>
    <mergeCell ref="F36:K36"/>
  </mergeCells>
  <conditionalFormatting sqref="M34:M45">
    <cfRule type="expression" dxfId="1" priority="3">
      <formula>#REF!=2</formula>
    </cfRule>
  </conditionalFormatting>
  <conditionalFormatting sqref="M47:M55">
    <cfRule type="expression" dxfId="0" priority="1">
      <formula>#REF!=2</formula>
    </cfRule>
  </conditionalFormatting>
  <pageMargins left="0.7" right="0.7" top="0.75" bottom="0.75" header="0.3" footer="0.3"/>
  <pageSetup orientation="portrait"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72BB4-0B99-476B-8C66-E2A396229934}">
  <dimension ref="B2:Q81"/>
  <sheetViews>
    <sheetView topLeftCell="A6" workbookViewId="0"/>
  </sheetViews>
  <sheetFormatPr defaultColWidth="9.140625" defaultRowHeight="12.75" x14ac:dyDescent="0.2"/>
  <cols>
    <col min="8" max="8" width="12.85546875" customWidth="1"/>
    <col min="10" max="10" width="13.85546875" customWidth="1"/>
  </cols>
  <sheetData>
    <row r="2" spans="2:17" ht="66" customHeight="1" x14ac:dyDescent="0.25">
      <c r="B2" s="1103" t="s">
        <v>4103</v>
      </c>
      <c r="C2" s="1104"/>
      <c r="D2" s="1104"/>
      <c r="E2" s="1104"/>
      <c r="F2" s="1104"/>
      <c r="G2" s="1104"/>
      <c r="H2" s="1104"/>
      <c r="I2" s="1104"/>
      <c r="J2" s="1104"/>
      <c r="K2" s="1104"/>
      <c r="L2" s="1104"/>
      <c r="M2" s="1104"/>
      <c r="N2" s="1104"/>
      <c r="O2" s="1104"/>
      <c r="P2" s="1104"/>
      <c r="Q2" s="1105"/>
    </row>
    <row r="3" spans="2:17" x14ac:dyDescent="0.2">
      <c r="B3" s="4"/>
      <c r="I3" s="25"/>
    </row>
    <row r="4" spans="2:17" ht="73.5" customHeight="1" x14ac:dyDescent="0.2">
      <c r="B4" s="4"/>
      <c r="C4" s="1029" t="s">
        <v>4104</v>
      </c>
      <c r="D4" s="1019"/>
      <c r="E4" s="1019"/>
      <c r="F4" s="1019"/>
      <c r="G4" s="1019"/>
      <c r="H4" s="1019"/>
      <c r="I4" s="1019"/>
      <c r="J4" s="1019"/>
      <c r="K4" s="1019"/>
      <c r="L4" s="1019"/>
      <c r="M4" s="1019"/>
      <c r="N4" s="1019"/>
      <c r="O4" s="1019"/>
      <c r="P4" s="1019"/>
      <c r="Q4" s="1019"/>
    </row>
    <row r="5" spans="2:17" x14ac:dyDescent="0.2">
      <c r="B5" s="4"/>
      <c r="I5" s="25"/>
    </row>
    <row r="6" spans="2:17" ht="44.25" customHeight="1" x14ac:dyDescent="0.2">
      <c r="B6" s="4"/>
      <c r="C6" s="1019" t="s">
        <v>4105</v>
      </c>
      <c r="D6" s="1019"/>
      <c r="E6" s="1019"/>
      <c r="F6" s="1019"/>
      <c r="G6" s="1019"/>
      <c r="H6" s="1019"/>
      <c r="I6" s="1019"/>
      <c r="J6" s="1019"/>
      <c r="K6" s="1019"/>
      <c r="L6" s="1019"/>
      <c r="M6" s="1019"/>
      <c r="N6" s="1019"/>
      <c r="O6" s="1019"/>
      <c r="P6" s="1019"/>
      <c r="Q6" s="1019"/>
    </row>
    <row r="7" spans="2:17" x14ac:dyDescent="0.2">
      <c r="B7" s="4"/>
      <c r="I7" s="25"/>
    </row>
    <row r="8" spans="2:17" ht="24.75" customHeight="1" x14ac:dyDescent="0.2">
      <c r="B8" s="4"/>
      <c r="C8" s="1021" t="s">
        <v>4106</v>
      </c>
      <c r="D8" s="1022"/>
      <c r="E8" s="1022"/>
      <c r="F8" s="1022"/>
      <c r="G8" s="1022"/>
      <c r="H8" s="1022"/>
      <c r="I8" s="1022"/>
      <c r="J8" s="1022"/>
      <c r="K8" s="1022"/>
      <c r="L8" s="1022"/>
      <c r="M8" s="1022"/>
      <c r="N8" s="1022"/>
      <c r="O8" s="1022"/>
      <c r="P8" s="1022"/>
      <c r="Q8" s="1022"/>
    </row>
    <row r="9" spans="2:17" x14ac:dyDescent="0.2">
      <c r="B9" s="4"/>
      <c r="I9" s="25"/>
    </row>
    <row r="10" spans="2:17" x14ac:dyDescent="0.2">
      <c r="B10" s="4"/>
      <c r="I10" s="25"/>
    </row>
    <row r="11" spans="2:17" ht="29.25" customHeight="1" x14ac:dyDescent="0.2">
      <c r="B11" s="4" t="s">
        <v>539</v>
      </c>
      <c r="C11" s="1100" t="s">
        <v>4107</v>
      </c>
      <c r="D11" s="1110"/>
      <c r="E11" s="1110"/>
      <c r="F11" s="1110"/>
      <c r="G11" s="1110"/>
      <c r="H11" s="1110"/>
      <c r="I11" s="1110"/>
      <c r="J11" s="1110"/>
      <c r="K11" s="1110"/>
      <c r="L11" s="1110"/>
      <c r="M11" s="1110"/>
      <c r="N11" s="1110"/>
      <c r="O11" s="1110"/>
      <c r="P11" s="1110"/>
      <c r="Q11" s="1111"/>
    </row>
    <row r="12" spans="2:17" x14ac:dyDescent="0.2">
      <c r="B12" s="4"/>
      <c r="C12" s="4"/>
      <c r="I12" s="34"/>
    </row>
    <row r="13" spans="2:17" x14ac:dyDescent="0.2">
      <c r="B13" s="4"/>
      <c r="H13" s="3" t="s">
        <v>506</v>
      </c>
    </row>
    <row r="14" spans="2:17" x14ac:dyDescent="0.2">
      <c r="B14" s="4"/>
    </row>
    <row r="15" spans="2:17" x14ac:dyDescent="0.2">
      <c r="B15" s="4"/>
      <c r="D15" t="s">
        <v>899</v>
      </c>
      <c r="H15" s="287">
        <v>100000</v>
      </c>
    </row>
    <row r="16" spans="2:17" x14ac:dyDescent="0.2">
      <c r="B16" s="4"/>
      <c r="D16" t="s">
        <v>988</v>
      </c>
      <c r="H16" s="287">
        <v>179755</v>
      </c>
    </row>
    <row r="17" spans="2:17" x14ac:dyDescent="0.2">
      <c r="B17" s="4"/>
      <c r="D17" t="s">
        <v>989</v>
      </c>
      <c r="H17" s="287"/>
    </row>
    <row r="18" spans="2:17" x14ac:dyDescent="0.2">
      <c r="B18" s="4"/>
      <c r="D18" t="s">
        <v>816</v>
      </c>
      <c r="H18" s="287"/>
    </row>
    <row r="19" spans="2:17" x14ac:dyDescent="0.2">
      <c r="B19" s="4"/>
      <c r="D19" t="s">
        <v>805</v>
      </c>
      <c r="H19" s="287"/>
      <c r="K19" s="972"/>
      <c r="L19" s="972"/>
      <c r="M19" s="972"/>
      <c r="N19" s="972"/>
      <c r="O19" s="972"/>
      <c r="P19" s="972"/>
    </row>
    <row r="20" spans="2:17" x14ac:dyDescent="0.2">
      <c r="B20" s="4"/>
      <c r="D20" t="s">
        <v>267</v>
      </c>
      <c r="H20" s="285"/>
      <c r="K20" s="972"/>
      <c r="L20" s="972"/>
      <c r="M20" s="972"/>
      <c r="N20" s="972"/>
      <c r="O20" s="972"/>
      <c r="P20" s="972"/>
    </row>
    <row r="21" spans="2:17" x14ac:dyDescent="0.2">
      <c r="B21" s="4"/>
      <c r="D21" t="s">
        <v>892</v>
      </c>
      <c r="H21" s="285"/>
      <c r="K21" s="972"/>
      <c r="L21" s="972"/>
      <c r="M21" s="972"/>
      <c r="N21" s="972"/>
      <c r="O21" s="972"/>
      <c r="P21" s="972"/>
    </row>
    <row r="22" spans="2:17" x14ac:dyDescent="0.2">
      <c r="B22" s="4"/>
      <c r="D22" t="s">
        <v>266</v>
      </c>
      <c r="H22" s="285">
        <v>0</v>
      </c>
      <c r="K22" t="s">
        <v>4108</v>
      </c>
    </row>
    <row r="23" spans="2:17" x14ac:dyDescent="0.2">
      <c r="B23" s="4"/>
      <c r="D23" s="280" t="s">
        <v>172</v>
      </c>
      <c r="H23" s="296">
        <v>0</v>
      </c>
    </row>
    <row r="24" spans="2:17" ht="13.5" thickBot="1" x14ac:dyDescent="0.25">
      <c r="B24" s="4"/>
      <c r="H24" s="64">
        <f>SUM(H15:H23)</f>
        <v>279755</v>
      </c>
    </row>
    <row r="25" spans="2:17" ht="13.5" thickTop="1" x14ac:dyDescent="0.2">
      <c r="B25" s="4"/>
    </row>
    <row r="26" spans="2:17" x14ac:dyDescent="0.2">
      <c r="B26" s="4"/>
    </row>
    <row r="27" spans="2:17" x14ac:dyDescent="0.2">
      <c r="B27" s="4"/>
      <c r="H27" s="5"/>
      <c r="I27" s="35"/>
      <c r="J27" s="35"/>
      <c r="K27" s="35"/>
      <c r="L27" s="35"/>
      <c r="M27" s="35"/>
      <c r="O27" s="35"/>
    </row>
    <row r="28" spans="2:17" x14ac:dyDescent="0.2">
      <c r="B28" s="4" t="s">
        <v>801</v>
      </c>
      <c r="C28" s="1097" t="s">
        <v>4109</v>
      </c>
      <c r="D28" s="1098"/>
      <c r="E28" s="1098"/>
      <c r="F28" s="1098"/>
      <c r="G28" s="1098"/>
      <c r="H28" s="1098"/>
      <c r="I28" s="1098"/>
      <c r="J28" s="1098"/>
      <c r="K28" s="1098"/>
      <c r="L28" s="1098"/>
      <c r="M28" s="1098"/>
      <c r="N28" s="1098"/>
      <c r="O28" s="1098"/>
      <c r="P28" s="1099"/>
      <c r="Q28" s="4"/>
    </row>
    <row r="29" spans="2:17" x14ac:dyDescent="0.2">
      <c r="B29" s="4"/>
      <c r="I29" s="25"/>
      <c r="M29" s="36" t="s">
        <v>509</v>
      </c>
      <c r="N29" s="33"/>
      <c r="O29" s="36" t="s">
        <v>510</v>
      </c>
    </row>
    <row r="30" spans="2:17" x14ac:dyDescent="0.2">
      <c r="B30" s="4"/>
      <c r="I30" s="25"/>
    </row>
    <row r="31" spans="2:17" x14ac:dyDescent="0.2">
      <c r="B31" s="4"/>
      <c r="E31" s="579" t="s">
        <v>4110</v>
      </c>
      <c r="F31" s="579" t="s">
        <v>4187</v>
      </c>
      <c r="I31" s="25"/>
      <c r="M31" s="61">
        <f>H24</f>
        <v>279755</v>
      </c>
      <c r="O31" s="61"/>
    </row>
    <row r="32" spans="2:17" x14ac:dyDescent="0.2">
      <c r="B32" s="4"/>
      <c r="G32" t="s">
        <v>899</v>
      </c>
      <c r="I32" s="25"/>
      <c r="M32" s="61"/>
      <c r="O32" s="61">
        <f t="shared" ref="O32:O40" si="0">H15</f>
        <v>100000</v>
      </c>
    </row>
    <row r="33" spans="2:17" x14ac:dyDescent="0.2">
      <c r="B33" s="4"/>
      <c r="G33" t="s">
        <v>988</v>
      </c>
      <c r="I33" s="25"/>
      <c r="M33" s="61"/>
      <c r="O33" s="61">
        <f t="shared" si="0"/>
        <v>179755</v>
      </c>
    </row>
    <row r="34" spans="2:17" x14ac:dyDescent="0.2">
      <c r="B34" s="4"/>
      <c r="G34" t="s">
        <v>989</v>
      </c>
      <c r="I34" s="25"/>
      <c r="M34" s="61"/>
      <c r="O34" s="61">
        <v>0</v>
      </c>
    </row>
    <row r="35" spans="2:17" x14ac:dyDescent="0.2">
      <c r="B35" s="4"/>
      <c r="G35" t="s">
        <v>815</v>
      </c>
      <c r="I35" s="25"/>
      <c r="M35" s="61"/>
      <c r="O35" s="61">
        <f t="shared" si="0"/>
        <v>0</v>
      </c>
    </row>
    <row r="36" spans="2:17" x14ac:dyDescent="0.2">
      <c r="B36" s="4"/>
      <c r="G36" t="s">
        <v>183</v>
      </c>
      <c r="I36" s="25"/>
      <c r="M36" s="61"/>
      <c r="O36" s="61">
        <f t="shared" si="0"/>
        <v>0</v>
      </c>
    </row>
    <row r="37" spans="2:17" x14ac:dyDescent="0.2">
      <c r="B37" s="4"/>
      <c r="G37" t="s">
        <v>130</v>
      </c>
      <c r="I37" s="25"/>
      <c r="M37" s="61"/>
      <c r="O37" s="61">
        <f t="shared" si="0"/>
        <v>0</v>
      </c>
    </row>
    <row r="38" spans="2:17" x14ac:dyDescent="0.2">
      <c r="B38" s="4"/>
      <c r="G38" t="s">
        <v>131</v>
      </c>
      <c r="I38" s="25"/>
      <c r="M38" s="61"/>
      <c r="O38" s="61">
        <f t="shared" si="0"/>
        <v>0</v>
      </c>
    </row>
    <row r="39" spans="2:17" x14ac:dyDescent="0.2">
      <c r="B39" s="4"/>
      <c r="G39" t="s">
        <v>266</v>
      </c>
      <c r="I39" s="25"/>
      <c r="M39" s="61"/>
      <c r="O39" s="61">
        <f t="shared" si="0"/>
        <v>0</v>
      </c>
    </row>
    <row r="40" spans="2:17" x14ac:dyDescent="0.2">
      <c r="B40" s="4"/>
      <c r="D40" s="32"/>
      <c r="G40" s="280" t="s">
        <v>172</v>
      </c>
      <c r="I40" s="25"/>
      <c r="M40" s="57"/>
      <c r="O40" s="11">
        <f t="shared" si="0"/>
        <v>0</v>
      </c>
    </row>
    <row r="41" spans="2:17" ht="13.5" thickBot="1" x14ac:dyDescent="0.25">
      <c r="B41" s="4"/>
      <c r="I41" s="25"/>
      <c r="M41" s="54">
        <f>SUM(M31:M39)</f>
        <v>279755</v>
      </c>
      <c r="O41" s="54">
        <f>SUM(O31:O40)</f>
        <v>279755</v>
      </c>
    </row>
    <row r="42" spans="2:17" ht="13.5" thickTop="1" x14ac:dyDescent="0.2">
      <c r="B42" s="4"/>
      <c r="I42" s="25"/>
    </row>
    <row r="46" spans="2:17" x14ac:dyDescent="0.2">
      <c r="B46" s="4" t="s">
        <v>807</v>
      </c>
      <c r="C46" s="1284" t="s">
        <v>4111</v>
      </c>
      <c r="D46" s="1285"/>
      <c r="E46" s="1285"/>
      <c r="F46" s="1285"/>
      <c r="G46" s="1285"/>
      <c r="H46" s="1285"/>
      <c r="I46" s="1285"/>
      <c r="J46" s="1286"/>
    </row>
    <row r="47" spans="2:17" ht="15" x14ac:dyDescent="0.25">
      <c r="C47" s="973"/>
      <c r="D47" s="973"/>
      <c r="E47" s="973"/>
    </row>
    <row r="48" spans="2:17" ht="27.75" customHeight="1" x14ac:dyDescent="0.2">
      <c r="C48" s="1021" t="s">
        <v>4112</v>
      </c>
      <c r="D48" s="1021"/>
      <c r="E48" s="1021"/>
      <c r="F48" s="1021"/>
      <c r="G48" s="1021"/>
      <c r="H48" s="1021"/>
      <c r="I48" s="1021"/>
      <c r="J48" s="972"/>
      <c r="K48" s="972"/>
      <c r="L48" s="972"/>
      <c r="M48" s="972"/>
      <c r="N48" s="972"/>
      <c r="O48" s="972"/>
      <c r="P48" s="972"/>
      <c r="Q48" s="972"/>
    </row>
    <row r="49" spans="3:16" x14ac:dyDescent="0.2">
      <c r="C49" s="4"/>
      <c r="I49" s="34"/>
    </row>
    <row r="50" spans="3:16" ht="12.75" customHeight="1" x14ac:dyDescent="0.2">
      <c r="H50" s="3" t="s">
        <v>506</v>
      </c>
    </row>
    <row r="52" spans="3:16" x14ac:dyDescent="0.2">
      <c r="D52" t="s">
        <v>899</v>
      </c>
      <c r="H52" s="287">
        <v>20000</v>
      </c>
    </row>
    <row r="53" spans="3:16" x14ac:dyDescent="0.2">
      <c r="D53" t="s">
        <v>988</v>
      </c>
      <c r="H53" s="287">
        <v>2999</v>
      </c>
    </row>
    <row r="54" spans="3:16" x14ac:dyDescent="0.2">
      <c r="D54" t="s">
        <v>989</v>
      </c>
      <c r="H54" s="287"/>
    </row>
    <row r="55" spans="3:16" x14ac:dyDescent="0.2">
      <c r="D55" t="s">
        <v>816</v>
      </c>
      <c r="H55" s="287"/>
    </row>
    <row r="56" spans="3:16" x14ac:dyDescent="0.2">
      <c r="D56" t="s">
        <v>805</v>
      </c>
      <c r="H56" s="287"/>
      <c r="K56" s="972"/>
      <c r="L56" s="972"/>
      <c r="M56" s="972"/>
      <c r="N56" s="972"/>
      <c r="O56" s="972"/>
      <c r="P56" s="972"/>
    </row>
    <row r="57" spans="3:16" x14ac:dyDescent="0.2">
      <c r="D57" t="s">
        <v>267</v>
      </c>
      <c r="H57" s="285"/>
      <c r="K57" s="972"/>
      <c r="L57" s="972"/>
      <c r="M57" s="972"/>
      <c r="N57" s="972"/>
      <c r="O57" s="972"/>
      <c r="P57" s="972"/>
    </row>
    <row r="58" spans="3:16" x14ac:dyDescent="0.2">
      <c r="D58" t="s">
        <v>892</v>
      </c>
      <c r="H58" s="285"/>
      <c r="K58" s="972"/>
      <c r="L58" s="972"/>
      <c r="M58" s="972"/>
      <c r="N58" s="972"/>
      <c r="O58" s="972"/>
      <c r="P58" s="972"/>
    </row>
    <row r="59" spans="3:16" x14ac:dyDescent="0.2">
      <c r="D59" t="s">
        <v>266</v>
      </c>
      <c r="H59" s="285">
        <v>0</v>
      </c>
      <c r="K59" t="s">
        <v>4108</v>
      </c>
    </row>
    <row r="60" spans="3:16" x14ac:dyDescent="0.2">
      <c r="D60" s="280" t="s">
        <v>172</v>
      </c>
      <c r="H60" s="296">
        <v>0</v>
      </c>
    </row>
    <row r="61" spans="3:16" ht="13.5" thickBot="1" x14ac:dyDescent="0.25">
      <c r="H61" s="64">
        <f>SUM(H52:H60)</f>
        <v>22999</v>
      </c>
    </row>
    <row r="62" spans="3:16" ht="13.5" thickTop="1" x14ac:dyDescent="0.2"/>
    <row r="63" spans="3:16" ht="15" x14ac:dyDescent="0.2">
      <c r="C63" s="974"/>
      <c r="D63" s="974"/>
      <c r="J63" s="974"/>
    </row>
    <row r="65" spans="2:16" x14ac:dyDescent="0.2">
      <c r="B65" s="4" t="s">
        <v>801</v>
      </c>
      <c r="C65" s="1097" t="s">
        <v>4113</v>
      </c>
      <c r="D65" s="1098"/>
      <c r="E65" s="1098"/>
      <c r="F65" s="1098"/>
      <c r="G65" s="1098"/>
      <c r="H65" s="1098"/>
      <c r="I65" s="1098"/>
      <c r="J65" s="1098"/>
      <c r="K65" s="1098"/>
      <c r="L65" s="1098"/>
      <c r="M65" s="1098"/>
      <c r="N65" s="1098"/>
      <c r="O65" s="1098"/>
      <c r="P65" s="1099"/>
    </row>
    <row r="66" spans="2:16" x14ac:dyDescent="0.2">
      <c r="B66" s="4"/>
      <c r="I66" s="25"/>
      <c r="M66" s="36" t="s">
        <v>509</v>
      </c>
      <c r="N66" s="33"/>
      <c r="O66" s="36" t="s">
        <v>510</v>
      </c>
    </row>
    <row r="67" spans="2:16" x14ac:dyDescent="0.2">
      <c r="B67" s="4"/>
      <c r="I67" s="25"/>
    </row>
    <row r="68" spans="2:16" x14ac:dyDescent="0.2">
      <c r="B68" s="4"/>
      <c r="E68" s="579" t="s">
        <v>4114</v>
      </c>
      <c r="F68" t="s">
        <v>899</v>
      </c>
      <c r="I68" s="25"/>
      <c r="M68" s="61">
        <f>H52</f>
        <v>20000</v>
      </c>
      <c r="O68" s="61"/>
    </row>
    <row r="69" spans="2:16" x14ac:dyDescent="0.2">
      <c r="B69" s="4"/>
      <c r="E69" s="579"/>
      <c r="F69" t="s">
        <v>988</v>
      </c>
      <c r="I69" s="25"/>
      <c r="M69" s="61">
        <f t="shared" ref="M69:M76" si="1">H53</f>
        <v>2999</v>
      </c>
      <c r="O69" s="61"/>
    </row>
    <row r="70" spans="2:16" x14ac:dyDescent="0.2">
      <c r="B70" s="4"/>
      <c r="E70" s="579"/>
      <c r="F70" t="s">
        <v>989</v>
      </c>
      <c r="G70" s="579"/>
      <c r="I70" s="25"/>
      <c r="M70" s="61">
        <f t="shared" si="1"/>
        <v>0</v>
      </c>
      <c r="O70" s="61"/>
    </row>
    <row r="71" spans="2:16" x14ac:dyDescent="0.2">
      <c r="B71" s="4"/>
      <c r="F71" t="s">
        <v>815</v>
      </c>
      <c r="I71" s="25"/>
      <c r="M71" s="61">
        <f t="shared" si="1"/>
        <v>0</v>
      </c>
      <c r="O71" s="61"/>
    </row>
    <row r="72" spans="2:16" x14ac:dyDescent="0.2">
      <c r="B72" s="4"/>
      <c r="F72" t="s">
        <v>183</v>
      </c>
      <c r="I72" s="25"/>
      <c r="M72" s="61">
        <f t="shared" si="1"/>
        <v>0</v>
      </c>
      <c r="O72" s="61"/>
    </row>
    <row r="73" spans="2:16" x14ac:dyDescent="0.2">
      <c r="B73" s="4"/>
      <c r="F73" t="s">
        <v>130</v>
      </c>
      <c r="I73" s="25"/>
      <c r="M73" s="61">
        <f t="shared" si="1"/>
        <v>0</v>
      </c>
      <c r="O73" s="61"/>
    </row>
    <row r="74" spans="2:16" x14ac:dyDescent="0.2">
      <c r="B74" s="4"/>
      <c r="F74" t="s">
        <v>131</v>
      </c>
      <c r="I74" s="25"/>
      <c r="M74" s="61">
        <f t="shared" si="1"/>
        <v>0</v>
      </c>
      <c r="O74" s="61"/>
    </row>
    <row r="75" spans="2:16" x14ac:dyDescent="0.2">
      <c r="B75" s="4"/>
      <c r="F75" t="s">
        <v>266</v>
      </c>
      <c r="I75" s="25"/>
      <c r="M75" s="61">
        <f t="shared" si="1"/>
        <v>0</v>
      </c>
      <c r="O75" s="61"/>
    </row>
    <row r="76" spans="2:16" x14ac:dyDescent="0.2">
      <c r="B76" s="4"/>
      <c r="F76" s="280" t="s">
        <v>172</v>
      </c>
      <c r="I76" s="25"/>
      <c r="M76" s="61">
        <f t="shared" si="1"/>
        <v>0</v>
      </c>
      <c r="O76" s="61"/>
    </row>
    <row r="77" spans="2:16" x14ac:dyDescent="0.2">
      <c r="B77" s="4"/>
      <c r="G77" s="579" t="s">
        <v>4188</v>
      </c>
      <c r="I77" s="25"/>
      <c r="M77" s="61"/>
      <c r="O77" s="61">
        <f>H61</f>
        <v>22999</v>
      </c>
    </row>
    <row r="78" spans="2:16" x14ac:dyDescent="0.2">
      <c r="B78" s="4"/>
      <c r="I78" s="25"/>
      <c r="M78" s="61"/>
      <c r="O78" s="61"/>
    </row>
    <row r="79" spans="2:16" x14ac:dyDescent="0.2">
      <c r="B79" s="4"/>
      <c r="D79" s="32"/>
      <c r="G79" s="280"/>
      <c r="I79" s="25"/>
      <c r="M79" s="57"/>
      <c r="O79" s="11"/>
    </row>
    <row r="80" spans="2:16" ht="13.5" thickBot="1" x14ac:dyDescent="0.25">
      <c r="B80" s="4"/>
      <c r="I80" s="25"/>
      <c r="M80" s="54">
        <f>SUM(M68:M78)</f>
        <v>22999</v>
      </c>
      <c r="O80" s="54">
        <f>SUM(O68:O79)</f>
        <v>22999</v>
      </c>
    </row>
    <row r="81" ht="13.5" thickTop="1" x14ac:dyDescent="0.2"/>
  </sheetData>
  <customSheetViews>
    <customSheetView guid="{D2B860EA-92EC-4999-9A59-C624E1F8C7FB}">
      <selection activeCell="F77" sqref="F77"/>
      <pageMargins left="0.7" right="0.7" top="0.75" bottom="0.75" header="0.3" footer="0.3"/>
      <pageSetup orientation="portrait" r:id="rId1"/>
    </customSheetView>
    <customSheetView guid="{C1197650-3ED8-49E4-8E4C-0D1D4B503FC0}" topLeftCell="A25">
      <selection activeCell="F77" sqref="F77"/>
      <pageMargins left="0.7" right="0.7" top="0.75" bottom="0.75" header="0.3" footer="0.3"/>
      <pageSetup orientation="portrait" r:id="rId2"/>
    </customSheetView>
  </customSheetViews>
  <mergeCells count="9">
    <mergeCell ref="C46:J46"/>
    <mergeCell ref="C48:I48"/>
    <mergeCell ref="C65:P65"/>
    <mergeCell ref="B2:Q2"/>
    <mergeCell ref="C4:Q4"/>
    <mergeCell ref="C6:Q6"/>
    <mergeCell ref="C8:Q8"/>
    <mergeCell ref="C11:Q11"/>
    <mergeCell ref="C28:P28"/>
  </mergeCells>
  <pageMargins left="0.7" right="0.7" top="0.75" bottom="0.75" header="0.3" footer="0.3"/>
  <pageSetup orientation="portrait"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13C7-3C83-4A3C-A8B2-D02D3431E68A}">
  <dimension ref="B2:Q81"/>
  <sheetViews>
    <sheetView topLeftCell="A14" workbookViewId="0"/>
  </sheetViews>
  <sheetFormatPr defaultColWidth="9.140625" defaultRowHeight="12.75" x14ac:dyDescent="0.2"/>
  <cols>
    <col min="8" max="8" width="12.85546875" customWidth="1"/>
    <col min="10" max="10" width="13.85546875" customWidth="1"/>
  </cols>
  <sheetData>
    <row r="2" spans="2:17" ht="66" customHeight="1" x14ac:dyDescent="0.25">
      <c r="B2" s="1103" t="s">
        <v>4148</v>
      </c>
      <c r="C2" s="1104"/>
      <c r="D2" s="1104"/>
      <c r="E2" s="1104"/>
      <c r="F2" s="1104"/>
      <c r="G2" s="1104"/>
      <c r="H2" s="1104"/>
      <c r="I2" s="1104"/>
      <c r="J2" s="1104"/>
      <c r="K2" s="1104"/>
      <c r="L2" s="1104"/>
      <c r="M2" s="1104"/>
      <c r="N2" s="1104"/>
      <c r="O2" s="1104"/>
      <c r="P2" s="1104"/>
      <c r="Q2" s="1105"/>
    </row>
    <row r="3" spans="2:17" x14ac:dyDescent="0.2">
      <c r="B3" s="4"/>
      <c r="I3" s="25"/>
    </row>
    <row r="4" spans="2:17" ht="30" customHeight="1" x14ac:dyDescent="0.2">
      <c r="B4" s="4"/>
      <c r="C4" s="1029" t="s">
        <v>4149</v>
      </c>
      <c r="D4" s="1019"/>
      <c r="E4" s="1019"/>
      <c r="F4" s="1019"/>
      <c r="G4" s="1019"/>
      <c r="H4" s="1019"/>
      <c r="I4" s="1019"/>
      <c r="J4" s="1019"/>
      <c r="K4" s="1019"/>
      <c r="L4" s="1019"/>
      <c r="M4" s="1019"/>
      <c r="N4" s="1019"/>
      <c r="O4" s="1019"/>
      <c r="P4" s="1019"/>
      <c r="Q4" s="1019"/>
    </row>
    <row r="5" spans="2:17" x14ac:dyDescent="0.2">
      <c r="B5" s="4"/>
      <c r="I5" s="25"/>
    </row>
    <row r="6" spans="2:17" ht="44.25" customHeight="1" x14ac:dyDescent="0.2">
      <c r="B6" s="4"/>
      <c r="C6" s="1029" t="s">
        <v>4150</v>
      </c>
      <c r="D6" s="1019"/>
      <c r="E6" s="1019"/>
      <c r="F6" s="1019"/>
      <c r="G6" s="1019"/>
      <c r="H6" s="1019"/>
      <c r="I6" s="1019"/>
      <c r="J6" s="1019"/>
      <c r="K6" s="1019"/>
      <c r="L6" s="1019"/>
      <c r="M6" s="1019"/>
      <c r="N6" s="1019"/>
      <c r="O6" s="1019"/>
      <c r="P6" s="1019"/>
      <c r="Q6" s="1019"/>
    </row>
    <row r="7" spans="2:17" x14ac:dyDescent="0.2">
      <c r="B7" s="4"/>
      <c r="I7" s="25"/>
    </row>
    <row r="8" spans="2:17" ht="24.75" customHeight="1" x14ac:dyDescent="0.2">
      <c r="B8" s="4"/>
      <c r="C8" s="1021" t="s">
        <v>4151</v>
      </c>
      <c r="D8" s="1022"/>
      <c r="E8" s="1022"/>
      <c r="F8" s="1022"/>
      <c r="G8" s="1022"/>
      <c r="H8" s="1022"/>
      <c r="I8" s="1022"/>
      <c r="J8" s="1022"/>
      <c r="K8" s="1022"/>
      <c r="L8" s="1022"/>
      <c r="M8" s="1022"/>
      <c r="N8" s="1022"/>
      <c r="O8" s="1022"/>
      <c r="P8" s="1022"/>
      <c r="Q8" s="1022"/>
    </row>
    <row r="9" spans="2:17" x14ac:dyDescent="0.2">
      <c r="B9" s="4"/>
      <c r="I9" s="25"/>
    </row>
    <row r="10" spans="2:17" x14ac:dyDescent="0.2">
      <c r="B10" s="4"/>
      <c r="I10" s="25"/>
    </row>
    <row r="11" spans="2:17" ht="29.25" customHeight="1" x14ac:dyDescent="0.2">
      <c r="B11" s="4" t="s">
        <v>539</v>
      </c>
      <c r="C11" s="1100" t="s">
        <v>4152</v>
      </c>
      <c r="D11" s="1110"/>
      <c r="E11" s="1110"/>
      <c r="F11" s="1110"/>
      <c r="G11" s="1110"/>
      <c r="H11" s="1110"/>
      <c r="I11" s="1110"/>
      <c r="J11" s="1110"/>
      <c r="K11" s="1110"/>
      <c r="L11" s="1110"/>
      <c r="M11" s="1110"/>
      <c r="N11" s="1110"/>
      <c r="O11" s="1110"/>
      <c r="P11" s="1110"/>
      <c r="Q11" s="1111"/>
    </row>
    <row r="12" spans="2:17" x14ac:dyDescent="0.2">
      <c r="B12" s="4"/>
      <c r="C12" s="4"/>
      <c r="I12" s="34"/>
    </row>
    <row r="13" spans="2:17" x14ac:dyDescent="0.2">
      <c r="B13" s="4"/>
      <c r="H13" s="3" t="s">
        <v>506</v>
      </c>
    </row>
    <row r="14" spans="2:17" x14ac:dyDescent="0.2">
      <c r="B14" s="4"/>
    </row>
    <row r="15" spans="2:17" x14ac:dyDescent="0.2">
      <c r="B15" s="4"/>
      <c r="D15" t="s">
        <v>899</v>
      </c>
      <c r="H15" s="287">
        <v>48781</v>
      </c>
    </row>
    <row r="16" spans="2:17" x14ac:dyDescent="0.2">
      <c r="B16" s="4"/>
      <c r="D16" t="s">
        <v>988</v>
      </c>
      <c r="H16" s="287"/>
    </row>
    <row r="17" spans="2:17" x14ac:dyDescent="0.2">
      <c r="B17" s="4"/>
      <c r="D17" t="s">
        <v>989</v>
      </c>
      <c r="H17" s="287"/>
    </row>
    <row r="18" spans="2:17" x14ac:dyDescent="0.2">
      <c r="B18" s="4"/>
      <c r="D18" t="s">
        <v>816</v>
      </c>
      <c r="H18" s="287"/>
    </row>
    <row r="19" spans="2:17" x14ac:dyDescent="0.2">
      <c r="B19" s="4"/>
      <c r="D19" t="s">
        <v>805</v>
      </c>
      <c r="H19" s="287"/>
      <c r="K19" s="972"/>
      <c r="L19" s="972"/>
      <c r="M19" s="972"/>
      <c r="N19" s="972"/>
      <c r="O19" s="972"/>
      <c r="P19" s="972"/>
    </row>
    <row r="20" spans="2:17" x14ac:dyDescent="0.2">
      <c r="B20" s="4"/>
      <c r="D20" t="s">
        <v>267</v>
      </c>
      <c r="H20" s="285"/>
      <c r="K20" s="972"/>
      <c r="L20" s="972"/>
      <c r="M20" s="972"/>
      <c r="N20" s="972"/>
      <c r="O20" s="972"/>
      <c r="P20" s="972"/>
    </row>
    <row r="21" spans="2:17" x14ac:dyDescent="0.2">
      <c r="B21" s="4"/>
      <c r="D21" t="s">
        <v>892</v>
      </c>
      <c r="H21" s="285"/>
      <c r="K21" s="972"/>
      <c r="L21" s="972"/>
      <c r="M21" s="972"/>
      <c r="N21" s="972"/>
      <c r="O21" s="972"/>
      <c r="P21" s="972"/>
    </row>
    <row r="22" spans="2:17" x14ac:dyDescent="0.2">
      <c r="B22" s="4"/>
      <c r="D22" t="s">
        <v>726</v>
      </c>
      <c r="H22" s="285">
        <v>0</v>
      </c>
      <c r="K22" t="s">
        <v>4108</v>
      </c>
    </row>
    <row r="23" spans="2:17" x14ac:dyDescent="0.2">
      <c r="B23" s="4"/>
      <c r="D23" s="280" t="s">
        <v>373</v>
      </c>
      <c r="H23" s="296">
        <v>0</v>
      </c>
    </row>
    <row r="24" spans="2:17" ht="13.5" thickBot="1" x14ac:dyDescent="0.25">
      <c r="B24" s="4"/>
      <c r="H24" s="64">
        <f>SUM(H15:H23)</f>
        <v>48781</v>
      </c>
    </row>
    <row r="25" spans="2:17" ht="13.5" thickTop="1" x14ac:dyDescent="0.2">
      <c r="B25" s="4"/>
    </row>
    <row r="26" spans="2:17" x14ac:dyDescent="0.2">
      <c r="B26" s="4"/>
    </row>
    <row r="27" spans="2:17" x14ac:dyDescent="0.2">
      <c r="B27" s="4"/>
      <c r="H27" s="5"/>
      <c r="I27" s="35"/>
      <c r="J27" s="35"/>
      <c r="K27" s="35"/>
      <c r="L27" s="35"/>
      <c r="M27" s="35"/>
      <c r="O27" s="35"/>
    </row>
    <row r="28" spans="2:17" x14ac:dyDescent="0.2">
      <c r="B28" s="4" t="s">
        <v>801</v>
      </c>
      <c r="C28" s="1097" t="s">
        <v>4173</v>
      </c>
      <c r="D28" s="1098"/>
      <c r="E28" s="1098"/>
      <c r="F28" s="1098"/>
      <c r="G28" s="1098"/>
      <c r="H28" s="1098"/>
      <c r="I28" s="1098"/>
      <c r="J28" s="1098"/>
      <c r="K28" s="1098"/>
      <c r="L28" s="1098"/>
      <c r="M28" s="1098"/>
      <c r="N28" s="1098"/>
      <c r="O28" s="1098"/>
      <c r="P28" s="1099"/>
      <c r="Q28" s="4"/>
    </row>
    <row r="29" spans="2:17" x14ac:dyDescent="0.2">
      <c r="B29" s="4"/>
      <c r="I29" s="25"/>
      <c r="M29" s="36" t="s">
        <v>509</v>
      </c>
      <c r="N29" s="33"/>
      <c r="O29" s="36" t="s">
        <v>510</v>
      </c>
    </row>
    <row r="30" spans="2:17" x14ac:dyDescent="0.2">
      <c r="B30" s="4"/>
      <c r="I30" s="25"/>
    </row>
    <row r="31" spans="2:17" x14ac:dyDescent="0.2">
      <c r="B31" s="4"/>
      <c r="E31" s="579" t="s">
        <v>4126</v>
      </c>
      <c r="F31" s="579" t="s">
        <v>4189</v>
      </c>
      <c r="I31" s="25"/>
      <c r="M31" s="61">
        <f>H24</f>
        <v>48781</v>
      </c>
      <c r="O31" s="61"/>
    </row>
    <row r="32" spans="2:17" x14ac:dyDescent="0.2">
      <c r="B32" s="4"/>
      <c r="G32" t="s">
        <v>899</v>
      </c>
      <c r="I32" s="25"/>
      <c r="M32" s="61"/>
      <c r="O32" s="61">
        <f t="shared" ref="O32:O40" si="0">H15</f>
        <v>48781</v>
      </c>
    </row>
    <row r="33" spans="2:17" x14ac:dyDescent="0.2">
      <c r="B33" s="4"/>
      <c r="G33" t="s">
        <v>988</v>
      </c>
      <c r="I33" s="25"/>
      <c r="M33" s="61"/>
      <c r="O33" s="61">
        <f t="shared" si="0"/>
        <v>0</v>
      </c>
    </row>
    <row r="34" spans="2:17" x14ac:dyDescent="0.2">
      <c r="B34" s="4"/>
      <c r="G34" t="s">
        <v>989</v>
      </c>
      <c r="I34" s="25"/>
      <c r="M34" s="61"/>
      <c r="O34" s="61">
        <f t="shared" si="0"/>
        <v>0</v>
      </c>
    </row>
    <row r="35" spans="2:17" x14ac:dyDescent="0.2">
      <c r="B35" s="4"/>
      <c r="G35" t="s">
        <v>815</v>
      </c>
      <c r="I35" s="25"/>
      <c r="M35" s="61"/>
      <c r="O35" s="61">
        <f t="shared" si="0"/>
        <v>0</v>
      </c>
    </row>
    <row r="36" spans="2:17" x14ac:dyDescent="0.2">
      <c r="B36" s="4"/>
      <c r="G36" t="s">
        <v>183</v>
      </c>
      <c r="I36" s="25"/>
      <c r="M36" s="61"/>
      <c r="O36" s="61">
        <f t="shared" si="0"/>
        <v>0</v>
      </c>
    </row>
    <row r="37" spans="2:17" x14ac:dyDescent="0.2">
      <c r="B37" s="4"/>
      <c r="G37" t="s">
        <v>130</v>
      </c>
      <c r="I37" s="25"/>
      <c r="M37" s="61"/>
      <c r="O37" s="61">
        <f t="shared" si="0"/>
        <v>0</v>
      </c>
    </row>
    <row r="38" spans="2:17" x14ac:dyDescent="0.2">
      <c r="B38" s="4"/>
      <c r="G38" t="s">
        <v>131</v>
      </c>
      <c r="I38" s="25"/>
      <c r="M38" s="61"/>
      <c r="O38" s="61">
        <f t="shared" si="0"/>
        <v>0</v>
      </c>
    </row>
    <row r="39" spans="2:17" x14ac:dyDescent="0.2">
      <c r="B39" s="4"/>
      <c r="G39" t="s">
        <v>726</v>
      </c>
      <c r="I39" s="25"/>
      <c r="M39" s="61"/>
      <c r="O39" s="61">
        <f t="shared" si="0"/>
        <v>0</v>
      </c>
    </row>
    <row r="40" spans="2:17" x14ac:dyDescent="0.2">
      <c r="B40" s="4"/>
      <c r="D40" s="32"/>
      <c r="G40" s="280" t="s">
        <v>373</v>
      </c>
      <c r="I40" s="25"/>
      <c r="M40" s="57"/>
      <c r="O40" s="11">
        <f t="shared" si="0"/>
        <v>0</v>
      </c>
    </row>
    <row r="41" spans="2:17" ht="13.5" thickBot="1" x14ac:dyDescent="0.25">
      <c r="B41" s="4"/>
      <c r="I41" s="25"/>
      <c r="M41" s="54">
        <f>SUM(M31:M39)</f>
        <v>48781</v>
      </c>
      <c r="O41" s="54">
        <f>SUM(O31:O40)</f>
        <v>48781</v>
      </c>
    </row>
    <row r="42" spans="2:17" ht="13.5" thickTop="1" x14ac:dyDescent="0.2">
      <c r="B42" s="4"/>
      <c r="I42" s="25"/>
    </row>
    <row r="46" spans="2:17" x14ac:dyDescent="0.2">
      <c r="B46" s="4" t="s">
        <v>807</v>
      </c>
      <c r="C46" s="1284" t="s">
        <v>4153</v>
      </c>
      <c r="D46" s="1285"/>
      <c r="E46" s="1285"/>
      <c r="F46" s="1285"/>
      <c r="G46" s="1285"/>
      <c r="H46" s="1285"/>
      <c r="I46" s="1285"/>
      <c r="J46" s="1286"/>
    </row>
    <row r="47" spans="2:17" ht="15" x14ac:dyDescent="0.25">
      <c r="C47" s="981"/>
      <c r="D47" s="981"/>
      <c r="E47" s="981"/>
    </row>
    <row r="48" spans="2:17" ht="27.75" customHeight="1" x14ac:dyDescent="0.2">
      <c r="C48" s="1021" t="s">
        <v>4154</v>
      </c>
      <c r="D48" s="1021"/>
      <c r="E48" s="1021"/>
      <c r="F48" s="1021"/>
      <c r="G48" s="1021"/>
      <c r="H48" s="1021"/>
      <c r="I48" s="1021"/>
      <c r="J48" s="972"/>
      <c r="K48" s="972"/>
      <c r="L48" s="972"/>
      <c r="M48" s="972"/>
      <c r="N48" s="972"/>
      <c r="O48" s="972"/>
      <c r="P48" s="972"/>
      <c r="Q48" s="972"/>
    </row>
    <row r="49" spans="3:16" x14ac:dyDescent="0.2">
      <c r="C49" s="4"/>
      <c r="I49" s="34"/>
    </row>
    <row r="50" spans="3:16" ht="12.75" customHeight="1" x14ac:dyDescent="0.2">
      <c r="H50" s="3" t="s">
        <v>506</v>
      </c>
    </row>
    <row r="52" spans="3:16" x14ac:dyDescent="0.2">
      <c r="D52" t="s">
        <v>899</v>
      </c>
      <c r="H52" s="287">
        <v>21535</v>
      </c>
    </row>
    <row r="53" spans="3:16" x14ac:dyDescent="0.2">
      <c r="D53" t="s">
        <v>988</v>
      </c>
      <c r="H53" s="287"/>
    </row>
    <row r="54" spans="3:16" x14ac:dyDescent="0.2">
      <c r="D54" t="s">
        <v>989</v>
      </c>
      <c r="H54" s="287"/>
    </row>
    <row r="55" spans="3:16" x14ac:dyDescent="0.2">
      <c r="D55" t="s">
        <v>816</v>
      </c>
      <c r="H55" s="287"/>
    </row>
    <row r="56" spans="3:16" x14ac:dyDescent="0.2">
      <c r="D56" t="s">
        <v>805</v>
      </c>
      <c r="H56" s="287"/>
      <c r="K56" s="972"/>
      <c r="L56" s="972"/>
      <c r="M56" s="972"/>
      <c r="N56" s="972"/>
      <c r="O56" s="972"/>
      <c r="P56" s="972"/>
    </row>
    <row r="57" spans="3:16" x14ac:dyDescent="0.2">
      <c r="D57" t="s">
        <v>267</v>
      </c>
      <c r="H57" s="285"/>
      <c r="K57" s="972"/>
      <c r="L57" s="972"/>
      <c r="M57" s="972"/>
      <c r="N57" s="972"/>
      <c r="O57" s="972"/>
      <c r="P57" s="972"/>
    </row>
    <row r="58" spans="3:16" x14ac:dyDescent="0.2">
      <c r="D58" t="s">
        <v>892</v>
      </c>
      <c r="H58" s="285"/>
      <c r="K58" s="972"/>
      <c r="L58" s="972"/>
      <c r="M58" s="972"/>
      <c r="N58" s="972"/>
      <c r="O58" s="972"/>
      <c r="P58" s="972"/>
    </row>
    <row r="59" spans="3:16" x14ac:dyDescent="0.2">
      <c r="D59" t="s">
        <v>726</v>
      </c>
      <c r="H59" s="285">
        <v>0</v>
      </c>
      <c r="K59" t="s">
        <v>4108</v>
      </c>
    </row>
    <row r="60" spans="3:16" x14ac:dyDescent="0.2">
      <c r="D60" s="280" t="s">
        <v>373</v>
      </c>
      <c r="H60" s="296">
        <v>0</v>
      </c>
    </row>
    <row r="61" spans="3:16" ht="13.5" thickBot="1" x14ac:dyDescent="0.25">
      <c r="H61" s="64">
        <f>SUM(H52:H60)</f>
        <v>21535</v>
      </c>
    </row>
    <row r="62" spans="3:16" ht="13.5" thickTop="1" x14ac:dyDescent="0.2"/>
    <row r="63" spans="3:16" ht="15" x14ac:dyDescent="0.2">
      <c r="C63" s="982"/>
      <c r="D63" s="982"/>
      <c r="J63" s="982"/>
    </row>
    <row r="65" spans="2:16" x14ac:dyDescent="0.2">
      <c r="B65" s="4" t="s">
        <v>801</v>
      </c>
      <c r="C65" s="1097" t="s">
        <v>4174</v>
      </c>
      <c r="D65" s="1098"/>
      <c r="E65" s="1098"/>
      <c r="F65" s="1098"/>
      <c r="G65" s="1098"/>
      <c r="H65" s="1098"/>
      <c r="I65" s="1098"/>
      <c r="J65" s="1098"/>
      <c r="K65" s="1098"/>
      <c r="L65" s="1098"/>
      <c r="M65" s="1098"/>
      <c r="N65" s="1098"/>
      <c r="O65" s="1098"/>
      <c r="P65" s="1099"/>
    </row>
    <row r="66" spans="2:16" x14ac:dyDescent="0.2">
      <c r="B66" s="4"/>
      <c r="I66" s="25"/>
      <c r="M66" s="36" t="s">
        <v>509</v>
      </c>
      <c r="N66" s="33"/>
      <c r="O66" s="36" t="s">
        <v>510</v>
      </c>
    </row>
    <row r="67" spans="2:16" x14ac:dyDescent="0.2">
      <c r="B67" s="4"/>
      <c r="I67" s="25"/>
    </row>
    <row r="68" spans="2:16" x14ac:dyDescent="0.2">
      <c r="B68" s="4"/>
      <c r="E68" s="579" t="s">
        <v>4127</v>
      </c>
      <c r="F68" t="s">
        <v>899</v>
      </c>
      <c r="I68" s="25"/>
      <c r="M68" s="61">
        <f>H52</f>
        <v>21535</v>
      </c>
      <c r="O68" s="61"/>
    </row>
    <row r="69" spans="2:16" x14ac:dyDescent="0.2">
      <c r="B69" s="4"/>
      <c r="E69" s="579"/>
      <c r="F69" t="s">
        <v>988</v>
      </c>
      <c r="I69" s="25"/>
      <c r="M69" s="61">
        <f t="shared" ref="M69:M76" si="1">H53</f>
        <v>0</v>
      </c>
      <c r="O69" s="61"/>
    </row>
    <row r="70" spans="2:16" x14ac:dyDescent="0.2">
      <c r="B70" s="4"/>
      <c r="E70" s="579"/>
      <c r="F70" t="s">
        <v>989</v>
      </c>
      <c r="G70" s="579"/>
      <c r="I70" s="25"/>
      <c r="M70" s="61">
        <f t="shared" si="1"/>
        <v>0</v>
      </c>
      <c r="O70" s="61"/>
    </row>
    <row r="71" spans="2:16" x14ac:dyDescent="0.2">
      <c r="B71" s="4"/>
      <c r="F71" t="s">
        <v>815</v>
      </c>
      <c r="I71" s="25"/>
      <c r="M71" s="61">
        <f t="shared" si="1"/>
        <v>0</v>
      </c>
      <c r="O71" s="61"/>
    </row>
    <row r="72" spans="2:16" x14ac:dyDescent="0.2">
      <c r="B72" s="4"/>
      <c r="F72" t="s">
        <v>183</v>
      </c>
      <c r="I72" s="25"/>
      <c r="M72" s="61">
        <f t="shared" si="1"/>
        <v>0</v>
      </c>
      <c r="O72" s="61"/>
    </row>
    <row r="73" spans="2:16" x14ac:dyDescent="0.2">
      <c r="B73" s="4"/>
      <c r="F73" t="s">
        <v>130</v>
      </c>
      <c r="I73" s="25"/>
      <c r="M73" s="61">
        <f t="shared" si="1"/>
        <v>0</v>
      </c>
      <c r="O73" s="61"/>
    </row>
    <row r="74" spans="2:16" x14ac:dyDescent="0.2">
      <c r="B74" s="4"/>
      <c r="F74" t="s">
        <v>131</v>
      </c>
      <c r="I74" s="25"/>
      <c r="M74" s="61">
        <f t="shared" si="1"/>
        <v>0</v>
      </c>
      <c r="O74" s="61"/>
    </row>
    <row r="75" spans="2:16" x14ac:dyDescent="0.2">
      <c r="B75" s="4"/>
      <c r="F75" t="s">
        <v>726</v>
      </c>
      <c r="I75" s="25"/>
      <c r="M75" s="61">
        <f t="shared" si="1"/>
        <v>0</v>
      </c>
      <c r="O75" s="61"/>
    </row>
    <row r="76" spans="2:16" x14ac:dyDescent="0.2">
      <c r="B76" s="4"/>
      <c r="F76" s="280" t="s">
        <v>373</v>
      </c>
      <c r="I76" s="25"/>
      <c r="M76" s="61">
        <f t="shared" si="1"/>
        <v>0</v>
      </c>
      <c r="O76" s="61"/>
    </row>
    <row r="77" spans="2:16" x14ac:dyDescent="0.2">
      <c r="B77" s="4"/>
      <c r="G77" s="579" t="s">
        <v>4186</v>
      </c>
      <c r="I77" s="25"/>
      <c r="M77" s="61"/>
      <c r="O77" s="61">
        <f>H61</f>
        <v>21535</v>
      </c>
    </row>
    <row r="78" spans="2:16" x14ac:dyDescent="0.2">
      <c r="B78" s="4"/>
      <c r="I78" s="25"/>
      <c r="M78" s="61"/>
      <c r="O78" s="61"/>
    </row>
    <row r="79" spans="2:16" x14ac:dyDescent="0.2">
      <c r="B79" s="4"/>
      <c r="D79" s="32"/>
      <c r="G79" s="280"/>
      <c r="I79" s="25"/>
      <c r="M79" s="57"/>
      <c r="O79" s="11"/>
    </row>
    <row r="80" spans="2:16" ht="13.5" thickBot="1" x14ac:dyDescent="0.25">
      <c r="B80" s="4"/>
      <c r="I80" s="25"/>
      <c r="M80" s="54">
        <f>SUM(M68:M78)</f>
        <v>21535</v>
      </c>
      <c r="O80" s="54">
        <f>SUM(O68:O79)</f>
        <v>21535</v>
      </c>
    </row>
    <row r="81" ht="13.5" thickTop="1" x14ac:dyDescent="0.2"/>
  </sheetData>
  <mergeCells count="9">
    <mergeCell ref="C46:J46"/>
    <mergeCell ref="C48:I48"/>
    <mergeCell ref="C65:P65"/>
    <mergeCell ref="B2:Q2"/>
    <mergeCell ref="C4:Q4"/>
    <mergeCell ref="C6:Q6"/>
    <mergeCell ref="C8:Q8"/>
    <mergeCell ref="C11:Q11"/>
    <mergeCell ref="C28:P2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1"/>
  <sheetViews>
    <sheetView workbookViewId="0"/>
  </sheetViews>
  <sheetFormatPr defaultColWidth="9.140625" defaultRowHeight="15" x14ac:dyDescent="0.25"/>
  <cols>
    <col min="1" max="1" width="62.7109375" style="854" customWidth="1"/>
    <col min="2" max="2" width="27.5703125" style="853" bestFit="1" customWidth="1"/>
    <col min="3" max="3" width="10.5703125" style="854" bestFit="1" customWidth="1"/>
    <col min="4" max="4" width="14.140625" style="854" customWidth="1"/>
    <col min="5" max="5" width="14.28515625" style="854" bestFit="1" customWidth="1"/>
    <col min="6" max="6" width="12.140625" style="854" bestFit="1" customWidth="1"/>
    <col min="7" max="7" width="9.140625" style="854"/>
    <col min="8" max="8" width="18" style="854" bestFit="1" customWidth="1"/>
    <col min="9" max="9" width="0" style="854" hidden="1" customWidth="1"/>
    <col min="10" max="16384" width="9.140625" style="854"/>
  </cols>
  <sheetData>
    <row r="1" spans="1:8" x14ac:dyDescent="0.25">
      <c r="A1" s="852"/>
    </row>
    <row r="2" spans="1:8" hidden="1" x14ac:dyDescent="0.25">
      <c r="A2" s="854" t="s">
        <v>3976</v>
      </c>
      <c r="B2" s="853">
        <v>1640551</v>
      </c>
      <c r="C2" s="854" t="s">
        <v>3977</v>
      </c>
    </row>
    <row r="3" spans="1:8" hidden="1" x14ac:dyDescent="0.25">
      <c r="B3" s="853">
        <f>4251807*C7</f>
        <v>212590</v>
      </c>
      <c r="E3" s="855">
        <v>5.0000000000000002E-5</v>
      </c>
    </row>
    <row r="4" spans="1:8" hidden="1" x14ac:dyDescent="0.25">
      <c r="E4" s="855"/>
      <c r="H4" s="853"/>
    </row>
    <row r="5" spans="1:8" x14ac:dyDescent="0.25">
      <c r="B5" s="1287" t="s">
        <v>3978</v>
      </c>
      <c r="C5" s="1287"/>
      <c r="D5" s="1287"/>
      <c r="E5" s="1287"/>
      <c r="H5" s="853"/>
    </row>
    <row r="6" spans="1:8" x14ac:dyDescent="0.25">
      <c r="B6" s="853" t="s">
        <v>3979</v>
      </c>
      <c r="C6" s="854">
        <v>2.3223349021710099E-3</v>
      </c>
      <c r="D6" s="854" t="s">
        <v>3980</v>
      </c>
      <c r="E6" s="855"/>
      <c r="H6" s="853"/>
    </row>
    <row r="7" spans="1:8" x14ac:dyDescent="0.25">
      <c r="B7" s="853" t="s">
        <v>3981</v>
      </c>
      <c r="C7" s="854">
        <f>0.05</f>
        <v>0.05</v>
      </c>
      <c r="E7" s="570"/>
      <c r="H7" s="853"/>
    </row>
    <row r="8" spans="1:8" x14ac:dyDescent="0.25">
      <c r="B8" s="853" t="s">
        <v>3981</v>
      </c>
      <c r="C8" s="854">
        <v>0.45</v>
      </c>
      <c r="E8" s="855"/>
      <c r="H8" s="853"/>
    </row>
    <row r="9" spans="1:8" x14ac:dyDescent="0.25">
      <c r="A9" s="856" t="s">
        <v>4004</v>
      </c>
      <c r="B9" s="857"/>
    </row>
    <row r="10" spans="1:8" x14ac:dyDescent="0.25">
      <c r="A10" s="856" t="s">
        <v>3982</v>
      </c>
      <c r="B10" s="857"/>
    </row>
    <row r="11" spans="1:8" x14ac:dyDescent="0.25">
      <c r="A11" s="858" t="s">
        <v>3983</v>
      </c>
      <c r="B11" s="857">
        <f>1730233169*C7*C6</f>
        <v>200909</v>
      </c>
    </row>
    <row r="12" spans="1:8" x14ac:dyDescent="0.25">
      <c r="A12" s="858" t="s">
        <v>3984</v>
      </c>
      <c r="B12" s="857">
        <f>1349102482*C6*C7*C8*8</f>
        <v>563952</v>
      </c>
    </row>
    <row r="13" spans="1:8" x14ac:dyDescent="0.25">
      <c r="A13" s="858" t="s">
        <v>3985</v>
      </c>
      <c r="B13" s="857">
        <f>-482796535*C6*C7</f>
        <v>-56061</v>
      </c>
      <c r="E13" s="859"/>
    </row>
    <row r="14" spans="1:8" x14ac:dyDescent="0.25">
      <c r="A14" s="858" t="s">
        <v>3986</v>
      </c>
      <c r="B14" s="857">
        <f>-119874189*C6*C7*C8</f>
        <v>-6264</v>
      </c>
      <c r="E14" s="860"/>
    </row>
    <row r="15" spans="1:8" x14ac:dyDescent="0.25">
      <c r="A15" s="858" t="s">
        <v>3987</v>
      </c>
      <c r="B15" s="857">
        <f>8760448396*C7*C8*C6</f>
        <v>457756</v>
      </c>
      <c r="E15" s="860"/>
    </row>
    <row r="16" spans="1:8" x14ac:dyDescent="0.25">
      <c r="A16" s="858" t="s">
        <v>3988</v>
      </c>
      <c r="B16" s="857">
        <f>-864083622*$C$6*$C$8*0.086*10</f>
        <v>-776590</v>
      </c>
    </row>
    <row r="17" spans="1:9" x14ac:dyDescent="0.25">
      <c r="A17" s="856" t="s">
        <v>3989</v>
      </c>
      <c r="B17" s="857">
        <f>SUM(B11:B16)</f>
        <v>383702</v>
      </c>
    </row>
    <row r="18" spans="1:9" x14ac:dyDescent="0.25">
      <c r="A18" s="856" t="s">
        <v>3990</v>
      </c>
      <c r="B18" s="857">
        <f>34204505523*C6*C7*C8</f>
        <v>1787272</v>
      </c>
    </row>
    <row r="19" spans="1:9" x14ac:dyDescent="0.25">
      <c r="A19" s="856" t="s">
        <v>3991</v>
      </c>
      <c r="B19" s="857">
        <f>SUM(B17:B18)</f>
        <v>2170974</v>
      </c>
    </row>
    <row r="20" spans="1:9" x14ac:dyDescent="0.25">
      <c r="A20" s="858"/>
      <c r="B20" s="857"/>
    </row>
    <row r="21" spans="1:9" x14ac:dyDescent="0.25">
      <c r="A21" s="856" t="s">
        <v>3992</v>
      </c>
      <c r="B21" s="857"/>
    </row>
    <row r="22" spans="1:9" x14ac:dyDescent="0.25">
      <c r="A22" s="858" t="s">
        <v>3993</v>
      </c>
      <c r="B22" s="857">
        <f>880612500*C6*C8</f>
        <v>920285</v>
      </c>
    </row>
    <row r="23" spans="1:9" x14ac:dyDescent="0.25">
      <c r="A23" s="858" t="s">
        <v>3994</v>
      </c>
      <c r="B23" s="857">
        <f>7878692*C8*C6</f>
        <v>8234</v>
      </c>
    </row>
    <row r="24" spans="1:9" x14ac:dyDescent="0.25">
      <c r="A24" s="858" t="s">
        <v>3995</v>
      </c>
      <c r="B24" s="857">
        <f>B16</f>
        <v>-776590</v>
      </c>
    </row>
    <row r="25" spans="1:9" x14ac:dyDescent="0.25">
      <c r="A25" s="858" t="s">
        <v>3996</v>
      </c>
      <c r="B25" s="857">
        <f>-518980*C6*0.15</f>
        <v>-181</v>
      </c>
    </row>
    <row r="26" spans="1:9" x14ac:dyDescent="0.25">
      <c r="A26" s="856" t="s">
        <v>3997</v>
      </c>
      <c r="B26" s="857">
        <f>SUM(B22:B25)</f>
        <v>151748</v>
      </c>
    </row>
    <row r="27" spans="1:9" x14ac:dyDescent="0.25">
      <c r="A27" s="856" t="s">
        <v>3998</v>
      </c>
      <c r="B27" s="857">
        <f>1050012433*C6*C7*C8*10</f>
        <v>548658</v>
      </c>
    </row>
    <row r="28" spans="1:9" x14ac:dyDescent="0.25">
      <c r="A28" s="856" t="s">
        <v>3999</v>
      </c>
      <c r="B28" s="857">
        <f>SUM(B26:B27)</f>
        <v>700406</v>
      </c>
    </row>
    <row r="29" spans="1:9" x14ac:dyDescent="0.25">
      <c r="A29" s="856"/>
      <c r="B29" s="857"/>
    </row>
    <row r="30" spans="1:9" x14ac:dyDescent="0.25">
      <c r="A30" s="856" t="s">
        <v>4000</v>
      </c>
      <c r="B30" s="857">
        <f>B19-B28</f>
        <v>1470568</v>
      </c>
    </row>
    <row r="31" spans="1:9" x14ac:dyDescent="0.25">
      <c r="A31" s="858"/>
      <c r="B31" s="857"/>
      <c r="I31" s="853">
        <f>ROUND(12184938*C6*C8*C7,0)</f>
        <v>637</v>
      </c>
    </row>
    <row r="32" spans="1:9" x14ac:dyDescent="0.25">
      <c r="A32" s="856" t="s">
        <v>4001</v>
      </c>
      <c r="B32" s="861">
        <f>B28/B19</f>
        <v>0.3226</v>
      </c>
    </row>
    <row r="33" spans="1:7" x14ac:dyDescent="0.25">
      <c r="A33" s="856" t="s">
        <v>4002</v>
      </c>
      <c r="B33" s="857">
        <v>12937340</v>
      </c>
    </row>
    <row r="34" spans="1:7" x14ac:dyDescent="0.25">
      <c r="A34" s="856" t="s">
        <v>4003</v>
      </c>
      <c r="B34" s="861">
        <f>B30/B33</f>
        <v>0.1137</v>
      </c>
    </row>
    <row r="36" spans="1:7" x14ac:dyDescent="0.25">
      <c r="A36" s="862">
        <v>2018</v>
      </c>
      <c r="B36" s="863"/>
      <c r="E36" s="1288" t="s">
        <v>4005</v>
      </c>
      <c r="F36" s="1289"/>
      <c r="G36" s="1289"/>
    </row>
    <row r="37" spans="1:7" x14ac:dyDescent="0.25">
      <c r="A37" s="864" t="s">
        <v>3982</v>
      </c>
      <c r="B37" s="863"/>
      <c r="D37" s="855"/>
      <c r="E37"/>
      <c r="F37" s="853">
        <f>11392332878*C6*C7*C8</f>
        <v>595278</v>
      </c>
    </row>
    <row r="38" spans="1:7" x14ac:dyDescent="0.25">
      <c r="A38" s="865" t="s">
        <v>3983</v>
      </c>
      <c r="B38" s="863">
        <f>2650983801*C6*C7</f>
        <v>307824</v>
      </c>
      <c r="C38" s="866"/>
      <c r="E38"/>
      <c r="F38"/>
    </row>
    <row r="39" spans="1:7" x14ac:dyDescent="0.25">
      <c r="A39" s="865" t="s">
        <v>3984</v>
      </c>
      <c r="B39" s="863">
        <f>1332873995*C6*C8*C7*8</f>
        <v>557168</v>
      </c>
      <c r="C39" s="866"/>
      <c r="D39" s="867"/>
      <c r="E39">
        <v>2019</v>
      </c>
      <c r="F39" s="853">
        <f>2279075824*$C$6*$C$7*$C$8</f>
        <v>119087</v>
      </c>
    </row>
    <row r="40" spans="1:7" x14ac:dyDescent="0.25">
      <c r="A40" s="865" t="s">
        <v>3985</v>
      </c>
      <c r="B40" s="863">
        <v>0</v>
      </c>
      <c r="C40" s="866"/>
      <c r="E40">
        <v>2020</v>
      </c>
      <c r="F40" s="853">
        <f>2279075824*$C$6*$C$7*$C$8</f>
        <v>119087</v>
      </c>
    </row>
    <row r="41" spans="1:7" x14ac:dyDescent="0.25">
      <c r="A41" s="865" t="s">
        <v>3986</v>
      </c>
      <c r="B41" s="863">
        <f>-2350861287*C7*C8*C6</f>
        <v>-122838</v>
      </c>
      <c r="C41" s="866"/>
      <c r="E41">
        <v>2021</v>
      </c>
      <c r="F41" s="853">
        <f>2279075824*$C$6*$C$7*$C$8</f>
        <v>119087</v>
      </c>
    </row>
    <row r="42" spans="1:7" x14ac:dyDescent="0.25">
      <c r="A42" s="865" t="s">
        <v>3987</v>
      </c>
      <c r="B42" s="863">
        <f>-9029286652*C8*C7*C6</f>
        <v>-471803</v>
      </c>
      <c r="C42" s="868"/>
      <c r="E42">
        <v>2022</v>
      </c>
      <c r="F42" s="853">
        <f>2279075824*$C$6*$C$7*$C$8</f>
        <v>119087</v>
      </c>
    </row>
    <row r="43" spans="1:7" x14ac:dyDescent="0.25">
      <c r="A43" s="865" t="s">
        <v>3988</v>
      </c>
      <c r="B43" s="869">
        <f>-9029286652*C6*C8*0.086</f>
        <v>-811501</v>
      </c>
      <c r="C43" s="868"/>
      <c r="E43">
        <v>2023</v>
      </c>
      <c r="F43" s="853">
        <f>2276029582*$C$6*$C$7*$C$8</f>
        <v>118928</v>
      </c>
    </row>
    <row r="44" spans="1:7" x14ac:dyDescent="0.25">
      <c r="A44" s="864" t="s">
        <v>3989</v>
      </c>
      <c r="B44" s="870">
        <f>SUM(B38:B43)</f>
        <v>-541150</v>
      </c>
      <c r="C44" s="871"/>
      <c r="D44" s="871"/>
    </row>
    <row r="45" spans="1:7" x14ac:dyDescent="0.25">
      <c r="A45" s="864" t="s">
        <v>3990</v>
      </c>
      <c r="B45" s="869">
        <f>B19</f>
        <v>2170974</v>
      </c>
      <c r="C45" s="868"/>
      <c r="D45" s="871"/>
    </row>
    <row r="46" spans="1:7" ht="15.75" thickBot="1" x14ac:dyDescent="0.3">
      <c r="A46" s="864" t="s">
        <v>3991</v>
      </c>
      <c r="B46" s="872">
        <f>B44+B45</f>
        <v>1629824</v>
      </c>
      <c r="C46" s="871"/>
      <c r="D46" s="871"/>
    </row>
    <row r="47" spans="1:7" ht="15.75" thickTop="1" x14ac:dyDescent="0.25">
      <c r="A47" s="865"/>
      <c r="B47" s="863"/>
      <c r="C47" s="868"/>
    </row>
    <row r="48" spans="1:7" x14ac:dyDescent="0.25">
      <c r="A48" s="864" t="s">
        <v>3992</v>
      </c>
      <c r="B48" s="863"/>
      <c r="C48" s="868"/>
    </row>
    <row r="49" spans="1:5" x14ac:dyDescent="0.25">
      <c r="A49" s="865" t="s">
        <v>3993</v>
      </c>
      <c r="B49" s="863">
        <f>950812690*C6*C8</f>
        <v>993647</v>
      </c>
      <c r="C49" s="873"/>
      <c r="D49" s="871"/>
      <c r="E49" s="860"/>
    </row>
    <row r="50" spans="1:5" x14ac:dyDescent="0.25">
      <c r="A50" s="865" t="s">
        <v>3994</v>
      </c>
      <c r="B50" s="863">
        <f>94131980*C6*C8</f>
        <v>98373</v>
      </c>
      <c r="C50" s="868"/>
      <c r="D50" s="871"/>
    </row>
    <row r="51" spans="1:5" x14ac:dyDescent="0.25">
      <c r="A51" s="865" t="s">
        <v>3995</v>
      </c>
      <c r="B51" s="863">
        <f>B43</f>
        <v>-811501</v>
      </c>
      <c r="C51" s="868"/>
      <c r="D51" s="871"/>
    </row>
    <row r="52" spans="1:5" x14ac:dyDescent="0.25">
      <c r="A52" s="865" t="s">
        <v>3996</v>
      </c>
      <c r="B52" s="869">
        <f>ROUND(-489904*C6*0.15,0)+1</f>
        <v>-170</v>
      </c>
      <c r="C52" s="868"/>
      <c r="D52" s="871"/>
    </row>
    <row r="53" spans="1:5" x14ac:dyDescent="0.25">
      <c r="A53" s="864" t="s">
        <v>3997</v>
      </c>
      <c r="B53" s="863">
        <f>SUM(B49:B52)</f>
        <v>280349</v>
      </c>
      <c r="C53" s="874"/>
      <c r="D53" s="871"/>
    </row>
    <row r="54" spans="1:5" x14ac:dyDescent="0.25">
      <c r="A54" s="864" t="s">
        <v>3998</v>
      </c>
      <c r="B54" s="869">
        <f>B28</f>
        <v>700406</v>
      </c>
      <c r="C54" s="874"/>
    </row>
    <row r="55" spans="1:5" ht="15.75" thickBot="1" x14ac:dyDescent="0.3">
      <c r="A55" s="864" t="s">
        <v>3999</v>
      </c>
      <c r="B55" s="875">
        <f>SUM(B53:B54)</f>
        <v>980755</v>
      </c>
      <c r="C55" s="874"/>
      <c r="D55" s="871"/>
    </row>
    <row r="56" spans="1:5" ht="15.75" thickTop="1" x14ac:dyDescent="0.25">
      <c r="A56" s="864"/>
      <c r="B56" s="863"/>
    </row>
    <row r="57" spans="1:5" x14ac:dyDescent="0.25">
      <c r="A57" s="864" t="s">
        <v>4000</v>
      </c>
      <c r="B57" s="863">
        <f>B46-B55</f>
        <v>649069</v>
      </c>
      <c r="C57" s="876"/>
      <c r="D57" s="871"/>
    </row>
    <row r="58" spans="1:5" x14ac:dyDescent="0.25">
      <c r="A58" s="865"/>
      <c r="B58" s="863"/>
    </row>
    <row r="59" spans="1:5" x14ac:dyDescent="0.25">
      <c r="A59" s="864" t="s">
        <v>4001</v>
      </c>
      <c r="B59" s="877">
        <f>B55/B46</f>
        <v>0.6018</v>
      </c>
      <c r="C59" s="878"/>
      <c r="D59" s="878"/>
    </row>
    <row r="60" spans="1:5" x14ac:dyDescent="0.25">
      <c r="A60" s="864" t="s">
        <v>4002</v>
      </c>
      <c r="B60" s="863">
        <f>16365112000*C6*0.38</f>
        <v>14442003</v>
      </c>
      <c r="C60" s="879"/>
      <c r="D60" s="853"/>
    </row>
    <row r="61" spans="1:5" x14ac:dyDescent="0.25">
      <c r="A61" s="864" t="s">
        <v>4003</v>
      </c>
      <c r="B61" s="877">
        <f>B46/B60</f>
        <v>0.1129</v>
      </c>
      <c r="C61" s="880"/>
      <c r="D61" s="880"/>
    </row>
  </sheetData>
  <customSheetViews>
    <customSheetView guid="{D2B860EA-92EC-4999-9A59-C624E1F8C7FB}" scale="90" hiddenRows="1" hiddenColumns="1" state="hidden" topLeftCell="A17">
      <selection activeCell="D20" sqref="D20"/>
      <pageMargins left="0.7" right="0.7" top="0.75" bottom="0.75" header="0.3" footer="0.3"/>
      <pageSetup orientation="portrait" r:id="rId1"/>
    </customSheetView>
    <customSheetView guid="{C1197650-3ED8-49E4-8E4C-0D1D4B503FC0}" scale="90" hiddenRows="1" hiddenColumns="1" state="hidden" topLeftCell="A17">
      <selection activeCell="D20" sqref="D20"/>
      <pageMargins left="0.7" right="0.7" top="0.75" bottom="0.75" header="0.3" footer="0.3"/>
      <pageSetup orientation="portrait" r:id="rId2"/>
    </customSheetView>
  </customSheetViews>
  <mergeCells count="2">
    <mergeCell ref="B5:E5"/>
    <mergeCell ref="E36:G36"/>
  </mergeCell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66"/>
  <sheetViews>
    <sheetView workbookViewId="0">
      <selection activeCell="J67" sqref="J67"/>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20.85546875" customWidth="1"/>
    <col min="15" max="15" width="0.85546875" customWidth="1"/>
    <col min="16" max="16" width="1.140625" customWidth="1"/>
  </cols>
  <sheetData>
    <row r="2" spans="1:16" ht="33.75" customHeight="1" x14ac:dyDescent="0.25">
      <c r="A2" s="1103" t="s">
        <v>956</v>
      </c>
      <c r="B2" s="1104"/>
      <c r="C2" s="1104"/>
      <c r="D2" s="1104"/>
      <c r="E2" s="1104"/>
      <c r="F2" s="1104"/>
      <c r="G2" s="1104"/>
      <c r="H2" s="1104"/>
      <c r="I2" s="1104"/>
      <c r="J2" s="1104"/>
      <c r="K2" s="1104"/>
      <c r="L2" s="1104"/>
      <c r="M2" s="1104"/>
      <c r="N2" s="1104"/>
      <c r="O2" s="1105"/>
    </row>
    <row r="3" spans="1:16" x14ac:dyDescent="0.2">
      <c r="H3" s="31"/>
    </row>
    <row r="4" spans="1:16" ht="69" customHeight="1" x14ac:dyDescent="0.2">
      <c r="B4" s="1019" t="s">
        <v>740</v>
      </c>
      <c r="C4" s="1032"/>
      <c r="D4" s="1032"/>
      <c r="E4" s="1032"/>
      <c r="F4" s="1032"/>
      <c r="G4" s="1032"/>
      <c r="H4" s="1032"/>
      <c r="I4" s="1032"/>
      <c r="J4" s="1032"/>
      <c r="K4" s="1032"/>
      <c r="L4" s="1032"/>
      <c r="M4" s="1032"/>
      <c r="N4" s="1032"/>
      <c r="O4" s="1032"/>
      <c r="P4" s="1032"/>
    </row>
    <row r="5" spans="1:16" ht="11.25" customHeight="1" x14ac:dyDescent="0.2">
      <c r="B5" s="24"/>
    </row>
    <row r="6" spans="1:16" ht="17.25" customHeight="1" x14ac:dyDescent="0.2">
      <c r="B6" s="1019" t="s">
        <v>727</v>
      </c>
      <c r="C6" s="1032"/>
      <c r="D6" s="1032"/>
      <c r="E6" s="1032"/>
      <c r="F6" s="1032"/>
      <c r="G6" s="1032"/>
      <c r="H6" s="1032"/>
      <c r="I6" s="1032"/>
      <c r="J6" s="1032"/>
      <c r="K6" s="1032"/>
      <c r="L6" s="1032"/>
      <c r="M6" s="1032"/>
      <c r="N6" s="1032"/>
    </row>
    <row r="7" spans="1:16" ht="4.5" customHeight="1" x14ac:dyDescent="0.2">
      <c r="B7" s="30"/>
    </row>
    <row r="8" spans="1:16" ht="12.75" customHeight="1" x14ac:dyDescent="0.2">
      <c r="A8" s="4"/>
      <c r="B8" s="30" t="s">
        <v>513</v>
      </c>
      <c r="C8" s="1106" t="s">
        <v>1126</v>
      </c>
      <c r="D8" s="1019"/>
      <c r="E8" s="1019"/>
      <c r="F8" s="1019"/>
      <c r="G8" s="1019"/>
      <c r="H8" s="1019"/>
      <c r="I8" s="1019"/>
      <c r="J8" s="1019"/>
      <c r="K8" s="1019"/>
      <c r="L8" s="1019"/>
      <c r="M8" s="1019"/>
      <c r="N8" s="1019"/>
    </row>
    <row r="9" spans="1:16" ht="14.25" customHeight="1" x14ac:dyDescent="0.2">
      <c r="A9" s="4"/>
      <c r="B9" s="30"/>
      <c r="C9" s="1019"/>
      <c r="D9" s="1019"/>
      <c r="E9" s="1019"/>
      <c r="F9" s="1019"/>
      <c r="G9" s="1019"/>
      <c r="H9" s="1019"/>
      <c r="I9" s="1019"/>
      <c r="J9" s="1019"/>
      <c r="K9" s="1019"/>
      <c r="L9" s="1019"/>
      <c r="M9" s="1019"/>
      <c r="N9" s="1019"/>
    </row>
    <row r="10" spans="1:16" ht="4.5" customHeight="1" x14ac:dyDescent="0.2">
      <c r="B10" s="30"/>
    </row>
    <row r="11" spans="1:16" ht="12.75" customHeight="1" x14ac:dyDescent="0.2">
      <c r="B11" s="30" t="s">
        <v>514</v>
      </c>
      <c r="C11" s="1106" t="s">
        <v>1127</v>
      </c>
      <c r="D11" s="1019"/>
      <c r="E11" s="1019"/>
      <c r="F11" s="1019"/>
      <c r="G11" s="1019"/>
      <c r="H11" s="1019"/>
      <c r="I11" s="1019"/>
      <c r="J11" s="1019"/>
      <c r="K11" s="1019"/>
      <c r="L11" s="1019"/>
      <c r="M11" s="1019"/>
      <c r="N11" s="1019"/>
    </row>
    <row r="12" spans="1:16" ht="12.75" customHeight="1" x14ac:dyDescent="0.2">
      <c r="B12" s="30"/>
      <c r="C12" s="1019"/>
      <c r="D12" s="1019"/>
      <c r="E12" s="1019"/>
      <c r="F12" s="1019"/>
      <c r="G12" s="1019"/>
      <c r="H12" s="1019"/>
      <c r="I12" s="1019"/>
      <c r="J12" s="1019"/>
      <c r="K12" s="1019"/>
      <c r="L12" s="1019"/>
      <c r="M12" s="1019"/>
      <c r="N12" s="1019"/>
    </row>
    <row r="13" spans="1:16" ht="4.5" customHeight="1" x14ac:dyDescent="0.2">
      <c r="B13" s="30"/>
      <c r="C13" s="24"/>
    </row>
    <row r="14" spans="1:16" ht="12.75" customHeight="1" x14ac:dyDescent="0.2">
      <c r="B14" s="30" t="s">
        <v>515</v>
      </c>
      <c r="C14" s="1019" t="s">
        <v>870</v>
      </c>
      <c r="D14" s="1019"/>
      <c r="E14" s="1019"/>
      <c r="F14" s="1019"/>
      <c r="G14" s="1019"/>
      <c r="H14" s="1019"/>
      <c r="I14" s="1019"/>
      <c r="J14" s="1019"/>
      <c r="K14" s="1019"/>
      <c r="L14" s="1019"/>
      <c r="M14" s="1019"/>
      <c r="N14" s="1019"/>
    </row>
    <row r="15" spans="1:16" ht="26.25" customHeight="1" x14ac:dyDescent="0.2">
      <c r="B15" s="30"/>
      <c r="C15" s="1019"/>
      <c r="D15" s="1019"/>
      <c r="E15" s="1019"/>
      <c r="F15" s="1019"/>
      <c r="G15" s="1019"/>
      <c r="H15" s="1019"/>
      <c r="I15" s="1019"/>
      <c r="J15" s="1019"/>
      <c r="K15" s="1019"/>
      <c r="L15" s="1019"/>
      <c r="M15" s="1019"/>
      <c r="N15" s="1019"/>
    </row>
    <row r="16" spans="1:16" ht="4.5" customHeight="1" x14ac:dyDescent="0.2">
      <c r="B16" s="30"/>
      <c r="C16" s="24"/>
    </row>
    <row r="17" spans="1:14" ht="12.75" customHeight="1" x14ac:dyDescent="0.2">
      <c r="B17" s="30" t="s">
        <v>541</v>
      </c>
      <c r="C17" s="1019" t="s">
        <v>344</v>
      </c>
      <c r="D17" s="1019"/>
      <c r="E17" s="1019"/>
      <c r="F17" s="1019"/>
      <c r="G17" s="1019"/>
      <c r="H17" s="1019"/>
      <c r="I17" s="1019"/>
      <c r="J17" s="1019"/>
      <c r="K17" s="1019"/>
      <c r="L17" s="1019"/>
      <c r="M17" s="1019"/>
      <c r="N17" s="1019"/>
    </row>
    <row r="18" spans="1:14" ht="25.5" customHeight="1" x14ac:dyDescent="0.2">
      <c r="B18" s="30"/>
      <c r="C18" s="1019"/>
      <c r="D18" s="1019"/>
      <c r="E18" s="1019"/>
      <c r="F18" s="1019"/>
      <c r="G18" s="1019"/>
      <c r="H18" s="1019"/>
      <c r="I18" s="1019"/>
      <c r="J18" s="1019"/>
      <c r="K18" s="1019"/>
      <c r="L18" s="1019"/>
      <c r="M18" s="1019"/>
      <c r="N18" s="1019"/>
    </row>
    <row r="19" spans="1:14" ht="12" customHeight="1" x14ac:dyDescent="0.2">
      <c r="B19" s="24"/>
    </row>
    <row r="20" spans="1:14" ht="25.5" customHeight="1" x14ac:dyDescent="0.2">
      <c r="A20" s="4" t="s">
        <v>539</v>
      </c>
      <c r="B20" s="1107" t="s">
        <v>1095</v>
      </c>
      <c r="C20" s="1108"/>
      <c r="D20" s="1108"/>
      <c r="E20" s="1108"/>
      <c r="F20" s="1108"/>
      <c r="G20" s="1108"/>
      <c r="H20" s="1108"/>
      <c r="I20" s="1108"/>
      <c r="J20" s="1108"/>
      <c r="K20" s="1108"/>
      <c r="L20" s="1108"/>
      <c r="M20" s="1108"/>
      <c r="N20" s="1109"/>
    </row>
    <row r="22" spans="1:14" x14ac:dyDescent="0.2">
      <c r="B22" s="38" t="s">
        <v>323</v>
      </c>
    </row>
    <row r="23" spans="1:14" ht="3" customHeight="1" x14ac:dyDescent="0.2"/>
    <row r="24" spans="1:14" ht="12" customHeight="1" x14ac:dyDescent="0.2">
      <c r="H24" s="3" t="s">
        <v>506</v>
      </c>
    </row>
    <row r="25" spans="1:14" x14ac:dyDescent="0.2">
      <c r="B25" t="s">
        <v>802</v>
      </c>
    </row>
    <row r="26" spans="1:14" x14ac:dyDescent="0.2">
      <c r="C26" t="s">
        <v>1052</v>
      </c>
      <c r="H26" s="290">
        <v>2263253</v>
      </c>
      <c r="J26" s="4"/>
    </row>
    <row r="27" spans="1:14" ht="6" customHeight="1" x14ac:dyDescent="0.2">
      <c r="H27" s="291"/>
    </row>
    <row r="28" spans="1:14" x14ac:dyDescent="0.2">
      <c r="C28" t="s">
        <v>803</v>
      </c>
      <c r="H28" s="292">
        <v>326897</v>
      </c>
      <c r="J28" s="32"/>
    </row>
    <row r="29" spans="1:14" x14ac:dyDescent="0.2">
      <c r="H29" s="1"/>
    </row>
    <row r="30" spans="1:14" ht="13.5" thickBot="1" x14ac:dyDescent="0.25">
      <c r="H30" s="63">
        <f>SUM(H26:H29)</f>
        <v>2590150</v>
      </c>
    </row>
    <row r="31" spans="1:14" ht="13.5" thickTop="1" x14ac:dyDescent="0.2">
      <c r="H31" s="41"/>
      <c r="L31" s="92"/>
    </row>
    <row r="32" spans="1:14" x14ac:dyDescent="0.2">
      <c r="H32" s="1"/>
    </row>
    <row r="33" spans="1:14" x14ac:dyDescent="0.2">
      <c r="H33" s="1"/>
    </row>
    <row r="34" spans="1:14" ht="25.5" customHeight="1" x14ac:dyDescent="0.2">
      <c r="A34" s="4" t="s">
        <v>540</v>
      </c>
      <c r="B34" s="1100" t="s">
        <v>1128</v>
      </c>
      <c r="C34" s="1110"/>
      <c r="D34" s="1110"/>
      <c r="E34" s="1110"/>
      <c r="F34" s="1110"/>
      <c r="G34" s="1110"/>
      <c r="H34" s="1110"/>
      <c r="I34" s="1110"/>
      <c r="J34" s="1110"/>
      <c r="K34" s="1110"/>
      <c r="L34" s="1110"/>
      <c r="M34" s="1110"/>
      <c r="N34" s="1111"/>
    </row>
    <row r="35" spans="1:14" x14ac:dyDescent="0.2">
      <c r="H35" s="1"/>
    </row>
    <row r="36" spans="1:14" x14ac:dyDescent="0.2">
      <c r="B36" s="38" t="s">
        <v>323</v>
      </c>
      <c r="H36" s="1"/>
    </row>
    <row r="37" spans="1:14" ht="3.75" customHeight="1" x14ac:dyDescent="0.2">
      <c r="H37" s="1"/>
    </row>
    <row r="38" spans="1:14" x14ac:dyDescent="0.2">
      <c r="H38" s="3" t="s">
        <v>506</v>
      </c>
    </row>
    <row r="39" spans="1:14" x14ac:dyDescent="0.2">
      <c r="B39" t="s">
        <v>802</v>
      </c>
    </row>
    <row r="40" spans="1:14" x14ac:dyDescent="0.2">
      <c r="C40" t="s">
        <v>1053</v>
      </c>
      <c r="H40" s="290">
        <v>2369257</v>
      </c>
      <c r="I40" s="1007"/>
      <c r="J40" s="4"/>
    </row>
    <row r="41" spans="1:14" ht="6" customHeight="1" x14ac:dyDescent="0.2">
      <c r="H41" s="291"/>
    </row>
    <row r="42" spans="1:14" x14ac:dyDescent="0.2">
      <c r="C42" t="s">
        <v>883</v>
      </c>
      <c r="H42" s="292">
        <v>329219</v>
      </c>
      <c r="J42" s="32"/>
    </row>
    <row r="43" spans="1:14" x14ac:dyDescent="0.2">
      <c r="H43" s="1"/>
    </row>
    <row r="44" spans="1:14" ht="13.5" thickBot="1" x14ac:dyDescent="0.25">
      <c r="H44" s="63">
        <f>SUM(H40:H43)</f>
        <v>2698476</v>
      </c>
    </row>
    <row r="45" spans="1:14" ht="13.5" thickTop="1" x14ac:dyDescent="0.2">
      <c r="H45" s="41"/>
    </row>
    <row r="46" spans="1:14" x14ac:dyDescent="0.2">
      <c r="H46" s="10"/>
    </row>
    <row r="48" spans="1:14" ht="25.5" customHeight="1" x14ac:dyDescent="0.2">
      <c r="A48" s="4" t="s">
        <v>801</v>
      </c>
      <c r="B48" s="1097" t="s">
        <v>296</v>
      </c>
      <c r="C48" s="1098"/>
      <c r="D48" s="1098"/>
      <c r="E48" s="1098"/>
      <c r="F48" s="1098"/>
      <c r="G48" s="1098"/>
      <c r="H48" s="1098"/>
      <c r="I48" s="1098"/>
      <c r="J48" s="1098"/>
      <c r="K48" s="1098"/>
      <c r="L48" s="1098"/>
      <c r="M48" s="1098"/>
      <c r="N48" s="1099"/>
    </row>
    <row r="49" spans="1:14" ht="12.75" customHeight="1" x14ac:dyDescent="0.2">
      <c r="A49" s="4"/>
      <c r="B49" s="4"/>
      <c r="C49" s="4"/>
      <c r="D49" s="4"/>
      <c r="E49" s="4"/>
      <c r="F49" s="4"/>
      <c r="G49" s="4"/>
      <c r="H49" s="4"/>
    </row>
    <row r="51" spans="1:14" x14ac:dyDescent="0.2">
      <c r="J51" s="36" t="s">
        <v>509</v>
      </c>
      <c r="K51" s="27"/>
      <c r="L51" s="36" t="s">
        <v>510</v>
      </c>
    </row>
    <row r="52" spans="1:14" ht="6" customHeight="1" x14ac:dyDescent="0.2">
      <c r="J52" s="27"/>
      <c r="K52" s="27"/>
      <c r="L52" s="27"/>
    </row>
    <row r="53" spans="1:14" x14ac:dyDescent="0.2">
      <c r="A53" s="112" t="s">
        <v>194</v>
      </c>
      <c r="B53" t="s">
        <v>570</v>
      </c>
      <c r="H53" s="25"/>
      <c r="J53" s="207">
        <f>IF(H26&gt;=0,H26,"")</f>
        <v>2263253</v>
      </c>
      <c r="K53" s="71"/>
      <c r="L53" s="62" t="str">
        <f>IF(H26&lt;0,H26,"")</f>
        <v/>
      </c>
      <c r="N53" s="2"/>
    </row>
    <row r="54" spans="1:14" x14ac:dyDescent="0.2">
      <c r="A54" s="112"/>
      <c r="B54" t="s">
        <v>140</v>
      </c>
      <c r="H54" s="25"/>
      <c r="J54" s="62">
        <f>IF(H28&gt;=0,H28,"")</f>
        <v>326897</v>
      </c>
      <c r="K54" s="71"/>
      <c r="L54" s="62" t="str">
        <f>IF(H28&lt;0,H28,"")</f>
        <v/>
      </c>
      <c r="N54" s="2"/>
    </row>
    <row r="55" spans="1:14" x14ac:dyDescent="0.2">
      <c r="A55" s="112"/>
      <c r="C55" t="s">
        <v>957</v>
      </c>
      <c r="H55" s="25"/>
      <c r="J55" s="62" t="str">
        <f>IF(H30&lt;0,H30,"")</f>
        <v/>
      </c>
      <c r="K55" s="71"/>
      <c r="L55" s="62">
        <f>IF(H30&gt;=0,H30,"")</f>
        <v>2590150</v>
      </c>
    </row>
    <row r="56" spans="1:14" ht="6" customHeight="1" x14ac:dyDescent="0.2">
      <c r="A56" s="112"/>
      <c r="H56" s="25"/>
      <c r="J56" s="1"/>
      <c r="K56" s="71"/>
      <c r="L56" s="1"/>
    </row>
    <row r="57" spans="1:14" x14ac:dyDescent="0.2">
      <c r="A57" s="112" t="s">
        <v>195</v>
      </c>
      <c r="B57" t="s">
        <v>1054</v>
      </c>
      <c r="J57" s="207">
        <f>IF(H40&gt;=0,H40,"")</f>
        <v>2369257</v>
      </c>
      <c r="K57" s="71"/>
      <c r="L57" s="62" t="str">
        <f>IF(H40&lt;0,H40,"")</f>
        <v/>
      </c>
    </row>
    <row r="58" spans="1:14" x14ac:dyDescent="0.2">
      <c r="A58" s="112"/>
      <c r="B58" t="s">
        <v>140</v>
      </c>
      <c r="J58" s="62">
        <f>IF((H42-H28)&gt;=0,(H42-H28),"")</f>
        <v>2322</v>
      </c>
      <c r="K58" s="71"/>
      <c r="L58" s="62" t="str">
        <f>IF((H42-H28)&lt;0,(H42-H28),"")</f>
        <v/>
      </c>
    </row>
    <row r="59" spans="1:14" x14ac:dyDescent="0.2">
      <c r="C59" t="s">
        <v>571</v>
      </c>
      <c r="J59" s="62" t="str">
        <f>IF((J57+J58)&lt;0,(J57+J58),"")</f>
        <v/>
      </c>
      <c r="K59" s="71"/>
      <c r="L59" s="62">
        <f>IF((J57+J58)&gt;=0,(J57+J58),"")</f>
        <v>2371579</v>
      </c>
    </row>
    <row r="60" spans="1:14" ht="12.75" customHeight="1" x14ac:dyDescent="0.2">
      <c r="J60" s="1"/>
      <c r="K60" s="71"/>
      <c r="L60" s="1"/>
    </row>
    <row r="61" spans="1:14" ht="13.5" thickBot="1" x14ac:dyDescent="0.25">
      <c r="J61" s="58">
        <f>SUM(J53:J60)</f>
        <v>4961729</v>
      </c>
      <c r="K61" s="5"/>
      <c r="L61" s="58">
        <f>SUM(L53:L60)</f>
        <v>4961729</v>
      </c>
    </row>
    <row r="62" spans="1:14" ht="13.5" thickTop="1" x14ac:dyDescent="0.2"/>
    <row r="63" spans="1:14" x14ac:dyDescent="0.2">
      <c r="B63" t="s">
        <v>512</v>
      </c>
      <c r="C63" t="s">
        <v>226</v>
      </c>
    </row>
    <row r="64" spans="1:14" x14ac:dyDescent="0.2">
      <c r="H64" s="579" t="s">
        <v>4227</v>
      </c>
      <c r="J64" s="5">
        <f>+J57-J53</f>
        <v>106004</v>
      </c>
    </row>
    <row r="65" spans="2:10" x14ac:dyDescent="0.2">
      <c r="B65" s="14"/>
      <c r="J65" s="5">
        <f>+J58</f>
        <v>2322</v>
      </c>
    </row>
    <row r="66" spans="2:10" x14ac:dyDescent="0.2">
      <c r="J66" s="5">
        <f>+J64+J65</f>
        <v>108326</v>
      </c>
    </row>
  </sheetData>
  <customSheetViews>
    <customSheetView guid="{D2B860EA-92EC-4999-9A59-C624E1F8C7FB}" topLeftCell="A19">
      <selection activeCell="H44" sqref="H44"/>
      <rowBreaks count="1" manualBreakCount="1">
        <brk id="63" max="14" man="1"/>
      </rowBreaks>
      <pageMargins left="0.5" right="0.45" top="0.72" bottom="0.71" header="0.5" footer="0.5"/>
      <printOptions horizontalCentered="1"/>
      <pageSetup scale="75" orientation="portrait" r:id="rId1"/>
      <headerFooter alignWithMargins="0">
        <oddHeader>&amp;R&amp;"Arial,Bold"&amp;12Entry  B</oddHeader>
        <oddFooter>&amp;L&amp;8&amp;D - County model&amp;R&amp;P</oddFooter>
      </headerFooter>
    </customSheetView>
    <customSheetView guid="{C1197650-3ED8-49E4-8E4C-0D1D4B503FC0}" topLeftCell="A19">
      <selection activeCell="H44" sqref="H44"/>
      <rowBreaks count="1" manualBreakCount="1">
        <brk id="63" max="14" man="1"/>
      </rowBreaks>
      <pageMargins left="0.5" right="0.45" top="0.72" bottom="0.71" header="0.5" footer="0.5"/>
      <printOptions horizontalCentered="1"/>
      <pageSetup scale="75" orientation="portrait" r:id="rId2"/>
      <headerFooter alignWithMargins="0">
        <oddHeader>&amp;R&amp;"Arial,Bold"&amp;12Entry  B</oddHeader>
        <oddFooter>&amp;L&amp;8&amp;D - County model&amp;R&amp;P</oddFooter>
      </headerFooter>
    </customSheetView>
  </customSheetViews>
  <mergeCells count="10">
    <mergeCell ref="B48:N48"/>
    <mergeCell ref="B20:N20"/>
    <mergeCell ref="B34:N34"/>
    <mergeCell ref="C11:N12"/>
    <mergeCell ref="C14:N15"/>
    <mergeCell ref="A2:O2"/>
    <mergeCell ref="B6:N6"/>
    <mergeCell ref="B4:P4"/>
    <mergeCell ref="C8:N9"/>
    <mergeCell ref="C17:N18"/>
  </mergeCells>
  <phoneticPr fontId="14" type="noConversion"/>
  <printOptions horizontalCentered="1"/>
  <pageMargins left="0.5" right="0.45" top="0.72" bottom="0.71" header="0.5" footer="0.5"/>
  <pageSetup scale="75" orientation="portrait" r:id="rId3"/>
  <headerFooter alignWithMargins="0">
    <oddHeader>&amp;R&amp;"Arial,Bold"&amp;12Entry  B</oddHeader>
    <oddFooter>&amp;L&amp;8&amp;D - County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F300"/>
  <sheetViews>
    <sheetView topLeftCell="A36" zoomScale="90" zoomScaleNormal="90" workbookViewId="0">
      <selection activeCell="O175" sqref="O175"/>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7" width="11.85546875" customWidth="1"/>
    <col min="28" max="28" width="12.140625" customWidth="1"/>
    <col min="29" max="30" width="10.28515625" bestFit="1" customWidth="1"/>
    <col min="31" max="31" width="12.85546875" customWidth="1"/>
    <col min="32" max="32" width="11.7109375" customWidth="1"/>
  </cols>
  <sheetData>
    <row r="2" spans="2:16" ht="33.75" customHeight="1" x14ac:dyDescent="0.25">
      <c r="B2" s="1103" t="s">
        <v>574</v>
      </c>
      <c r="C2" s="1104"/>
      <c r="D2" s="1104"/>
      <c r="E2" s="1104"/>
      <c r="F2" s="1104"/>
      <c r="G2" s="1104"/>
      <c r="H2" s="1104"/>
      <c r="I2" s="1104"/>
      <c r="J2" s="1104"/>
      <c r="K2" s="1104"/>
      <c r="L2" s="1104"/>
      <c r="M2" s="1104"/>
      <c r="N2" s="1104"/>
      <c r="O2" s="1105"/>
      <c r="P2" s="44"/>
    </row>
    <row r="3" spans="2:16" x14ac:dyDescent="0.2">
      <c r="I3" s="31"/>
    </row>
    <row r="4" spans="2:16" ht="80.25" customHeight="1" x14ac:dyDescent="0.2">
      <c r="C4" s="1106" t="s">
        <v>1096</v>
      </c>
      <c r="D4" s="1019"/>
      <c r="E4" s="1019"/>
      <c r="F4" s="1019"/>
      <c r="G4" s="1019"/>
      <c r="H4" s="1019"/>
      <c r="I4" s="1019"/>
      <c r="J4" s="1019"/>
      <c r="K4" s="1019"/>
      <c r="L4" s="1019"/>
      <c r="M4" s="1019"/>
      <c r="N4" s="1019"/>
      <c r="O4" s="1019"/>
    </row>
    <row r="5" spans="2:16" ht="4.5" customHeight="1" x14ac:dyDescent="0.2">
      <c r="C5" s="24"/>
    </row>
    <row r="6" spans="2:16" ht="51" customHeight="1" x14ac:dyDescent="0.2">
      <c r="C6" s="1106" t="s">
        <v>1097</v>
      </c>
      <c r="D6" s="1019"/>
      <c r="E6" s="1019"/>
      <c r="F6" s="1019"/>
      <c r="G6" s="1019"/>
      <c r="H6" s="1019"/>
      <c r="I6" s="1019"/>
      <c r="J6" s="1019"/>
      <c r="K6" s="1019"/>
      <c r="L6" s="1019"/>
      <c r="M6" s="1019"/>
      <c r="N6" s="1019"/>
      <c r="O6" s="1019"/>
    </row>
    <row r="7" spans="2:16" ht="11.25" customHeight="1" x14ac:dyDescent="0.2">
      <c r="C7" s="24"/>
      <c r="D7" s="24"/>
      <c r="E7" s="24"/>
      <c r="F7" s="24"/>
      <c r="G7" s="24"/>
      <c r="H7" s="24"/>
      <c r="I7" s="24"/>
      <c r="J7" s="24"/>
      <c r="K7" s="24"/>
      <c r="L7" s="24"/>
      <c r="M7" s="24"/>
      <c r="N7" s="24"/>
      <c r="O7" s="24"/>
    </row>
    <row r="8" spans="2:16" ht="24.75" customHeight="1" x14ac:dyDescent="0.2">
      <c r="C8" s="1019" t="s">
        <v>151</v>
      </c>
      <c r="D8" s="1032"/>
      <c r="E8" s="1032"/>
      <c r="F8" s="1032"/>
      <c r="G8" s="1032"/>
      <c r="H8" s="1032"/>
      <c r="I8" s="1032"/>
      <c r="J8" s="1032"/>
      <c r="K8" s="1032"/>
      <c r="L8" s="1032"/>
      <c r="M8" s="1032"/>
      <c r="N8" s="1032"/>
      <c r="O8" s="1032"/>
    </row>
    <row r="9" spans="2:16" ht="4.5" customHeight="1" x14ac:dyDescent="0.2">
      <c r="C9" s="30"/>
    </row>
    <row r="10" spans="2:16" ht="12" customHeight="1" x14ac:dyDescent="0.2">
      <c r="B10" s="4"/>
      <c r="C10" s="30" t="s">
        <v>513</v>
      </c>
      <c r="D10" s="1106" t="s">
        <v>1098</v>
      </c>
      <c r="E10" s="1019"/>
      <c r="F10" s="1019"/>
      <c r="G10" s="1019"/>
      <c r="H10" s="1019"/>
      <c r="I10" s="1019"/>
      <c r="J10" s="1019"/>
      <c r="K10" s="1019"/>
      <c r="L10" s="1019"/>
      <c r="M10" s="1019"/>
      <c r="N10" s="1019"/>
      <c r="O10" s="1019"/>
    </row>
    <row r="11" spans="2:16" ht="12.75" customHeight="1" x14ac:dyDescent="0.2">
      <c r="B11" s="4"/>
      <c r="C11" s="30"/>
      <c r="D11" s="1019"/>
      <c r="E11" s="1019"/>
      <c r="F11" s="1019"/>
      <c r="G11" s="1019"/>
      <c r="H11" s="1019"/>
      <c r="I11" s="1019"/>
      <c r="J11" s="1019"/>
      <c r="K11" s="1019"/>
      <c r="L11" s="1019"/>
      <c r="M11" s="1019"/>
      <c r="N11" s="1019"/>
      <c r="O11" s="1019"/>
    </row>
    <row r="12" spans="2:16" ht="4.5" customHeight="1" x14ac:dyDescent="0.2">
      <c r="C12" s="30"/>
    </row>
    <row r="13" spans="2:16" ht="12.75" customHeight="1" x14ac:dyDescent="0.2">
      <c r="C13" s="30" t="s">
        <v>514</v>
      </c>
      <c r="D13" s="1106" t="s">
        <v>1099</v>
      </c>
      <c r="E13" s="1019"/>
      <c r="F13" s="1019"/>
      <c r="G13" s="1019"/>
      <c r="H13" s="1019"/>
      <c r="I13" s="1019"/>
      <c r="J13" s="1019"/>
      <c r="K13" s="1019"/>
      <c r="L13" s="1019"/>
      <c r="M13" s="1019"/>
      <c r="N13" s="1019"/>
      <c r="O13" s="1019"/>
    </row>
    <row r="14" spans="2:16" ht="11.25" customHeight="1" x14ac:dyDescent="0.2">
      <c r="C14" s="30"/>
      <c r="D14" s="1019"/>
      <c r="E14" s="1019"/>
      <c r="F14" s="1019"/>
      <c r="G14" s="1019"/>
      <c r="H14" s="1019"/>
      <c r="I14" s="1019"/>
      <c r="J14" s="1019"/>
      <c r="K14" s="1019"/>
      <c r="L14" s="1019"/>
      <c r="M14" s="1019"/>
      <c r="N14" s="1019"/>
      <c r="O14" s="1019"/>
    </row>
    <row r="15" spans="2:16" ht="4.5" customHeight="1" x14ac:dyDescent="0.2">
      <c r="C15" s="30"/>
      <c r="D15" s="24"/>
    </row>
    <row r="16" spans="2:16" ht="12.75" customHeight="1" x14ac:dyDescent="0.2">
      <c r="C16" s="30" t="s">
        <v>515</v>
      </c>
      <c r="D16" s="1019" t="s">
        <v>400</v>
      </c>
      <c r="E16" s="1019"/>
      <c r="F16" s="1019"/>
      <c r="G16" s="1019"/>
      <c r="H16" s="1019"/>
      <c r="I16" s="1019"/>
      <c r="J16" s="1019"/>
      <c r="K16" s="1019"/>
      <c r="L16" s="1019"/>
      <c r="M16" s="1019"/>
      <c r="N16" s="1019"/>
      <c r="O16" s="1019"/>
    </row>
    <row r="17" spans="2:15" ht="11.25" customHeight="1" x14ac:dyDescent="0.2">
      <c r="C17" s="30"/>
      <c r="D17" s="1019"/>
      <c r="E17" s="1019"/>
      <c r="F17" s="1019"/>
      <c r="G17" s="1019"/>
      <c r="H17" s="1019"/>
      <c r="I17" s="1019"/>
      <c r="J17" s="1019"/>
      <c r="K17" s="1019"/>
      <c r="L17" s="1019"/>
      <c r="M17" s="1019"/>
      <c r="N17" s="1019"/>
      <c r="O17" s="1019"/>
    </row>
    <row r="18" spans="2:15" ht="4.5" customHeight="1" x14ac:dyDescent="0.2">
      <c r="C18" s="30"/>
      <c r="D18" s="24"/>
    </row>
    <row r="19" spans="2:15" ht="12.75" customHeight="1" x14ac:dyDescent="0.2">
      <c r="C19" s="30" t="s">
        <v>541</v>
      </c>
      <c r="D19" s="1019" t="s">
        <v>252</v>
      </c>
      <c r="E19" s="1019"/>
      <c r="F19" s="1019"/>
      <c r="G19" s="1019"/>
      <c r="H19" s="1019"/>
      <c r="I19" s="1019"/>
      <c r="J19" s="1019"/>
      <c r="K19" s="1019"/>
      <c r="L19" s="1019"/>
      <c r="M19" s="1019"/>
      <c r="N19" s="1019"/>
      <c r="O19" s="1019"/>
    </row>
    <row r="20" spans="2:15" ht="12" customHeight="1" x14ac:dyDescent="0.2">
      <c r="C20" s="24"/>
      <c r="D20" s="1019"/>
      <c r="E20" s="1019"/>
      <c r="F20" s="1019"/>
      <c r="G20" s="1019"/>
      <c r="H20" s="1019"/>
      <c r="I20" s="1019"/>
      <c r="J20" s="1019"/>
      <c r="K20" s="1019"/>
      <c r="L20" s="1019"/>
      <c r="M20" s="1019"/>
      <c r="N20" s="1019"/>
      <c r="O20" s="1019"/>
    </row>
    <row r="21" spans="2:15" ht="12" customHeight="1" x14ac:dyDescent="0.2">
      <c r="C21" s="24"/>
      <c r="D21" s="24"/>
    </row>
    <row r="22" spans="2:15" ht="25.5" customHeight="1" x14ac:dyDescent="0.2">
      <c r="B22" s="4" t="s">
        <v>539</v>
      </c>
      <c r="C22" s="1107" t="s">
        <v>1100</v>
      </c>
      <c r="D22" s="1108"/>
      <c r="E22" s="1108"/>
      <c r="F22" s="1108"/>
      <c r="G22" s="1108"/>
      <c r="H22" s="1108"/>
      <c r="I22" s="1108"/>
      <c r="J22" s="1108"/>
      <c r="K22" s="1108"/>
      <c r="L22" s="1108"/>
      <c r="M22" s="1108"/>
      <c r="N22" s="1108"/>
      <c r="O22" s="1109"/>
    </row>
    <row r="24" spans="2:15" ht="12" customHeight="1" x14ac:dyDescent="0.2">
      <c r="M24" s="3" t="s">
        <v>506</v>
      </c>
    </row>
    <row r="26" spans="2:15" ht="12.75" customHeight="1" x14ac:dyDescent="0.2">
      <c r="C26" s="28" t="s">
        <v>513</v>
      </c>
      <c r="D26" s="1106" t="s">
        <v>1101</v>
      </c>
      <c r="E26" s="1019"/>
      <c r="F26" s="1019"/>
      <c r="G26" s="1019"/>
      <c r="H26" s="1019"/>
      <c r="I26" s="1019"/>
      <c r="J26" s="1019"/>
      <c r="K26" s="1019"/>
      <c r="M26" s="1115"/>
    </row>
    <row r="27" spans="2:15" ht="14.25" customHeight="1" x14ac:dyDescent="0.2">
      <c r="C27" s="28"/>
      <c r="D27" s="1019"/>
      <c r="E27" s="1019"/>
      <c r="F27" s="1019"/>
      <c r="G27" s="1019"/>
      <c r="H27" s="1019"/>
      <c r="I27" s="1019"/>
      <c r="J27" s="1019"/>
      <c r="K27" s="1019"/>
      <c r="M27" s="1115"/>
    </row>
    <row r="28" spans="2:15" ht="6" customHeight="1" x14ac:dyDescent="0.2">
      <c r="M28" s="291"/>
    </row>
    <row r="29" spans="2:15" ht="12.75" customHeight="1" x14ac:dyDescent="0.2">
      <c r="C29" s="28" t="s">
        <v>514</v>
      </c>
      <c r="D29" s="1106" t="s">
        <v>1102</v>
      </c>
      <c r="E29" s="1019"/>
      <c r="F29" s="1019"/>
      <c r="G29" s="1019"/>
      <c r="H29" s="1019"/>
      <c r="I29" s="1019"/>
      <c r="J29" s="1019"/>
      <c r="K29" s="1019"/>
      <c r="M29" s="1114"/>
    </row>
    <row r="30" spans="2:15" x14ac:dyDescent="0.2">
      <c r="D30" s="1019"/>
      <c r="E30" s="1019"/>
      <c r="F30" s="1019"/>
      <c r="G30" s="1019"/>
      <c r="H30" s="1019"/>
      <c r="I30" s="1019"/>
      <c r="J30" s="1019"/>
      <c r="K30" s="1019"/>
      <c r="M30" s="1114"/>
    </row>
    <row r="31" spans="2:15" x14ac:dyDescent="0.2">
      <c r="I31" s="41"/>
    </row>
    <row r="32" spans="2:15" x14ac:dyDescent="0.2">
      <c r="I32" s="1"/>
    </row>
    <row r="33" spans="2:15" ht="25.5" customHeight="1" x14ac:dyDescent="0.2">
      <c r="B33" s="4" t="s">
        <v>540</v>
      </c>
      <c r="C33" s="1100" t="s">
        <v>741</v>
      </c>
      <c r="D33" s="1110"/>
      <c r="E33" s="1110"/>
      <c r="F33" s="1110"/>
      <c r="G33" s="1110"/>
      <c r="H33" s="1110"/>
      <c r="I33" s="1110"/>
      <c r="J33" s="1110"/>
      <c r="K33" s="1110"/>
      <c r="L33" s="1110"/>
      <c r="M33" s="1110"/>
      <c r="N33" s="1110"/>
      <c r="O33" s="1111"/>
    </row>
    <row r="34" spans="2:15" x14ac:dyDescent="0.2">
      <c r="I34" s="1"/>
    </row>
    <row r="35" spans="2:15" x14ac:dyDescent="0.2">
      <c r="M35" s="3" t="s">
        <v>506</v>
      </c>
    </row>
    <row r="37" spans="2:15" ht="12.75" customHeight="1" x14ac:dyDescent="0.2">
      <c r="C37" s="28" t="s">
        <v>513</v>
      </c>
      <c r="D37" s="1106" t="s">
        <v>1103</v>
      </c>
      <c r="E37" s="1019"/>
      <c r="F37" s="1019"/>
      <c r="G37" s="1019"/>
      <c r="H37" s="1019"/>
      <c r="I37" s="1019"/>
      <c r="J37" s="1019"/>
      <c r="K37" s="1019"/>
      <c r="M37" s="1115"/>
    </row>
    <row r="38" spans="2:15" ht="12" customHeight="1" x14ac:dyDescent="0.2">
      <c r="C38" s="28"/>
      <c r="D38" s="1019"/>
      <c r="E38" s="1019"/>
      <c r="F38" s="1019"/>
      <c r="G38" s="1019"/>
      <c r="H38" s="1019"/>
      <c r="I38" s="1019"/>
      <c r="J38" s="1019"/>
      <c r="K38" s="1019"/>
      <c r="M38" s="1115"/>
    </row>
    <row r="39" spans="2:15" ht="6" customHeight="1" x14ac:dyDescent="0.2">
      <c r="M39" s="291"/>
    </row>
    <row r="40" spans="2:15" ht="11.25" customHeight="1" x14ac:dyDescent="0.2">
      <c r="C40" s="28" t="s">
        <v>514</v>
      </c>
      <c r="D40" s="1106" t="s">
        <v>1104</v>
      </c>
      <c r="E40" s="1019"/>
      <c r="F40" s="1019"/>
      <c r="G40" s="1019"/>
      <c r="H40" s="1019"/>
      <c r="I40" s="1019"/>
      <c r="J40" s="1019"/>
      <c r="K40" s="1019"/>
      <c r="M40" s="1114"/>
    </row>
    <row r="41" spans="2:15" x14ac:dyDescent="0.2">
      <c r="D41" s="1019"/>
      <c r="E41" s="1019"/>
      <c r="F41" s="1019"/>
      <c r="G41" s="1019"/>
      <c r="H41" s="1019"/>
      <c r="I41" s="1019"/>
      <c r="J41" s="1019"/>
      <c r="K41" s="1019"/>
      <c r="M41" s="1114"/>
    </row>
    <row r="42" spans="2:15" x14ac:dyDescent="0.2">
      <c r="I42" s="41"/>
    </row>
    <row r="43" spans="2:15" x14ac:dyDescent="0.2">
      <c r="I43" s="41"/>
    </row>
    <row r="44" spans="2:15" ht="25.5" customHeight="1" x14ac:dyDescent="0.2">
      <c r="B44" s="4" t="s">
        <v>801</v>
      </c>
      <c r="C44" s="1097" t="s">
        <v>554</v>
      </c>
      <c r="D44" s="1098"/>
      <c r="E44" s="1098"/>
      <c r="F44" s="1098"/>
      <c r="G44" s="1098"/>
      <c r="H44" s="1098"/>
      <c r="I44" s="1098"/>
      <c r="J44" s="1098"/>
      <c r="K44" s="1098"/>
      <c r="L44" s="1098"/>
      <c r="M44" s="1098"/>
      <c r="N44" s="1098"/>
      <c r="O44" s="1099"/>
    </row>
    <row r="45" spans="2:15" x14ac:dyDescent="0.2">
      <c r="I45" s="41"/>
    </row>
    <row r="46" spans="2:15" x14ac:dyDescent="0.2">
      <c r="M46" s="3" t="s">
        <v>506</v>
      </c>
    </row>
    <row r="48" spans="2:15" ht="12.75" customHeight="1" x14ac:dyDescent="0.2">
      <c r="C48" s="28" t="s">
        <v>513</v>
      </c>
      <c r="D48" s="1106" t="s">
        <v>1105</v>
      </c>
      <c r="E48" s="1019"/>
      <c r="F48" s="1019"/>
      <c r="G48" s="1019"/>
      <c r="H48" s="1019"/>
      <c r="I48" s="1019"/>
      <c r="J48" s="1019"/>
      <c r="K48" s="1019"/>
      <c r="M48" s="1115"/>
    </row>
    <row r="49" spans="2:15" ht="13.5" customHeight="1" x14ac:dyDescent="0.2">
      <c r="C49" s="28"/>
      <c r="D49" s="1019"/>
      <c r="E49" s="1019"/>
      <c r="F49" s="1019"/>
      <c r="G49" s="1019"/>
      <c r="H49" s="1019"/>
      <c r="I49" s="1019"/>
      <c r="J49" s="1019"/>
      <c r="K49" s="1019"/>
      <c r="M49" s="1115"/>
    </row>
    <row r="50" spans="2:15" ht="6" customHeight="1" x14ac:dyDescent="0.2">
      <c r="M50" s="291"/>
    </row>
    <row r="51" spans="2:15" ht="12.75" customHeight="1" x14ac:dyDescent="0.2">
      <c r="C51" s="28" t="s">
        <v>514</v>
      </c>
      <c r="D51" s="1106" t="s">
        <v>1106</v>
      </c>
      <c r="E51" s="1019"/>
      <c r="F51" s="1019"/>
      <c r="G51" s="1019"/>
      <c r="H51" s="1019"/>
      <c r="I51" s="1019"/>
      <c r="J51" s="1019"/>
      <c r="K51" s="1019"/>
      <c r="M51" s="1114"/>
    </row>
    <row r="52" spans="2:15" x14ac:dyDescent="0.2">
      <c r="D52" s="1019"/>
      <c r="E52" s="1019"/>
      <c r="F52" s="1019"/>
      <c r="G52" s="1019"/>
      <c r="H52" s="1019"/>
      <c r="I52" s="1019"/>
      <c r="J52" s="1019"/>
      <c r="K52" s="1019"/>
      <c r="M52" s="1114"/>
    </row>
    <row r="53" spans="2:15" x14ac:dyDescent="0.2">
      <c r="I53" s="41"/>
    </row>
    <row r="54" spans="2:15" x14ac:dyDescent="0.2">
      <c r="I54" s="41"/>
    </row>
    <row r="55" spans="2:15" ht="25.5" customHeight="1" x14ac:dyDescent="0.2">
      <c r="B55" s="4" t="s">
        <v>807</v>
      </c>
      <c r="C55" s="1097" t="s">
        <v>1109</v>
      </c>
      <c r="D55" s="1098"/>
      <c r="E55" s="1098"/>
      <c r="F55" s="1098"/>
      <c r="G55" s="1098"/>
      <c r="H55" s="1098"/>
      <c r="I55" s="1098"/>
      <c r="J55" s="1098"/>
      <c r="K55" s="1098"/>
      <c r="L55" s="1098"/>
      <c r="M55" s="1098"/>
      <c r="N55" s="1098"/>
      <c r="O55" s="1099"/>
    </row>
    <row r="56" spans="2:15" x14ac:dyDescent="0.2">
      <c r="I56" s="41"/>
    </row>
    <row r="57" spans="2:15" x14ac:dyDescent="0.2">
      <c r="M57" s="3" t="s">
        <v>506</v>
      </c>
    </row>
    <row r="59" spans="2:15" ht="12.75" customHeight="1" x14ac:dyDescent="0.2">
      <c r="C59" s="28" t="s">
        <v>513</v>
      </c>
      <c r="D59" s="1106" t="s">
        <v>1110</v>
      </c>
      <c r="E59" s="1019"/>
      <c r="F59" s="1019"/>
      <c r="G59" s="1019"/>
      <c r="H59" s="1019"/>
      <c r="I59" s="1019"/>
      <c r="J59" s="1019"/>
      <c r="K59" s="1019"/>
      <c r="M59" s="1115"/>
    </row>
    <row r="60" spans="2:15" ht="13.5" customHeight="1" x14ac:dyDescent="0.2">
      <c r="C60" s="28"/>
      <c r="D60" s="1019"/>
      <c r="E60" s="1019"/>
      <c r="F60" s="1019"/>
      <c r="G60" s="1019"/>
      <c r="H60" s="1019"/>
      <c r="I60" s="1019"/>
      <c r="J60" s="1019"/>
      <c r="K60" s="1019"/>
      <c r="M60" s="1115"/>
    </row>
    <row r="61" spans="2:15" ht="6" customHeight="1" x14ac:dyDescent="0.2">
      <c r="M61" s="291"/>
    </row>
    <row r="62" spans="2:15" ht="13.5" customHeight="1" x14ac:dyDescent="0.2">
      <c r="C62" s="28" t="s">
        <v>514</v>
      </c>
      <c r="D62" s="1106" t="s">
        <v>1111</v>
      </c>
      <c r="E62" s="1019"/>
      <c r="F62" s="1019"/>
      <c r="G62" s="1019"/>
      <c r="H62" s="1019"/>
      <c r="I62" s="1019"/>
      <c r="J62" s="1019"/>
      <c r="K62" s="1019"/>
      <c r="M62" s="1114"/>
    </row>
    <row r="63" spans="2:15" x14ac:dyDescent="0.2">
      <c r="D63" s="1019"/>
      <c r="E63" s="1019"/>
      <c r="F63" s="1019"/>
      <c r="G63" s="1019"/>
      <c r="H63" s="1019"/>
      <c r="I63" s="1019"/>
      <c r="J63" s="1019"/>
      <c r="K63" s="1019"/>
      <c r="M63" s="1114"/>
    </row>
    <row r="64" spans="2:15" x14ac:dyDescent="0.2">
      <c r="I64" s="41"/>
    </row>
    <row r="65" spans="2:15" x14ac:dyDescent="0.2">
      <c r="I65" s="41"/>
    </row>
    <row r="66" spans="2:15" ht="25.5" customHeight="1" x14ac:dyDescent="0.2">
      <c r="B66" s="4" t="s">
        <v>823</v>
      </c>
      <c r="C66" s="1097" t="s">
        <v>555</v>
      </c>
      <c r="D66" s="1098"/>
      <c r="E66" s="1098"/>
      <c r="F66" s="1098"/>
      <c r="G66" s="1098"/>
      <c r="H66" s="1098"/>
      <c r="I66" s="1098"/>
      <c r="J66" s="1098"/>
      <c r="K66" s="1098"/>
      <c r="L66" s="1098"/>
      <c r="M66" s="1098"/>
      <c r="N66" s="1098"/>
      <c r="O66" s="1099"/>
    </row>
    <row r="67" spans="2:15" x14ac:dyDescent="0.2">
      <c r="I67" s="41"/>
    </row>
    <row r="68" spans="2:15" x14ac:dyDescent="0.2">
      <c r="M68" s="3" t="s">
        <v>506</v>
      </c>
    </row>
    <row r="70" spans="2:15" x14ac:dyDescent="0.2">
      <c r="C70" s="28" t="s">
        <v>513</v>
      </c>
      <c r="D70" s="1106" t="s">
        <v>1107</v>
      </c>
      <c r="E70" s="1019"/>
      <c r="F70" s="1019"/>
      <c r="G70" s="1019"/>
      <c r="H70" s="1019"/>
      <c r="I70" s="1019"/>
      <c r="J70" s="1019"/>
      <c r="K70" s="1019"/>
      <c r="M70" s="1115"/>
    </row>
    <row r="71" spans="2:15" x14ac:dyDescent="0.2">
      <c r="C71" s="28"/>
      <c r="D71" s="1019"/>
      <c r="E71" s="1019"/>
      <c r="F71" s="1019"/>
      <c r="G71" s="1019"/>
      <c r="H71" s="1019"/>
      <c r="I71" s="1019"/>
      <c r="J71" s="1019"/>
      <c r="K71" s="1019"/>
      <c r="M71" s="1115"/>
    </row>
    <row r="72" spans="2:15" x14ac:dyDescent="0.2">
      <c r="M72" s="291"/>
    </row>
    <row r="73" spans="2:15" x14ac:dyDescent="0.2">
      <c r="C73" s="28" t="s">
        <v>514</v>
      </c>
      <c r="D73" s="1106" t="s">
        <v>1108</v>
      </c>
      <c r="E73" s="1019"/>
      <c r="F73" s="1019"/>
      <c r="G73" s="1019"/>
      <c r="H73" s="1019"/>
      <c r="I73" s="1019"/>
      <c r="J73" s="1019"/>
      <c r="K73" s="1019"/>
      <c r="M73" s="1114"/>
    </row>
    <row r="74" spans="2:15" x14ac:dyDescent="0.2">
      <c r="D74" s="1019"/>
      <c r="E74" s="1019"/>
      <c r="F74" s="1019"/>
      <c r="G74" s="1019"/>
      <c r="H74" s="1019"/>
      <c r="I74" s="1019"/>
      <c r="J74" s="1019"/>
      <c r="K74" s="1019"/>
      <c r="M74" s="1114"/>
    </row>
    <row r="75" spans="2:15" x14ac:dyDescent="0.2">
      <c r="I75" s="41"/>
    </row>
    <row r="76" spans="2:15" ht="36.75" customHeight="1" x14ac:dyDescent="0.2">
      <c r="B76" s="4" t="s">
        <v>715</v>
      </c>
      <c r="C76" s="1100" t="s">
        <v>240</v>
      </c>
      <c r="D76" s="1098"/>
      <c r="E76" s="1098"/>
      <c r="F76" s="1098"/>
      <c r="G76" s="1098"/>
      <c r="H76" s="1098"/>
      <c r="I76" s="1098"/>
      <c r="J76" s="1098"/>
      <c r="K76" s="1098"/>
      <c r="L76" s="1098"/>
      <c r="M76" s="1098"/>
      <c r="N76" s="1098"/>
      <c r="O76" s="1099"/>
    </row>
    <row r="77" spans="2:15" ht="6.75" customHeight="1" x14ac:dyDescent="0.2">
      <c r="I77" s="41"/>
    </row>
    <row r="78" spans="2:15" x14ac:dyDescent="0.2">
      <c r="M78" s="3" t="s">
        <v>506</v>
      </c>
    </row>
    <row r="79" spans="2:15" ht="12.75" customHeight="1" x14ac:dyDescent="0.2">
      <c r="C79" s="28" t="s">
        <v>513</v>
      </c>
      <c r="D79" s="1106" t="s">
        <v>1091</v>
      </c>
      <c r="E79" s="1019"/>
      <c r="F79" s="1019"/>
      <c r="G79" s="1019"/>
      <c r="H79" s="1019"/>
      <c r="I79" s="1019"/>
      <c r="J79" s="1019"/>
      <c r="K79" s="1019"/>
      <c r="M79" s="1126">
        <v>33023</v>
      </c>
    </row>
    <row r="80" spans="2:15" ht="12" customHeight="1" x14ac:dyDescent="0.2">
      <c r="C80" s="28"/>
      <c r="D80" s="1019"/>
      <c r="E80" s="1019"/>
      <c r="F80" s="1019"/>
      <c r="G80" s="1019"/>
      <c r="H80" s="1019"/>
      <c r="I80" s="1019"/>
      <c r="J80" s="1019"/>
      <c r="K80" s="1019"/>
      <c r="M80" s="1115"/>
    </row>
    <row r="81" spans="3:14" ht="6" customHeight="1" x14ac:dyDescent="0.2">
      <c r="M81" s="291"/>
    </row>
    <row r="82" spans="3:14" ht="14.25" customHeight="1" x14ac:dyDescent="0.2">
      <c r="C82" s="28" t="s">
        <v>514</v>
      </c>
      <c r="D82" s="1019" t="s">
        <v>227</v>
      </c>
      <c r="E82" s="1019"/>
      <c r="F82" s="1019"/>
      <c r="G82" s="1019"/>
      <c r="H82" s="1019"/>
      <c r="I82" s="1019"/>
      <c r="J82" s="1019"/>
      <c r="K82" s="1019"/>
      <c r="M82" s="292">
        <v>0</v>
      </c>
      <c r="N82" s="68" t="s">
        <v>336</v>
      </c>
    </row>
    <row r="83" spans="3:14" ht="6.75" customHeight="1" x14ac:dyDescent="0.2">
      <c r="C83" s="28"/>
      <c r="D83" s="24"/>
      <c r="E83" s="24"/>
      <c r="F83" s="24"/>
      <c r="G83" s="24"/>
      <c r="H83" s="24"/>
      <c r="I83" s="24"/>
      <c r="J83" s="24"/>
      <c r="K83" s="24"/>
      <c r="M83" s="71"/>
      <c r="N83" s="68"/>
    </row>
    <row r="84" spans="3:14" ht="13.5" customHeight="1" x14ac:dyDescent="0.2">
      <c r="C84" s="28" t="s">
        <v>515</v>
      </c>
      <c r="D84" s="1019" t="s">
        <v>990</v>
      </c>
      <c r="E84" s="1019"/>
      <c r="F84" s="1019"/>
      <c r="G84" s="1019"/>
      <c r="H84" s="1019"/>
      <c r="I84" s="1019"/>
      <c r="J84" s="1019"/>
      <c r="K84" s="1019"/>
      <c r="M84" s="71"/>
      <c r="N84" s="68"/>
    </row>
    <row r="85" spans="3:14" ht="11.25" customHeight="1" x14ac:dyDescent="0.2">
      <c r="C85" s="28"/>
      <c r="D85" s="1019"/>
      <c r="E85" s="1019"/>
      <c r="F85" s="1019"/>
      <c r="G85" s="1019"/>
      <c r="H85" s="1019"/>
      <c r="I85" s="1019"/>
      <c r="J85" s="1019"/>
      <c r="K85" s="1019"/>
      <c r="M85" s="71"/>
      <c r="N85" s="68"/>
    </row>
    <row r="86" spans="3:14" ht="12.75" customHeight="1" x14ac:dyDescent="0.2">
      <c r="C86" s="28"/>
      <c r="D86" s="24"/>
      <c r="E86" s="24"/>
      <c r="F86" s="24"/>
      <c r="G86" s="24"/>
      <c r="H86" s="24"/>
      <c r="I86" s="24"/>
      <c r="J86" s="24"/>
      <c r="K86" s="67" t="s">
        <v>506</v>
      </c>
      <c r="M86" s="71"/>
      <c r="N86" s="68"/>
    </row>
    <row r="87" spans="3:14" ht="12.75" customHeight="1" x14ac:dyDescent="0.2">
      <c r="C87" s="28"/>
      <c r="D87" s="24"/>
      <c r="E87" s="24"/>
      <c r="F87" t="s">
        <v>189</v>
      </c>
      <c r="K87" s="287"/>
      <c r="M87" s="202"/>
      <c r="N87" s="68"/>
    </row>
    <row r="88" spans="3:14" ht="12.75" customHeight="1" x14ac:dyDescent="0.2">
      <c r="C88" s="28"/>
      <c r="D88" s="24"/>
      <c r="E88" s="24"/>
      <c r="F88" t="s">
        <v>214</v>
      </c>
      <c r="K88" s="287"/>
      <c r="M88" s="202"/>
      <c r="N88" s="68"/>
    </row>
    <row r="89" spans="3:14" ht="12.75" customHeight="1" x14ac:dyDescent="0.2">
      <c r="C89" s="28"/>
      <c r="D89" s="24"/>
      <c r="E89" s="24"/>
      <c r="F89" t="s">
        <v>816</v>
      </c>
      <c r="K89" s="287"/>
      <c r="M89" s="71"/>
      <c r="N89" s="68"/>
    </row>
    <row r="90" spans="3:14" ht="12.75" customHeight="1" x14ac:dyDescent="0.2">
      <c r="C90" s="28"/>
      <c r="D90" s="24"/>
      <c r="E90" s="24"/>
      <c r="F90" t="s">
        <v>805</v>
      </c>
      <c r="K90" s="287"/>
      <c r="M90" s="71"/>
      <c r="N90" s="68"/>
    </row>
    <row r="91" spans="3:14" ht="12.75" customHeight="1" x14ac:dyDescent="0.2">
      <c r="C91" s="28"/>
      <c r="D91" s="24"/>
      <c r="E91" s="24"/>
      <c r="F91" t="s">
        <v>172</v>
      </c>
      <c r="K91" s="287"/>
      <c r="M91" s="71"/>
      <c r="N91" s="68"/>
    </row>
    <row r="92" spans="3:14" ht="12.75" customHeight="1" x14ac:dyDescent="0.2">
      <c r="C92" s="28"/>
      <c r="D92" s="24"/>
      <c r="E92" s="24"/>
      <c r="F92" s="280" t="s">
        <v>726</v>
      </c>
      <c r="K92" s="287"/>
      <c r="M92" s="1127" t="str">
        <f>IF(K93=M82," ","Recheck numbers. Entry is out of balance.")</f>
        <v xml:space="preserve"> </v>
      </c>
      <c r="N92" s="68"/>
    </row>
    <row r="93" spans="3:14" ht="21.75" customHeight="1" thickBot="1" x14ac:dyDescent="0.25">
      <c r="C93" s="28"/>
      <c r="D93" s="24"/>
      <c r="E93" s="24"/>
      <c r="J93" s="68" t="s">
        <v>336</v>
      </c>
      <c r="K93" s="54">
        <f>SUM(K87:K92)</f>
        <v>0</v>
      </c>
      <c r="M93" s="1127"/>
      <c r="N93" s="68"/>
    </row>
    <row r="94" spans="3:14" ht="12.75" customHeight="1" thickTop="1" x14ac:dyDescent="0.2">
      <c r="C94" s="28"/>
      <c r="D94" s="24"/>
      <c r="E94" s="24"/>
      <c r="F94" s="24"/>
      <c r="G94" s="24"/>
      <c r="H94" s="24"/>
      <c r="I94" s="24"/>
      <c r="J94" s="24"/>
      <c r="K94" s="24"/>
      <c r="M94" s="71"/>
      <c r="N94" s="68"/>
    </row>
    <row r="95" spans="3:14" ht="13.5" customHeight="1" x14ac:dyDescent="0.2">
      <c r="C95" s="28" t="s">
        <v>541</v>
      </c>
      <c r="D95" s="1019" t="s">
        <v>1055</v>
      </c>
      <c r="E95" s="1019"/>
      <c r="F95" s="1019"/>
      <c r="G95" s="1019"/>
      <c r="H95" s="1019"/>
      <c r="I95" s="1019"/>
      <c r="J95" s="1019"/>
      <c r="K95" s="1019"/>
      <c r="M95" s="1114">
        <v>28833</v>
      </c>
    </row>
    <row r="96" spans="3:14" ht="12" customHeight="1" x14ac:dyDescent="0.2">
      <c r="C96" s="28"/>
      <c r="D96" s="1019"/>
      <c r="E96" s="1019"/>
      <c r="F96" s="1019"/>
      <c r="G96" s="1019"/>
      <c r="H96" s="1019"/>
      <c r="I96" s="1019"/>
      <c r="J96" s="1019"/>
      <c r="K96" s="1019"/>
      <c r="M96" s="1114"/>
    </row>
    <row r="97" spans="3:15" ht="5.25" customHeight="1" x14ac:dyDescent="0.2">
      <c r="C97" s="28"/>
      <c r="D97" s="24"/>
      <c r="E97" s="24"/>
      <c r="F97" s="24"/>
      <c r="G97" s="24"/>
      <c r="H97" s="24"/>
      <c r="I97" s="24"/>
      <c r="J97" s="24"/>
      <c r="K97" s="24"/>
      <c r="M97" s="23"/>
      <c r="N97" s="68"/>
    </row>
    <row r="98" spans="3:15" ht="15.75" customHeight="1" thickBot="1" x14ac:dyDescent="0.25">
      <c r="C98" s="28"/>
      <c r="D98" s="24"/>
      <c r="E98" s="24"/>
      <c r="F98" s="24"/>
      <c r="H98" s="24"/>
      <c r="I98" t="s">
        <v>923</v>
      </c>
      <c r="J98" s="24"/>
      <c r="K98" s="24"/>
      <c r="M98" s="70">
        <f>M79+M82-M95</f>
        <v>4190</v>
      </c>
      <c r="N98" s="68" t="s">
        <v>337</v>
      </c>
    </row>
    <row r="99" spans="3:15" ht="12.75" customHeight="1" thickTop="1" x14ac:dyDescent="0.2">
      <c r="C99" s="28"/>
      <c r="D99" s="24"/>
      <c r="E99" s="24"/>
      <c r="F99" s="24"/>
      <c r="G99" s="24"/>
      <c r="H99" s="24"/>
      <c r="I99" s="24"/>
      <c r="J99" s="24"/>
      <c r="K99" s="24"/>
      <c r="M99" s="71"/>
      <c r="N99" s="68"/>
    </row>
    <row r="100" spans="3:15" ht="12.75" customHeight="1" x14ac:dyDescent="0.2">
      <c r="C100" s="28" t="s">
        <v>542</v>
      </c>
      <c r="D100" s="1019" t="s">
        <v>1005</v>
      </c>
      <c r="E100" s="1019"/>
      <c r="F100" s="1019"/>
      <c r="G100" s="1019"/>
      <c r="H100" s="1019"/>
      <c r="I100" s="1019"/>
      <c r="J100" s="1019"/>
      <c r="K100" s="1019"/>
    </row>
    <row r="101" spans="3:15" ht="24.75" customHeight="1" x14ac:dyDescent="0.2">
      <c r="C101" s="28"/>
      <c r="D101" s="1019"/>
      <c r="E101" s="1019"/>
      <c r="F101" s="1019"/>
      <c r="G101" s="1019"/>
      <c r="H101" s="1019"/>
      <c r="I101" s="1019"/>
      <c r="J101" s="1019"/>
      <c r="K101" s="1019"/>
    </row>
    <row r="102" spans="3:15" x14ac:dyDescent="0.2">
      <c r="C102" s="28"/>
      <c r="D102" s="24"/>
      <c r="E102" s="24"/>
      <c r="F102" s="24"/>
      <c r="G102" s="24"/>
      <c r="H102" s="24"/>
      <c r="I102" s="24"/>
      <c r="J102" s="24"/>
      <c r="K102" s="67" t="s">
        <v>506</v>
      </c>
    </row>
    <row r="103" spans="3:15" x14ac:dyDescent="0.2">
      <c r="C103" s="28"/>
      <c r="F103" t="s">
        <v>189</v>
      </c>
      <c r="K103" s="287"/>
    </row>
    <row r="104" spans="3:15" x14ac:dyDescent="0.2">
      <c r="C104" s="28"/>
      <c r="F104" t="s">
        <v>214</v>
      </c>
      <c r="K104" s="287"/>
    </row>
    <row r="105" spans="3:15" x14ac:dyDescent="0.2">
      <c r="C105" s="28"/>
      <c r="F105" t="s">
        <v>816</v>
      </c>
      <c r="K105" s="287">
        <v>4190</v>
      </c>
    </row>
    <row r="106" spans="3:15" x14ac:dyDescent="0.2">
      <c r="C106" s="28"/>
      <c r="F106" t="s">
        <v>805</v>
      </c>
      <c r="K106" s="287"/>
    </row>
    <row r="107" spans="3:15" ht="12.75" customHeight="1" x14ac:dyDescent="0.2">
      <c r="C107" s="28"/>
      <c r="F107" t="s">
        <v>172</v>
      </c>
      <c r="K107" s="287"/>
      <c r="M107" s="1101" t="str">
        <f>IF(K109=M98," ","Recheck numbers in steps 1-4. Entry is out of balance")</f>
        <v xml:space="preserve"> </v>
      </c>
    </row>
    <row r="108" spans="3:15" ht="12.75" customHeight="1" x14ac:dyDescent="0.2">
      <c r="C108" s="28"/>
      <c r="F108" s="280" t="s">
        <v>726</v>
      </c>
      <c r="K108" s="287"/>
      <c r="M108" s="1101"/>
    </row>
    <row r="109" spans="3:15" ht="18" customHeight="1" thickBot="1" x14ac:dyDescent="0.4">
      <c r="C109" s="28"/>
      <c r="J109" s="68" t="s">
        <v>337</v>
      </c>
      <c r="K109" s="54">
        <f>SUM(K103:K108)</f>
        <v>4190</v>
      </c>
      <c r="M109" s="1101"/>
      <c r="N109" s="94"/>
      <c r="O109" s="94"/>
    </row>
    <row r="110" spans="3:15" ht="6.75" customHeight="1" thickTop="1" x14ac:dyDescent="0.35">
      <c r="C110" s="28"/>
      <c r="J110" s="68"/>
      <c r="K110" s="34"/>
      <c r="M110" s="115"/>
      <c r="N110" s="94"/>
      <c r="O110" s="94"/>
    </row>
    <row r="111" spans="3:15" x14ac:dyDescent="0.2">
      <c r="D111" s="181" t="s">
        <v>588</v>
      </c>
      <c r="I111" s="10"/>
    </row>
    <row r="112" spans="3:15" x14ac:dyDescent="0.2">
      <c r="I112" s="10"/>
    </row>
    <row r="113" spans="2:15" ht="36.75" customHeight="1" x14ac:dyDescent="0.2">
      <c r="B113" s="4" t="s">
        <v>716</v>
      </c>
      <c r="C113" s="1100" t="s">
        <v>556</v>
      </c>
      <c r="D113" s="1098"/>
      <c r="E113" s="1098"/>
      <c r="F113" s="1098"/>
      <c r="G113" s="1098"/>
      <c r="H113" s="1098"/>
      <c r="I113" s="1098"/>
      <c r="J113" s="1098"/>
      <c r="K113" s="1098"/>
      <c r="L113" s="1098"/>
      <c r="M113" s="1098"/>
      <c r="N113" s="1098"/>
      <c r="O113" s="1099"/>
    </row>
    <row r="114" spans="2:15" ht="3" customHeight="1" x14ac:dyDescent="0.2">
      <c r="B114" s="4"/>
      <c r="C114" s="226"/>
      <c r="D114" s="4"/>
      <c r="E114" s="4"/>
      <c r="F114" s="4"/>
      <c r="G114" s="4"/>
      <c r="H114" s="4"/>
      <c r="I114" s="4"/>
      <c r="J114" s="4"/>
      <c r="K114" s="4"/>
      <c r="L114" s="4"/>
      <c r="M114" s="4"/>
      <c r="N114" s="4"/>
      <c r="O114" s="4"/>
    </row>
    <row r="115" spans="2:15" x14ac:dyDescent="0.2">
      <c r="M115" s="3" t="s">
        <v>506</v>
      </c>
    </row>
    <row r="116" spans="2:15" ht="12.75" customHeight="1" x14ac:dyDescent="0.2">
      <c r="C116" s="28" t="s">
        <v>513</v>
      </c>
      <c r="D116" s="1106" t="s">
        <v>1091</v>
      </c>
      <c r="E116" s="1019"/>
      <c r="F116" s="1019"/>
      <c r="G116" s="1019"/>
      <c r="H116" s="1019"/>
      <c r="I116" s="1019"/>
      <c r="J116" s="1019"/>
      <c r="K116" s="1019"/>
      <c r="M116" s="1115"/>
    </row>
    <row r="117" spans="2:15" ht="14.25" customHeight="1" x14ac:dyDescent="0.2">
      <c r="C117" s="28"/>
      <c r="D117" s="1019"/>
      <c r="E117" s="1019"/>
      <c r="F117" s="1019"/>
      <c r="G117" s="1019"/>
      <c r="H117" s="1019"/>
      <c r="I117" s="1019"/>
      <c r="J117" s="1019"/>
      <c r="K117" s="1019"/>
      <c r="M117" s="1115"/>
    </row>
    <row r="118" spans="2:15" ht="6.75" customHeight="1" x14ac:dyDescent="0.2">
      <c r="C118" s="28"/>
      <c r="D118" s="24"/>
      <c r="E118" s="24"/>
      <c r="F118" s="24"/>
      <c r="G118" s="24"/>
      <c r="H118" s="24"/>
      <c r="I118" s="24"/>
      <c r="J118" s="24"/>
      <c r="K118" s="24"/>
      <c r="M118" s="294"/>
    </row>
    <row r="119" spans="2:15" ht="18.75" customHeight="1" x14ac:dyDescent="0.2">
      <c r="C119" s="28" t="s">
        <v>514</v>
      </c>
      <c r="D119" s="1019" t="s">
        <v>959</v>
      </c>
      <c r="E119" s="1019"/>
      <c r="F119" s="1019"/>
      <c r="G119" s="1019"/>
      <c r="H119" s="1019"/>
      <c r="I119" s="1019"/>
      <c r="J119" s="1019"/>
      <c r="K119" s="1019"/>
      <c r="M119" s="293"/>
    </row>
    <row r="120" spans="2:15" ht="12.75" customHeight="1" x14ac:dyDescent="0.2">
      <c r="C120" s="28"/>
      <c r="D120" s="24"/>
      <c r="E120" s="24"/>
      <c r="F120" s="24"/>
      <c r="G120" s="24"/>
      <c r="H120" s="24"/>
      <c r="I120" s="24"/>
      <c r="J120" s="24"/>
      <c r="K120" s="24"/>
      <c r="M120" s="177"/>
      <c r="N120" s="68"/>
    </row>
    <row r="121" spans="2:15" ht="12.75" customHeight="1" x14ac:dyDescent="0.2">
      <c r="C121" s="28" t="s">
        <v>515</v>
      </c>
      <c r="D121" s="1019" t="s">
        <v>958</v>
      </c>
      <c r="E121" s="1019"/>
      <c r="F121" s="1019"/>
      <c r="G121" s="1019"/>
      <c r="H121" s="1019"/>
      <c r="I121" s="1019"/>
      <c r="J121" s="1019"/>
      <c r="K121" s="1019"/>
      <c r="M121" s="177"/>
      <c r="N121" s="68"/>
    </row>
    <row r="122" spans="2:15" ht="12.75" customHeight="1" x14ac:dyDescent="0.2">
      <c r="C122" s="28"/>
      <c r="D122" s="1019"/>
      <c r="E122" s="1019"/>
      <c r="F122" s="1019"/>
      <c r="G122" s="1019"/>
      <c r="H122" s="1019"/>
      <c r="I122" s="1019"/>
      <c r="J122" s="1019"/>
      <c r="K122" s="1019"/>
      <c r="M122" s="177"/>
      <c r="N122" s="68"/>
    </row>
    <row r="123" spans="2:15" ht="12.75" customHeight="1" x14ac:dyDescent="0.2">
      <c r="C123" s="28"/>
      <c r="D123" s="24"/>
      <c r="E123" s="24"/>
      <c r="F123" s="24"/>
      <c r="G123" s="24"/>
      <c r="H123" s="24"/>
      <c r="I123" s="24"/>
      <c r="J123" s="24"/>
      <c r="K123" s="67" t="s">
        <v>506</v>
      </c>
      <c r="M123" s="105"/>
      <c r="N123" s="68"/>
    </row>
    <row r="124" spans="2:15" ht="12.75" customHeight="1" x14ac:dyDescent="0.2">
      <c r="C124" s="28"/>
      <c r="D124" s="24"/>
      <c r="E124" s="24"/>
      <c r="F124" t="s">
        <v>189</v>
      </c>
      <c r="K124" s="287"/>
      <c r="M124" s="105"/>
      <c r="N124" s="68"/>
    </row>
    <row r="125" spans="2:15" ht="12.75" customHeight="1" x14ac:dyDescent="0.2">
      <c r="C125" s="28"/>
      <c r="D125" s="24"/>
      <c r="E125" s="24"/>
      <c r="F125" t="s">
        <v>214</v>
      </c>
      <c r="K125" s="287"/>
      <c r="M125" s="105"/>
      <c r="N125" s="68"/>
    </row>
    <row r="126" spans="2:15" ht="12.75" customHeight="1" x14ac:dyDescent="0.2">
      <c r="C126" s="28"/>
      <c r="D126" s="24"/>
      <c r="E126" s="24"/>
      <c r="F126" t="s">
        <v>816</v>
      </c>
      <c r="K126" s="287"/>
      <c r="M126" s="105"/>
      <c r="N126" s="68"/>
    </row>
    <row r="127" spans="2:15" ht="12.75" customHeight="1" x14ac:dyDescent="0.2">
      <c r="C127" s="28"/>
      <c r="D127" s="24"/>
      <c r="E127" s="24"/>
      <c r="F127" t="s">
        <v>805</v>
      </c>
      <c r="K127" s="287"/>
      <c r="M127" s="105"/>
      <c r="N127" s="68"/>
    </row>
    <row r="128" spans="2:15" ht="12.75" customHeight="1" x14ac:dyDescent="0.2">
      <c r="C128" s="28"/>
      <c r="D128" s="24"/>
      <c r="E128" s="24"/>
      <c r="F128" t="s">
        <v>172</v>
      </c>
      <c r="K128" s="287"/>
      <c r="M128" s="1117" t="str">
        <f>IF(K130=M119," ","Recheck numbers. Entry is out of balance.")</f>
        <v xml:space="preserve"> </v>
      </c>
      <c r="N128" s="68"/>
    </row>
    <row r="129" spans="3:14" ht="12.75" customHeight="1" x14ac:dyDescent="0.2">
      <c r="C129" s="28"/>
      <c r="D129" s="24"/>
      <c r="E129" s="24"/>
      <c r="F129" s="280" t="s">
        <v>726</v>
      </c>
      <c r="K129" s="287"/>
      <c r="M129" s="1117"/>
      <c r="N129" s="68"/>
    </row>
    <row r="130" spans="3:14" ht="18" customHeight="1" thickBot="1" x14ac:dyDescent="0.25">
      <c r="C130" s="28"/>
      <c r="D130" s="24"/>
      <c r="E130" s="24"/>
      <c r="J130" s="68" t="s">
        <v>466</v>
      </c>
      <c r="K130" s="54">
        <f>SUM(K124:K129)</f>
        <v>0</v>
      </c>
      <c r="M130" s="1117"/>
      <c r="N130" s="68"/>
    </row>
    <row r="131" spans="3:14" ht="12.75" customHeight="1" thickTop="1" x14ac:dyDescent="0.2">
      <c r="C131" s="28"/>
      <c r="D131" s="24"/>
      <c r="E131" s="24"/>
      <c r="F131" s="24"/>
      <c r="G131" s="24"/>
      <c r="H131" s="24"/>
      <c r="I131" s="24"/>
      <c r="J131" s="24"/>
      <c r="K131" s="24"/>
      <c r="M131" s="105"/>
      <c r="N131" s="68"/>
    </row>
    <row r="132" spans="3:14" ht="12.75" customHeight="1" x14ac:dyDescent="0.2">
      <c r="C132" s="28" t="s">
        <v>541</v>
      </c>
      <c r="D132" s="1106" t="s">
        <v>1055</v>
      </c>
      <c r="E132" s="1019"/>
      <c r="F132" s="1019"/>
      <c r="G132" s="1019"/>
      <c r="H132" s="1019"/>
      <c r="I132" s="1019"/>
      <c r="J132" s="1019"/>
      <c r="K132" s="1019"/>
      <c r="M132" s="1114"/>
    </row>
    <row r="133" spans="3:14" ht="13.5" customHeight="1" x14ac:dyDescent="0.2">
      <c r="C133" s="28"/>
      <c r="D133" s="1019"/>
      <c r="E133" s="1019"/>
      <c r="F133" s="1019"/>
      <c r="G133" s="1019"/>
      <c r="H133" s="1019"/>
      <c r="I133" s="1019"/>
      <c r="J133" s="1019"/>
      <c r="K133" s="1019"/>
      <c r="M133" s="1114"/>
    </row>
    <row r="134" spans="3:14" ht="5.25" customHeight="1" x14ac:dyDescent="0.2">
      <c r="M134" s="1"/>
    </row>
    <row r="135" spans="3:14" ht="15.75" customHeight="1" thickBot="1" x14ac:dyDescent="0.25">
      <c r="I135" t="s">
        <v>923</v>
      </c>
      <c r="M135" s="70">
        <f>M116+M119-M132</f>
        <v>0</v>
      </c>
      <c r="N135" s="68" t="s">
        <v>191</v>
      </c>
    </row>
    <row r="136" spans="3:14" ht="12.75" customHeight="1" thickTop="1" x14ac:dyDescent="0.2">
      <c r="M136" s="1"/>
    </row>
    <row r="137" spans="3:14" ht="12.75" customHeight="1" x14ac:dyDescent="0.2">
      <c r="C137" s="28" t="s">
        <v>542</v>
      </c>
      <c r="D137" s="1019" t="s">
        <v>10</v>
      </c>
      <c r="E137" s="1019"/>
      <c r="F137" s="1019"/>
      <c r="G137" s="1019"/>
      <c r="H137" s="1019"/>
      <c r="I137" s="1019"/>
      <c r="J137" s="1019"/>
      <c r="K137" s="1019"/>
      <c r="M137" s="66"/>
    </row>
    <row r="138" spans="3:14" ht="24" customHeight="1" x14ac:dyDescent="0.2">
      <c r="C138" s="28"/>
      <c r="D138" s="1019"/>
      <c r="E138" s="1019"/>
      <c r="F138" s="1019"/>
      <c r="G138" s="1019"/>
      <c r="H138" s="1019"/>
      <c r="I138" s="1019"/>
      <c r="J138" s="1019"/>
      <c r="K138" s="1019"/>
      <c r="M138" s="66"/>
    </row>
    <row r="139" spans="3:14" ht="12.75" customHeight="1" x14ac:dyDescent="0.2">
      <c r="C139" s="28"/>
      <c r="D139" s="24"/>
      <c r="E139" s="24"/>
      <c r="F139" s="24"/>
      <c r="G139" s="24"/>
      <c r="H139" s="24"/>
      <c r="I139" s="24"/>
      <c r="J139" s="24"/>
      <c r="K139" s="67" t="s">
        <v>506</v>
      </c>
      <c r="M139" s="66"/>
    </row>
    <row r="140" spans="3:14" x14ac:dyDescent="0.2">
      <c r="C140" s="28"/>
      <c r="F140" t="s">
        <v>189</v>
      </c>
      <c r="K140" s="287"/>
      <c r="M140" s="66"/>
    </row>
    <row r="141" spans="3:14" x14ac:dyDescent="0.2">
      <c r="C141" s="28"/>
      <c r="F141" t="s">
        <v>989</v>
      </c>
      <c r="K141" s="287"/>
      <c r="M141" s="66"/>
    </row>
    <row r="142" spans="3:14" x14ac:dyDescent="0.2">
      <c r="C142" s="28"/>
      <c r="F142" t="s">
        <v>816</v>
      </c>
      <c r="K142" s="287"/>
      <c r="M142" s="66"/>
    </row>
    <row r="143" spans="3:14" x14ac:dyDescent="0.2">
      <c r="C143" s="28"/>
      <c r="F143" t="s">
        <v>190</v>
      </c>
      <c r="K143" s="287"/>
      <c r="M143" s="66"/>
    </row>
    <row r="144" spans="3:14" ht="12.75" customHeight="1" x14ac:dyDescent="0.25">
      <c r="C144" s="28"/>
      <c r="F144" t="s">
        <v>172</v>
      </c>
      <c r="K144" s="287"/>
      <c r="M144" s="111"/>
    </row>
    <row r="145" spans="2:15" ht="12.75" customHeight="1" x14ac:dyDescent="0.2">
      <c r="C145" s="28"/>
      <c r="F145" s="280" t="s">
        <v>726</v>
      </c>
      <c r="K145" s="287"/>
      <c r="M145" s="1125" t="str">
        <f>IF(K146=M135," ","Recheck numbers in steps 1-4. Entry is out of balance.")</f>
        <v xml:space="preserve"> </v>
      </c>
    </row>
    <row r="146" spans="2:15" ht="30.75" customHeight="1" thickBot="1" x14ac:dyDescent="0.3">
      <c r="C146" s="28"/>
      <c r="J146" s="68" t="s">
        <v>191</v>
      </c>
      <c r="K146" s="54">
        <f>SUM(K140:K145)</f>
        <v>0</v>
      </c>
      <c r="M146" s="1125"/>
      <c r="N146" s="111"/>
      <c r="O146" s="111"/>
    </row>
    <row r="147" spans="2:15" ht="5.25" customHeight="1" thickTop="1" x14ac:dyDescent="0.2">
      <c r="I147" s="10"/>
    </row>
    <row r="148" spans="2:15" x14ac:dyDescent="0.2">
      <c r="D148" s="181" t="s">
        <v>588</v>
      </c>
      <c r="I148" s="10"/>
    </row>
    <row r="149" spans="2:15" x14ac:dyDescent="0.2">
      <c r="I149" s="10"/>
    </row>
    <row r="150" spans="2:15" ht="26.25" customHeight="1" x14ac:dyDescent="0.2">
      <c r="B150" s="4" t="s">
        <v>785</v>
      </c>
      <c r="C150" s="1100" t="s">
        <v>295</v>
      </c>
      <c r="D150" s="1110"/>
      <c r="E150" s="1110"/>
      <c r="F150" s="1110"/>
      <c r="G150" s="1110"/>
      <c r="H150" s="1110"/>
      <c r="I150" s="1110"/>
      <c r="J150" s="1110"/>
      <c r="K150" s="1110"/>
      <c r="L150" s="1110"/>
      <c r="M150" s="1110"/>
      <c r="N150" s="1110"/>
      <c r="O150" s="1111"/>
    </row>
    <row r="151" spans="2:15" x14ac:dyDescent="0.2">
      <c r="I151" s="10"/>
    </row>
    <row r="152" spans="2:15" ht="27" customHeight="1" x14ac:dyDescent="0.2">
      <c r="C152" s="1116" t="s">
        <v>991</v>
      </c>
      <c r="D152" s="1116"/>
      <c r="E152" s="1116"/>
      <c r="F152" s="1116"/>
      <c r="G152" s="1116"/>
      <c r="H152" s="1116"/>
      <c r="I152" s="1116"/>
      <c r="J152" s="1116"/>
      <c r="K152" s="1116"/>
      <c r="L152" s="1116"/>
      <c r="M152" s="1116"/>
      <c r="N152" s="1116"/>
      <c r="O152" s="1116"/>
    </row>
    <row r="153" spans="2:15" x14ac:dyDescent="0.2">
      <c r="M153" s="3" t="s">
        <v>506</v>
      </c>
    </row>
    <row r="155" spans="2:15" ht="14.25" customHeight="1" x14ac:dyDescent="0.2">
      <c r="C155" s="28" t="s">
        <v>513</v>
      </c>
      <c r="D155" s="1122" t="s">
        <v>4205</v>
      </c>
      <c r="E155" s="1123"/>
      <c r="F155" s="1123"/>
      <c r="G155" s="1123"/>
      <c r="H155" s="1123"/>
      <c r="I155" s="1123"/>
      <c r="J155" s="1123"/>
      <c r="K155" s="1123"/>
      <c r="L155" s="1123"/>
      <c r="M155" s="1115">
        <v>1773077</v>
      </c>
      <c r="N155" s="68" t="s">
        <v>11</v>
      </c>
      <c r="O155" s="2"/>
    </row>
    <row r="156" spans="2:15" ht="54" customHeight="1" x14ac:dyDescent="0.2">
      <c r="C156" s="28"/>
      <c r="D156" s="1123"/>
      <c r="E156" s="1123"/>
      <c r="F156" s="1123"/>
      <c r="G156" s="1123"/>
      <c r="H156" s="1123"/>
      <c r="I156" s="1123"/>
      <c r="J156" s="1123"/>
      <c r="K156" s="1123"/>
      <c r="L156" s="1123"/>
      <c r="M156" s="1115"/>
      <c r="N156" s="68"/>
      <c r="O156" s="2"/>
    </row>
    <row r="157" spans="2:15" ht="37.5" customHeight="1" x14ac:dyDescent="0.2">
      <c r="D157" s="24"/>
      <c r="E157" s="24"/>
      <c r="F157" s="24"/>
      <c r="G157" s="24"/>
      <c r="H157" s="110" t="s">
        <v>924</v>
      </c>
      <c r="I157" s="109" t="s">
        <v>945</v>
      </c>
      <c r="J157" s="24"/>
      <c r="K157" s="109" t="s">
        <v>986</v>
      </c>
      <c r="M157" s="109" t="s">
        <v>72</v>
      </c>
    </row>
    <row r="158" spans="2:15" ht="12.75" customHeight="1" x14ac:dyDescent="0.2">
      <c r="D158" s="24"/>
      <c r="E158" s="24"/>
      <c r="F158" s="24"/>
      <c r="G158" s="24"/>
      <c r="H158" s="24"/>
      <c r="I158" s="108" t="s">
        <v>506</v>
      </c>
      <c r="J158" s="107"/>
      <c r="K158" s="108" t="s">
        <v>506</v>
      </c>
      <c r="M158" s="108" t="s">
        <v>506</v>
      </c>
    </row>
    <row r="159" spans="2:15" ht="12.75" customHeight="1" x14ac:dyDescent="0.2">
      <c r="D159" s="112" t="s">
        <v>189</v>
      </c>
      <c r="I159" s="287"/>
      <c r="K159" s="287"/>
      <c r="M159" s="287"/>
    </row>
    <row r="160" spans="2:15" ht="12.75" customHeight="1" x14ac:dyDescent="0.2">
      <c r="D160" s="112" t="s">
        <v>988</v>
      </c>
      <c r="I160" s="287"/>
      <c r="K160" s="287"/>
      <c r="M160" s="287"/>
    </row>
    <row r="161" spans="3:15" ht="12.75" customHeight="1" x14ac:dyDescent="0.2">
      <c r="D161" s="112" t="s">
        <v>989</v>
      </c>
      <c r="I161" s="287"/>
      <c r="K161" s="287"/>
      <c r="M161" s="287"/>
    </row>
    <row r="162" spans="3:15" ht="12.75" customHeight="1" x14ac:dyDescent="0.2">
      <c r="D162" s="112" t="s">
        <v>816</v>
      </c>
      <c r="I162" s="287"/>
      <c r="K162" s="287"/>
      <c r="M162" s="287"/>
    </row>
    <row r="163" spans="3:15" ht="12.75" customHeight="1" x14ac:dyDescent="0.2">
      <c r="D163" s="112" t="s">
        <v>190</v>
      </c>
      <c r="I163" s="287"/>
      <c r="K163" s="287"/>
      <c r="M163" s="287"/>
    </row>
    <row r="164" spans="3:15" ht="12.75" customHeight="1" x14ac:dyDescent="0.2">
      <c r="D164" s="112" t="s">
        <v>4204</v>
      </c>
      <c r="I164" s="287">
        <v>1773077</v>
      </c>
      <c r="K164" s="287"/>
      <c r="M164" s="287"/>
    </row>
    <row r="165" spans="3:15" ht="12.75" customHeight="1" x14ac:dyDescent="0.2">
      <c r="D165" s="112" t="s">
        <v>306</v>
      </c>
      <c r="I165" s="287"/>
      <c r="K165" s="287"/>
      <c r="M165" s="287"/>
      <c r="O165" s="1030" t="str">
        <f>IF(O169=M155," ","Recheck numbers. Entry is out of balance.")</f>
        <v xml:space="preserve"> </v>
      </c>
    </row>
    <row r="166" spans="3:15" ht="12.75" customHeight="1" x14ac:dyDescent="0.2">
      <c r="D166" s="112" t="s">
        <v>172</v>
      </c>
      <c r="I166" s="287"/>
      <c r="K166" s="287"/>
      <c r="M166" s="287"/>
      <c r="O166" s="1030"/>
    </row>
    <row r="167" spans="3:15" ht="12.75" customHeight="1" x14ac:dyDescent="0.2">
      <c r="D167" s="318" t="s">
        <v>726</v>
      </c>
      <c r="I167" s="287"/>
      <c r="K167" s="287"/>
      <c r="M167" s="287"/>
      <c r="O167" s="1030"/>
    </row>
    <row r="168" spans="3:15" ht="12.75" customHeight="1" x14ac:dyDescent="0.2">
      <c r="D168" s="112" t="s">
        <v>850</v>
      </c>
      <c r="F168" s="6"/>
      <c r="G168" s="6"/>
      <c r="H168" s="287"/>
      <c r="I168" s="56" t="s">
        <v>822</v>
      </c>
      <c r="K168" s="56" t="s">
        <v>822</v>
      </c>
      <c r="M168" s="56" t="s">
        <v>822</v>
      </c>
    </row>
    <row r="169" spans="3:15" ht="15.75" customHeight="1" thickBot="1" x14ac:dyDescent="0.25">
      <c r="H169" s="54">
        <f>SUM(H168)</f>
        <v>0</v>
      </c>
      <c r="I169" s="54">
        <f>SUM(I159:I167)</f>
        <v>1773077</v>
      </c>
      <c r="K169" s="54">
        <f>SUM(K159:K167)</f>
        <v>0</v>
      </c>
      <c r="M169" s="54">
        <f>SUM(M159:M167)</f>
        <v>0</v>
      </c>
      <c r="N169" s="68" t="s">
        <v>11</v>
      </c>
      <c r="O169" s="65">
        <f>H169+I169+K169+M169</f>
        <v>1773077</v>
      </c>
    </row>
    <row r="170" spans="3:15" ht="12.75" customHeight="1" thickTop="1" x14ac:dyDescent="0.2">
      <c r="H170" s="34"/>
      <c r="I170" s="34"/>
      <c r="K170" s="34"/>
      <c r="M170" s="34"/>
      <c r="N170" s="68"/>
      <c r="O170" s="5"/>
    </row>
    <row r="171" spans="3:15" ht="12.75" customHeight="1" x14ac:dyDescent="0.2">
      <c r="C171" s="38" t="s">
        <v>950</v>
      </c>
    </row>
    <row r="172" spans="3:15" ht="12.75" customHeight="1" x14ac:dyDescent="0.2">
      <c r="C172" s="38"/>
    </row>
    <row r="173" spans="3:15" ht="12.75" customHeight="1" x14ac:dyDescent="0.2">
      <c r="M173" s="1"/>
    </row>
    <row r="174" spans="3:15" ht="12.75" customHeight="1" x14ac:dyDescent="0.2">
      <c r="C174" s="28" t="s">
        <v>514</v>
      </c>
      <c r="D174" s="1122" t="s">
        <v>4206</v>
      </c>
      <c r="E174" s="1123"/>
      <c r="F174" s="1123"/>
      <c r="G174" s="1123"/>
      <c r="H174" s="1123"/>
      <c r="I174" s="1123"/>
      <c r="J174" s="1123"/>
      <c r="K174" s="1123"/>
      <c r="M174" s="1114">
        <f>1938038-1773077</f>
        <v>164961</v>
      </c>
      <c r="O174" s="2"/>
    </row>
    <row r="175" spans="3:15" ht="52.15" customHeight="1" x14ac:dyDescent="0.2">
      <c r="C175" s="28"/>
      <c r="D175" s="1123"/>
      <c r="E175" s="1123"/>
      <c r="F175" s="1123"/>
      <c r="G175" s="1123"/>
      <c r="H175" s="1123"/>
      <c r="I175" s="1123"/>
      <c r="J175" s="1123"/>
      <c r="K175" s="1123"/>
      <c r="M175" s="1114"/>
      <c r="N175" s="68" t="s">
        <v>12</v>
      </c>
      <c r="O175" s="2" t="s">
        <v>4214</v>
      </c>
    </row>
    <row r="176" spans="3:15" x14ac:dyDescent="0.2">
      <c r="M176" s="1"/>
    </row>
    <row r="177" spans="3:16" ht="12.75" customHeight="1" x14ac:dyDescent="0.2">
      <c r="C177" s="28" t="s">
        <v>515</v>
      </c>
      <c r="D177" s="1019" t="s">
        <v>781</v>
      </c>
      <c r="E177" s="1019"/>
      <c r="F177" s="1019"/>
      <c r="G177" s="1019"/>
      <c r="H177" s="1019"/>
      <c r="I177" s="1019"/>
      <c r="J177" s="1019"/>
      <c r="K177" s="1019"/>
    </row>
    <row r="178" spans="3:16" ht="12.75" customHeight="1" x14ac:dyDescent="0.2">
      <c r="C178" s="28"/>
      <c r="D178" s="1019"/>
      <c r="E178" s="1019"/>
      <c r="F178" s="1019"/>
      <c r="G178" s="1019"/>
      <c r="H178" s="1019"/>
      <c r="I178" s="1019"/>
      <c r="J178" s="1019"/>
      <c r="K178" s="1019"/>
    </row>
    <row r="179" spans="3:16" ht="35.25" customHeight="1" x14ac:dyDescent="0.2">
      <c r="C179" s="28"/>
      <c r="D179" s="24"/>
      <c r="E179" s="24"/>
      <c r="F179" s="24"/>
      <c r="G179" s="24"/>
      <c r="H179" s="110" t="s">
        <v>924</v>
      </c>
      <c r="I179" s="109" t="s">
        <v>945</v>
      </c>
      <c r="J179" s="24"/>
      <c r="K179" s="109" t="s">
        <v>986</v>
      </c>
      <c r="M179" s="109" t="s">
        <v>72</v>
      </c>
    </row>
    <row r="180" spans="3:16" x14ac:dyDescent="0.2">
      <c r="C180" s="28"/>
      <c r="D180" s="24"/>
      <c r="E180" s="24"/>
      <c r="F180" s="24"/>
      <c r="G180" s="24"/>
      <c r="H180" s="24"/>
      <c r="I180" s="108" t="s">
        <v>506</v>
      </c>
      <c r="J180" s="107"/>
      <c r="K180" s="108" t="s">
        <v>506</v>
      </c>
      <c r="M180" s="108" t="s">
        <v>506</v>
      </c>
    </row>
    <row r="181" spans="3:16" x14ac:dyDescent="0.2">
      <c r="C181" s="28"/>
      <c r="D181" s="112" t="s">
        <v>189</v>
      </c>
      <c r="I181" s="287"/>
      <c r="K181" s="287"/>
      <c r="M181" s="287"/>
    </row>
    <row r="182" spans="3:16" x14ac:dyDescent="0.2">
      <c r="C182" s="28"/>
      <c r="D182" s="112" t="s">
        <v>988</v>
      </c>
      <c r="I182" s="287"/>
      <c r="K182" s="287"/>
      <c r="M182" s="287"/>
    </row>
    <row r="183" spans="3:16" x14ac:dyDescent="0.2">
      <c r="C183" s="28"/>
      <c r="D183" s="112" t="s">
        <v>989</v>
      </c>
      <c r="I183" s="287"/>
      <c r="K183" s="287"/>
      <c r="M183" s="287"/>
    </row>
    <row r="184" spans="3:16" x14ac:dyDescent="0.2">
      <c r="C184" s="28"/>
      <c r="D184" s="112" t="s">
        <v>816</v>
      </c>
      <c r="I184" s="287"/>
      <c r="K184" s="287"/>
      <c r="M184" s="287"/>
    </row>
    <row r="185" spans="3:16" x14ac:dyDescent="0.2">
      <c r="C185" s="28"/>
      <c r="D185" s="112" t="s">
        <v>190</v>
      </c>
      <c r="I185" s="287"/>
      <c r="K185" s="287"/>
      <c r="M185" s="287"/>
    </row>
    <row r="186" spans="3:16" x14ac:dyDescent="0.2">
      <c r="C186" s="28"/>
      <c r="D186" s="112" t="s">
        <v>4204</v>
      </c>
      <c r="I186" s="287">
        <v>164961</v>
      </c>
      <c r="K186" s="287"/>
      <c r="M186" s="287"/>
      <c r="O186" t="s">
        <v>49</v>
      </c>
    </row>
    <row r="187" spans="3:16" x14ac:dyDescent="0.2">
      <c r="C187" s="28"/>
      <c r="D187" s="112" t="s">
        <v>306</v>
      </c>
      <c r="I187" s="287"/>
      <c r="K187" s="287"/>
      <c r="M187" s="287"/>
      <c r="O187" s="1030" t="str">
        <f>IF(O191=M174," ","Recheck numbers in steps 2 &amp; 3. Entry is out of balance.")</f>
        <v xml:space="preserve"> </v>
      </c>
    </row>
    <row r="188" spans="3:16" x14ac:dyDescent="0.2">
      <c r="C188" s="28"/>
      <c r="D188" s="112" t="s">
        <v>172</v>
      </c>
      <c r="I188" s="287"/>
      <c r="K188" s="287"/>
      <c r="M188" s="287"/>
      <c r="O188" s="1030"/>
      <c r="P188" s="124"/>
    </row>
    <row r="189" spans="3:16" ht="13.5" customHeight="1" x14ac:dyDescent="0.2">
      <c r="C189" s="28"/>
      <c r="D189" s="318" t="s">
        <v>726</v>
      </c>
      <c r="I189" s="287"/>
      <c r="K189" s="287"/>
      <c r="M189" s="287"/>
      <c r="O189" s="1030"/>
      <c r="P189" s="124"/>
    </row>
    <row r="190" spans="3:16" x14ac:dyDescent="0.2">
      <c r="C190" s="28"/>
      <c r="D190" s="112" t="s">
        <v>850</v>
      </c>
      <c r="F190" s="6"/>
      <c r="G190" s="6"/>
      <c r="H190" s="287"/>
      <c r="I190" s="56" t="s">
        <v>822</v>
      </c>
      <c r="K190" s="56" t="s">
        <v>822</v>
      </c>
      <c r="M190" s="56" t="s">
        <v>822</v>
      </c>
      <c r="O190" s="124"/>
      <c r="P190" s="124"/>
    </row>
    <row r="191" spans="3:16" ht="15.75" customHeight="1" thickBot="1" x14ac:dyDescent="0.25">
      <c r="C191" s="28"/>
      <c r="H191" s="54">
        <f>SUM(H190)</f>
        <v>0</v>
      </c>
      <c r="I191" s="54">
        <f>SUM(I181:I189)</f>
        <v>164961</v>
      </c>
      <c r="K191" s="54">
        <f>SUM(K181:K189)</f>
        <v>0</v>
      </c>
      <c r="L191" s="34">
        <f>SUM(L181:L189)</f>
        <v>0</v>
      </c>
      <c r="M191" s="54">
        <f>SUM(M181:M189)</f>
        <v>0</v>
      </c>
      <c r="N191" s="106" t="s">
        <v>12</v>
      </c>
      <c r="O191" s="65">
        <f>H191+I191+K191+M191</f>
        <v>164961</v>
      </c>
    </row>
    <row r="192" spans="3:16" ht="15" customHeight="1" thickTop="1" x14ac:dyDescent="0.2">
      <c r="C192" s="28"/>
      <c r="H192" s="34"/>
      <c r="I192" s="34"/>
      <c r="K192" s="34"/>
      <c r="L192" s="34"/>
      <c r="M192" s="34"/>
      <c r="N192" s="106"/>
      <c r="O192" s="5"/>
    </row>
    <row r="193" spans="2:15" ht="15.75" customHeight="1" x14ac:dyDescent="0.2">
      <c r="C193" s="38" t="s">
        <v>950</v>
      </c>
      <c r="H193" s="34"/>
      <c r="I193" s="34"/>
      <c r="K193" s="34"/>
      <c r="M193" s="34"/>
      <c r="N193" s="106"/>
      <c r="O193" s="5"/>
    </row>
    <row r="194" spans="2:15" ht="15.75" customHeight="1" x14ac:dyDescent="0.2">
      <c r="C194" s="38"/>
      <c r="H194" s="34"/>
      <c r="I194" s="34"/>
      <c r="K194" s="34"/>
      <c r="M194" s="34"/>
      <c r="N194" s="106"/>
      <c r="O194" s="5"/>
    </row>
    <row r="195" spans="2:15" ht="25.5" customHeight="1" x14ac:dyDescent="0.2">
      <c r="B195" s="265" t="s">
        <v>993</v>
      </c>
      <c r="C195" s="1097" t="s">
        <v>906</v>
      </c>
      <c r="D195" s="1112"/>
      <c r="E195" s="1112"/>
      <c r="F195" s="1112"/>
      <c r="G195" s="1112"/>
      <c r="H195" s="1112"/>
      <c r="I195" s="1112"/>
      <c r="J195" s="1112"/>
      <c r="K195" s="1112"/>
      <c r="L195" s="1112"/>
      <c r="M195" s="1112"/>
      <c r="N195" s="1112"/>
      <c r="O195" s="1113"/>
    </row>
    <row r="196" spans="2:15" ht="15.75" customHeight="1" x14ac:dyDescent="0.2">
      <c r="C196" s="38"/>
      <c r="H196" s="34"/>
      <c r="I196" s="34"/>
      <c r="K196" s="34"/>
      <c r="M196" s="34"/>
      <c r="N196" s="106"/>
      <c r="O196" s="5"/>
    </row>
    <row r="197" spans="2:15" ht="18" customHeight="1" x14ac:dyDescent="0.2">
      <c r="C197" s="160" t="s">
        <v>513</v>
      </c>
      <c r="D197" t="s">
        <v>787</v>
      </c>
      <c r="H197" s="34"/>
      <c r="I197" s="34"/>
      <c r="K197" s="285"/>
      <c r="M197" s="34"/>
      <c r="N197" s="106"/>
      <c r="O197" s="5"/>
    </row>
    <row r="198" spans="2:15" ht="6" customHeight="1" x14ac:dyDescent="0.2">
      <c r="C198" s="158"/>
      <c r="H198" s="34"/>
      <c r="I198" s="34"/>
      <c r="K198" s="283"/>
      <c r="M198" s="34"/>
      <c r="N198" s="106"/>
      <c r="O198" s="5"/>
    </row>
    <row r="199" spans="2:15" ht="17.25" customHeight="1" x14ac:dyDescent="0.2">
      <c r="C199" s="160" t="s">
        <v>514</v>
      </c>
      <c r="D199" t="s">
        <v>780</v>
      </c>
      <c r="H199" s="34"/>
      <c r="I199" s="34"/>
      <c r="K199" s="285"/>
      <c r="M199" s="34"/>
      <c r="N199" s="106"/>
      <c r="O199" s="5"/>
    </row>
    <row r="200" spans="2:15" ht="4.5" customHeight="1" x14ac:dyDescent="0.2">
      <c r="C200" s="38"/>
      <c r="H200" s="34"/>
      <c r="I200" s="34"/>
      <c r="K200" s="34"/>
      <c r="M200" s="34"/>
      <c r="N200" s="106"/>
      <c r="O200" s="5"/>
    </row>
    <row r="201" spans="2:15" ht="12.75" customHeight="1" x14ac:dyDescent="0.2">
      <c r="C201" s="38"/>
      <c r="D201" s="2" t="s">
        <v>789</v>
      </c>
      <c r="H201" s="34"/>
      <c r="I201" s="34"/>
      <c r="K201" s="34"/>
      <c r="M201" s="34"/>
      <c r="N201" s="106"/>
      <c r="O201" s="5"/>
    </row>
    <row r="202" spans="2:15" ht="12.75" customHeight="1" x14ac:dyDescent="0.2">
      <c r="C202" s="38"/>
      <c r="H202" s="34"/>
      <c r="I202" s="34"/>
      <c r="K202" s="34"/>
      <c r="M202" s="34"/>
      <c r="N202" s="106"/>
      <c r="O202" s="5"/>
    </row>
    <row r="203" spans="2:15" ht="7.5" customHeight="1" x14ac:dyDescent="0.2"/>
    <row r="204" spans="2:15" ht="25.5" customHeight="1" x14ac:dyDescent="0.2">
      <c r="B204" s="4" t="s">
        <v>786</v>
      </c>
      <c r="C204" s="1097" t="s">
        <v>13</v>
      </c>
      <c r="D204" s="1098"/>
      <c r="E204" s="1098"/>
      <c r="F204" s="1098"/>
      <c r="G204" s="1098"/>
      <c r="H204" s="1098"/>
      <c r="I204" s="1098"/>
      <c r="J204" s="1098"/>
      <c r="K204" s="1098"/>
      <c r="L204" s="1098"/>
      <c r="M204" s="1098"/>
      <c r="N204" s="1098"/>
      <c r="O204" s="1099"/>
    </row>
    <row r="205" spans="2:15" ht="6.75" customHeight="1" x14ac:dyDescent="0.2">
      <c r="B205" s="4"/>
      <c r="C205" s="4"/>
      <c r="D205" s="4"/>
      <c r="E205" s="4"/>
      <c r="F205" s="4"/>
      <c r="G205" s="4"/>
      <c r="H205" s="4"/>
      <c r="I205" s="4"/>
    </row>
    <row r="206" spans="2:15" x14ac:dyDescent="0.2">
      <c r="K206" s="36" t="s">
        <v>509</v>
      </c>
      <c r="L206" s="27"/>
      <c r="M206" s="36" t="s">
        <v>510</v>
      </c>
    </row>
    <row r="207" spans="2:15" x14ac:dyDescent="0.2">
      <c r="B207" t="s">
        <v>196</v>
      </c>
      <c r="C207" t="s">
        <v>764</v>
      </c>
      <c r="K207" s="194">
        <f>AE258</f>
        <v>0</v>
      </c>
      <c r="L207" s="27"/>
      <c r="M207" s="90"/>
    </row>
    <row r="208" spans="2:15" x14ac:dyDescent="0.2">
      <c r="C208" s="158" t="s">
        <v>1051</v>
      </c>
      <c r="I208" s="1"/>
      <c r="K208" s="62">
        <f>AE259</f>
        <v>1938038</v>
      </c>
      <c r="L208" s="71"/>
      <c r="M208" s="62">
        <f>AF259</f>
        <v>0</v>
      </c>
    </row>
    <row r="209" spans="3:13" x14ac:dyDescent="0.2">
      <c r="C209" s="579" t="s">
        <v>4207</v>
      </c>
      <c r="I209" s="1"/>
      <c r="K209" s="62">
        <f>AE260</f>
        <v>28833</v>
      </c>
      <c r="L209" s="71"/>
      <c r="M209" s="62"/>
    </row>
    <row r="210" spans="3:13" x14ac:dyDescent="0.2">
      <c r="C210" s="112" t="s">
        <v>717</v>
      </c>
      <c r="D210" s="112"/>
      <c r="E210" s="112"/>
      <c r="F210" s="112"/>
      <c r="I210" s="1"/>
      <c r="K210" s="62">
        <f t="shared" ref="K210:K216" si="0">AE261</f>
        <v>0</v>
      </c>
      <c r="L210" s="71"/>
      <c r="M210" s="62">
        <f t="shared" ref="M210:M216" si="1">AF261</f>
        <v>0</v>
      </c>
    </row>
    <row r="211" spans="3:13" x14ac:dyDescent="0.2">
      <c r="C211" s="112" t="s">
        <v>719</v>
      </c>
      <c r="D211" s="112"/>
      <c r="E211" s="112"/>
      <c r="F211" s="112"/>
      <c r="I211" s="1"/>
      <c r="K211" s="62">
        <f t="shared" si="0"/>
        <v>0</v>
      </c>
      <c r="L211" s="71"/>
      <c r="M211" s="62">
        <f t="shared" si="1"/>
        <v>0</v>
      </c>
    </row>
    <row r="212" spans="3:13" x14ac:dyDescent="0.2">
      <c r="C212" s="112" t="s">
        <v>718</v>
      </c>
      <c r="D212" s="112"/>
      <c r="E212" s="112"/>
      <c r="F212" s="112"/>
      <c r="I212" s="1"/>
      <c r="K212" s="62">
        <f t="shared" si="0"/>
        <v>0</v>
      </c>
      <c r="L212" s="71"/>
      <c r="M212" s="62">
        <f t="shared" si="1"/>
        <v>0</v>
      </c>
    </row>
    <row r="213" spans="3:13" x14ac:dyDescent="0.2">
      <c r="C213" s="112" t="s">
        <v>327</v>
      </c>
      <c r="D213" s="112"/>
      <c r="E213" s="112"/>
      <c r="F213" s="112"/>
      <c r="I213" s="1"/>
      <c r="K213" s="62">
        <f t="shared" si="0"/>
        <v>0</v>
      </c>
      <c r="L213" s="71"/>
      <c r="M213" s="62">
        <f t="shared" si="1"/>
        <v>0</v>
      </c>
    </row>
    <row r="214" spans="3:13" ht="12.75" customHeight="1" x14ac:dyDescent="0.2">
      <c r="C214" s="112" t="s">
        <v>714</v>
      </c>
      <c r="D214" s="112"/>
      <c r="E214" s="112"/>
      <c r="F214" s="112"/>
      <c r="I214" s="1"/>
      <c r="K214" s="62">
        <f t="shared" si="0"/>
        <v>0</v>
      </c>
      <c r="L214" s="71"/>
      <c r="M214" s="62">
        <f t="shared" si="1"/>
        <v>0</v>
      </c>
    </row>
    <row r="215" spans="3:13" x14ac:dyDescent="0.2">
      <c r="C215" s="112" t="s">
        <v>907</v>
      </c>
      <c r="D215" s="112"/>
      <c r="E215" s="112"/>
      <c r="F215" s="112"/>
      <c r="K215" s="62">
        <f t="shared" si="0"/>
        <v>0</v>
      </c>
      <c r="L215" s="71"/>
      <c r="M215" s="62">
        <f t="shared" si="1"/>
        <v>0</v>
      </c>
    </row>
    <row r="216" spans="3:13" x14ac:dyDescent="0.2">
      <c r="C216" s="112" t="s">
        <v>886</v>
      </c>
      <c r="D216" s="112"/>
      <c r="E216" s="112"/>
      <c r="F216" s="112"/>
      <c r="K216" s="62">
        <f t="shared" si="0"/>
        <v>0</v>
      </c>
      <c r="L216" s="71"/>
      <c r="M216" s="62">
        <f t="shared" si="1"/>
        <v>0</v>
      </c>
    </row>
    <row r="217" spans="3:13" ht="5.25" customHeight="1" x14ac:dyDescent="0.2">
      <c r="C217" s="112"/>
      <c r="D217" s="112"/>
      <c r="E217" s="112"/>
      <c r="F217" s="112"/>
      <c r="K217" s="62"/>
      <c r="L217" s="71"/>
      <c r="M217" s="62"/>
    </row>
    <row r="218" spans="3:13" x14ac:dyDescent="0.2">
      <c r="C218" s="112" t="s">
        <v>329</v>
      </c>
      <c r="E218" s="112"/>
      <c r="F218" s="112"/>
      <c r="K218" s="11">
        <f>AE270</f>
        <v>0</v>
      </c>
      <c r="M218" s="11">
        <f>AF270</f>
        <v>0</v>
      </c>
    </row>
    <row r="219" spans="3:13" ht="12.75" customHeight="1" x14ac:dyDescent="0.2">
      <c r="C219" s="112" t="s">
        <v>330</v>
      </c>
      <c r="E219" s="112"/>
      <c r="F219" s="112"/>
      <c r="K219" s="11">
        <f t="shared" ref="K219:K226" si="2">AE271</f>
        <v>0</v>
      </c>
      <c r="M219" s="11">
        <f>AF271</f>
        <v>0</v>
      </c>
    </row>
    <row r="220" spans="3:13" ht="12.75" customHeight="1" x14ac:dyDescent="0.2">
      <c r="C220" s="112" t="s">
        <v>331</v>
      </c>
      <c r="E220" s="112"/>
      <c r="F220" s="112"/>
      <c r="K220" s="11">
        <f t="shared" si="2"/>
        <v>0</v>
      </c>
      <c r="M220" s="11">
        <f t="shared" ref="M220:M226" si="3">AF272</f>
        <v>0</v>
      </c>
    </row>
    <row r="221" spans="3:13" ht="12.75" customHeight="1" x14ac:dyDescent="0.2">
      <c r="C221" s="112" t="s">
        <v>332</v>
      </c>
      <c r="E221" s="112"/>
      <c r="F221" s="112"/>
      <c r="K221" s="11">
        <f t="shared" si="2"/>
        <v>0</v>
      </c>
      <c r="M221" s="11">
        <f t="shared" si="3"/>
        <v>0</v>
      </c>
    </row>
    <row r="222" spans="3:13" ht="12.75" customHeight="1" x14ac:dyDescent="0.2">
      <c r="C222" s="112" t="s">
        <v>333</v>
      </c>
      <c r="E222" s="112"/>
      <c r="F222" s="112"/>
      <c r="K222" s="11">
        <f t="shared" si="2"/>
        <v>0</v>
      </c>
      <c r="M222" s="11">
        <f t="shared" si="3"/>
        <v>0</v>
      </c>
    </row>
    <row r="223" spans="3:13" ht="12.75" customHeight="1" x14ac:dyDescent="0.2">
      <c r="C223" s="112" t="s">
        <v>334</v>
      </c>
      <c r="E223" s="112"/>
      <c r="F223" s="112"/>
      <c r="K223" s="11">
        <f t="shared" si="2"/>
        <v>0</v>
      </c>
      <c r="M223" s="11">
        <f t="shared" si="3"/>
        <v>164961</v>
      </c>
    </row>
    <row r="224" spans="3:13" ht="12.75" customHeight="1" x14ac:dyDescent="0.2">
      <c r="C224" s="112" t="s">
        <v>335</v>
      </c>
      <c r="E224" s="112"/>
      <c r="F224" s="112"/>
      <c r="K224" s="11">
        <f t="shared" si="2"/>
        <v>0</v>
      </c>
      <c r="M224" s="11">
        <f t="shared" si="3"/>
        <v>0</v>
      </c>
    </row>
    <row r="225" spans="3:13" ht="12.75" customHeight="1" x14ac:dyDescent="0.2">
      <c r="C225" s="112" t="s">
        <v>173</v>
      </c>
      <c r="E225" s="112"/>
      <c r="F225" s="112"/>
      <c r="K225" s="11">
        <f t="shared" si="2"/>
        <v>0</v>
      </c>
      <c r="M225" s="11">
        <f t="shared" si="3"/>
        <v>0</v>
      </c>
    </row>
    <row r="226" spans="3:13" x14ac:dyDescent="0.2">
      <c r="C226" s="318" t="s">
        <v>301</v>
      </c>
      <c r="E226" s="112"/>
      <c r="F226" s="112"/>
      <c r="K226" s="11">
        <f t="shared" si="2"/>
        <v>0</v>
      </c>
      <c r="M226" s="11">
        <f t="shared" si="3"/>
        <v>0</v>
      </c>
    </row>
    <row r="227" spans="3:13" ht="2.25" customHeight="1" x14ac:dyDescent="0.2">
      <c r="C227" s="112"/>
      <c r="D227" s="112"/>
      <c r="E227" s="112"/>
      <c r="F227" s="112"/>
      <c r="K227" s="57"/>
      <c r="M227" s="11"/>
    </row>
    <row r="228" spans="3:13" x14ac:dyDescent="0.2">
      <c r="C228" s="112" t="s">
        <v>73</v>
      </c>
      <c r="E228" s="112"/>
      <c r="F228" s="112"/>
      <c r="K228" s="11">
        <f>AE280</f>
        <v>0</v>
      </c>
      <c r="M228" s="11">
        <f>AF280</f>
        <v>0</v>
      </c>
    </row>
    <row r="229" spans="3:13" x14ac:dyDescent="0.2">
      <c r="C229" s="112" t="s">
        <v>467</v>
      </c>
      <c r="E229" s="112"/>
      <c r="F229" s="112"/>
      <c r="K229" s="11">
        <f t="shared" ref="K229:K236" si="4">AE281</f>
        <v>0</v>
      </c>
      <c r="M229" s="11">
        <f>AF281</f>
        <v>0</v>
      </c>
    </row>
    <row r="230" spans="3:13" x14ac:dyDescent="0.2">
      <c r="C230" s="112" t="s">
        <v>74</v>
      </c>
      <c r="E230" s="112"/>
      <c r="F230" s="112"/>
      <c r="K230" s="11">
        <f t="shared" si="4"/>
        <v>0</v>
      </c>
      <c r="M230" s="11">
        <f t="shared" ref="M230:M236" si="5">AF282</f>
        <v>0</v>
      </c>
    </row>
    <row r="231" spans="3:13" x14ac:dyDescent="0.2">
      <c r="C231" s="112" t="s">
        <v>75</v>
      </c>
      <c r="E231" s="112"/>
      <c r="F231" s="112"/>
      <c r="K231" s="11">
        <f t="shared" si="4"/>
        <v>0</v>
      </c>
      <c r="M231" s="11">
        <f t="shared" si="5"/>
        <v>0</v>
      </c>
    </row>
    <row r="232" spans="3:13" x14ac:dyDescent="0.2">
      <c r="C232" s="112" t="s">
        <v>76</v>
      </c>
      <c r="E232" s="112"/>
      <c r="F232" s="112"/>
      <c r="K232" s="11">
        <f t="shared" si="4"/>
        <v>0</v>
      </c>
      <c r="M232" s="11">
        <f t="shared" si="5"/>
        <v>0</v>
      </c>
    </row>
    <row r="233" spans="3:13" x14ac:dyDescent="0.2">
      <c r="C233" s="112" t="s">
        <v>77</v>
      </c>
      <c r="E233" s="112"/>
      <c r="F233" s="112"/>
      <c r="K233" s="11">
        <f t="shared" si="4"/>
        <v>0</v>
      </c>
      <c r="M233" s="11">
        <f t="shared" si="5"/>
        <v>0</v>
      </c>
    </row>
    <row r="234" spans="3:13" x14ac:dyDescent="0.2">
      <c r="C234" s="112" t="s">
        <v>922</v>
      </c>
      <c r="E234" s="112"/>
      <c r="F234" s="112"/>
      <c r="K234" s="11">
        <f t="shared" si="4"/>
        <v>0</v>
      </c>
      <c r="M234" s="11">
        <f t="shared" si="5"/>
        <v>0</v>
      </c>
    </row>
    <row r="235" spans="3:13" x14ac:dyDescent="0.2">
      <c r="C235" s="112" t="s">
        <v>174</v>
      </c>
      <c r="E235" s="112"/>
      <c r="F235" s="112"/>
      <c r="K235" s="11">
        <f t="shared" si="4"/>
        <v>0</v>
      </c>
      <c r="M235" s="11">
        <f t="shared" si="5"/>
        <v>0</v>
      </c>
    </row>
    <row r="236" spans="3:13" x14ac:dyDescent="0.2">
      <c r="C236" s="318" t="s">
        <v>302</v>
      </c>
      <c r="E236" s="112"/>
      <c r="F236" s="112"/>
      <c r="K236" s="11">
        <f t="shared" si="4"/>
        <v>0</v>
      </c>
      <c r="M236" s="11">
        <f t="shared" si="5"/>
        <v>0</v>
      </c>
    </row>
    <row r="237" spans="3:13" ht="2.25" customHeight="1" x14ac:dyDescent="0.2">
      <c r="C237" s="112"/>
      <c r="D237" s="112"/>
      <c r="E237" s="112"/>
      <c r="F237" s="112"/>
      <c r="K237" s="57"/>
      <c r="M237" s="11"/>
    </row>
    <row r="238" spans="3:13" x14ac:dyDescent="0.2">
      <c r="C238" s="112" t="s">
        <v>465</v>
      </c>
      <c r="E238" s="112"/>
      <c r="F238" s="112"/>
      <c r="K238" s="11">
        <f>AE290</f>
        <v>0</v>
      </c>
      <c r="M238" s="11">
        <f>AF290</f>
        <v>0</v>
      </c>
    </row>
    <row r="239" spans="3:13" x14ac:dyDescent="0.2">
      <c r="C239" s="112" t="s">
        <v>338</v>
      </c>
      <c r="E239" s="112"/>
      <c r="F239" s="112"/>
      <c r="K239" s="11">
        <f t="shared" ref="K239:K246" si="6">AE291</f>
        <v>0</v>
      </c>
      <c r="M239" s="11">
        <f t="shared" ref="M239:M246" si="7">AF291</f>
        <v>0</v>
      </c>
    </row>
    <row r="240" spans="3:13" x14ac:dyDescent="0.2">
      <c r="C240" s="112" t="s">
        <v>339</v>
      </c>
      <c r="E240" s="112"/>
      <c r="F240" s="112"/>
      <c r="K240" s="11">
        <f t="shared" si="6"/>
        <v>0</v>
      </c>
      <c r="M240" s="11">
        <f t="shared" si="7"/>
        <v>0</v>
      </c>
    </row>
    <row r="241" spans="2:32" x14ac:dyDescent="0.2">
      <c r="C241" s="112" t="s">
        <v>417</v>
      </c>
      <c r="E241" s="112"/>
      <c r="F241" s="112"/>
      <c r="K241" s="11">
        <f t="shared" si="6"/>
        <v>4190</v>
      </c>
      <c r="M241" s="11">
        <f t="shared" si="7"/>
        <v>0</v>
      </c>
    </row>
    <row r="242" spans="2:32" x14ac:dyDescent="0.2">
      <c r="C242" s="112" t="s">
        <v>418</v>
      </c>
      <c r="E242" s="112"/>
      <c r="F242" s="112"/>
      <c r="K242" s="11">
        <f t="shared" si="6"/>
        <v>0</v>
      </c>
      <c r="M242" s="11">
        <f t="shared" si="7"/>
        <v>0</v>
      </c>
    </row>
    <row r="243" spans="2:32" x14ac:dyDescent="0.2">
      <c r="C243" s="112" t="s">
        <v>881</v>
      </c>
      <c r="E243" s="112"/>
      <c r="F243" s="112"/>
      <c r="K243" s="11">
        <f t="shared" si="6"/>
        <v>0</v>
      </c>
      <c r="M243" s="11">
        <f t="shared" si="7"/>
        <v>0</v>
      </c>
    </row>
    <row r="244" spans="2:32" x14ac:dyDescent="0.2">
      <c r="C244" s="112" t="s">
        <v>882</v>
      </c>
      <c r="E244" s="112"/>
      <c r="F244" s="112"/>
      <c r="K244" s="11">
        <f t="shared" si="6"/>
        <v>0</v>
      </c>
      <c r="M244" s="11">
        <f t="shared" si="7"/>
        <v>0</v>
      </c>
    </row>
    <row r="245" spans="2:32" x14ac:dyDescent="0.2">
      <c r="C245" s="112" t="s">
        <v>175</v>
      </c>
      <c r="E245" s="112"/>
      <c r="F245" s="112"/>
      <c r="K245" s="11">
        <f t="shared" si="6"/>
        <v>0</v>
      </c>
      <c r="M245" s="11">
        <f t="shared" si="7"/>
        <v>0</v>
      </c>
    </row>
    <row r="246" spans="2:32" x14ac:dyDescent="0.2">
      <c r="C246" s="318" t="s">
        <v>303</v>
      </c>
      <c r="E246" s="112"/>
      <c r="F246" s="112"/>
      <c r="K246" s="11">
        <f t="shared" si="6"/>
        <v>0</v>
      </c>
      <c r="M246" s="11">
        <f t="shared" si="7"/>
        <v>0</v>
      </c>
    </row>
    <row r="247" spans="2:32" x14ac:dyDescent="0.2">
      <c r="C247" s="112"/>
      <c r="D247" t="s">
        <v>790</v>
      </c>
      <c r="E247" s="112"/>
      <c r="F247" s="112"/>
      <c r="K247" s="11">
        <f>AE268</f>
        <v>0</v>
      </c>
      <c r="M247" s="11">
        <f>AF268</f>
        <v>1806100</v>
      </c>
    </row>
    <row r="248" spans="2:32" ht="13.5" thickBot="1" x14ac:dyDescent="0.25">
      <c r="K248" s="58">
        <f>SUM(K207:K247)</f>
        <v>1971061</v>
      </c>
      <c r="L248" s="5"/>
      <c r="M248" s="58">
        <f>SUM(M207:M247)</f>
        <v>1971061</v>
      </c>
    </row>
    <row r="249" spans="2:32" ht="13.5" thickTop="1" x14ac:dyDescent="0.2"/>
    <row r="250" spans="2:32" x14ac:dyDescent="0.2">
      <c r="C250" s="181" t="s">
        <v>588</v>
      </c>
      <c r="D250" s="2"/>
      <c r="E250" s="2"/>
      <c r="F250" s="2"/>
      <c r="G250" s="2"/>
      <c r="H250" s="2"/>
      <c r="I250" s="2"/>
      <c r="J250" s="2"/>
      <c r="K250" s="2"/>
      <c r="L250" s="2"/>
      <c r="M250" s="2"/>
    </row>
    <row r="253" spans="2:32" x14ac:dyDescent="0.2">
      <c r="B253" s="1120" t="s">
        <v>328</v>
      </c>
      <c r="C253" s="1121"/>
      <c r="D253" s="1121"/>
      <c r="E253" s="1121"/>
      <c r="F253" s="1121"/>
      <c r="G253" s="1121"/>
      <c r="H253" s="1121"/>
      <c r="I253" s="1121"/>
      <c r="J253" s="1121"/>
      <c r="K253" s="1121"/>
      <c r="L253" s="1121"/>
      <c r="M253" s="1121"/>
      <c r="N253" s="1121"/>
      <c r="O253" s="1121"/>
      <c r="P253" s="1121"/>
      <c r="Q253" s="1121"/>
      <c r="R253" s="1121"/>
      <c r="S253" s="1121"/>
      <c r="T253" s="1121"/>
      <c r="U253" s="1121"/>
      <c r="V253" s="1121"/>
      <c r="W253" s="1121"/>
      <c r="X253" s="1121"/>
      <c r="Y253" s="1121"/>
      <c r="Z253" s="1121"/>
      <c r="AA253" s="1121"/>
      <c r="AB253" s="1121"/>
      <c r="AC253" s="1121"/>
      <c r="AD253" s="1121"/>
    </row>
    <row r="254" spans="2:32" x14ac:dyDescent="0.2">
      <c r="B254" s="1120"/>
      <c r="C254" s="1121"/>
      <c r="D254" s="1121"/>
      <c r="E254" s="1121"/>
      <c r="F254" s="1121"/>
      <c r="G254" s="1121"/>
      <c r="H254" s="1121"/>
      <c r="I254" s="1121"/>
      <c r="J254" s="1121"/>
      <c r="K254" s="1121"/>
      <c r="L254" s="1121"/>
      <c r="M254" s="1121"/>
      <c r="N254" s="1121"/>
      <c r="O254" s="1121"/>
      <c r="P254" s="1121"/>
      <c r="Q254" s="1121"/>
      <c r="R254" s="1121"/>
      <c r="S254" s="1121"/>
      <c r="T254" s="1121"/>
      <c r="U254" s="1121"/>
      <c r="V254" s="1121"/>
      <c r="W254" s="1121"/>
      <c r="X254" s="1121"/>
      <c r="Y254" s="1121"/>
      <c r="Z254" s="1121"/>
      <c r="AA254" s="1121"/>
      <c r="AB254" s="1121"/>
      <c r="AC254" s="1121"/>
      <c r="AD254" s="1121"/>
    </row>
    <row r="256" spans="2:32" x14ac:dyDescent="0.2">
      <c r="I256" s="1118" t="s">
        <v>297</v>
      </c>
      <c r="J256" s="1124"/>
      <c r="K256" s="1119"/>
      <c r="M256" s="1118" t="s">
        <v>696</v>
      </c>
      <c r="N256" s="1124"/>
      <c r="O256" s="1119"/>
      <c r="Q256" s="1118" t="s">
        <v>697</v>
      </c>
      <c r="R256" s="1119"/>
      <c r="S256" s="1118" t="s">
        <v>698</v>
      </c>
      <c r="T256" s="1119"/>
      <c r="U256" s="1118" t="s">
        <v>298</v>
      </c>
      <c r="V256" s="1119"/>
      <c r="W256" s="1118" t="s">
        <v>299</v>
      </c>
      <c r="X256" s="1119"/>
      <c r="Y256" s="1118" t="s">
        <v>300</v>
      </c>
      <c r="Z256" s="1119"/>
      <c r="AA256" s="1118" t="s">
        <v>322</v>
      </c>
      <c r="AB256" s="1119"/>
      <c r="AC256" s="1118" t="s">
        <v>788</v>
      </c>
      <c r="AD256" s="1119"/>
      <c r="AE256" s="1118" t="s">
        <v>902</v>
      </c>
      <c r="AF256" s="1119"/>
    </row>
    <row r="257" spans="2:32" x14ac:dyDescent="0.2">
      <c r="I257" s="50" t="s">
        <v>509</v>
      </c>
      <c r="J257" s="8"/>
      <c r="K257" s="51" t="s">
        <v>510</v>
      </c>
      <c r="M257" s="50" t="s">
        <v>509</v>
      </c>
      <c r="N257" s="3"/>
      <c r="O257" s="51" t="s">
        <v>510</v>
      </c>
      <c r="Q257" s="50" t="s">
        <v>509</v>
      </c>
      <c r="R257" s="51" t="s">
        <v>510</v>
      </c>
      <c r="S257" s="50" t="s">
        <v>509</v>
      </c>
      <c r="T257" s="51" t="s">
        <v>510</v>
      </c>
      <c r="U257" s="3" t="s">
        <v>858</v>
      </c>
      <c r="V257" s="3" t="s">
        <v>510</v>
      </c>
      <c r="W257" s="50" t="s">
        <v>509</v>
      </c>
      <c r="X257" s="51" t="s">
        <v>510</v>
      </c>
      <c r="Y257" s="50" t="s">
        <v>509</v>
      </c>
      <c r="Z257" s="51" t="s">
        <v>510</v>
      </c>
      <c r="AA257" s="50" t="s">
        <v>509</v>
      </c>
      <c r="AB257" s="51" t="s">
        <v>510</v>
      </c>
      <c r="AC257" s="3" t="s">
        <v>858</v>
      </c>
      <c r="AD257" s="3" t="s">
        <v>510</v>
      </c>
      <c r="AE257" s="50" t="s">
        <v>858</v>
      </c>
      <c r="AF257" s="51" t="s">
        <v>510</v>
      </c>
    </row>
    <row r="258" spans="2:32" x14ac:dyDescent="0.2">
      <c r="B258" t="s">
        <v>196</v>
      </c>
      <c r="C258" t="s">
        <v>764</v>
      </c>
      <c r="AC258" s="114">
        <f>K199</f>
        <v>0</v>
      </c>
      <c r="AE258" s="114">
        <f>I258+M258+Q258+S258+U258+W258+Y258+AA258+AC258</f>
        <v>0</v>
      </c>
    </row>
    <row r="259" spans="2:32" x14ac:dyDescent="0.2">
      <c r="C259" s="158" t="s">
        <v>1051</v>
      </c>
      <c r="I259" s="113">
        <f>M29</f>
        <v>0</v>
      </c>
      <c r="J259" s="113"/>
      <c r="K259" s="113"/>
      <c r="L259" s="25"/>
      <c r="M259" s="113">
        <f>M40</f>
        <v>0</v>
      </c>
      <c r="N259" s="113"/>
      <c r="O259" s="113"/>
      <c r="P259" s="25"/>
      <c r="Q259" s="35">
        <f>M51</f>
        <v>0</v>
      </c>
      <c r="R259" s="114"/>
      <c r="S259" s="35">
        <f>M62</f>
        <v>0</v>
      </c>
      <c r="T259" s="114"/>
      <c r="U259" s="114">
        <f>M73</f>
        <v>0</v>
      </c>
      <c r="V259" s="114"/>
      <c r="W259" s="35"/>
      <c r="X259" s="114"/>
      <c r="Y259" s="35">
        <f>M116+M119</f>
        <v>0</v>
      </c>
      <c r="Z259" s="114">
        <f>M135</f>
        <v>0</v>
      </c>
      <c r="AA259" s="35">
        <f>I164+M174</f>
        <v>1938038</v>
      </c>
      <c r="AB259" s="114"/>
      <c r="AD259" s="114"/>
      <c r="AE259" s="114">
        <f t="shared" ref="AE259:AE298" si="8">I259+M259+Q259+S259+U259+W259+Y259+AA259+AC259</f>
        <v>1938038</v>
      </c>
      <c r="AF259" s="114">
        <f>K259+O259+R259+T259+V259+X259+Z259+AB259+AD259</f>
        <v>0</v>
      </c>
    </row>
    <row r="260" spans="2:32" x14ac:dyDescent="0.2">
      <c r="C260" s="579" t="s">
        <v>4208</v>
      </c>
      <c r="I260" s="113"/>
      <c r="J260" s="113"/>
      <c r="K260" s="113"/>
      <c r="L260" s="25"/>
      <c r="M260" s="113"/>
      <c r="N260" s="113"/>
      <c r="O260" s="113"/>
      <c r="P260" s="25"/>
      <c r="Q260" s="35"/>
      <c r="R260" s="114"/>
      <c r="S260" s="35"/>
      <c r="T260" s="114"/>
      <c r="U260" s="114"/>
      <c r="V260" s="114"/>
      <c r="W260" s="35">
        <f>M95</f>
        <v>28833</v>
      </c>
      <c r="X260" s="114"/>
      <c r="Y260" s="35"/>
      <c r="Z260" s="114"/>
      <c r="AA260" s="35"/>
      <c r="AB260" s="114"/>
      <c r="AD260" s="114"/>
      <c r="AE260" s="114">
        <f t="shared" ref="AE260" si="9">I260+M260+Q260+S260+U260+W260+Y260+AA260+AC260</f>
        <v>28833</v>
      </c>
      <c r="AF260" s="114">
        <f>K260+O260+R260+T260+V260+X260+Z260+AB260+AD260</f>
        <v>0</v>
      </c>
    </row>
    <row r="261" spans="2:32" x14ac:dyDescent="0.2">
      <c r="C261" s="112" t="s">
        <v>717</v>
      </c>
      <c r="D261" s="112"/>
      <c r="E261" s="112"/>
      <c r="F261" s="112"/>
      <c r="I261" s="25"/>
      <c r="J261" s="25"/>
      <c r="K261" s="25"/>
      <c r="L261" s="25"/>
      <c r="M261" s="25"/>
      <c r="N261" s="25"/>
      <c r="O261" s="25"/>
      <c r="P261" s="25"/>
      <c r="Q261" s="25"/>
      <c r="R261" s="25"/>
      <c r="S261" s="25"/>
      <c r="T261" s="25"/>
      <c r="U261" s="25"/>
      <c r="V261" s="25"/>
      <c r="W261" s="25"/>
      <c r="X261" s="25"/>
      <c r="Y261" s="25"/>
      <c r="Z261" s="25"/>
      <c r="AA261" s="25"/>
      <c r="AB261" s="25"/>
      <c r="AC261" s="25"/>
      <c r="AD261" s="25"/>
      <c r="AE261" s="114">
        <f t="shared" si="8"/>
        <v>0</v>
      </c>
      <c r="AF261" s="114">
        <f t="shared" ref="AF261:AF298" si="10">K261+O261+R261+T261+V261+X261+Z261+AB261+AD261</f>
        <v>0</v>
      </c>
    </row>
    <row r="262" spans="2:32" x14ac:dyDescent="0.2">
      <c r="C262" s="112" t="s">
        <v>719</v>
      </c>
      <c r="D262" s="112"/>
      <c r="E262" s="112"/>
      <c r="F262" s="112"/>
      <c r="I262" s="25">
        <f>M26</f>
        <v>0</v>
      </c>
      <c r="J262" s="25"/>
      <c r="K262" s="25">
        <f>M29</f>
        <v>0</v>
      </c>
      <c r="L262" s="25"/>
      <c r="M262" s="25">
        <f>M37</f>
        <v>0</v>
      </c>
      <c r="N262" s="25"/>
      <c r="O262" s="25">
        <f>M40</f>
        <v>0</v>
      </c>
      <c r="P262" s="25"/>
      <c r="Q262" s="25"/>
      <c r="R262" s="25"/>
      <c r="S262" s="25">
        <f>M59</f>
        <v>0</v>
      </c>
      <c r="T262" s="25">
        <f>M62</f>
        <v>0</v>
      </c>
      <c r="U262" s="25">
        <f>M70</f>
        <v>0</v>
      </c>
      <c r="V262" s="25">
        <f>M73</f>
        <v>0</v>
      </c>
      <c r="W262" s="25"/>
      <c r="X262" s="25"/>
      <c r="Y262" s="25"/>
      <c r="Z262" s="25"/>
      <c r="AA262" s="25"/>
      <c r="AB262" s="25"/>
      <c r="AC262" s="25"/>
      <c r="AD262" s="25"/>
      <c r="AE262" s="114">
        <f t="shared" si="8"/>
        <v>0</v>
      </c>
      <c r="AF262" s="114">
        <f t="shared" si="10"/>
        <v>0</v>
      </c>
    </row>
    <row r="263" spans="2:32" x14ac:dyDescent="0.2">
      <c r="C263" s="112" t="s">
        <v>718</v>
      </c>
      <c r="D263" s="112"/>
      <c r="E263" s="112"/>
      <c r="F263" s="112"/>
      <c r="I263" s="25"/>
      <c r="J263" s="25"/>
      <c r="K263" s="25"/>
      <c r="L263" s="25"/>
      <c r="M263" s="25"/>
      <c r="N263" s="25"/>
      <c r="O263" s="25"/>
      <c r="P263" s="25"/>
      <c r="R263" s="25"/>
      <c r="S263" s="25"/>
      <c r="T263" s="25"/>
      <c r="U263" s="25"/>
      <c r="V263" s="25"/>
      <c r="W263" s="25"/>
      <c r="X263" s="25"/>
      <c r="Y263" s="25"/>
      <c r="Z263" s="25"/>
      <c r="AA263" s="25"/>
      <c r="AB263" s="25"/>
      <c r="AC263" s="25"/>
      <c r="AD263" s="25"/>
      <c r="AE263" s="114">
        <f t="shared" si="8"/>
        <v>0</v>
      </c>
      <c r="AF263" s="114">
        <f t="shared" si="10"/>
        <v>0</v>
      </c>
    </row>
    <row r="264" spans="2:32" x14ac:dyDescent="0.2">
      <c r="C264" s="112" t="s">
        <v>327</v>
      </c>
      <c r="D264" s="112"/>
      <c r="E264" s="112"/>
      <c r="F264" s="112"/>
      <c r="I264" s="25"/>
      <c r="J264" s="25"/>
      <c r="K264" s="25"/>
      <c r="L264" s="25"/>
      <c r="M264" s="25"/>
      <c r="N264" s="25"/>
      <c r="O264" s="25"/>
      <c r="P264" s="25"/>
      <c r="Q264" s="25"/>
      <c r="R264" s="25"/>
      <c r="S264" s="25"/>
      <c r="T264" s="25"/>
      <c r="U264" s="25"/>
      <c r="V264" s="25"/>
      <c r="W264" s="25"/>
      <c r="X264" s="25"/>
      <c r="Y264" s="25"/>
      <c r="Z264" s="25"/>
      <c r="AA264" s="25"/>
      <c r="AB264" s="25"/>
      <c r="AC264" s="25"/>
      <c r="AD264" s="25"/>
      <c r="AE264" s="114">
        <f t="shared" si="8"/>
        <v>0</v>
      </c>
      <c r="AF264" s="114">
        <f t="shared" si="10"/>
        <v>0</v>
      </c>
    </row>
    <row r="265" spans="2:32" x14ac:dyDescent="0.2">
      <c r="C265" s="112" t="s">
        <v>714</v>
      </c>
      <c r="D265" s="112"/>
      <c r="E265" s="112"/>
      <c r="F265" s="112"/>
      <c r="I265" s="25"/>
      <c r="J265" s="25"/>
      <c r="K265" s="25"/>
      <c r="L265" s="25"/>
      <c r="M265" s="25"/>
      <c r="N265" s="25"/>
      <c r="O265" s="25"/>
      <c r="P265" s="25"/>
      <c r="Q265" s="25"/>
      <c r="R265" s="25"/>
      <c r="S265" s="25"/>
      <c r="T265" s="25"/>
      <c r="U265" s="25"/>
      <c r="V265" s="25"/>
      <c r="W265" s="25"/>
      <c r="X265" s="25"/>
      <c r="Y265" s="25"/>
      <c r="Z265" s="25"/>
      <c r="AA265" s="25"/>
      <c r="AB265" s="25"/>
      <c r="AC265" s="25"/>
      <c r="AD265" s="25"/>
      <c r="AE265" s="114">
        <f t="shared" si="8"/>
        <v>0</v>
      </c>
      <c r="AF265" s="114">
        <f t="shared" si="10"/>
        <v>0</v>
      </c>
    </row>
    <row r="266" spans="2:32" x14ac:dyDescent="0.2">
      <c r="C266" s="112" t="s">
        <v>907</v>
      </c>
      <c r="D266" s="112"/>
      <c r="E266" s="112"/>
      <c r="F266" s="112"/>
      <c r="I266" s="25"/>
      <c r="J266" s="25"/>
      <c r="K266" s="25"/>
      <c r="L266" s="25"/>
      <c r="M266" s="25"/>
      <c r="N266" s="25"/>
      <c r="O266" s="25"/>
      <c r="P266" s="25"/>
      <c r="Q266" s="25"/>
      <c r="R266" s="25"/>
      <c r="S266" s="25"/>
      <c r="T266" s="25"/>
      <c r="U266" s="25"/>
      <c r="V266" s="25"/>
      <c r="W266" s="25"/>
      <c r="X266" s="25"/>
      <c r="Y266" s="25"/>
      <c r="Z266" s="25"/>
      <c r="AA266" s="25">
        <f>H168</f>
        <v>0</v>
      </c>
      <c r="AB266" s="25">
        <f>H190</f>
        <v>0</v>
      </c>
      <c r="AC266" s="25"/>
      <c r="AD266" s="25"/>
      <c r="AE266" s="114">
        <f t="shared" si="8"/>
        <v>0</v>
      </c>
      <c r="AF266" s="114">
        <f t="shared" si="10"/>
        <v>0</v>
      </c>
    </row>
    <row r="267" spans="2:32" x14ac:dyDescent="0.2">
      <c r="C267" s="112" t="s">
        <v>886</v>
      </c>
      <c r="D267" s="112"/>
      <c r="E267" s="112"/>
      <c r="F267" s="112"/>
      <c r="I267" s="25"/>
      <c r="J267" s="25"/>
      <c r="K267" s="25"/>
      <c r="L267" s="25"/>
      <c r="M267" s="25"/>
      <c r="N267" s="25"/>
      <c r="O267" s="25"/>
      <c r="P267" s="25"/>
      <c r="Q267" s="25"/>
      <c r="R267" s="25"/>
      <c r="S267" s="25"/>
      <c r="T267" s="25"/>
      <c r="U267" s="25"/>
      <c r="V267" s="25"/>
      <c r="W267" s="25"/>
      <c r="X267" s="25"/>
      <c r="Y267" s="25"/>
      <c r="Z267" s="25"/>
      <c r="AA267" s="25"/>
      <c r="AB267" s="25"/>
      <c r="AC267" s="25">
        <f>K197</f>
        <v>0</v>
      </c>
      <c r="AD267" s="25">
        <f>K199</f>
        <v>0</v>
      </c>
      <c r="AE267" s="114">
        <f t="shared" si="8"/>
        <v>0</v>
      </c>
      <c r="AF267" s="114">
        <f t="shared" si="10"/>
        <v>0</v>
      </c>
    </row>
    <row r="268" spans="2:32" x14ac:dyDescent="0.2">
      <c r="C268" s="112" t="s">
        <v>957</v>
      </c>
      <c r="E268" s="112"/>
      <c r="F268" s="112"/>
      <c r="I268" s="25"/>
      <c r="J268" s="25"/>
      <c r="K268" s="25">
        <f>M26</f>
        <v>0</v>
      </c>
      <c r="L268" s="25"/>
      <c r="M268" s="25"/>
      <c r="N268" s="25"/>
      <c r="O268" s="25">
        <f>M37</f>
        <v>0</v>
      </c>
      <c r="P268" s="25"/>
      <c r="Q268" s="25"/>
      <c r="R268" s="25">
        <f>M48</f>
        <v>0</v>
      </c>
      <c r="S268" s="25"/>
      <c r="T268" s="25">
        <f>M59</f>
        <v>0</v>
      </c>
      <c r="U268" s="25"/>
      <c r="V268" s="25">
        <f>M70</f>
        <v>0</v>
      </c>
      <c r="W268" s="25"/>
      <c r="X268" s="25">
        <f>M79</f>
        <v>33023</v>
      </c>
      <c r="Y268" s="25"/>
      <c r="Z268" s="25">
        <f>M116</f>
        <v>0</v>
      </c>
      <c r="AA268" s="25"/>
      <c r="AB268" s="25">
        <f>M155</f>
        <v>1773077</v>
      </c>
      <c r="AC268" s="25"/>
      <c r="AD268" s="25">
        <f>K197</f>
        <v>0</v>
      </c>
      <c r="AE268" s="114">
        <f t="shared" si="8"/>
        <v>0</v>
      </c>
      <c r="AF268" s="114">
        <f t="shared" si="10"/>
        <v>1806100</v>
      </c>
    </row>
    <row r="269" spans="2:32" x14ac:dyDescent="0.2">
      <c r="C269" s="112"/>
      <c r="D269" s="112"/>
      <c r="E269" s="112"/>
      <c r="F269" s="112"/>
      <c r="I269" s="25"/>
      <c r="J269" s="25"/>
      <c r="K269" s="25"/>
      <c r="L269" s="25"/>
      <c r="M269" s="25"/>
      <c r="N269" s="25"/>
      <c r="O269" s="25"/>
      <c r="P269" s="25"/>
      <c r="Q269" s="25"/>
      <c r="R269" s="25"/>
      <c r="S269" s="25"/>
      <c r="T269" s="25"/>
      <c r="U269" s="25"/>
      <c r="V269" s="25"/>
      <c r="W269" s="25"/>
      <c r="X269" s="25"/>
      <c r="Y269" s="25"/>
      <c r="Z269" s="25"/>
      <c r="AA269" s="25"/>
      <c r="AB269" s="25"/>
      <c r="AC269" s="25"/>
      <c r="AD269" s="25"/>
      <c r="AE269" s="114">
        <f t="shared" si="8"/>
        <v>0</v>
      </c>
      <c r="AF269" s="114">
        <f t="shared" si="10"/>
        <v>0</v>
      </c>
    </row>
    <row r="270" spans="2:32" x14ac:dyDescent="0.2">
      <c r="C270" s="112" t="s">
        <v>329</v>
      </c>
      <c r="E270" s="112"/>
      <c r="F270" s="112"/>
      <c r="I270" s="25"/>
      <c r="J270" s="25"/>
      <c r="K270" s="25"/>
      <c r="L270" s="25"/>
      <c r="M270" s="25"/>
      <c r="N270" s="25"/>
      <c r="O270" s="25"/>
      <c r="P270" s="25"/>
      <c r="Q270" s="25"/>
      <c r="R270" s="25"/>
      <c r="S270" s="25"/>
      <c r="T270" s="25"/>
      <c r="U270" s="25"/>
      <c r="V270" s="25"/>
      <c r="W270" s="25"/>
      <c r="X270" s="25"/>
      <c r="Y270" s="25">
        <f>K140</f>
        <v>0</v>
      </c>
      <c r="Z270" s="25">
        <f>K124</f>
        <v>0</v>
      </c>
      <c r="AA270" s="25">
        <f>I159</f>
        <v>0</v>
      </c>
      <c r="AB270" s="25">
        <f t="shared" ref="AB270:AB278" si="11">I181</f>
        <v>0</v>
      </c>
      <c r="AC270" s="25"/>
      <c r="AD270" s="25"/>
      <c r="AE270" s="114">
        <f t="shared" si="8"/>
        <v>0</v>
      </c>
      <c r="AF270" s="114">
        <f t="shared" si="10"/>
        <v>0</v>
      </c>
    </row>
    <row r="271" spans="2:32" x14ac:dyDescent="0.2">
      <c r="C271" s="112" t="s">
        <v>330</v>
      </c>
      <c r="E271" s="112"/>
      <c r="F271" s="112"/>
      <c r="I271" s="25"/>
      <c r="J271" s="25"/>
      <c r="K271" s="25"/>
      <c r="L271" s="25"/>
      <c r="M271" s="25"/>
      <c r="N271" s="25"/>
      <c r="O271" s="25"/>
      <c r="P271" s="25"/>
      <c r="Q271" s="25"/>
      <c r="R271" s="25"/>
      <c r="S271" s="25"/>
      <c r="T271" s="25"/>
      <c r="U271" s="25"/>
      <c r="V271" s="25"/>
      <c r="W271" s="25"/>
      <c r="X271" s="25"/>
      <c r="Y271" s="25"/>
      <c r="Z271" s="25"/>
      <c r="AA271" s="25">
        <f>I160</f>
        <v>0</v>
      </c>
      <c r="AB271" s="25">
        <f t="shared" si="11"/>
        <v>0</v>
      </c>
      <c r="AC271" s="25"/>
      <c r="AD271" s="25"/>
      <c r="AE271" s="114">
        <f t="shared" si="8"/>
        <v>0</v>
      </c>
      <c r="AF271" s="114">
        <f t="shared" si="10"/>
        <v>0</v>
      </c>
    </row>
    <row r="272" spans="2:32" x14ac:dyDescent="0.2">
      <c r="C272" s="112" t="s">
        <v>331</v>
      </c>
      <c r="E272" s="112"/>
      <c r="F272" s="112"/>
      <c r="I272" s="25"/>
      <c r="J272" s="25"/>
      <c r="K272" s="25"/>
      <c r="L272" s="25"/>
      <c r="M272" s="25"/>
      <c r="N272" s="25"/>
      <c r="O272" s="25"/>
      <c r="P272" s="25"/>
      <c r="Q272" s="25"/>
      <c r="R272" s="25"/>
      <c r="S272" s="25"/>
      <c r="T272" s="25"/>
      <c r="U272" s="25"/>
      <c r="V272" s="25"/>
      <c r="W272" s="25"/>
      <c r="X272" s="25"/>
      <c r="Y272" s="25">
        <f>K141</f>
        <v>0</v>
      </c>
      <c r="Z272" s="25">
        <f>K125</f>
        <v>0</v>
      </c>
      <c r="AA272" s="25">
        <f>I161</f>
        <v>0</v>
      </c>
      <c r="AB272" s="25">
        <f t="shared" si="11"/>
        <v>0</v>
      </c>
      <c r="AC272" s="25"/>
      <c r="AD272" s="25"/>
      <c r="AE272" s="114">
        <f t="shared" si="8"/>
        <v>0</v>
      </c>
      <c r="AF272" s="114">
        <f t="shared" si="10"/>
        <v>0</v>
      </c>
    </row>
    <row r="273" spans="3:32" x14ac:dyDescent="0.2">
      <c r="C273" s="112" t="s">
        <v>332</v>
      </c>
      <c r="E273" s="112"/>
      <c r="F273" s="112"/>
      <c r="I273" s="25"/>
      <c r="J273" s="25"/>
      <c r="K273" s="25"/>
      <c r="L273" s="25"/>
      <c r="M273" s="25"/>
      <c r="N273" s="25"/>
      <c r="O273" s="25"/>
      <c r="P273" s="25"/>
      <c r="Q273" s="25"/>
      <c r="R273" s="25"/>
      <c r="S273" s="25"/>
      <c r="T273" s="25"/>
      <c r="U273" s="25"/>
      <c r="V273" s="25"/>
      <c r="W273" s="25"/>
      <c r="X273" s="25"/>
      <c r="Y273" s="25">
        <f>K142</f>
        <v>0</v>
      </c>
      <c r="Z273" s="25">
        <f>K126</f>
        <v>0</v>
      </c>
      <c r="AA273" s="25">
        <f>I162</f>
        <v>0</v>
      </c>
      <c r="AB273" s="25">
        <f t="shared" si="11"/>
        <v>0</v>
      </c>
      <c r="AC273" s="25"/>
      <c r="AD273" s="25"/>
      <c r="AE273" s="114">
        <f t="shared" si="8"/>
        <v>0</v>
      </c>
      <c r="AF273" s="114">
        <f t="shared" si="10"/>
        <v>0</v>
      </c>
    </row>
    <row r="274" spans="3:32" x14ac:dyDescent="0.2">
      <c r="C274" s="112" t="s">
        <v>333</v>
      </c>
      <c r="E274" s="112"/>
      <c r="F274" s="112"/>
      <c r="I274" s="25"/>
      <c r="J274" s="25"/>
      <c r="K274" s="25"/>
      <c r="L274" s="25"/>
      <c r="M274" s="25"/>
      <c r="N274" s="25"/>
      <c r="O274" s="25"/>
      <c r="P274" s="25"/>
      <c r="Q274" s="25"/>
      <c r="R274" s="25"/>
      <c r="S274" s="25"/>
      <c r="T274" s="25"/>
      <c r="U274" s="25"/>
      <c r="V274" s="25"/>
      <c r="W274" s="25"/>
      <c r="X274" s="25"/>
      <c r="Y274" s="25">
        <f>K143</f>
        <v>0</v>
      </c>
      <c r="Z274" s="25">
        <f>K127</f>
        <v>0</v>
      </c>
      <c r="AA274" s="25">
        <f>I163</f>
        <v>0</v>
      </c>
      <c r="AB274" s="25">
        <f t="shared" si="11"/>
        <v>0</v>
      </c>
      <c r="AC274" s="25"/>
      <c r="AD274" s="25"/>
      <c r="AE274" s="114">
        <f t="shared" si="8"/>
        <v>0</v>
      </c>
      <c r="AF274" s="114">
        <f t="shared" si="10"/>
        <v>0</v>
      </c>
    </row>
    <row r="275" spans="3:32" x14ac:dyDescent="0.2">
      <c r="C275" s="112" t="s">
        <v>4210</v>
      </c>
      <c r="E275" s="112"/>
      <c r="F275" s="112"/>
      <c r="I275" s="25"/>
      <c r="J275" s="25"/>
      <c r="K275" s="25"/>
      <c r="L275" s="25"/>
      <c r="M275" s="25"/>
      <c r="N275" s="25"/>
      <c r="O275" s="25"/>
      <c r="P275" s="25"/>
      <c r="Q275" s="25"/>
      <c r="R275" s="25"/>
      <c r="S275" s="25"/>
      <c r="T275" s="25"/>
      <c r="U275" s="25"/>
      <c r="V275" s="25"/>
      <c r="W275" s="25"/>
      <c r="X275" s="25"/>
      <c r="Y275" s="25"/>
      <c r="Z275" s="25"/>
      <c r="AA275" s="25">
        <v>0</v>
      </c>
      <c r="AB275" s="25">
        <f t="shared" si="11"/>
        <v>164961</v>
      </c>
      <c r="AC275" s="25"/>
      <c r="AD275" s="25"/>
      <c r="AE275" s="114">
        <f t="shared" si="8"/>
        <v>0</v>
      </c>
      <c r="AF275" s="114">
        <f t="shared" si="10"/>
        <v>164961</v>
      </c>
    </row>
    <row r="276" spans="3:32" x14ac:dyDescent="0.2">
      <c r="C276" s="112" t="s">
        <v>335</v>
      </c>
      <c r="E276" s="112"/>
      <c r="F276" s="112"/>
      <c r="I276" s="25"/>
      <c r="J276" s="25"/>
      <c r="K276" s="25"/>
      <c r="L276" s="25"/>
      <c r="M276" s="25"/>
      <c r="N276" s="25"/>
      <c r="O276" s="25"/>
      <c r="P276" s="25"/>
      <c r="Q276" s="25"/>
      <c r="R276" s="25"/>
      <c r="S276" s="25"/>
      <c r="T276" s="25"/>
      <c r="U276" s="25"/>
      <c r="V276" s="25"/>
      <c r="W276" s="25"/>
      <c r="X276" s="25"/>
      <c r="Y276" s="25"/>
      <c r="Z276" s="25"/>
      <c r="AA276" s="25">
        <f>I165</f>
        <v>0</v>
      </c>
      <c r="AB276" s="25">
        <f t="shared" si="11"/>
        <v>0</v>
      </c>
      <c r="AC276" s="25"/>
      <c r="AD276" s="25"/>
      <c r="AE276" s="114">
        <f t="shared" si="8"/>
        <v>0</v>
      </c>
      <c r="AF276" s="114">
        <f t="shared" si="10"/>
        <v>0</v>
      </c>
    </row>
    <row r="277" spans="3:32" x14ac:dyDescent="0.2">
      <c r="C277" s="112" t="s">
        <v>173</v>
      </c>
      <c r="E277" s="112"/>
      <c r="F277" s="112"/>
      <c r="I277" s="25"/>
      <c r="J277" s="25"/>
      <c r="K277" s="25"/>
      <c r="L277" s="25"/>
      <c r="M277" s="25"/>
      <c r="N277" s="25"/>
      <c r="O277" s="25"/>
      <c r="P277" s="25"/>
      <c r="Q277" s="25"/>
      <c r="R277" s="25"/>
      <c r="S277" s="25"/>
      <c r="T277" s="25"/>
      <c r="U277" s="25"/>
      <c r="V277" s="25"/>
      <c r="W277" s="25"/>
      <c r="X277" s="25"/>
      <c r="Y277" s="25">
        <f>K144</f>
        <v>0</v>
      </c>
      <c r="Z277" s="25">
        <f>K128</f>
        <v>0</v>
      </c>
      <c r="AA277" s="25">
        <f>I166</f>
        <v>0</v>
      </c>
      <c r="AB277" s="25">
        <f t="shared" si="11"/>
        <v>0</v>
      </c>
      <c r="AC277" s="25"/>
      <c r="AD277" s="25"/>
      <c r="AE277" s="114">
        <f t="shared" si="8"/>
        <v>0</v>
      </c>
      <c r="AF277" s="114">
        <f t="shared" si="10"/>
        <v>0</v>
      </c>
    </row>
    <row r="278" spans="3:32" x14ac:dyDescent="0.2">
      <c r="C278" s="318" t="s">
        <v>301</v>
      </c>
      <c r="E278" s="112"/>
      <c r="F278" s="112"/>
      <c r="I278" s="25"/>
      <c r="J278" s="25"/>
      <c r="K278" s="25"/>
      <c r="L278" s="25"/>
      <c r="M278" s="25"/>
      <c r="N278" s="25"/>
      <c r="O278" s="25"/>
      <c r="P278" s="25"/>
      <c r="Q278" s="25"/>
      <c r="R278" s="25"/>
      <c r="S278" s="25"/>
      <c r="T278" s="25"/>
      <c r="U278" s="25"/>
      <c r="V278" s="25"/>
      <c r="W278" s="25"/>
      <c r="X278" s="25"/>
      <c r="Y278" s="25">
        <f>K145</f>
        <v>0</v>
      </c>
      <c r="Z278" s="25">
        <f>K129</f>
        <v>0</v>
      </c>
      <c r="AA278" s="25">
        <f>I167</f>
        <v>0</v>
      </c>
      <c r="AB278" s="25">
        <f t="shared" si="11"/>
        <v>0</v>
      </c>
      <c r="AC278" s="25"/>
      <c r="AD278" s="25"/>
      <c r="AE278" s="114">
        <f t="shared" si="8"/>
        <v>0</v>
      </c>
      <c r="AF278" s="114">
        <f t="shared" si="10"/>
        <v>0</v>
      </c>
    </row>
    <row r="279" spans="3:32" x14ac:dyDescent="0.2">
      <c r="C279" s="112"/>
      <c r="D279" s="112"/>
      <c r="E279" s="112"/>
      <c r="F279" s="112"/>
      <c r="I279" s="25"/>
      <c r="J279" s="25"/>
      <c r="K279" s="25"/>
      <c r="L279" s="25"/>
      <c r="M279" s="25"/>
      <c r="N279" s="25"/>
      <c r="O279" s="25"/>
      <c r="P279" s="25"/>
      <c r="Q279" s="25"/>
      <c r="R279" s="25"/>
      <c r="S279" s="25"/>
      <c r="T279" s="25"/>
      <c r="U279" s="25"/>
      <c r="V279" s="25"/>
      <c r="W279" s="25"/>
      <c r="X279" s="25"/>
      <c r="Y279" s="25"/>
      <c r="Z279" s="25"/>
      <c r="AA279" s="25"/>
      <c r="AB279" s="25"/>
      <c r="AC279" s="25"/>
      <c r="AD279" s="25"/>
      <c r="AE279" s="114">
        <f t="shared" si="8"/>
        <v>0</v>
      </c>
      <c r="AF279" s="114">
        <f t="shared" si="10"/>
        <v>0</v>
      </c>
    </row>
    <row r="280" spans="3:32" x14ac:dyDescent="0.2">
      <c r="C280" s="112" t="s">
        <v>73</v>
      </c>
      <c r="E280" s="112"/>
      <c r="F280" s="112"/>
      <c r="I280" s="25"/>
      <c r="J280" s="25"/>
      <c r="K280" s="25"/>
      <c r="L280" s="25"/>
      <c r="M280" s="25"/>
      <c r="N280" s="25"/>
      <c r="O280" s="25"/>
      <c r="P280" s="25"/>
      <c r="Q280" s="25"/>
      <c r="R280" s="25"/>
      <c r="S280" s="25"/>
      <c r="T280" s="25"/>
      <c r="U280" s="25"/>
      <c r="V280" s="25"/>
      <c r="W280" s="25"/>
      <c r="X280" s="25"/>
      <c r="Y280" s="25"/>
      <c r="Z280" s="25"/>
      <c r="AA280" s="25">
        <f t="shared" ref="AA280:AA288" si="12">K159</f>
        <v>0</v>
      </c>
      <c r="AB280" s="25">
        <f t="shared" ref="AB280:AB288" si="13">K181</f>
        <v>0</v>
      </c>
      <c r="AC280" s="25"/>
      <c r="AD280" s="25"/>
      <c r="AE280" s="114">
        <f t="shared" si="8"/>
        <v>0</v>
      </c>
      <c r="AF280" s="114">
        <f t="shared" si="10"/>
        <v>0</v>
      </c>
    </row>
    <row r="281" spans="3:32" x14ac:dyDescent="0.2">
      <c r="C281" s="112" t="s">
        <v>467</v>
      </c>
      <c r="E281" s="112"/>
      <c r="F281" s="112"/>
      <c r="I281" s="25"/>
      <c r="J281" s="25"/>
      <c r="K281" s="25"/>
      <c r="L281" s="25"/>
      <c r="M281" s="25"/>
      <c r="N281" s="25"/>
      <c r="O281" s="25"/>
      <c r="P281" s="25"/>
      <c r="Q281" s="25">
        <f>M48</f>
        <v>0</v>
      </c>
      <c r="R281" s="25">
        <f>M51</f>
        <v>0</v>
      </c>
      <c r="S281" s="25"/>
      <c r="T281" s="25"/>
      <c r="U281" s="25"/>
      <c r="V281" s="25"/>
      <c r="W281" s="25"/>
      <c r="X281" s="25"/>
      <c r="Y281" s="25"/>
      <c r="Z281" s="25"/>
      <c r="AA281" s="25">
        <f t="shared" si="12"/>
        <v>0</v>
      </c>
      <c r="AB281" s="25">
        <f t="shared" si="13"/>
        <v>0</v>
      </c>
      <c r="AC281" s="25"/>
      <c r="AD281" s="25"/>
      <c r="AE281" s="114">
        <f t="shared" si="8"/>
        <v>0</v>
      </c>
      <c r="AF281" s="114">
        <f t="shared" si="10"/>
        <v>0</v>
      </c>
    </row>
    <row r="282" spans="3:32" x14ac:dyDescent="0.2">
      <c r="C282" s="112" t="s">
        <v>74</v>
      </c>
      <c r="E282" s="112"/>
      <c r="F282" s="112"/>
      <c r="I282" s="25"/>
      <c r="J282" s="25"/>
      <c r="K282" s="25"/>
      <c r="L282" s="25"/>
      <c r="M282" s="25"/>
      <c r="N282" s="25"/>
      <c r="O282" s="25"/>
      <c r="P282" s="25"/>
      <c r="Q282" s="25"/>
      <c r="R282" s="25"/>
      <c r="S282" s="25"/>
      <c r="T282" s="25"/>
      <c r="U282" s="25"/>
      <c r="V282" s="25"/>
      <c r="W282" s="25"/>
      <c r="X282" s="25"/>
      <c r="Y282" s="25"/>
      <c r="Z282" s="25"/>
      <c r="AA282" s="25">
        <f t="shared" si="12"/>
        <v>0</v>
      </c>
      <c r="AB282" s="25">
        <f t="shared" si="13"/>
        <v>0</v>
      </c>
      <c r="AC282" s="25"/>
      <c r="AD282" s="25"/>
      <c r="AE282" s="114">
        <f t="shared" si="8"/>
        <v>0</v>
      </c>
      <c r="AF282" s="114">
        <f t="shared" si="10"/>
        <v>0</v>
      </c>
    </row>
    <row r="283" spans="3:32" x14ac:dyDescent="0.2">
      <c r="C283" s="112" t="s">
        <v>75</v>
      </c>
      <c r="E283" s="112"/>
      <c r="F283" s="112"/>
      <c r="I283" s="25"/>
      <c r="J283" s="25"/>
      <c r="K283" s="25"/>
      <c r="L283" s="25"/>
      <c r="M283" s="25"/>
      <c r="N283" s="25"/>
      <c r="O283" s="25"/>
      <c r="P283" s="25"/>
      <c r="Q283" s="25"/>
      <c r="R283" s="25"/>
      <c r="S283" s="25"/>
      <c r="T283" s="25"/>
      <c r="U283" s="25"/>
      <c r="V283" s="25"/>
      <c r="W283" s="25"/>
      <c r="X283" s="25"/>
      <c r="Y283" s="25"/>
      <c r="Z283" s="25"/>
      <c r="AA283" s="25">
        <f t="shared" si="12"/>
        <v>0</v>
      </c>
      <c r="AB283" s="25">
        <f t="shared" si="13"/>
        <v>0</v>
      </c>
      <c r="AC283" s="25"/>
      <c r="AD283" s="25"/>
      <c r="AE283" s="114">
        <f t="shared" si="8"/>
        <v>0</v>
      </c>
      <c r="AF283" s="114">
        <f t="shared" si="10"/>
        <v>0</v>
      </c>
    </row>
    <row r="284" spans="3:32" x14ac:dyDescent="0.2">
      <c r="C284" s="112" t="s">
        <v>76</v>
      </c>
      <c r="E284" s="112"/>
      <c r="F284" s="112"/>
      <c r="I284" s="25"/>
      <c r="J284" s="25"/>
      <c r="K284" s="25"/>
      <c r="L284" s="25"/>
      <c r="M284" s="25"/>
      <c r="N284" s="25"/>
      <c r="O284" s="25"/>
      <c r="P284" s="25"/>
      <c r="Q284" s="25"/>
      <c r="R284" s="25"/>
      <c r="S284" s="25"/>
      <c r="T284" s="25"/>
      <c r="U284" s="25"/>
      <c r="V284" s="25"/>
      <c r="W284" s="25"/>
      <c r="X284" s="25"/>
      <c r="Y284" s="25"/>
      <c r="Z284" s="25"/>
      <c r="AA284" s="25">
        <f t="shared" si="12"/>
        <v>0</v>
      </c>
      <c r="AB284" s="25">
        <f t="shared" si="13"/>
        <v>0</v>
      </c>
      <c r="AC284" s="25"/>
      <c r="AD284" s="25"/>
      <c r="AE284" s="114">
        <f t="shared" si="8"/>
        <v>0</v>
      </c>
      <c r="AF284" s="114">
        <f t="shared" si="10"/>
        <v>0</v>
      </c>
    </row>
    <row r="285" spans="3:32" x14ac:dyDescent="0.2">
      <c r="C285" s="112" t="s">
        <v>77</v>
      </c>
      <c r="E285" s="112"/>
      <c r="F285" s="112"/>
      <c r="I285" s="25"/>
      <c r="J285" s="25"/>
      <c r="K285" s="25"/>
      <c r="L285" s="25"/>
      <c r="M285" s="25"/>
      <c r="N285" s="25"/>
      <c r="O285" s="25"/>
      <c r="P285" s="25"/>
      <c r="Q285" s="25"/>
      <c r="R285" s="25"/>
      <c r="S285" s="25"/>
      <c r="T285" s="25"/>
      <c r="U285" s="25"/>
      <c r="V285" s="25"/>
      <c r="W285" s="25"/>
      <c r="X285" s="25"/>
      <c r="Y285" s="25"/>
      <c r="Z285" s="25"/>
      <c r="AA285" s="25">
        <f t="shared" si="12"/>
        <v>0</v>
      </c>
      <c r="AB285" s="25">
        <f t="shared" si="13"/>
        <v>0</v>
      </c>
      <c r="AC285" s="25"/>
      <c r="AD285" s="25"/>
      <c r="AE285" s="114">
        <f t="shared" si="8"/>
        <v>0</v>
      </c>
      <c r="AF285" s="114">
        <f t="shared" si="10"/>
        <v>0</v>
      </c>
    </row>
    <row r="286" spans="3:32" x14ac:dyDescent="0.2">
      <c r="C286" s="112" t="s">
        <v>922</v>
      </c>
      <c r="E286" s="112"/>
      <c r="F286" s="112"/>
      <c r="I286" s="25"/>
      <c r="J286" s="25"/>
      <c r="K286" s="25"/>
      <c r="L286" s="25"/>
      <c r="M286" s="25"/>
      <c r="N286" s="25"/>
      <c r="O286" s="25"/>
      <c r="P286" s="25"/>
      <c r="Q286" s="25"/>
      <c r="R286" s="25"/>
      <c r="S286" s="25"/>
      <c r="T286" s="25"/>
      <c r="U286" s="25"/>
      <c r="V286" s="25"/>
      <c r="W286" s="25"/>
      <c r="X286" s="25"/>
      <c r="Y286" s="25"/>
      <c r="Z286" s="25"/>
      <c r="AA286" s="25">
        <f t="shared" si="12"/>
        <v>0</v>
      </c>
      <c r="AB286" s="25">
        <f t="shared" si="13"/>
        <v>0</v>
      </c>
      <c r="AC286" s="25"/>
      <c r="AD286" s="25"/>
      <c r="AE286" s="114">
        <f t="shared" si="8"/>
        <v>0</v>
      </c>
      <c r="AF286" s="114">
        <f t="shared" si="10"/>
        <v>0</v>
      </c>
    </row>
    <row r="287" spans="3:32" x14ac:dyDescent="0.2">
      <c r="C287" s="112" t="s">
        <v>174</v>
      </c>
      <c r="E287" s="112"/>
      <c r="F287" s="112"/>
      <c r="I287" s="25"/>
      <c r="J287" s="25"/>
      <c r="K287" s="25"/>
      <c r="L287" s="25"/>
      <c r="M287" s="25"/>
      <c r="N287" s="25"/>
      <c r="O287" s="25"/>
      <c r="P287" s="25"/>
      <c r="Q287" s="25"/>
      <c r="R287" s="25"/>
      <c r="S287" s="25"/>
      <c r="T287" s="25"/>
      <c r="U287" s="25"/>
      <c r="V287" s="25"/>
      <c r="W287" s="25"/>
      <c r="X287" s="25"/>
      <c r="Y287" s="25"/>
      <c r="Z287" s="25"/>
      <c r="AA287" s="25">
        <f t="shared" si="12"/>
        <v>0</v>
      </c>
      <c r="AB287" s="25">
        <f t="shared" si="13"/>
        <v>0</v>
      </c>
      <c r="AC287" s="25"/>
      <c r="AD287" s="25"/>
      <c r="AE287" s="114">
        <f t="shared" si="8"/>
        <v>0</v>
      </c>
      <c r="AF287" s="114">
        <f t="shared" si="10"/>
        <v>0</v>
      </c>
    </row>
    <row r="288" spans="3:32" x14ac:dyDescent="0.2">
      <c r="C288" s="318" t="s">
        <v>302</v>
      </c>
      <c r="E288" s="112"/>
      <c r="F288" s="112"/>
      <c r="I288" s="25"/>
      <c r="J288" s="25"/>
      <c r="K288" s="25"/>
      <c r="L288" s="25"/>
      <c r="M288" s="25"/>
      <c r="N288" s="25"/>
      <c r="O288" s="25"/>
      <c r="P288" s="25"/>
      <c r="Q288" s="25"/>
      <c r="R288" s="25"/>
      <c r="S288" s="25"/>
      <c r="T288" s="25"/>
      <c r="U288" s="25"/>
      <c r="V288" s="25"/>
      <c r="W288" s="25"/>
      <c r="X288" s="25"/>
      <c r="Y288" s="25"/>
      <c r="Z288" s="25"/>
      <c r="AA288" s="25">
        <f t="shared" si="12"/>
        <v>0</v>
      </c>
      <c r="AB288" s="25">
        <f t="shared" si="13"/>
        <v>0</v>
      </c>
      <c r="AC288" s="25"/>
      <c r="AD288" s="25"/>
      <c r="AE288" s="114">
        <f t="shared" si="8"/>
        <v>0</v>
      </c>
      <c r="AF288" s="114">
        <f t="shared" si="10"/>
        <v>0</v>
      </c>
    </row>
    <row r="289" spans="3:32" x14ac:dyDescent="0.2">
      <c r="C289" s="112"/>
      <c r="D289" s="112"/>
      <c r="E289" s="112"/>
      <c r="F289" s="112"/>
      <c r="I289" s="25"/>
      <c r="J289" s="25"/>
      <c r="K289" s="25"/>
      <c r="L289" s="25"/>
      <c r="M289" s="25"/>
      <c r="N289" s="25"/>
      <c r="O289" s="25"/>
      <c r="P289" s="25"/>
      <c r="Q289" s="25"/>
      <c r="R289" s="25"/>
      <c r="S289" s="25"/>
      <c r="T289" s="25"/>
      <c r="U289" s="25"/>
      <c r="V289" s="25"/>
      <c r="W289" s="25"/>
      <c r="X289" s="25"/>
      <c r="Y289" s="25"/>
      <c r="Z289" s="25"/>
      <c r="AA289" s="25"/>
      <c r="AB289" s="25"/>
      <c r="AC289" s="25"/>
      <c r="AD289" s="25"/>
      <c r="AE289" s="114">
        <f t="shared" si="8"/>
        <v>0</v>
      </c>
      <c r="AF289" s="114">
        <f t="shared" si="10"/>
        <v>0</v>
      </c>
    </row>
    <row r="290" spans="3:32" x14ac:dyDescent="0.2">
      <c r="C290" s="112" t="s">
        <v>465</v>
      </c>
      <c r="E290" s="112"/>
      <c r="F290" s="112"/>
      <c r="I290" s="25"/>
      <c r="J290" s="25"/>
      <c r="K290" s="25"/>
      <c r="L290" s="25"/>
      <c r="M290" s="25"/>
      <c r="N290" s="25"/>
      <c r="O290" s="25"/>
      <c r="P290" s="25"/>
      <c r="Q290" s="25"/>
      <c r="R290" s="25"/>
      <c r="S290" s="25"/>
      <c r="T290" s="25"/>
      <c r="U290" s="25"/>
      <c r="V290" s="25"/>
      <c r="W290" s="25">
        <f>K103</f>
        <v>0</v>
      </c>
      <c r="X290" s="25">
        <f>K87</f>
        <v>0</v>
      </c>
      <c r="Y290" s="25"/>
      <c r="Z290" s="25"/>
      <c r="AA290" s="25">
        <f t="shared" ref="AA290:AA298" si="14">M159</f>
        <v>0</v>
      </c>
      <c r="AB290" s="25">
        <f t="shared" ref="AB290:AB298" si="15">M181</f>
        <v>0</v>
      </c>
      <c r="AC290" s="25"/>
      <c r="AD290" s="25"/>
      <c r="AE290" s="114">
        <f t="shared" si="8"/>
        <v>0</v>
      </c>
      <c r="AF290" s="114">
        <f t="shared" si="10"/>
        <v>0</v>
      </c>
    </row>
    <row r="291" spans="3:32" x14ac:dyDescent="0.2">
      <c r="C291" s="112" t="s">
        <v>338</v>
      </c>
      <c r="E291" s="112"/>
      <c r="F291" s="112"/>
      <c r="I291" s="25"/>
      <c r="J291" s="25"/>
      <c r="K291" s="25"/>
      <c r="L291" s="25"/>
      <c r="M291" s="25"/>
      <c r="N291" s="25"/>
      <c r="O291" s="25"/>
      <c r="P291" s="25"/>
      <c r="Q291" s="25"/>
      <c r="R291" s="25"/>
      <c r="S291" s="25"/>
      <c r="T291" s="25"/>
      <c r="U291" s="25"/>
      <c r="V291" s="25"/>
      <c r="W291" s="25"/>
      <c r="X291" s="25"/>
      <c r="Y291" s="25"/>
      <c r="Z291" s="25"/>
      <c r="AA291" s="25">
        <f t="shared" si="14"/>
        <v>0</v>
      </c>
      <c r="AB291" s="25">
        <f t="shared" si="15"/>
        <v>0</v>
      </c>
      <c r="AC291" s="25"/>
      <c r="AD291" s="25"/>
      <c r="AE291" s="114">
        <f t="shared" si="8"/>
        <v>0</v>
      </c>
      <c r="AF291" s="114">
        <f t="shared" si="10"/>
        <v>0</v>
      </c>
    </row>
    <row r="292" spans="3:32" x14ac:dyDescent="0.2">
      <c r="C292" s="112" t="s">
        <v>339</v>
      </c>
      <c r="E292" s="112"/>
      <c r="F292" s="112"/>
      <c r="I292" s="25"/>
      <c r="J292" s="25"/>
      <c r="K292" s="25"/>
      <c r="L292" s="25"/>
      <c r="M292" s="25"/>
      <c r="N292" s="25"/>
      <c r="O292" s="25"/>
      <c r="P292" s="25"/>
      <c r="Q292" s="25"/>
      <c r="R292" s="25"/>
      <c r="S292" s="25"/>
      <c r="T292" s="25"/>
      <c r="U292" s="25"/>
      <c r="V292" s="25"/>
      <c r="W292" s="25">
        <f>K104</f>
        <v>0</v>
      </c>
      <c r="X292" s="25">
        <f>K88</f>
        <v>0</v>
      </c>
      <c r="Y292" s="25"/>
      <c r="Z292" s="25"/>
      <c r="AA292" s="25">
        <f t="shared" si="14"/>
        <v>0</v>
      </c>
      <c r="AB292" s="25">
        <f t="shared" si="15"/>
        <v>0</v>
      </c>
      <c r="AC292" s="25"/>
      <c r="AD292" s="25"/>
      <c r="AE292" s="114">
        <f t="shared" si="8"/>
        <v>0</v>
      </c>
      <c r="AF292" s="114">
        <f t="shared" si="10"/>
        <v>0</v>
      </c>
    </row>
    <row r="293" spans="3:32" x14ac:dyDescent="0.2">
      <c r="C293" s="112" t="s">
        <v>417</v>
      </c>
      <c r="E293" s="112"/>
      <c r="F293" s="112"/>
      <c r="I293" s="25"/>
      <c r="J293" s="25"/>
      <c r="K293" s="25"/>
      <c r="L293" s="25"/>
      <c r="M293" s="25"/>
      <c r="N293" s="25"/>
      <c r="O293" s="25"/>
      <c r="P293" s="25"/>
      <c r="Q293" s="25"/>
      <c r="R293" s="25"/>
      <c r="S293" s="25"/>
      <c r="T293" s="25"/>
      <c r="U293" s="25"/>
      <c r="V293" s="25"/>
      <c r="W293" s="25">
        <f>K105</f>
        <v>4190</v>
      </c>
      <c r="X293" s="25">
        <f>K89</f>
        <v>0</v>
      </c>
      <c r="Y293" s="25"/>
      <c r="Z293" s="25"/>
      <c r="AA293" s="25">
        <f t="shared" si="14"/>
        <v>0</v>
      </c>
      <c r="AB293" s="25">
        <f t="shared" si="15"/>
        <v>0</v>
      </c>
      <c r="AC293" s="25"/>
      <c r="AD293" s="25"/>
      <c r="AE293" s="114">
        <f t="shared" si="8"/>
        <v>4190</v>
      </c>
      <c r="AF293" s="114">
        <f t="shared" si="10"/>
        <v>0</v>
      </c>
    </row>
    <row r="294" spans="3:32" x14ac:dyDescent="0.2">
      <c r="C294" s="112" t="s">
        <v>418</v>
      </c>
      <c r="E294" s="112"/>
      <c r="F294" s="112"/>
      <c r="I294" s="25"/>
      <c r="J294" s="25"/>
      <c r="K294" s="25"/>
      <c r="L294" s="25"/>
      <c r="M294" s="25"/>
      <c r="N294" s="25"/>
      <c r="O294" s="25"/>
      <c r="P294" s="25"/>
      <c r="Q294" s="25"/>
      <c r="R294" s="25"/>
      <c r="S294" s="25"/>
      <c r="T294" s="25"/>
      <c r="U294" s="25"/>
      <c r="V294" s="25"/>
      <c r="W294" s="25">
        <f>K106</f>
        <v>0</v>
      </c>
      <c r="X294" s="25">
        <f>K90</f>
        <v>0</v>
      </c>
      <c r="Y294" s="25"/>
      <c r="Z294" s="25"/>
      <c r="AA294" s="25">
        <f t="shared" si="14"/>
        <v>0</v>
      </c>
      <c r="AB294" s="25">
        <f t="shared" si="15"/>
        <v>0</v>
      </c>
      <c r="AC294" s="25"/>
      <c r="AD294" s="25"/>
      <c r="AE294" s="114">
        <f t="shared" si="8"/>
        <v>0</v>
      </c>
      <c r="AF294" s="114">
        <f t="shared" si="10"/>
        <v>0</v>
      </c>
    </row>
    <row r="295" spans="3:32" x14ac:dyDescent="0.2">
      <c r="C295" s="112" t="s">
        <v>881</v>
      </c>
      <c r="E295" s="112"/>
      <c r="F295" s="112"/>
      <c r="I295" s="25"/>
      <c r="J295" s="25"/>
      <c r="K295" s="25"/>
      <c r="L295" s="25"/>
      <c r="M295" s="25"/>
      <c r="N295" s="25"/>
      <c r="O295" s="25"/>
      <c r="P295" s="25"/>
      <c r="Q295" s="25"/>
      <c r="R295" s="25"/>
      <c r="S295" s="25"/>
      <c r="T295" s="25"/>
      <c r="U295" s="25"/>
      <c r="V295" s="25"/>
      <c r="W295" s="25"/>
      <c r="X295" s="25"/>
      <c r="Y295" s="25"/>
      <c r="Z295" s="25"/>
      <c r="AA295" s="25">
        <f t="shared" si="14"/>
        <v>0</v>
      </c>
      <c r="AB295" s="25">
        <f t="shared" si="15"/>
        <v>0</v>
      </c>
      <c r="AC295" s="25"/>
      <c r="AD295" s="25"/>
      <c r="AE295" s="114">
        <f t="shared" si="8"/>
        <v>0</v>
      </c>
      <c r="AF295" s="114">
        <f t="shared" si="10"/>
        <v>0</v>
      </c>
    </row>
    <row r="296" spans="3:32" x14ac:dyDescent="0.2">
      <c r="C296" s="112" t="s">
        <v>882</v>
      </c>
      <c r="E296" s="112"/>
      <c r="F296" s="112"/>
      <c r="I296" s="25"/>
      <c r="J296" s="25"/>
      <c r="K296" s="25"/>
      <c r="L296" s="25"/>
      <c r="M296" s="25"/>
      <c r="N296" s="25"/>
      <c r="O296" s="25"/>
      <c r="P296" s="25"/>
      <c r="Q296" s="25"/>
      <c r="R296" s="25"/>
      <c r="S296" s="25"/>
      <c r="T296" s="25"/>
      <c r="U296" s="25"/>
      <c r="V296" s="25"/>
      <c r="W296" s="25"/>
      <c r="X296" s="25"/>
      <c r="Y296" s="25"/>
      <c r="Z296" s="25"/>
      <c r="AA296" s="25">
        <f t="shared" si="14"/>
        <v>0</v>
      </c>
      <c r="AB296" s="25">
        <f t="shared" si="15"/>
        <v>0</v>
      </c>
      <c r="AC296" s="25"/>
      <c r="AD296" s="25"/>
      <c r="AE296" s="114">
        <f t="shared" si="8"/>
        <v>0</v>
      </c>
      <c r="AF296" s="114">
        <f t="shared" si="10"/>
        <v>0</v>
      </c>
    </row>
    <row r="297" spans="3:32" x14ac:dyDescent="0.2">
      <c r="C297" s="112" t="s">
        <v>175</v>
      </c>
      <c r="E297" s="112"/>
      <c r="F297" s="112"/>
      <c r="I297" s="25"/>
      <c r="J297" s="25"/>
      <c r="K297" s="25"/>
      <c r="L297" s="25"/>
      <c r="M297" s="25"/>
      <c r="N297" s="25"/>
      <c r="O297" s="25"/>
      <c r="P297" s="25"/>
      <c r="Q297" s="25"/>
      <c r="R297" s="25"/>
      <c r="S297" s="25"/>
      <c r="T297" s="25"/>
      <c r="U297" s="25"/>
      <c r="V297" s="25"/>
      <c r="W297" s="25">
        <f>K107</f>
        <v>0</v>
      </c>
      <c r="X297" s="25">
        <f>K91</f>
        <v>0</v>
      </c>
      <c r="Y297" s="25"/>
      <c r="Z297" s="25"/>
      <c r="AA297" s="25">
        <f t="shared" si="14"/>
        <v>0</v>
      </c>
      <c r="AB297" s="25">
        <f t="shared" si="15"/>
        <v>0</v>
      </c>
      <c r="AC297" s="25"/>
      <c r="AD297" s="25"/>
      <c r="AE297" s="114">
        <f t="shared" si="8"/>
        <v>0</v>
      </c>
      <c r="AF297" s="114">
        <f t="shared" si="10"/>
        <v>0</v>
      </c>
    </row>
    <row r="298" spans="3:32" x14ac:dyDescent="0.2">
      <c r="C298" s="318" t="s">
        <v>303</v>
      </c>
      <c r="E298" s="112"/>
      <c r="F298" s="112"/>
      <c r="I298" s="25"/>
      <c r="J298" s="25"/>
      <c r="K298" s="25"/>
      <c r="L298" s="25"/>
      <c r="M298" s="25"/>
      <c r="N298" s="25"/>
      <c r="O298" s="25"/>
      <c r="P298" s="25"/>
      <c r="Q298" s="25"/>
      <c r="R298" s="25"/>
      <c r="S298" s="25"/>
      <c r="T298" s="25"/>
      <c r="U298" s="25"/>
      <c r="V298" s="25"/>
      <c r="W298" s="25">
        <f>K108</f>
        <v>0</v>
      </c>
      <c r="X298" s="25">
        <f>K92</f>
        <v>0</v>
      </c>
      <c r="Y298" s="25"/>
      <c r="Z298" s="25"/>
      <c r="AA298" s="25">
        <f t="shared" si="14"/>
        <v>0</v>
      </c>
      <c r="AB298" s="25">
        <f t="shared" si="15"/>
        <v>0</v>
      </c>
      <c r="AC298" s="25"/>
      <c r="AD298" s="25"/>
      <c r="AE298" s="114">
        <f t="shared" si="8"/>
        <v>0</v>
      </c>
      <c r="AF298" s="114">
        <f t="shared" si="10"/>
        <v>0</v>
      </c>
    </row>
    <row r="299" spans="3:32" ht="13.5" thickBot="1" x14ac:dyDescent="0.25">
      <c r="I299" s="26">
        <f>SUM(I259:I296)</f>
        <v>0</v>
      </c>
      <c r="J299" s="25"/>
      <c r="K299" s="26">
        <f>SUM(K259:K296)</f>
        <v>0</v>
      </c>
      <c r="L299" s="26">
        <f>SUM(L261:L296)</f>
        <v>0</v>
      </c>
      <c r="M299" s="26">
        <f>SUM(M259:M296)</f>
        <v>0</v>
      </c>
      <c r="N299" s="35"/>
      <c r="O299" s="26">
        <f>SUM(O259:O296)</f>
        <v>0</v>
      </c>
      <c r="P299" s="35"/>
      <c r="Q299" s="26">
        <f t="shared" ref="Q299:V299" si="16">SUM(Q259:Q296)</f>
        <v>0</v>
      </c>
      <c r="R299" s="26">
        <f t="shared" si="16"/>
        <v>0</v>
      </c>
      <c r="S299" s="26">
        <f t="shared" si="16"/>
        <v>0</v>
      </c>
      <c r="T299" s="26">
        <f t="shared" si="16"/>
        <v>0</v>
      </c>
      <c r="U299" s="26">
        <f t="shared" si="16"/>
        <v>0</v>
      </c>
      <c r="V299" s="26">
        <f t="shared" si="16"/>
        <v>0</v>
      </c>
      <c r="W299" s="26">
        <f t="shared" ref="W299:AB299" si="17">SUM(W259:W298)</f>
        <v>33023</v>
      </c>
      <c r="X299" s="26">
        <f t="shared" si="17"/>
        <v>33023</v>
      </c>
      <c r="Y299" s="26">
        <f t="shared" si="17"/>
        <v>0</v>
      </c>
      <c r="Z299" s="26">
        <f t="shared" si="17"/>
        <v>0</v>
      </c>
      <c r="AA299" s="26">
        <f t="shared" si="17"/>
        <v>1938038</v>
      </c>
      <c r="AB299" s="26">
        <f t="shared" si="17"/>
        <v>1938038</v>
      </c>
      <c r="AC299" s="26">
        <f>SUM(AC258:AC298)</f>
        <v>0</v>
      </c>
      <c r="AD299" s="26">
        <f>SUM(AD259:AD298)</f>
        <v>0</v>
      </c>
      <c r="AE299" s="26">
        <f>SUM(AE258:AE298)</f>
        <v>1971061</v>
      </c>
      <c r="AF299" s="26">
        <f>SUM(AF258:AF298)</f>
        <v>1971061</v>
      </c>
    </row>
    <row r="300" spans="3:32" ht="13.5" thickTop="1" x14ac:dyDescent="0.2"/>
  </sheetData>
  <customSheetViews>
    <customSheetView guid="{D2B860EA-92EC-4999-9A59-C624E1F8C7FB}" topLeftCell="A199">
      <selection activeCell="X259" sqref="X259"/>
      <rowBreaks count="4" manualBreakCount="4">
        <brk id="74" min="1" max="15" man="1"/>
        <brk id="148" min="1" max="15" man="1"/>
        <brk id="202" min="1" max="15" man="1"/>
        <brk id="250" min="1" max="16" man="1"/>
      </rowBreaks>
      <pageMargins left="0.5" right="0.45" top="0.64" bottom="0.63" header="0.5" footer="0.5"/>
      <printOptions horizontalCentered="1"/>
      <pageSetup scale="65" orientation="portrait" r:id="rId1"/>
      <headerFooter alignWithMargins="0">
        <oddHeader>&amp;R&amp;"Arial,Bold"&amp;12Entry C</oddHeader>
        <oddFooter>&amp;L&amp;8&amp;D - County model&amp;R  &amp;P</oddFooter>
      </headerFooter>
    </customSheetView>
    <customSheetView guid="{C1197650-3ED8-49E4-8E4C-0D1D4B503FC0}" topLeftCell="A199">
      <selection activeCell="X259" sqref="X259"/>
      <rowBreaks count="4" manualBreakCount="4">
        <brk id="74" min="1" max="15" man="1"/>
        <brk id="148" min="1" max="15" man="1"/>
        <brk id="202" min="1" max="15" man="1"/>
        <brk id="250" min="1" max="16" man="1"/>
      </rowBreaks>
      <pageMargins left="0.5" right="0.45" top="0.64" bottom="0.63" header="0.5" footer="0.5"/>
      <printOptions horizontalCentered="1"/>
      <pageSetup scale="65" orientation="portrait" r:id="rId2"/>
      <headerFooter alignWithMargins="0">
        <oddHeader>&amp;R&amp;"Arial,Bold"&amp;12Entry C</oddHeader>
        <oddFooter>&amp;L&amp;8&amp;D - County model&amp;R  &amp;P</oddFooter>
      </headerFooter>
    </customSheetView>
  </customSheetViews>
  <mergeCells count="75">
    <mergeCell ref="M26:M27"/>
    <mergeCell ref="D132:K133"/>
    <mergeCell ref="M132:M133"/>
    <mergeCell ref="D116:K117"/>
    <mergeCell ref="M62:M63"/>
    <mergeCell ref="D79:K80"/>
    <mergeCell ref="M79:M80"/>
    <mergeCell ref="M92:M93"/>
    <mergeCell ref="C113:O113"/>
    <mergeCell ref="D70:K71"/>
    <mergeCell ref="D100:K101"/>
    <mergeCell ref="M70:M71"/>
    <mergeCell ref="D82:K82"/>
    <mergeCell ref="D84:K85"/>
    <mergeCell ref="D95:K96"/>
    <mergeCell ref="D73:K74"/>
    <mergeCell ref="M29:M30"/>
    <mergeCell ref="D37:K38"/>
    <mergeCell ref="M37:M38"/>
    <mergeCell ref="D40:K41"/>
    <mergeCell ref="M40:M41"/>
    <mergeCell ref="C55:O55"/>
    <mergeCell ref="D59:K60"/>
    <mergeCell ref="C33:O33"/>
    <mergeCell ref="C44:O44"/>
    <mergeCell ref="M95:M96"/>
    <mergeCell ref="M73:M74"/>
    <mergeCell ref="Q256:R256"/>
    <mergeCell ref="B253:AD254"/>
    <mergeCell ref="D174:K175"/>
    <mergeCell ref="D48:K49"/>
    <mergeCell ref="M48:M49"/>
    <mergeCell ref="I256:K256"/>
    <mergeCell ref="D62:K63"/>
    <mergeCell ref="M174:M175"/>
    <mergeCell ref="D177:K178"/>
    <mergeCell ref="D155:L156"/>
    <mergeCell ref="M155:M156"/>
    <mergeCell ref="M145:M146"/>
    <mergeCell ref="M256:O256"/>
    <mergeCell ref="M107:M109"/>
    <mergeCell ref="C204:O204"/>
    <mergeCell ref="C150:O150"/>
    <mergeCell ref="AE256:AF256"/>
    <mergeCell ref="S256:T256"/>
    <mergeCell ref="W256:X256"/>
    <mergeCell ref="Y256:Z256"/>
    <mergeCell ref="AA256:AB256"/>
    <mergeCell ref="AC256:AD256"/>
    <mergeCell ref="U256:V256"/>
    <mergeCell ref="C4:O4"/>
    <mergeCell ref="B2:O2"/>
    <mergeCell ref="C8:O8"/>
    <mergeCell ref="C22:O22"/>
    <mergeCell ref="D10:O11"/>
    <mergeCell ref="D13:O14"/>
    <mergeCell ref="D16:O17"/>
    <mergeCell ref="D19:O20"/>
    <mergeCell ref="C6:O6"/>
    <mergeCell ref="C195:O195"/>
    <mergeCell ref="D26:K27"/>
    <mergeCell ref="D29:K30"/>
    <mergeCell ref="C76:O76"/>
    <mergeCell ref="D51:K52"/>
    <mergeCell ref="M51:M52"/>
    <mergeCell ref="M59:M60"/>
    <mergeCell ref="C66:O66"/>
    <mergeCell ref="O187:O189"/>
    <mergeCell ref="D119:K119"/>
    <mergeCell ref="M116:M117"/>
    <mergeCell ref="C152:O152"/>
    <mergeCell ref="O165:O167"/>
    <mergeCell ref="M128:M130"/>
    <mergeCell ref="D137:K138"/>
    <mergeCell ref="D121:K122"/>
  </mergeCells>
  <phoneticPr fontId="14" type="noConversion"/>
  <printOptions horizontalCentered="1"/>
  <pageMargins left="0.5" right="0.45" top="0.64" bottom="0.63" header="0.5" footer="0.5"/>
  <pageSetup scale="65" orientation="portrait" r:id="rId3"/>
  <headerFooter alignWithMargins="0">
    <oddHeader>&amp;R&amp;"Arial,Bold"&amp;12Entry C</oddHeader>
    <oddFooter>&amp;L&amp;8&amp;D - County model&amp;R  &amp;P</oddFooter>
  </headerFooter>
  <rowBreaks count="4" manualBreakCount="4">
    <brk id="74" min="1" max="15" man="1"/>
    <brk id="148" min="1" max="15" man="1"/>
    <brk id="202" min="1" max="15" man="1"/>
    <brk id="251"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4"/>
  <sheetViews>
    <sheetView topLeftCell="A21" workbookViewId="0">
      <selection activeCell="L26" sqref="L26"/>
    </sheetView>
  </sheetViews>
  <sheetFormatPr defaultRowHeight="12.75" x14ac:dyDescent="0.2"/>
  <cols>
    <col min="1" max="1" width="3.5703125" customWidth="1"/>
    <col min="2" max="2" width="3.28515625" customWidth="1"/>
    <col min="3" max="3" width="18.140625" customWidth="1"/>
    <col min="7" max="7" width="12.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5" ht="7.5" customHeight="1" x14ac:dyDescent="0.2"/>
    <row r="2" spans="1:15" ht="34.5" customHeight="1" x14ac:dyDescent="0.25">
      <c r="A2" s="1103" t="s">
        <v>164</v>
      </c>
      <c r="B2" s="1104"/>
      <c r="C2" s="1104"/>
      <c r="D2" s="1104"/>
      <c r="E2" s="1104"/>
      <c r="F2" s="1104"/>
      <c r="G2" s="1104"/>
      <c r="H2" s="1104"/>
      <c r="I2" s="1104"/>
      <c r="J2" s="1104"/>
      <c r="K2" s="1104"/>
      <c r="L2" s="1104"/>
      <c r="M2" s="1104"/>
      <c r="N2" s="1105"/>
      <c r="O2" s="44"/>
    </row>
    <row r="3" spans="1:15" ht="8.25" customHeight="1" x14ac:dyDescent="0.2"/>
    <row r="4" spans="1:15" ht="90" customHeight="1" x14ac:dyDescent="0.2">
      <c r="B4" s="1029" t="s">
        <v>4156</v>
      </c>
      <c r="C4" s="1019"/>
      <c r="D4" s="1019"/>
      <c r="E4" s="1019"/>
      <c r="F4" s="1019"/>
      <c r="G4" s="1019"/>
      <c r="H4" s="1019"/>
      <c r="I4" s="1019"/>
      <c r="J4" s="1019"/>
      <c r="K4" s="1019"/>
      <c r="L4" s="1019"/>
      <c r="M4" s="1019"/>
      <c r="N4" s="1019"/>
      <c r="O4" s="24"/>
    </row>
    <row r="5" spans="1:15" ht="3.75" customHeight="1" x14ac:dyDescent="0.2">
      <c r="B5" s="24"/>
      <c r="C5" s="24"/>
      <c r="D5" s="24"/>
      <c r="E5" s="24"/>
      <c r="F5" s="24"/>
      <c r="G5" s="24"/>
      <c r="H5" s="24"/>
      <c r="I5" s="24"/>
      <c r="J5" s="24"/>
      <c r="K5" s="24"/>
      <c r="L5" s="24"/>
      <c r="M5" s="24"/>
      <c r="N5" s="24"/>
      <c r="O5" s="24"/>
    </row>
    <row r="6" spans="1:15" ht="64.5" customHeight="1" x14ac:dyDescent="0.2">
      <c r="B6" s="1019" t="s">
        <v>517</v>
      </c>
      <c r="C6" s="1019"/>
      <c r="D6" s="1019"/>
      <c r="E6" s="1019"/>
      <c r="F6" s="1019"/>
      <c r="G6" s="1019"/>
      <c r="H6" s="1019"/>
      <c r="I6" s="1019"/>
      <c r="J6" s="1019"/>
      <c r="K6" s="1019"/>
      <c r="L6" s="1019"/>
      <c r="M6" s="1019"/>
      <c r="N6" s="1019"/>
      <c r="O6" s="24"/>
    </row>
    <row r="7" spans="1:15" ht="4.5" customHeight="1" x14ac:dyDescent="0.2"/>
    <row r="8" spans="1:15" ht="53.25" customHeight="1" x14ac:dyDescent="0.2">
      <c r="B8" s="1106" t="s">
        <v>1112</v>
      </c>
      <c r="C8" s="1019"/>
      <c r="D8" s="1019"/>
      <c r="E8" s="1019"/>
      <c r="F8" s="1019"/>
      <c r="G8" s="1019"/>
      <c r="H8" s="1019"/>
      <c r="I8" s="1019"/>
      <c r="J8" s="1019"/>
      <c r="K8" s="1019"/>
      <c r="L8" s="1019"/>
      <c r="M8" s="1019"/>
      <c r="N8" s="1019"/>
      <c r="O8" s="24"/>
    </row>
    <row r="9" spans="1:15" ht="5.25" customHeight="1" x14ac:dyDescent="0.2"/>
    <row r="10" spans="1:15" ht="12.75" customHeight="1" x14ac:dyDescent="0.2">
      <c r="B10" s="28" t="s">
        <v>513</v>
      </c>
      <c r="C10" s="1019" t="s">
        <v>738</v>
      </c>
      <c r="D10" s="1019"/>
      <c r="E10" s="1019"/>
      <c r="F10" s="1019"/>
      <c r="G10" s="1019"/>
      <c r="H10" s="1019"/>
      <c r="I10" s="1019"/>
      <c r="J10" s="1019"/>
      <c r="K10" s="1019"/>
      <c r="L10" s="1019"/>
      <c r="M10" s="1019"/>
      <c r="N10" s="1019"/>
      <c r="O10" s="24"/>
    </row>
    <row r="11" spans="1:15" ht="12" customHeight="1" x14ac:dyDescent="0.2">
      <c r="B11" s="28"/>
      <c r="C11" s="1019"/>
      <c r="D11" s="1019"/>
      <c r="E11" s="1019"/>
      <c r="F11" s="1019"/>
      <c r="G11" s="1019"/>
      <c r="H11" s="1019"/>
      <c r="I11" s="1019"/>
      <c r="J11" s="1019"/>
      <c r="K11" s="1019"/>
      <c r="L11" s="1019"/>
      <c r="M11" s="1019"/>
      <c r="N11" s="1019"/>
      <c r="O11" s="24"/>
    </row>
    <row r="12" spans="1:15" ht="6" customHeight="1" x14ac:dyDescent="0.2"/>
    <row r="13" spans="1:15" ht="16.5" customHeight="1" x14ac:dyDescent="0.2">
      <c r="B13" s="28" t="s">
        <v>514</v>
      </c>
      <c r="C13" s="1032" t="s">
        <v>268</v>
      </c>
      <c r="D13" s="1032"/>
      <c r="E13" s="1032"/>
      <c r="F13" s="1032"/>
      <c r="G13" s="1032"/>
      <c r="H13" s="1032"/>
      <c r="I13" s="1032"/>
      <c r="J13" s="1032"/>
      <c r="K13" s="1032"/>
      <c r="L13" s="1032"/>
      <c r="M13" s="1032"/>
      <c r="N13" s="1032"/>
      <c r="O13" s="1032"/>
    </row>
    <row r="14" spans="1:15" ht="5.25" customHeight="1" x14ac:dyDescent="0.2"/>
    <row r="15" spans="1:15" x14ac:dyDescent="0.2">
      <c r="B15" s="28" t="s">
        <v>515</v>
      </c>
      <c r="C15" s="1032" t="s">
        <v>269</v>
      </c>
      <c r="D15" s="1032"/>
      <c r="E15" s="1032"/>
      <c r="F15" s="1032"/>
      <c r="G15" s="1032"/>
      <c r="H15" s="1032"/>
      <c r="I15" s="1032"/>
      <c r="J15" s="1032"/>
      <c r="K15" s="1032"/>
      <c r="L15" s="1032"/>
      <c r="M15" s="1032"/>
      <c r="N15" s="1032"/>
      <c r="O15" s="1032"/>
    </row>
    <row r="16" spans="1:15" ht="12" customHeight="1" x14ac:dyDescent="0.2"/>
    <row r="17" spans="1:15" ht="25.5" customHeight="1" x14ac:dyDescent="0.2">
      <c r="A17" s="4" t="s">
        <v>539</v>
      </c>
      <c r="B17" s="1097" t="s">
        <v>884</v>
      </c>
      <c r="C17" s="1098"/>
      <c r="D17" s="1098"/>
      <c r="E17" s="1098"/>
      <c r="F17" s="1098"/>
      <c r="G17" s="1098"/>
      <c r="H17" s="1098"/>
      <c r="I17" s="1098"/>
      <c r="J17" s="1098"/>
      <c r="K17" s="1098"/>
      <c r="L17" s="1098"/>
      <c r="M17" s="1098"/>
      <c r="N17" s="1099"/>
      <c r="O17" s="4"/>
    </row>
    <row r="18" spans="1:15" ht="6.75" customHeight="1" x14ac:dyDescent="0.2"/>
    <row r="19" spans="1:15" x14ac:dyDescent="0.2">
      <c r="G19" s="33" t="s">
        <v>1009</v>
      </c>
    </row>
    <row r="20" spans="1:15" x14ac:dyDescent="0.2">
      <c r="G20" s="33" t="s">
        <v>818</v>
      </c>
    </row>
    <row r="21" spans="1:15" x14ac:dyDescent="0.2">
      <c r="G21" s="3" t="s">
        <v>1010</v>
      </c>
    </row>
    <row r="22" spans="1:15" ht="5.25" customHeight="1" x14ac:dyDescent="0.2">
      <c r="G22" s="33"/>
    </row>
    <row r="23" spans="1:15" x14ac:dyDescent="0.2">
      <c r="C23" t="s">
        <v>899</v>
      </c>
      <c r="G23" s="287">
        <f>327528-34722</f>
        <v>292806</v>
      </c>
    </row>
    <row r="24" spans="1:15" x14ac:dyDescent="0.2">
      <c r="C24" t="s">
        <v>988</v>
      </c>
      <c r="G24" s="287">
        <f>400312-29959</f>
        <v>370353</v>
      </c>
    </row>
    <row r="25" spans="1:15" x14ac:dyDescent="0.2">
      <c r="C25" t="s">
        <v>989</v>
      </c>
      <c r="G25" s="287">
        <v>0</v>
      </c>
    </row>
    <row r="26" spans="1:15" x14ac:dyDescent="0.2">
      <c r="C26" t="s">
        <v>816</v>
      </c>
      <c r="G26" s="287">
        <v>8006</v>
      </c>
    </row>
    <row r="27" spans="1:15" x14ac:dyDescent="0.2">
      <c r="C27" t="s">
        <v>307</v>
      </c>
      <c r="G27" s="287">
        <v>405649</v>
      </c>
      <c r="J27" s="233"/>
    </row>
    <row r="28" spans="1:15" x14ac:dyDescent="0.2">
      <c r="C28" t="s">
        <v>805</v>
      </c>
      <c r="G28" s="287">
        <v>0</v>
      </c>
    </row>
    <row r="29" spans="1:15" x14ac:dyDescent="0.2">
      <c r="C29" t="s">
        <v>1007</v>
      </c>
      <c r="G29" s="287">
        <v>71571</v>
      </c>
    </row>
    <row r="30" spans="1:15" x14ac:dyDescent="0.2">
      <c r="C30" t="s">
        <v>172</v>
      </c>
      <c r="G30" s="287"/>
    </row>
    <row r="31" spans="1:15" x14ac:dyDescent="0.2">
      <c r="C31" s="280" t="s">
        <v>726</v>
      </c>
      <c r="G31" s="287"/>
    </row>
    <row r="32" spans="1:15" x14ac:dyDescent="0.2">
      <c r="C32" t="s">
        <v>1008</v>
      </c>
      <c r="G32" s="287"/>
    </row>
    <row r="33" spans="1:15" x14ac:dyDescent="0.2">
      <c r="G33" s="25"/>
    </row>
    <row r="34" spans="1:15" ht="13.5" thickBot="1" x14ac:dyDescent="0.25">
      <c r="G34" s="54">
        <f>SUM(G23:G32)</f>
        <v>1148385</v>
      </c>
    </row>
    <row r="35" spans="1:15" ht="13.5" thickTop="1" x14ac:dyDescent="0.2"/>
    <row r="36" spans="1:15" ht="25.5" customHeight="1" x14ac:dyDescent="0.2">
      <c r="A36" s="4" t="s">
        <v>540</v>
      </c>
      <c r="B36" s="1097" t="s">
        <v>885</v>
      </c>
      <c r="C36" s="1098"/>
      <c r="D36" s="1098"/>
      <c r="E36" s="1098"/>
      <c r="F36" s="1098"/>
      <c r="G36" s="1098"/>
      <c r="H36" s="1098"/>
      <c r="I36" s="1098"/>
      <c r="J36" s="1098"/>
      <c r="K36" s="1098"/>
      <c r="L36" s="1098"/>
      <c r="M36" s="1098"/>
      <c r="N36" s="1099"/>
      <c r="O36" s="7"/>
    </row>
    <row r="37" spans="1:15" ht="8.25" customHeight="1" x14ac:dyDescent="0.2"/>
    <row r="38" spans="1:15" x14ac:dyDescent="0.2">
      <c r="G38" s="33" t="s">
        <v>1009</v>
      </c>
    </row>
    <row r="39" spans="1:15" x14ac:dyDescent="0.2">
      <c r="G39" s="3" t="s">
        <v>818</v>
      </c>
      <c r="M39" s="25"/>
    </row>
    <row r="40" spans="1:15" ht="4.5" customHeight="1" x14ac:dyDescent="0.2">
      <c r="G40" s="33"/>
      <c r="M40" s="25"/>
    </row>
    <row r="41" spans="1:15" x14ac:dyDescent="0.2">
      <c r="C41" t="s">
        <v>812</v>
      </c>
      <c r="G41" s="295">
        <v>725792</v>
      </c>
      <c r="M41" s="25"/>
      <c r="O41" s="25"/>
    </row>
    <row r="42" spans="1:15" x14ac:dyDescent="0.2">
      <c r="C42" t="s">
        <v>831</v>
      </c>
      <c r="G42" s="295">
        <v>92600</v>
      </c>
      <c r="M42" s="25"/>
      <c r="O42" s="25"/>
    </row>
    <row r="43" spans="1:15" x14ac:dyDescent="0.2">
      <c r="C43" s="579" t="s">
        <v>70</v>
      </c>
      <c r="G43" s="295">
        <f>196132-34722+242</f>
        <v>161652</v>
      </c>
      <c r="M43" s="25"/>
      <c r="O43" s="25"/>
    </row>
    <row r="44" spans="1:15" x14ac:dyDescent="0.2">
      <c r="C44" t="s">
        <v>4164</v>
      </c>
      <c r="G44" s="295">
        <v>14480</v>
      </c>
      <c r="M44" s="25"/>
      <c r="O44" s="25"/>
    </row>
    <row r="45" spans="1:15" x14ac:dyDescent="0.2">
      <c r="C45" t="s">
        <v>832</v>
      </c>
      <c r="G45" s="295">
        <f>172400-29959-14480-242</f>
        <v>127719</v>
      </c>
      <c r="M45" s="25"/>
      <c r="O45" s="25"/>
    </row>
    <row r="46" spans="1:15" x14ac:dyDescent="0.2">
      <c r="C46" t="s">
        <v>810</v>
      </c>
      <c r="G46" s="295">
        <v>26017</v>
      </c>
      <c r="O46" s="25"/>
    </row>
    <row r="47" spans="1:15" x14ac:dyDescent="0.2">
      <c r="C47" s="539" t="s">
        <v>1037</v>
      </c>
      <c r="G47" s="287">
        <v>125</v>
      </c>
      <c r="O47" s="25"/>
    </row>
    <row r="48" spans="1:15" x14ac:dyDescent="0.2">
      <c r="C48" s="539" t="s">
        <v>893</v>
      </c>
      <c r="G48" s="287">
        <v>0</v>
      </c>
    </row>
    <row r="49" spans="1:15" ht="17.25" thickBot="1" x14ac:dyDescent="0.4">
      <c r="G49" s="54">
        <f>SUM(G41:G48)</f>
        <v>1148385</v>
      </c>
      <c r="I49" s="42" t="str">
        <f>IF(G34=G49," ","Recheck numbers in sections A and B. Entry is out of balance.")</f>
        <v xml:space="preserve"> </v>
      </c>
    </row>
    <row r="50" spans="1:15" ht="13.5" thickTop="1" x14ac:dyDescent="0.2"/>
    <row r="51" spans="1:15" ht="26.25" customHeight="1" x14ac:dyDescent="0.2">
      <c r="A51" s="4" t="s">
        <v>801</v>
      </c>
      <c r="B51" s="1097" t="s">
        <v>526</v>
      </c>
      <c r="C51" s="1098"/>
      <c r="D51" s="1098"/>
      <c r="E51" s="1098"/>
      <c r="F51" s="1098"/>
      <c r="G51" s="1098"/>
      <c r="H51" s="1098"/>
      <c r="I51" s="1098"/>
      <c r="J51" s="1098"/>
      <c r="K51" s="1098"/>
      <c r="L51" s="1098"/>
      <c r="M51" s="1098"/>
      <c r="N51" s="1099"/>
      <c r="O51" s="7"/>
    </row>
    <row r="52" spans="1:15" ht="8.25" customHeight="1" x14ac:dyDescent="0.2"/>
    <row r="53" spans="1:15" x14ac:dyDescent="0.2">
      <c r="J53" s="36" t="s">
        <v>509</v>
      </c>
      <c r="K53" s="27"/>
      <c r="L53" s="36" t="s">
        <v>510</v>
      </c>
    </row>
    <row r="54" spans="1:15" ht="6.75" customHeight="1" x14ac:dyDescent="0.2">
      <c r="J54" s="27"/>
      <c r="K54" s="27"/>
      <c r="L54" s="27"/>
    </row>
    <row r="55" spans="1:15" x14ac:dyDescent="0.2">
      <c r="A55" s="112" t="s">
        <v>197</v>
      </c>
      <c r="B55" t="s">
        <v>899</v>
      </c>
      <c r="J55" s="11">
        <f t="shared" ref="J55:J64" si="0">G23</f>
        <v>292806</v>
      </c>
      <c r="L55" s="57"/>
    </row>
    <row r="56" spans="1:15" x14ac:dyDescent="0.2">
      <c r="B56" t="s">
        <v>988</v>
      </c>
      <c r="J56" s="11">
        <f t="shared" si="0"/>
        <v>370353</v>
      </c>
      <c r="L56" s="57"/>
    </row>
    <row r="57" spans="1:15" x14ac:dyDescent="0.2">
      <c r="B57" t="s">
        <v>989</v>
      </c>
      <c r="J57" s="11">
        <f t="shared" si="0"/>
        <v>0</v>
      </c>
      <c r="L57" s="57"/>
    </row>
    <row r="58" spans="1:15" x14ac:dyDescent="0.2">
      <c r="B58" t="s">
        <v>816</v>
      </c>
      <c r="J58" s="11">
        <f t="shared" si="0"/>
        <v>8006</v>
      </c>
      <c r="L58" s="57"/>
    </row>
    <row r="59" spans="1:15" x14ac:dyDescent="0.2">
      <c r="B59" t="s">
        <v>307</v>
      </c>
      <c r="J59" s="11">
        <f t="shared" si="0"/>
        <v>405649</v>
      </c>
      <c r="L59" s="57"/>
    </row>
    <row r="60" spans="1:15" x14ac:dyDescent="0.2">
      <c r="B60" t="s">
        <v>805</v>
      </c>
      <c r="J60" s="11">
        <f t="shared" si="0"/>
        <v>0</v>
      </c>
      <c r="L60" s="57"/>
    </row>
    <row r="61" spans="1:15" x14ac:dyDescent="0.2">
      <c r="B61" t="s">
        <v>1007</v>
      </c>
      <c r="J61" s="11">
        <f t="shared" si="0"/>
        <v>71571</v>
      </c>
      <c r="L61" s="57"/>
    </row>
    <row r="62" spans="1:15" x14ac:dyDescent="0.2">
      <c r="B62" t="s">
        <v>172</v>
      </c>
      <c r="J62" s="11">
        <f t="shared" si="0"/>
        <v>0</v>
      </c>
      <c r="L62" s="57"/>
    </row>
    <row r="63" spans="1:15" x14ac:dyDescent="0.2">
      <c r="B63" s="280" t="s">
        <v>726</v>
      </c>
      <c r="J63" s="11">
        <f t="shared" si="0"/>
        <v>0</v>
      </c>
      <c r="L63" s="57"/>
    </row>
    <row r="64" spans="1:15" x14ac:dyDescent="0.2">
      <c r="B64" t="s">
        <v>1008</v>
      </c>
      <c r="J64" s="11">
        <f t="shared" si="0"/>
        <v>0</v>
      </c>
      <c r="L64" s="57"/>
    </row>
    <row r="65" spans="3:12" x14ac:dyDescent="0.2">
      <c r="C65" s="16" t="s">
        <v>492</v>
      </c>
      <c r="J65" s="57"/>
      <c r="L65" s="11">
        <f>G41</f>
        <v>725792</v>
      </c>
    </row>
    <row r="66" spans="3:12" x14ac:dyDescent="0.2">
      <c r="C66" t="s">
        <v>134</v>
      </c>
      <c r="J66" s="57"/>
      <c r="L66" s="11">
        <f>G42</f>
        <v>92600</v>
      </c>
    </row>
    <row r="67" spans="3:12" x14ac:dyDescent="0.2">
      <c r="C67" s="579" t="s">
        <v>71</v>
      </c>
      <c r="J67" s="57"/>
      <c r="L67" s="11">
        <f>G43</f>
        <v>161652</v>
      </c>
    </row>
    <row r="68" spans="3:12" x14ac:dyDescent="0.2">
      <c r="C68" s="579" t="s">
        <v>4165</v>
      </c>
      <c r="J68" s="57"/>
      <c r="L68" s="11">
        <f>G44</f>
        <v>14480</v>
      </c>
    </row>
    <row r="69" spans="3:12" x14ac:dyDescent="0.2">
      <c r="C69" t="s">
        <v>848</v>
      </c>
      <c r="J69" s="57"/>
      <c r="L69" s="11">
        <f t="shared" ref="L69:L72" si="1">G45</f>
        <v>127719</v>
      </c>
    </row>
    <row r="70" spans="3:12" x14ac:dyDescent="0.2">
      <c r="C70" t="s">
        <v>135</v>
      </c>
      <c r="J70" s="57"/>
      <c r="L70" s="11">
        <f t="shared" si="1"/>
        <v>26017</v>
      </c>
    </row>
    <row r="71" spans="3:12" x14ac:dyDescent="0.2">
      <c r="C71" s="280" t="s">
        <v>548</v>
      </c>
      <c r="J71" s="57"/>
      <c r="L71" s="11">
        <f t="shared" si="1"/>
        <v>125</v>
      </c>
    </row>
    <row r="72" spans="3:12" x14ac:dyDescent="0.2">
      <c r="C72" s="280" t="s">
        <v>549</v>
      </c>
      <c r="J72" s="57"/>
      <c r="L72" s="11">
        <f t="shared" si="1"/>
        <v>0</v>
      </c>
    </row>
    <row r="73" spans="3:12" ht="13.5" thickBot="1" x14ac:dyDescent="0.25">
      <c r="J73" s="58">
        <f>SUM(J55:J72)</f>
        <v>1148385</v>
      </c>
      <c r="L73" s="58">
        <f>SUM(L65:L72)</f>
        <v>1148385</v>
      </c>
    </row>
    <row r="74" spans="3:12" ht="13.5" thickTop="1" x14ac:dyDescent="0.2"/>
  </sheetData>
  <customSheetViews>
    <customSheetView guid="{D2B860EA-92EC-4999-9A59-C624E1F8C7FB}" fitToPage="1">
      <selection activeCell="G45" sqref="G45"/>
      <pageMargins left="0.36" right="0.48" top="0.78" bottom="0.69" header="0.5" footer="0.5"/>
      <printOptions horizontalCentered="1"/>
      <pageSetup scale="66" orientation="portrait" r:id="rId1"/>
      <headerFooter alignWithMargins="0">
        <oddHeader>&amp;R&amp;"Arial,Bold"&amp;12Entry  D</oddHeader>
        <oddFooter>&amp;L&amp;8&amp;D - County model&amp;R&amp;P</oddFooter>
      </headerFooter>
    </customSheetView>
    <customSheetView guid="{C1197650-3ED8-49E4-8E4C-0D1D4B503FC0}" fitToPage="1">
      <selection activeCell="G45" sqref="G45"/>
      <pageMargins left="0.36" right="0.48" top="0.78" bottom="0.69" header="0.5" footer="0.5"/>
      <printOptions horizontalCentered="1"/>
      <pageSetup scale="66" orientation="portrait" r:id="rId2"/>
      <headerFooter alignWithMargins="0">
        <oddHeader>&amp;R&amp;"Arial,Bold"&amp;12Entry  D</oddHeader>
        <oddFooter>&amp;L&amp;8&amp;D - County model&amp;R&amp;P</oddFooter>
      </headerFooter>
    </customSheetView>
  </customSheetViews>
  <mergeCells count="10">
    <mergeCell ref="C10:N11"/>
    <mergeCell ref="B51:N51"/>
    <mergeCell ref="A2:N2"/>
    <mergeCell ref="B4:N4"/>
    <mergeCell ref="B6:N6"/>
    <mergeCell ref="B8:N8"/>
    <mergeCell ref="C13:O13"/>
    <mergeCell ref="C15:O15"/>
    <mergeCell ref="B17:N17"/>
    <mergeCell ref="B36:N36"/>
  </mergeCells>
  <phoneticPr fontId="14" type="noConversion"/>
  <printOptions horizontalCentered="1"/>
  <pageMargins left="0.36" right="0.48" top="0.78" bottom="0.69" header="0.5" footer="0.5"/>
  <pageSetup scale="66" orientation="portrait" r:id="rId3"/>
  <headerFooter alignWithMargins="0">
    <oddHeader>&amp;R&amp;"Arial,Bold"&amp;12Entry  D</oddHeader>
    <oddFooter>&amp;L&amp;8&amp;D - County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6"/>
  <sheetViews>
    <sheetView topLeftCell="A6" workbookViewId="0">
      <selection activeCell="O62" sqref="O6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25"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103" t="s">
        <v>804</v>
      </c>
      <c r="B2" s="1104"/>
      <c r="C2" s="1104"/>
      <c r="D2" s="1104"/>
      <c r="E2" s="1104"/>
      <c r="F2" s="1104"/>
      <c r="G2" s="1104"/>
      <c r="H2" s="1104"/>
      <c r="I2" s="1104"/>
      <c r="J2" s="1104"/>
      <c r="K2" s="1104"/>
      <c r="L2" s="1104"/>
      <c r="M2" s="1104"/>
      <c r="N2" s="1104"/>
      <c r="O2" s="1104"/>
      <c r="P2" s="1105"/>
    </row>
    <row r="3" spans="1:16" ht="3.75" customHeight="1" x14ac:dyDescent="0.2"/>
    <row r="4" spans="1:16" ht="69.75" customHeight="1" x14ac:dyDescent="0.2">
      <c r="B4" s="1019" t="s">
        <v>157</v>
      </c>
      <c r="C4" s="1019"/>
      <c r="D4" s="1019"/>
      <c r="E4" s="1019"/>
      <c r="F4" s="1019"/>
      <c r="G4" s="1019"/>
      <c r="H4" s="1019"/>
      <c r="I4" s="1019"/>
      <c r="J4" s="1019"/>
      <c r="K4" s="1019"/>
      <c r="L4" s="1019"/>
      <c r="M4" s="1019"/>
      <c r="N4" s="1019"/>
      <c r="O4" s="1019"/>
      <c r="P4" s="1019"/>
    </row>
    <row r="5" spans="1:16" ht="3.75" customHeight="1" x14ac:dyDescent="0.2"/>
    <row r="6" spans="1:16" ht="66.75" customHeight="1" x14ac:dyDescent="0.2">
      <c r="B6" s="1106" t="s">
        <v>1090</v>
      </c>
      <c r="C6" s="1019"/>
      <c r="D6" s="1019"/>
      <c r="E6" s="1019"/>
      <c r="F6" s="1019"/>
      <c r="G6" s="1019"/>
      <c r="H6" s="1019"/>
      <c r="I6" s="1019"/>
      <c r="J6" s="1019"/>
      <c r="K6" s="1019"/>
      <c r="L6" s="1019"/>
      <c r="M6" s="1019"/>
      <c r="N6" s="1019"/>
      <c r="O6" s="1019"/>
      <c r="P6" s="1019"/>
    </row>
    <row r="7" spans="1:16" ht="3.75" customHeight="1" x14ac:dyDescent="0.2">
      <c r="B7" s="24"/>
      <c r="C7" s="24"/>
      <c r="D7" s="24"/>
      <c r="E7" s="24"/>
      <c r="F7" s="24"/>
      <c r="G7" s="24"/>
      <c r="H7" s="24"/>
      <c r="I7" s="24"/>
      <c r="J7" s="24"/>
      <c r="K7" s="24"/>
      <c r="L7" s="24"/>
      <c r="M7" s="24"/>
      <c r="N7" s="24"/>
      <c r="O7" s="24"/>
      <c r="P7" s="24"/>
    </row>
    <row r="8" spans="1:16" ht="27" customHeight="1" x14ac:dyDescent="0.2">
      <c r="B8" s="1019" t="s">
        <v>88</v>
      </c>
      <c r="C8" s="1019"/>
      <c r="D8" s="1019"/>
      <c r="E8" s="1019"/>
      <c r="F8" s="1019"/>
      <c r="G8" s="1019"/>
      <c r="H8" s="1019"/>
      <c r="I8" s="1019"/>
      <c r="J8" s="1019"/>
      <c r="K8" s="1019"/>
      <c r="L8" s="1019"/>
      <c r="M8" s="1019"/>
      <c r="N8" s="1019"/>
      <c r="O8" s="1019"/>
      <c r="P8" s="1019"/>
    </row>
    <row r="9" spans="1:16" ht="9" customHeight="1" x14ac:dyDescent="0.2"/>
    <row r="10" spans="1:16" ht="12.75" customHeight="1" x14ac:dyDescent="0.2">
      <c r="B10" s="28" t="s">
        <v>513</v>
      </c>
      <c r="C10" s="1019" t="s">
        <v>398</v>
      </c>
      <c r="D10" s="1019"/>
      <c r="E10" s="1019"/>
      <c r="F10" s="1019"/>
      <c r="G10" s="1019"/>
      <c r="H10" s="1019"/>
      <c r="I10" s="1019"/>
      <c r="J10" s="1019"/>
      <c r="K10" s="1019"/>
      <c r="L10" s="1019"/>
      <c r="M10" s="1019"/>
      <c r="N10" s="1019"/>
      <c r="O10" s="1019"/>
      <c r="P10" s="24"/>
    </row>
    <row r="11" spans="1:16" ht="37.5" customHeight="1" x14ac:dyDescent="0.2">
      <c r="B11" s="28"/>
      <c r="C11" s="1019"/>
      <c r="D11" s="1019"/>
      <c r="E11" s="1019"/>
      <c r="F11" s="1019"/>
      <c r="G11" s="1019"/>
      <c r="H11" s="1019"/>
      <c r="I11" s="1019"/>
      <c r="J11" s="1019"/>
      <c r="K11" s="1019"/>
      <c r="L11" s="1019"/>
      <c r="M11" s="1019"/>
      <c r="N11" s="1019"/>
      <c r="O11" s="1019"/>
      <c r="P11" s="24"/>
    </row>
    <row r="12" spans="1:16" ht="5.25" customHeight="1" x14ac:dyDescent="0.2">
      <c r="B12" s="28"/>
      <c r="C12" s="24"/>
      <c r="D12" s="24"/>
      <c r="E12" s="24"/>
      <c r="F12" s="24"/>
      <c r="G12" s="24"/>
      <c r="H12" s="24"/>
      <c r="I12" s="24"/>
      <c r="J12" s="24"/>
      <c r="K12" s="24"/>
      <c r="L12" s="24"/>
      <c r="M12" s="24"/>
      <c r="N12" s="24"/>
      <c r="O12" s="24"/>
      <c r="P12" s="24"/>
    </row>
    <row r="13" spans="1:16" ht="12.75" customHeight="1" x14ac:dyDescent="0.2">
      <c r="B13" s="28" t="s">
        <v>514</v>
      </c>
      <c r="C13" s="1019" t="s">
        <v>116</v>
      </c>
      <c r="D13" s="1019"/>
      <c r="E13" s="1019"/>
      <c r="F13" s="1019"/>
      <c r="G13" s="1019"/>
      <c r="H13" s="1019"/>
      <c r="I13" s="1019"/>
      <c r="J13" s="1019"/>
      <c r="K13" s="1019"/>
      <c r="L13" s="1019"/>
      <c r="M13" s="1019"/>
      <c r="N13" s="1019"/>
      <c r="O13" s="1019"/>
    </row>
    <row r="14" spans="1:16" ht="12" customHeight="1" x14ac:dyDescent="0.2">
      <c r="B14" s="28"/>
      <c r="C14" s="1019"/>
      <c r="D14" s="1019"/>
      <c r="E14" s="1019"/>
      <c r="F14" s="1019"/>
      <c r="G14" s="1019"/>
      <c r="H14" s="1019"/>
      <c r="I14" s="1019"/>
      <c r="J14" s="1019"/>
      <c r="K14" s="1019"/>
      <c r="L14" s="1019"/>
      <c r="M14" s="1019"/>
      <c r="N14" s="1019"/>
      <c r="O14" s="1019"/>
    </row>
    <row r="15" spans="1:16" ht="5.25" customHeight="1" x14ac:dyDescent="0.2">
      <c r="B15" s="28"/>
    </row>
    <row r="16" spans="1:16" x14ac:dyDescent="0.2">
      <c r="B16" s="28" t="s">
        <v>806</v>
      </c>
      <c r="C16" t="s">
        <v>115</v>
      </c>
    </row>
    <row r="17" spans="1:16" ht="4.5" customHeight="1" x14ac:dyDescent="0.2"/>
    <row r="18" spans="1:16" ht="25.5" customHeight="1" x14ac:dyDescent="0.2">
      <c r="A18" s="4" t="s">
        <v>539</v>
      </c>
      <c r="B18" s="1100" t="s">
        <v>737</v>
      </c>
      <c r="C18" s="1110"/>
      <c r="D18" s="1110"/>
      <c r="E18" s="1110"/>
      <c r="F18" s="1110"/>
      <c r="G18" s="1110"/>
      <c r="H18" s="1110"/>
      <c r="I18" s="1110"/>
      <c r="J18" s="1110"/>
      <c r="K18" s="1110"/>
      <c r="L18" s="1110"/>
      <c r="M18" s="1110"/>
      <c r="N18" s="1110"/>
      <c r="O18" s="1110"/>
      <c r="P18" s="1111"/>
    </row>
    <row r="19" spans="1:16" ht="3" customHeight="1" x14ac:dyDescent="0.2">
      <c r="B19" s="4"/>
      <c r="H19" s="34"/>
    </row>
    <row r="20" spans="1:16" x14ac:dyDescent="0.2">
      <c r="G20" s="3" t="s">
        <v>506</v>
      </c>
      <c r="H20"/>
    </row>
    <row r="21" spans="1:16" ht="3" customHeight="1" x14ac:dyDescent="0.2">
      <c r="H21"/>
    </row>
    <row r="22" spans="1:16" x14ac:dyDescent="0.2">
      <c r="C22" t="s">
        <v>899</v>
      </c>
      <c r="G22" s="287">
        <f>61384+20177-100000</f>
        <v>-18439</v>
      </c>
      <c r="H22"/>
    </row>
    <row r="23" spans="1:16" x14ac:dyDescent="0.2">
      <c r="C23" t="s">
        <v>988</v>
      </c>
      <c r="G23" s="287">
        <v>233304</v>
      </c>
      <c r="H23"/>
    </row>
    <row r="24" spans="1:16" x14ac:dyDescent="0.2">
      <c r="C24" t="s">
        <v>989</v>
      </c>
      <c r="G24" s="287">
        <v>0</v>
      </c>
      <c r="H24"/>
    </row>
    <row r="25" spans="1:16" x14ac:dyDescent="0.2">
      <c r="C25" t="s">
        <v>816</v>
      </c>
      <c r="G25" s="287">
        <v>174366</v>
      </c>
      <c r="H25"/>
    </row>
    <row r="26" spans="1:16" ht="12.75" customHeight="1" x14ac:dyDescent="0.2">
      <c r="C26" t="s">
        <v>805</v>
      </c>
      <c r="G26" s="287">
        <v>0</v>
      </c>
      <c r="H26"/>
      <c r="J26" s="1116" t="s">
        <v>587</v>
      </c>
      <c r="K26" s="1116"/>
      <c r="L26" s="1116"/>
      <c r="M26" s="1116"/>
      <c r="N26" s="1116"/>
      <c r="O26" s="1116"/>
    </row>
    <row r="27" spans="1:16" x14ac:dyDescent="0.2">
      <c r="C27" t="s">
        <v>307</v>
      </c>
      <c r="G27" s="287">
        <v>461140</v>
      </c>
      <c r="H27"/>
      <c r="J27" s="1116"/>
      <c r="K27" s="1116"/>
      <c r="L27" s="1116"/>
      <c r="M27" s="1116"/>
      <c r="N27" s="1116"/>
      <c r="O27" s="1116"/>
    </row>
    <row r="28" spans="1:16" x14ac:dyDescent="0.2">
      <c r="C28" t="s">
        <v>267</v>
      </c>
      <c r="G28" s="285">
        <v>20325</v>
      </c>
      <c r="H28"/>
      <c r="J28" s="1116"/>
      <c r="K28" s="1116"/>
      <c r="L28" s="1116"/>
      <c r="M28" s="1116"/>
      <c r="N28" s="1116"/>
      <c r="O28" s="1116"/>
    </row>
    <row r="29" spans="1:16" x14ac:dyDescent="0.2">
      <c r="C29" t="s">
        <v>892</v>
      </c>
      <c r="G29" s="285">
        <v>125919</v>
      </c>
      <c r="H29"/>
      <c r="J29" s="24"/>
      <c r="K29" s="24"/>
      <c r="L29" s="24"/>
      <c r="M29" s="24"/>
      <c r="N29" s="24"/>
      <c r="O29" s="24"/>
    </row>
    <row r="30" spans="1:16" x14ac:dyDescent="0.2">
      <c r="C30" t="s">
        <v>172</v>
      </c>
      <c r="G30" s="285"/>
      <c r="H30"/>
    </row>
    <row r="31" spans="1:16" x14ac:dyDescent="0.2">
      <c r="C31" s="280" t="s">
        <v>726</v>
      </c>
      <c r="G31" s="296"/>
      <c r="H31"/>
    </row>
    <row r="32" spans="1:16" ht="13.5" thickBot="1" x14ac:dyDescent="0.25">
      <c r="G32" s="64">
        <f>SUM(G22:G31)</f>
        <v>996615</v>
      </c>
      <c r="H32"/>
    </row>
    <row r="33" spans="1:16" ht="5.25" customHeight="1" thickTop="1" x14ac:dyDescent="0.2">
      <c r="H33"/>
    </row>
    <row r="34" spans="1:16" x14ac:dyDescent="0.2">
      <c r="H34"/>
    </row>
    <row r="35" spans="1:16" ht="25.5" customHeight="1" x14ac:dyDescent="0.2">
      <c r="A35" s="4" t="s">
        <v>540</v>
      </c>
      <c r="B35" s="1097" t="s">
        <v>774</v>
      </c>
      <c r="C35" s="1098"/>
      <c r="D35" s="1098"/>
      <c r="E35" s="1098"/>
      <c r="F35" s="1098"/>
      <c r="G35" s="1098"/>
      <c r="H35" s="1098"/>
      <c r="I35" s="1098"/>
      <c r="J35" s="1098"/>
      <c r="K35" s="1098"/>
      <c r="L35" s="1098"/>
      <c r="M35" s="1098"/>
      <c r="N35" s="1098"/>
      <c r="O35" s="1098"/>
      <c r="P35" s="1099"/>
    </row>
    <row r="36" spans="1:16" x14ac:dyDescent="0.2">
      <c r="G36" s="3" t="s">
        <v>506</v>
      </c>
      <c r="H36" s="35"/>
      <c r="I36" s="35"/>
      <c r="J36" s="35"/>
      <c r="K36" s="35"/>
      <c r="L36" s="35"/>
      <c r="N36" s="35"/>
    </row>
    <row r="37" spans="1:16" ht="3" customHeight="1" x14ac:dyDescent="0.2">
      <c r="H37" s="35"/>
      <c r="I37" s="35"/>
      <c r="J37" s="35"/>
      <c r="K37" s="35"/>
      <c r="L37" s="35"/>
      <c r="N37" s="35"/>
    </row>
    <row r="38" spans="1:16" x14ac:dyDescent="0.2">
      <c r="C38" t="s">
        <v>811</v>
      </c>
      <c r="G38" s="285">
        <v>0</v>
      </c>
      <c r="H38" s="35"/>
      <c r="I38" s="35"/>
      <c r="J38" s="35"/>
      <c r="K38" s="35"/>
      <c r="L38" s="35"/>
    </row>
    <row r="39" spans="1:16" x14ac:dyDescent="0.2">
      <c r="C39" t="s">
        <v>824</v>
      </c>
      <c r="G39" s="285">
        <v>146096</v>
      </c>
      <c r="H39" s="35"/>
      <c r="I39" s="35"/>
      <c r="J39" s="35"/>
      <c r="K39" s="35"/>
      <c r="L39" s="35"/>
    </row>
    <row r="40" spans="1:16" ht="12" customHeight="1" x14ac:dyDescent="0.2">
      <c r="C40" t="s">
        <v>812</v>
      </c>
      <c r="G40" s="285">
        <v>92650</v>
      </c>
      <c r="H40" s="35"/>
      <c r="I40" s="35"/>
      <c r="J40" s="1116" t="s">
        <v>589</v>
      </c>
      <c r="K40" s="1116"/>
      <c r="L40" s="1116"/>
      <c r="M40" s="1116"/>
      <c r="N40" s="1116"/>
      <c r="O40" s="1116"/>
    </row>
    <row r="41" spans="1:16" x14ac:dyDescent="0.2">
      <c r="C41" t="s">
        <v>813</v>
      </c>
      <c r="G41" s="285">
        <f>23000+20000</f>
        <v>43000</v>
      </c>
      <c r="H41" s="35"/>
      <c r="I41" s="35"/>
      <c r="J41" s="1116"/>
      <c r="K41" s="1116"/>
      <c r="L41" s="1116"/>
      <c r="M41" s="1116"/>
      <c r="N41" s="1116"/>
      <c r="O41" s="1116"/>
    </row>
    <row r="42" spans="1:16" x14ac:dyDescent="0.2">
      <c r="C42" t="s">
        <v>809</v>
      </c>
      <c r="G42" s="285">
        <v>546307</v>
      </c>
      <c r="H42" s="35"/>
      <c r="I42" s="35"/>
      <c r="J42" s="1116"/>
      <c r="K42" s="1116"/>
      <c r="L42" s="1116"/>
      <c r="M42" s="1116"/>
      <c r="N42" s="1116"/>
      <c r="O42" s="1116"/>
    </row>
    <row r="43" spans="1:16" x14ac:dyDescent="0.2">
      <c r="C43" t="s">
        <v>808</v>
      </c>
      <c r="G43" s="285">
        <v>168562</v>
      </c>
      <c r="H43" s="35"/>
      <c r="I43" s="35"/>
      <c r="J43" s="35"/>
      <c r="K43" s="35"/>
      <c r="L43" s="35"/>
    </row>
    <row r="44" spans="1:16" x14ac:dyDescent="0.2">
      <c r="C44" t="s">
        <v>4166</v>
      </c>
      <c r="G44" s="285">
        <v>0</v>
      </c>
      <c r="H44" s="35"/>
      <c r="I44" s="35"/>
      <c r="J44" s="35"/>
      <c r="K44" s="35"/>
      <c r="L44" s="35"/>
    </row>
    <row r="45" spans="1:16" x14ac:dyDescent="0.2">
      <c r="C45" t="s">
        <v>4167</v>
      </c>
      <c r="G45" s="285">
        <v>0</v>
      </c>
      <c r="H45" s="35"/>
      <c r="I45" s="35"/>
      <c r="J45" s="35"/>
      <c r="K45" s="35"/>
      <c r="L45" s="35"/>
    </row>
    <row r="46" spans="1:16" x14ac:dyDescent="0.2">
      <c r="C46" t="s">
        <v>775</v>
      </c>
      <c r="G46" s="285">
        <v>0</v>
      </c>
      <c r="H46" s="35"/>
      <c r="I46" s="35"/>
      <c r="J46" s="35"/>
      <c r="K46" s="35"/>
      <c r="L46" s="35"/>
    </row>
    <row r="47" spans="1:16" x14ac:dyDescent="0.2">
      <c r="C47" s="280" t="s">
        <v>893</v>
      </c>
      <c r="G47" s="285">
        <v>0</v>
      </c>
      <c r="H47" s="35"/>
      <c r="I47" s="35"/>
      <c r="J47" s="35"/>
      <c r="K47" s="35"/>
      <c r="L47" s="35"/>
    </row>
    <row r="48" spans="1:16" x14ac:dyDescent="0.2">
      <c r="C48" s="280" t="s">
        <v>894</v>
      </c>
      <c r="G48" s="296"/>
      <c r="H48" s="35"/>
      <c r="I48" s="35"/>
      <c r="J48" s="35"/>
      <c r="K48" s="35"/>
      <c r="L48" s="35"/>
    </row>
    <row r="49" spans="1:16" ht="17.25" thickBot="1" x14ac:dyDescent="0.4">
      <c r="G49" s="65">
        <f>SUM(G38:G48)</f>
        <v>996615</v>
      </c>
      <c r="H49" s="35"/>
      <c r="I49" s="45" t="str">
        <f>IF(G32=G49," ","Recheck numbers in Section A or B. Entry is out of balance.")</f>
        <v xml:space="preserve"> </v>
      </c>
      <c r="J49" s="35"/>
      <c r="K49" s="35"/>
      <c r="L49" s="35"/>
      <c r="N49" s="35"/>
    </row>
    <row r="50" spans="1:16" ht="13.5" thickTop="1" x14ac:dyDescent="0.2">
      <c r="G50" s="5"/>
      <c r="H50" s="35"/>
      <c r="I50" s="35"/>
      <c r="J50" s="35"/>
      <c r="K50" s="35"/>
      <c r="L50" s="35"/>
      <c r="N50" s="35"/>
    </row>
    <row r="51" spans="1:16" ht="25.5" customHeight="1" x14ac:dyDescent="0.2">
      <c r="A51" s="4" t="s">
        <v>801</v>
      </c>
      <c r="B51" s="1097" t="s">
        <v>527</v>
      </c>
      <c r="C51" s="1098"/>
      <c r="D51" s="1098"/>
      <c r="E51" s="1098"/>
      <c r="F51" s="1098"/>
      <c r="G51" s="1098"/>
      <c r="H51" s="1098"/>
      <c r="I51" s="1098"/>
      <c r="J51" s="1098"/>
      <c r="K51" s="1098"/>
      <c r="L51" s="1098"/>
      <c r="M51" s="1098"/>
      <c r="N51" s="1098"/>
      <c r="O51" s="1099"/>
      <c r="P51" s="4"/>
    </row>
    <row r="52" spans="1:16" x14ac:dyDescent="0.2">
      <c r="L52" s="36" t="s">
        <v>509</v>
      </c>
      <c r="M52" s="33"/>
      <c r="N52" s="36" t="s">
        <v>510</v>
      </c>
    </row>
    <row r="53" spans="1:16" ht="3" customHeight="1" x14ac:dyDescent="0.2"/>
    <row r="54" spans="1:16" ht="12.75" customHeight="1" x14ac:dyDescent="0.2">
      <c r="D54" t="s">
        <v>410</v>
      </c>
      <c r="E54" t="s">
        <v>811</v>
      </c>
      <c r="L54" s="61">
        <f xml:space="preserve">    G38</f>
        <v>0</v>
      </c>
      <c r="N54" s="61"/>
    </row>
    <row r="55" spans="1:16" x14ac:dyDescent="0.2">
      <c r="E55" t="s">
        <v>814</v>
      </c>
      <c r="L55" s="61">
        <v>0</v>
      </c>
      <c r="N55" s="61"/>
    </row>
    <row r="56" spans="1:16" x14ac:dyDescent="0.2">
      <c r="E56" t="s">
        <v>812</v>
      </c>
      <c r="L56" s="61">
        <f>G40</f>
        <v>92650</v>
      </c>
      <c r="N56" s="61"/>
      <c r="O56" s="1007"/>
    </row>
    <row r="57" spans="1:16" x14ac:dyDescent="0.2">
      <c r="E57" t="s">
        <v>813</v>
      </c>
      <c r="L57" s="61">
        <v>0</v>
      </c>
      <c r="N57" s="61"/>
      <c r="O57" s="1007"/>
    </row>
    <row r="58" spans="1:16" x14ac:dyDescent="0.2">
      <c r="E58" t="s">
        <v>809</v>
      </c>
      <c r="J58" s="5"/>
      <c r="L58" s="61">
        <v>226433</v>
      </c>
      <c r="N58" s="61"/>
      <c r="O58" s="1007"/>
    </row>
    <row r="59" spans="1:16" x14ac:dyDescent="0.2">
      <c r="E59" t="s">
        <v>808</v>
      </c>
      <c r="J59" s="5"/>
      <c r="L59" s="61">
        <v>138900</v>
      </c>
      <c r="N59" s="61"/>
      <c r="O59" s="1007"/>
    </row>
    <row r="60" spans="1:16" x14ac:dyDescent="0.2">
      <c r="E60" t="s">
        <v>4166</v>
      </c>
      <c r="L60" s="61">
        <f t="shared" ref="L60:L61" si="0">G44</f>
        <v>0</v>
      </c>
      <c r="N60" s="61"/>
    </row>
    <row r="61" spans="1:16" x14ac:dyDescent="0.2">
      <c r="E61" t="s">
        <v>4167</v>
      </c>
      <c r="L61" s="61">
        <f t="shared" si="0"/>
        <v>0</v>
      </c>
      <c r="N61" s="61"/>
    </row>
    <row r="62" spans="1:16" x14ac:dyDescent="0.2">
      <c r="E62" t="s">
        <v>810</v>
      </c>
      <c r="L62" s="61">
        <f t="shared" ref="L62" si="1">G46</f>
        <v>0</v>
      </c>
      <c r="N62" s="61"/>
    </row>
    <row r="63" spans="1:16" x14ac:dyDescent="0.2">
      <c r="E63" s="280" t="s">
        <v>893</v>
      </c>
      <c r="L63" s="61">
        <f>G47</f>
        <v>0</v>
      </c>
      <c r="N63" s="61"/>
    </row>
    <row r="64" spans="1:16" x14ac:dyDescent="0.2">
      <c r="E64" s="280" t="s">
        <v>894</v>
      </c>
      <c r="L64" s="61">
        <f>G48</f>
        <v>0</v>
      </c>
      <c r="N64" s="61"/>
    </row>
    <row r="65" spans="3:15" x14ac:dyDescent="0.2">
      <c r="F65" t="s">
        <v>899</v>
      </c>
      <c r="L65" s="61"/>
      <c r="N65" s="61">
        <v>0</v>
      </c>
      <c r="O65" s="1007"/>
    </row>
    <row r="66" spans="3:15" x14ac:dyDescent="0.2">
      <c r="F66" t="s">
        <v>988</v>
      </c>
      <c r="L66" s="61"/>
      <c r="N66" s="61">
        <v>20177</v>
      </c>
      <c r="O66" s="1007"/>
    </row>
    <row r="67" spans="3:15" x14ac:dyDescent="0.2">
      <c r="F67" t="s">
        <v>989</v>
      </c>
      <c r="L67" s="61"/>
      <c r="N67" s="61">
        <f t="shared" ref="N67:N74" si="2">G24</f>
        <v>0</v>
      </c>
      <c r="O67" s="1007"/>
    </row>
    <row r="68" spans="3:15" x14ac:dyDescent="0.2">
      <c r="F68" t="s">
        <v>815</v>
      </c>
      <c r="L68" s="61"/>
      <c r="N68" s="61">
        <v>0</v>
      </c>
      <c r="O68" s="1007"/>
    </row>
    <row r="69" spans="3:15" x14ac:dyDescent="0.2">
      <c r="F69" t="s">
        <v>183</v>
      </c>
      <c r="L69" s="61"/>
      <c r="N69" s="61">
        <f t="shared" si="2"/>
        <v>0</v>
      </c>
      <c r="O69" s="1007"/>
    </row>
    <row r="70" spans="3:15" x14ac:dyDescent="0.2">
      <c r="F70" t="s">
        <v>266</v>
      </c>
      <c r="L70" s="61"/>
      <c r="N70" s="61">
        <v>0</v>
      </c>
      <c r="O70" s="1007"/>
    </row>
    <row r="71" spans="3:15" x14ac:dyDescent="0.2">
      <c r="F71" t="s">
        <v>130</v>
      </c>
      <c r="L71" s="61"/>
      <c r="N71" s="61">
        <v>437806</v>
      </c>
      <c r="O71" s="1007"/>
    </row>
    <row r="72" spans="3:15" x14ac:dyDescent="0.2">
      <c r="F72" t="s">
        <v>131</v>
      </c>
      <c r="L72" s="61"/>
      <c r="N72" s="61">
        <v>0</v>
      </c>
      <c r="O72" s="1007"/>
    </row>
    <row r="73" spans="3:15" x14ac:dyDescent="0.2">
      <c r="F73" t="s">
        <v>172</v>
      </c>
      <c r="L73" s="61"/>
      <c r="N73" s="61">
        <v>0</v>
      </c>
      <c r="O73" s="1007"/>
    </row>
    <row r="74" spans="3:15" x14ac:dyDescent="0.2">
      <c r="C74" s="32"/>
      <c r="F74" s="280" t="s">
        <v>726</v>
      </c>
      <c r="L74" s="57"/>
      <c r="N74" s="11">
        <f t="shared" si="2"/>
        <v>0</v>
      </c>
      <c r="O74" s="1007"/>
    </row>
    <row r="75" spans="3:15" ht="13.5" thickBot="1" x14ac:dyDescent="0.25">
      <c r="L75" s="54">
        <f>SUM(L54:L73)</f>
        <v>457983</v>
      </c>
      <c r="N75" s="54">
        <f>SUM(N54:N74)</f>
        <v>457983</v>
      </c>
    </row>
    <row r="76" spans="3:15" ht="13.5" thickTop="1" x14ac:dyDescent="0.2">
      <c r="O76" s="5"/>
    </row>
  </sheetData>
  <customSheetViews>
    <customSheetView guid="{D2B860EA-92EC-4999-9A59-C624E1F8C7FB}" topLeftCell="A25">
      <selection activeCell="G43" sqref="G43"/>
      <pageMargins left="0.36" right="0.37" top="0.65" bottom="0.5" header="0.5" footer="0.5"/>
      <printOptions horizontalCentered="1"/>
      <pageSetup scale="68" orientation="portrait" r:id="rId1"/>
      <headerFooter alignWithMargins="0">
        <oddHeader>&amp;R&amp;"Arial,Bold"&amp;12Entry E</oddHeader>
        <oddFooter>&amp;L&amp;8&amp;D - County model&amp;R&amp;P</oddFooter>
      </headerFooter>
    </customSheetView>
    <customSheetView guid="{C1197650-3ED8-49E4-8E4C-0D1D4B503FC0}" topLeftCell="A25">
      <selection activeCell="G43" sqref="G43"/>
      <pageMargins left="0.36" right="0.37" top="0.65" bottom="0.5" header="0.5" footer="0.5"/>
      <printOptions horizontalCentered="1"/>
      <pageSetup scale="68" orientation="portrait" r:id="rId2"/>
      <headerFooter alignWithMargins="0">
        <oddHeader>&amp;R&amp;"Arial,Bold"&amp;12Entry E</oddHeader>
        <oddFooter>&amp;L&amp;8&amp;D - County model&amp;R&amp;P</oddFooter>
      </headerFooter>
    </customSheetView>
  </customSheetViews>
  <mergeCells count="11">
    <mergeCell ref="J40:O42"/>
    <mergeCell ref="B51:O51"/>
    <mergeCell ref="C13:O14"/>
    <mergeCell ref="J26:O28"/>
    <mergeCell ref="C10:O11"/>
    <mergeCell ref="B18:P18"/>
    <mergeCell ref="B6:P6"/>
    <mergeCell ref="A2:P2"/>
    <mergeCell ref="B4:P4"/>
    <mergeCell ref="B8:P8"/>
    <mergeCell ref="B35:P35"/>
  </mergeCells>
  <phoneticPr fontId="14" type="noConversion"/>
  <printOptions horizontalCentered="1"/>
  <pageMargins left="0.36" right="0.37" top="0.65" bottom="0.5" header="0.5" footer="0.5"/>
  <pageSetup scale="68" orientation="portrait" r:id="rId3"/>
  <headerFooter alignWithMargins="0">
    <oddHeader>&amp;R&amp;"Arial,Bold"&amp;12Entry E</oddHeader>
    <oddFooter>&amp;L&amp;8&amp;D - County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371"/>
  <sheetViews>
    <sheetView topLeftCell="A122" workbookViewId="0"/>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7" width="10" bestFit="1" customWidth="1"/>
    <col min="8" max="8" width="10" customWidth="1"/>
    <col min="9" max="9" width="11" customWidth="1"/>
    <col min="10" max="10" width="6.28515625" customWidth="1"/>
    <col min="11" max="11" width="7" customWidth="1"/>
    <col min="12" max="12" width="10" customWidth="1"/>
    <col min="13" max="13" width="13.140625" customWidth="1"/>
    <col min="14" max="14" width="1.28515625" customWidth="1"/>
    <col min="15" max="15" width="13.28515625" bestFit="1" customWidth="1"/>
    <col min="16" max="16" width="12" customWidth="1"/>
    <col min="17" max="17" width="14.28515625" bestFit="1" customWidth="1"/>
    <col min="18" max="19" width="14.5703125" bestFit="1" customWidth="1"/>
    <col min="20" max="20" width="14.140625" customWidth="1"/>
    <col min="21" max="21" width="2.85546875" customWidth="1"/>
    <col min="22" max="23" width="11.42578125" bestFit="1" customWidth="1"/>
    <col min="24" max="25" width="11.5703125" bestFit="1" customWidth="1"/>
    <col min="26" max="27" width="11.5703125" customWidth="1"/>
    <col min="28" max="29" width="11.42578125" bestFit="1" customWidth="1"/>
  </cols>
  <sheetData>
    <row r="1" spans="1:20" ht="6" customHeight="1" x14ac:dyDescent="0.2"/>
    <row r="2" spans="1:20" ht="29.25" customHeight="1" x14ac:dyDescent="0.25">
      <c r="A2" s="1103" t="s">
        <v>817</v>
      </c>
      <c r="B2" s="1104"/>
      <c r="C2" s="1104"/>
      <c r="D2" s="1104"/>
      <c r="E2" s="1104"/>
      <c r="F2" s="1104"/>
      <c r="G2" s="1104"/>
      <c r="H2" s="1104"/>
      <c r="I2" s="1104"/>
      <c r="J2" s="1104"/>
      <c r="K2" s="1104"/>
      <c r="L2" s="1104"/>
      <c r="M2" s="1104"/>
      <c r="N2" s="1104"/>
      <c r="O2" s="1104"/>
      <c r="P2" s="1104"/>
      <c r="Q2" s="1104"/>
      <c r="R2" s="1104"/>
      <c r="S2" s="1104"/>
      <c r="T2" s="1105"/>
    </row>
    <row r="3" spans="1:20" ht="4.5" customHeight="1" x14ac:dyDescent="0.2">
      <c r="B3" s="1019"/>
      <c r="C3" s="1019"/>
      <c r="D3" s="1019"/>
      <c r="E3" s="1019"/>
      <c r="F3" s="1019"/>
      <c r="G3" s="1019"/>
      <c r="H3" s="1019"/>
      <c r="I3" s="1019"/>
      <c r="J3" s="1019"/>
      <c r="K3" s="1019"/>
      <c r="L3" s="1019"/>
      <c r="M3" s="1019"/>
      <c r="N3" s="1019"/>
    </row>
    <row r="4" spans="1:20" ht="51" customHeight="1" x14ac:dyDescent="0.2">
      <c r="B4" s="1106" t="s">
        <v>999</v>
      </c>
      <c r="C4" s="1019"/>
      <c r="D4" s="1019"/>
      <c r="E4" s="1019"/>
      <c r="F4" s="1019"/>
      <c r="G4" s="1019"/>
      <c r="H4" s="1019"/>
      <c r="I4" s="1019"/>
      <c r="J4" s="1019"/>
      <c r="K4" s="1019"/>
      <c r="L4" s="1019"/>
      <c r="M4" s="1019"/>
      <c r="N4" s="1019"/>
      <c r="O4" s="1019"/>
      <c r="P4" s="1019"/>
      <c r="Q4" s="1019"/>
      <c r="R4" s="1019"/>
      <c r="S4" s="1019"/>
      <c r="T4" s="1019"/>
    </row>
    <row r="5" spans="1:20" ht="3.75" customHeight="1" x14ac:dyDescent="0.2">
      <c r="J5" s="2"/>
      <c r="K5" s="2"/>
    </row>
    <row r="6" spans="1:20" ht="12.75" customHeight="1" x14ac:dyDescent="0.2">
      <c r="A6" s="4"/>
      <c r="B6" s="28" t="s">
        <v>513</v>
      </c>
      <c r="C6" s="1019" t="s">
        <v>703</v>
      </c>
      <c r="D6" s="1019"/>
      <c r="E6" s="1019"/>
      <c r="F6" s="1019"/>
      <c r="G6" s="1019"/>
      <c r="H6" s="1019"/>
      <c r="I6" s="1019"/>
      <c r="J6" s="1019"/>
      <c r="K6" s="1019"/>
      <c r="L6" s="1019"/>
      <c r="M6" s="1019"/>
      <c r="N6" s="1019"/>
      <c r="O6" s="1019"/>
      <c r="P6" s="1019"/>
      <c r="Q6" s="1019"/>
      <c r="R6" s="1019"/>
      <c r="S6" s="1019"/>
      <c r="T6" s="1019"/>
    </row>
    <row r="7" spans="1:20" ht="12.75" customHeight="1" x14ac:dyDescent="0.2">
      <c r="A7" s="4"/>
      <c r="B7" s="28"/>
      <c r="C7" s="1019"/>
      <c r="D7" s="1019"/>
      <c r="E7" s="1019"/>
      <c r="F7" s="1019"/>
      <c r="G7" s="1019"/>
      <c r="H7" s="1019"/>
      <c r="I7" s="1019"/>
      <c r="J7" s="1019"/>
      <c r="K7" s="1019"/>
      <c r="L7" s="1019"/>
      <c r="M7" s="1019"/>
      <c r="N7" s="1019"/>
      <c r="O7" s="1019"/>
      <c r="P7" s="1019"/>
      <c r="Q7" s="1019"/>
      <c r="R7" s="1019"/>
      <c r="S7" s="1019"/>
      <c r="T7" s="1019"/>
    </row>
    <row r="8" spans="1:20" ht="4.5" customHeight="1" x14ac:dyDescent="0.2">
      <c r="A8" s="4"/>
    </row>
    <row r="9" spans="1:20" ht="12.75" customHeight="1" x14ac:dyDescent="0.2">
      <c r="A9" s="4"/>
      <c r="B9" s="28" t="s">
        <v>514</v>
      </c>
      <c r="C9" s="1019" t="s">
        <v>706</v>
      </c>
      <c r="D9" s="1019"/>
      <c r="E9" s="1019"/>
      <c r="F9" s="1019"/>
      <c r="G9" s="1019"/>
      <c r="H9" s="1019"/>
      <c r="I9" s="1019"/>
      <c r="J9" s="1019"/>
      <c r="K9" s="1019"/>
      <c r="L9" s="1019"/>
      <c r="M9" s="1019"/>
      <c r="N9" s="1019"/>
      <c r="O9" s="1019"/>
      <c r="P9" s="1019"/>
      <c r="Q9" s="1019"/>
      <c r="R9" s="1019"/>
      <c r="S9" s="1019"/>
      <c r="T9" s="1019"/>
    </row>
    <row r="10" spans="1:20" ht="4.5" customHeight="1" x14ac:dyDescent="0.2">
      <c r="A10" s="4"/>
    </row>
    <row r="11" spans="1:20" ht="12.75" customHeight="1" x14ac:dyDescent="0.2">
      <c r="A11" s="4"/>
      <c r="B11" s="28" t="s">
        <v>515</v>
      </c>
      <c r="C11" s="1106" t="s">
        <v>1088</v>
      </c>
      <c r="D11" s="1106"/>
      <c r="E11" s="1106"/>
      <c r="F11" s="1106"/>
      <c r="G11" s="1106"/>
      <c r="H11" s="1106"/>
      <c r="I11" s="1106"/>
      <c r="J11" s="1106"/>
      <c r="K11" s="1106"/>
      <c r="L11" s="1106"/>
      <c r="M11" s="1106"/>
      <c r="N11" s="1106"/>
      <c r="O11" s="1106"/>
      <c r="P11" s="1106"/>
      <c r="Q11" s="1106"/>
      <c r="R11" s="1106"/>
      <c r="S11" s="1106"/>
      <c r="T11" s="1106"/>
    </row>
    <row r="12" spans="1:20" ht="49.5" customHeight="1" x14ac:dyDescent="0.2">
      <c r="A12" s="4"/>
      <c r="B12" s="28"/>
      <c r="C12" s="1106"/>
      <c r="D12" s="1106"/>
      <c r="E12" s="1106"/>
      <c r="F12" s="1106"/>
      <c r="G12" s="1106"/>
      <c r="H12" s="1106"/>
      <c r="I12" s="1106"/>
      <c r="J12" s="1106"/>
      <c r="K12" s="1106"/>
      <c r="L12" s="1106"/>
      <c r="M12" s="1106"/>
      <c r="N12" s="1106"/>
      <c r="O12" s="1106"/>
      <c r="P12" s="1106"/>
      <c r="Q12" s="1106"/>
      <c r="R12" s="1106"/>
      <c r="S12" s="1106"/>
      <c r="T12" s="1106"/>
    </row>
    <row r="13" spans="1:20" ht="4.5" customHeight="1" x14ac:dyDescent="0.2">
      <c r="A13" s="4"/>
    </row>
    <row r="14" spans="1:20" ht="12.75" customHeight="1" x14ac:dyDescent="0.2">
      <c r="A14" s="4"/>
      <c r="B14" s="28" t="s">
        <v>541</v>
      </c>
      <c r="C14" s="1019" t="s">
        <v>1022</v>
      </c>
      <c r="D14" s="1019"/>
      <c r="E14" s="1019"/>
      <c r="F14" s="1019"/>
      <c r="G14" s="1019"/>
      <c r="H14" s="1019"/>
      <c r="I14" s="1019"/>
      <c r="J14" s="1019"/>
      <c r="K14" s="1019"/>
      <c r="L14" s="1019"/>
      <c r="M14" s="1019"/>
      <c r="N14" s="1019"/>
      <c r="O14" s="1019"/>
      <c r="P14" s="1019"/>
      <c r="Q14" s="1019"/>
      <c r="R14" s="1019"/>
      <c r="S14" s="1019"/>
      <c r="T14" s="1019"/>
    </row>
    <row r="15" spans="1:20" ht="5.25" customHeight="1" x14ac:dyDescent="0.2">
      <c r="A15" s="4"/>
    </row>
    <row r="16" spans="1:20" ht="12.75" customHeight="1" x14ac:dyDescent="0.2">
      <c r="A16" s="4"/>
      <c r="B16" s="28" t="s">
        <v>542</v>
      </c>
      <c r="C16" s="1106" t="s">
        <v>1089</v>
      </c>
      <c r="D16" s="1019"/>
      <c r="E16" s="1019"/>
      <c r="F16" s="1019"/>
      <c r="G16" s="1019"/>
      <c r="H16" s="1019"/>
      <c r="I16" s="1019"/>
      <c r="J16" s="1019"/>
      <c r="K16" s="1019"/>
      <c r="L16" s="1019"/>
      <c r="M16" s="1019"/>
      <c r="N16" s="1019"/>
      <c r="O16" s="1019"/>
      <c r="P16" s="1019"/>
      <c r="Q16" s="1019"/>
      <c r="R16" s="1019"/>
      <c r="S16" s="1019"/>
      <c r="T16" s="1019"/>
    </row>
    <row r="17" spans="1:20" ht="12.75" customHeight="1" x14ac:dyDescent="0.2">
      <c r="A17" s="4"/>
      <c r="B17" s="28"/>
      <c r="C17" s="1019"/>
      <c r="D17" s="1019"/>
      <c r="E17" s="1019"/>
      <c r="F17" s="1019"/>
      <c r="G17" s="1019"/>
      <c r="H17" s="1019"/>
      <c r="I17" s="1019"/>
      <c r="J17" s="1019"/>
      <c r="K17" s="1019"/>
      <c r="L17" s="1019"/>
      <c r="M17" s="1019"/>
      <c r="N17" s="1019"/>
      <c r="O17" s="1019"/>
      <c r="P17" s="1019"/>
      <c r="Q17" s="1019"/>
      <c r="R17" s="1019"/>
      <c r="S17" s="1019"/>
      <c r="T17" s="1019"/>
    </row>
    <row r="18" spans="1:20" ht="12.75" customHeight="1" x14ac:dyDescent="0.2">
      <c r="A18" s="4"/>
      <c r="B18" s="28"/>
      <c r="C18" s="1019"/>
      <c r="D18" s="1019"/>
      <c r="E18" s="1019"/>
      <c r="F18" s="1019"/>
      <c r="G18" s="1019"/>
      <c r="H18" s="1019"/>
      <c r="I18" s="1019"/>
      <c r="J18" s="1019"/>
      <c r="K18" s="1019"/>
      <c r="L18" s="1019"/>
      <c r="M18" s="1019"/>
      <c r="N18" s="1019"/>
      <c r="O18" s="1019"/>
      <c r="P18" s="1019"/>
      <c r="Q18" s="1019"/>
      <c r="R18" s="1019"/>
      <c r="S18" s="1019"/>
      <c r="T18" s="1019"/>
    </row>
    <row r="19" spans="1:20" ht="4.5" customHeight="1" x14ac:dyDescent="0.2">
      <c r="A19" s="4"/>
      <c r="B19" s="28"/>
      <c r="C19" s="24"/>
      <c r="D19" s="24"/>
      <c r="E19" s="24"/>
      <c r="F19" s="24"/>
      <c r="G19" s="24"/>
      <c r="H19" s="24"/>
      <c r="I19" s="24"/>
      <c r="J19" s="24"/>
      <c r="K19" s="24"/>
      <c r="L19" s="24"/>
      <c r="M19" s="24"/>
      <c r="N19" s="24"/>
      <c r="O19" s="24"/>
    </row>
    <row r="20" spans="1:20" ht="12.75" customHeight="1" x14ac:dyDescent="0.2">
      <c r="A20" s="4"/>
      <c r="B20" s="28" t="s">
        <v>855</v>
      </c>
      <c r="C20" s="1019" t="s">
        <v>920</v>
      </c>
      <c r="D20" s="1019"/>
      <c r="E20" s="1019"/>
      <c r="F20" s="1019"/>
      <c r="G20" s="1019"/>
      <c r="H20" s="1019"/>
      <c r="I20" s="1019"/>
      <c r="J20" s="1019"/>
      <c r="K20" s="1019"/>
      <c r="L20" s="1019"/>
      <c r="M20" s="1019"/>
      <c r="N20" s="1019"/>
      <c r="O20" s="1019"/>
      <c r="P20" s="1019"/>
      <c r="Q20" s="1019"/>
      <c r="R20" s="1019"/>
      <c r="S20" s="1019"/>
      <c r="T20" s="1019"/>
    </row>
    <row r="21" spans="1:20" ht="12.75" customHeight="1" x14ac:dyDescent="0.2">
      <c r="A21" s="4"/>
      <c r="B21" s="28"/>
      <c r="C21" s="1019"/>
      <c r="D21" s="1019"/>
      <c r="E21" s="1019"/>
      <c r="F21" s="1019"/>
      <c r="G21" s="1019"/>
      <c r="H21" s="1019"/>
      <c r="I21" s="1019"/>
      <c r="J21" s="1019"/>
      <c r="K21" s="1019"/>
      <c r="L21" s="1019"/>
      <c r="M21" s="1019"/>
      <c r="N21" s="1019"/>
      <c r="O21" s="1019"/>
      <c r="P21" s="1019"/>
      <c r="Q21" s="1019"/>
      <c r="R21" s="1019"/>
      <c r="S21" s="1019"/>
      <c r="T21" s="1019"/>
    </row>
    <row r="22" spans="1:20" ht="4.5" customHeight="1" x14ac:dyDescent="0.2">
      <c r="A22" s="4"/>
      <c r="B22" s="28"/>
      <c r="C22" s="24"/>
      <c r="D22" s="24"/>
      <c r="E22" s="24"/>
      <c r="F22" s="24"/>
      <c r="G22" s="24"/>
      <c r="H22" s="24"/>
      <c r="I22" s="24"/>
      <c r="J22" s="24"/>
      <c r="K22" s="24"/>
      <c r="L22" s="24"/>
      <c r="M22" s="24"/>
      <c r="N22" s="24"/>
      <c r="O22" s="24"/>
    </row>
    <row r="23" spans="1:20" ht="12.75" customHeight="1" x14ac:dyDescent="0.2">
      <c r="A23" s="4"/>
      <c r="B23" s="28" t="s">
        <v>937</v>
      </c>
      <c r="C23" s="1019" t="s">
        <v>96</v>
      </c>
      <c r="D23" s="1019"/>
      <c r="E23" s="1019"/>
      <c r="F23" s="1019"/>
      <c r="G23" s="1019"/>
      <c r="H23" s="1019"/>
      <c r="I23" s="1019"/>
      <c r="J23" s="1019"/>
      <c r="K23" s="1019"/>
      <c r="L23" s="1019"/>
      <c r="M23" s="1019"/>
      <c r="N23" s="1019"/>
      <c r="O23" s="1019"/>
      <c r="P23" s="1019"/>
      <c r="Q23" s="1019"/>
      <c r="R23" s="1019"/>
      <c r="S23" s="1019"/>
      <c r="T23" s="1019"/>
    </row>
    <row r="24" spans="1:20" ht="25.5" customHeight="1" x14ac:dyDescent="0.2">
      <c r="A24" s="4"/>
      <c r="B24" s="28"/>
      <c r="C24" s="1019"/>
      <c r="D24" s="1019"/>
      <c r="E24" s="1019"/>
      <c r="F24" s="1019"/>
      <c r="G24" s="1019"/>
      <c r="H24" s="1019"/>
      <c r="I24" s="1019"/>
      <c r="J24" s="1019"/>
      <c r="K24" s="1019"/>
      <c r="L24" s="1019"/>
      <c r="M24" s="1019"/>
      <c r="N24" s="1019"/>
      <c r="O24" s="1019"/>
      <c r="P24" s="1019"/>
      <c r="Q24" s="1019"/>
      <c r="R24" s="1019"/>
      <c r="S24" s="1019"/>
      <c r="T24" s="1019"/>
    </row>
    <row r="25" spans="1:20" ht="6" customHeight="1" x14ac:dyDescent="0.2">
      <c r="A25" s="24"/>
    </row>
    <row r="26" spans="1:20" ht="25.5" customHeight="1" x14ac:dyDescent="0.2">
      <c r="A26" s="4" t="s">
        <v>539</v>
      </c>
      <c r="B26" s="1097" t="s">
        <v>573</v>
      </c>
      <c r="C26" s="1098"/>
      <c r="D26" s="1098"/>
      <c r="E26" s="1098"/>
      <c r="F26" s="1098"/>
      <c r="G26" s="1098"/>
      <c r="H26" s="1098"/>
      <c r="I26" s="1098"/>
      <c r="J26" s="1098"/>
      <c r="K26" s="1098"/>
      <c r="L26" s="1098"/>
      <c r="M26" s="1098"/>
      <c r="N26" s="1098"/>
      <c r="O26" s="1098"/>
      <c r="P26" s="1098"/>
      <c r="Q26" s="1098"/>
      <c r="R26" s="1098"/>
      <c r="S26" s="1098"/>
      <c r="T26" s="1099"/>
    </row>
    <row r="27" spans="1:20" ht="12.75" customHeight="1" x14ac:dyDescent="0.2">
      <c r="A27" s="4"/>
      <c r="L27" s="27"/>
      <c r="M27" s="27"/>
      <c r="N27" s="27"/>
      <c r="O27" s="27" t="s">
        <v>819</v>
      </c>
      <c r="P27" s="27"/>
      <c r="R27" s="319" t="s">
        <v>705</v>
      </c>
      <c r="S27" s="319" t="s">
        <v>705</v>
      </c>
    </row>
    <row r="28" spans="1:20" ht="12.75" customHeight="1" x14ac:dyDescent="0.2">
      <c r="A28" s="4"/>
      <c r="L28" s="36" t="s">
        <v>811</v>
      </c>
      <c r="M28" s="36" t="s">
        <v>312</v>
      </c>
      <c r="N28" s="27"/>
      <c r="O28" s="36" t="s">
        <v>313</v>
      </c>
      <c r="R28" s="320" t="s">
        <v>691</v>
      </c>
      <c r="S28" s="320" t="s">
        <v>692</v>
      </c>
    </row>
    <row r="29" spans="1:20" ht="15.75" customHeight="1" x14ac:dyDescent="0.2">
      <c r="A29" s="4"/>
      <c r="B29" s="46" t="s">
        <v>513</v>
      </c>
      <c r="C29" s="4" t="s">
        <v>671</v>
      </c>
      <c r="R29" s="4"/>
      <c r="S29" s="4"/>
    </row>
    <row r="30" spans="1:20" ht="6.75" customHeight="1" x14ac:dyDescent="0.2">
      <c r="A30" s="4"/>
      <c r="B30" s="46"/>
      <c r="C30" s="4"/>
      <c r="R30" s="4"/>
      <c r="S30" s="4"/>
    </row>
    <row r="31" spans="1:20" ht="12.75" customHeight="1" x14ac:dyDescent="0.2">
      <c r="A31" s="4"/>
      <c r="C31" t="s">
        <v>117</v>
      </c>
      <c r="D31" s="1019" t="s">
        <v>118</v>
      </c>
      <c r="E31" s="1019"/>
      <c r="F31" s="1019"/>
      <c r="G31" s="1019"/>
      <c r="H31" s="1019"/>
      <c r="I31" s="1019"/>
      <c r="L31" s="1141">
        <v>1000</v>
      </c>
      <c r="M31" s="1147"/>
      <c r="N31" s="280"/>
      <c r="O31" s="1147"/>
      <c r="R31" s="1151"/>
      <c r="S31" s="1151"/>
    </row>
    <row r="32" spans="1:20" ht="13.5" customHeight="1" x14ac:dyDescent="0.2">
      <c r="A32" s="4"/>
      <c r="D32" s="1019"/>
      <c r="E32" s="1019"/>
      <c r="F32" s="1019"/>
      <c r="G32" s="1019"/>
      <c r="H32" s="1019"/>
      <c r="I32" s="1019"/>
      <c r="L32" s="1141"/>
      <c r="M32" s="1147"/>
      <c r="N32" s="280"/>
      <c r="O32" s="1147"/>
      <c r="R32" s="1151"/>
      <c r="S32" s="1151"/>
    </row>
    <row r="33" spans="3:20" ht="5.25" customHeight="1" x14ac:dyDescent="0.2">
      <c r="L33" s="25"/>
    </row>
    <row r="34" spans="3:20" ht="12.75" customHeight="1" x14ac:dyDescent="0.2">
      <c r="C34" t="s">
        <v>119</v>
      </c>
      <c r="D34" s="1019" t="s">
        <v>274</v>
      </c>
      <c r="E34" s="1019"/>
      <c r="F34" s="1019"/>
      <c r="G34" s="1019"/>
      <c r="H34" s="1019"/>
      <c r="I34" s="1019"/>
      <c r="L34" s="56" t="s">
        <v>822</v>
      </c>
      <c r="M34" s="1147"/>
      <c r="N34" s="280"/>
      <c r="O34" s="1147"/>
      <c r="R34" s="1147"/>
      <c r="S34" s="1147"/>
    </row>
    <row r="35" spans="3:20" ht="12.75" customHeight="1" x14ac:dyDescent="0.2">
      <c r="D35" s="1019"/>
      <c r="E35" s="1019"/>
      <c r="F35" s="1019"/>
      <c r="G35" s="1019"/>
      <c r="H35" s="1019"/>
      <c r="I35" s="1019"/>
      <c r="L35" s="56"/>
      <c r="M35" s="1147"/>
      <c r="N35" s="280"/>
      <c r="O35" s="1147"/>
      <c r="R35" s="1147"/>
      <c r="S35" s="1147"/>
    </row>
    <row r="36" spans="3:20" ht="5.25" customHeight="1" x14ac:dyDescent="0.2">
      <c r="L36" s="47"/>
    </row>
    <row r="37" spans="3:20" ht="12.75" customHeight="1" x14ac:dyDescent="0.2">
      <c r="C37" t="s">
        <v>275</v>
      </c>
      <c r="D37" s="1019" t="s">
        <v>830</v>
      </c>
      <c r="E37" s="1019"/>
      <c r="F37" s="1019"/>
      <c r="G37" s="1019"/>
      <c r="H37" s="1019"/>
      <c r="I37" s="1019"/>
      <c r="L37" s="56" t="s">
        <v>822</v>
      </c>
      <c r="M37" s="1147"/>
      <c r="N37" s="280">
        <v>0</v>
      </c>
      <c r="O37" s="1147"/>
      <c r="R37" s="1147"/>
      <c r="S37" s="1147"/>
    </row>
    <row r="38" spans="3:20" ht="13.5" customHeight="1" x14ac:dyDescent="0.2">
      <c r="D38" s="1019"/>
      <c r="E38" s="1019"/>
      <c r="F38" s="1019"/>
      <c r="G38" s="1019"/>
      <c r="H38" s="1019"/>
      <c r="I38" s="1019"/>
      <c r="L38" s="56"/>
      <c r="M38" s="1147"/>
      <c r="N38" s="280"/>
      <c r="O38" s="1147"/>
      <c r="R38" s="1147"/>
      <c r="S38" s="1147"/>
    </row>
    <row r="39" spans="3:20" ht="3.75" customHeight="1" x14ac:dyDescent="0.2">
      <c r="D39" s="24"/>
      <c r="E39" s="24"/>
      <c r="F39" s="24"/>
      <c r="G39" s="24"/>
      <c r="H39" s="24"/>
      <c r="I39" s="24"/>
      <c r="L39" s="25"/>
    </row>
    <row r="40" spans="3:20" ht="13.5" customHeight="1" x14ac:dyDescent="0.2">
      <c r="D40" s="24"/>
      <c r="E40" s="1019" t="s">
        <v>317</v>
      </c>
      <c r="F40" s="1019"/>
      <c r="G40" s="1019"/>
      <c r="H40" s="1019"/>
      <c r="I40" s="1019"/>
      <c r="L40" s="52">
        <f>L31</f>
        <v>1000</v>
      </c>
      <c r="M40" s="53">
        <f>M31-(M34+M37)</f>
        <v>0</v>
      </c>
      <c r="O40" s="53">
        <f>O31-(O34+O37)</f>
        <v>0</v>
      </c>
      <c r="R40" s="53"/>
      <c r="S40" s="53"/>
    </row>
    <row r="41" spans="3:20" ht="6.75" customHeight="1" x14ac:dyDescent="0.2">
      <c r="D41" s="24"/>
      <c r="E41" s="24"/>
      <c r="F41" s="24"/>
      <c r="G41" s="24"/>
      <c r="H41" s="24"/>
      <c r="I41" s="24"/>
      <c r="L41" s="25"/>
    </row>
    <row r="42" spans="3:20" ht="13.5" customHeight="1" x14ac:dyDescent="0.2">
      <c r="C42" t="s">
        <v>311</v>
      </c>
      <c r="D42" s="1019" t="s">
        <v>695</v>
      </c>
      <c r="E42" s="1019"/>
      <c r="F42" s="1019"/>
      <c r="G42" s="1019"/>
      <c r="H42" s="1019"/>
      <c r="I42" s="24"/>
      <c r="L42" s="285">
        <v>28482</v>
      </c>
      <c r="M42" s="286"/>
      <c r="N42" s="280"/>
      <c r="O42" s="286"/>
      <c r="R42" s="286"/>
      <c r="S42" s="286"/>
    </row>
    <row r="43" spans="3:20" ht="6" customHeight="1" x14ac:dyDescent="0.2">
      <c r="D43" s="24"/>
      <c r="E43" s="24"/>
      <c r="F43" s="24"/>
      <c r="G43" s="24"/>
      <c r="H43" s="24"/>
      <c r="I43" s="24"/>
      <c r="L43" s="25"/>
    </row>
    <row r="44" spans="3:20" ht="13.5" thickBot="1" x14ac:dyDescent="0.25">
      <c r="E44" t="s">
        <v>318</v>
      </c>
      <c r="L44" s="54">
        <f>L42-L40</f>
        <v>27482</v>
      </c>
      <c r="M44" s="55">
        <f>M42-M40</f>
        <v>0</v>
      </c>
      <c r="O44" s="55">
        <f>O42-O40</f>
        <v>0</v>
      </c>
      <c r="R44" s="55"/>
      <c r="S44" s="55"/>
    </row>
    <row r="45" spans="3:20" ht="9" customHeight="1" thickTop="1" x14ac:dyDescent="0.2"/>
    <row r="46" spans="3:20" ht="24.95" customHeight="1" x14ac:dyDescent="0.2">
      <c r="C46" s="1135" t="s">
        <v>399</v>
      </c>
      <c r="D46" s="1135"/>
      <c r="E46" s="1135"/>
      <c r="F46" s="1135"/>
      <c r="G46" s="1135"/>
      <c r="H46" s="1135"/>
      <c r="I46" s="1135"/>
      <c r="J46" s="1135"/>
      <c r="K46" s="1135"/>
      <c r="L46" s="1135"/>
      <c r="M46" s="1135"/>
      <c r="N46" s="1135"/>
      <c r="O46" s="1135"/>
      <c r="P46" s="1135"/>
      <c r="Q46" s="1135"/>
      <c r="R46" s="1135"/>
      <c r="S46" s="1135"/>
      <c r="T46" s="1135"/>
    </row>
    <row r="47" spans="3:20" ht="6" customHeight="1" x14ac:dyDescent="0.2">
      <c r="D47" s="24"/>
      <c r="E47" s="24"/>
      <c r="F47" s="24"/>
      <c r="G47" s="24"/>
      <c r="H47" s="24"/>
      <c r="I47" s="24"/>
      <c r="J47" s="24"/>
      <c r="K47" s="24"/>
      <c r="L47" s="24"/>
      <c r="M47" s="24"/>
      <c r="N47" s="24"/>
      <c r="O47" s="24"/>
      <c r="P47" s="24"/>
      <c r="Q47" s="24"/>
      <c r="R47" s="24"/>
      <c r="S47" s="24"/>
      <c r="T47" s="24"/>
    </row>
    <row r="48" spans="3:20" x14ac:dyDescent="0.2">
      <c r="O48" s="27" t="s">
        <v>704</v>
      </c>
      <c r="Q48" s="27" t="s">
        <v>314</v>
      </c>
      <c r="R48" s="319" t="s">
        <v>705</v>
      </c>
      <c r="S48" s="319" t="s">
        <v>705</v>
      </c>
    </row>
    <row r="49" spans="2:19" ht="12" customHeight="1" x14ac:dyDescent="0.2">
      <c r="B49" s="46" t="s">
        <v>514</v>
      </c>
      <c r="C49" s="4" t="s">
        <v>895</v>
      </c>
      <c r="L49" s="36" t="s">
        <v>811</v>
      </c>
      <c r="M49" s="36" t="s">
        <v>312</v>
      </c>
      <c r="N49" s="27"/>
      <c r="O49" s="36" t="s">
        <v>313</v>
      </c>
      <c r="P49" s="36" t="s">
        <v>809</v>
      </c>
      <c r="Q49" s="36" t="s">
        <v>315</v>
      </c>
      <c r="R49" s="320" t="s">
        <v>691</v>
      </c>
      <c r="S49" s="320" t="s">
        <v>692</v>
      </c>
    </row>
    <row r="50" spans="2:19" ht="12.75" customHeight="1" x14ac:dyDescent="0.2">
      <c r="C50" t="s">
        <v>117</v>
      </c>
      <c r="D50" s="1019" t="s">
        <v>708</v>
      </c>
      <c r="E50" s="1019"/>
      <c r="F50" s="1019"/>
      <c r="G50" s="1019"/>
      <c r="H50" s="1019"/>
      <c r="I50" s="1019"/>
      <c r="L50" s="1145"/>
      <c r="M50" s="1145"/>
      <c r="N50" s="297"/>
      <c r="O50" s="1145"/>
      <c r="P50" s="1145"/>
      <c r="Q50" s="1145"/>
      <c r="R50" s="1148"/>
      <c r="S50" s="1148"/>
    </row>
    <row r="51" spans="2:19" ht="12" customHeight="1" x14ac:dyDescent="0.2">
      <c r="D51" s="1019"/>
      <c r="E51" s="1019"/>
      <c r="F51" s="1019"/>
      <c r="G51" s="1019"/>
      <c r="H51" s="1019"/>
      <c r="I51" s="1019"/>
      <c r="L51" s="1141"/>
      <c r="M51" s="1141"/>
      <c r="N51" s="297"/>
      <c r="O51" s="1141"/>
      <c r="P51" s="1141"/>
      <c r="Q51" s="1141"/>
      <c r="R51" s="1147"/>
      <c r="S51" s="1147"/>
    </row>
    <row r="52" spans="2:19" ht="5.25" customHeight="1" x14ac:dyDescent="0.2">
      <c r="L52" s="25"/>
      <c r="M52" s="25"/>
      <c r="N52" s="25"/>
      <c r="O52" s="25"/>
      <c r="P52" s="25"/>
      <c r="Q52" s="25"/>
    </row>
    <row r="53" spans="2:19" ht="12.75" customHeight="1" x14ac:dyDescent="0.2">
      <c r="C53" t="s">
        <v>119</v>
      </c>
      <c r="D53" s="1019" t="s">
        <v>765</v>
      </c>
      <c r="E53" s="1019"/>
      <c r="F53" s="1019"/>
      <c r="G53" s="1019"/>
      <c r="H53" s="1019"/>
      <c r="I53" s="1019"/>
      <c r="L53" s="56" t="s">
        <v>822</v>
      </c>
      <c r="M53" s="1141"/>
      <c r="N53" s="297"/>
      <c r="O53" s="1141"/>
      <c r="P53" s="1141"/>
      <c r="Q53" s="1141"/>
      <c r="R53" s="1141"/>
      <c r="S53" s="1141"/>
    </row>
    <row r="54" spans="2:19" ht="12.75" customHeight="1" x14ac:dyDescent="0.2">
      <c r="D54" s="1019"/>
      <c r="E54" s="1019"/>
      <c r="F54" s="1019"/>
      <c r="G54" s="1019"/>
      <c r="H54" s="1019"/>
      <c r="I54" s="1019"/>
      <c r="L54" s="56"/>
      <c r="M54" s="1141"/>
      <c r="N54" s="297"/>
      <c r="O54" s="1141"/>
      <c r="P54" s="1141"/>
      <c r="Q54" s="1141"/>
      <c r="R54" s="1141"/>
      <c r="S54" s="1141"/>
    </row>
    <row r="55" spans="2:19" ht="5.25" customHeight="1" x14ac:dyDescent="0.2">
      <c r="L55" s="47"/>
      <c r="M55" s="25"/>
      <c r="N55" s="25"/>
      <c r="O55" s="25"/>
      <c r="P55" s="25"/>
      <c r="Q55" s="25"/>
      <c r="R55" s="25"/>
      <c r="S55" s="25"/>
    </row>
    <row r="56" spans="2:19" ht="13.5" customHeight="1" x14ac:dyDescent="0.2">
      <c r="C56" t="s">
        <v>275</v>
      </c>
      <c r="D56" s="1019" t="s">
        <v>392</v>
      </c>
      <c r="E56" s="1019"/>
      <c r="F56" s="1019"/>
      <c r="G56" s="1019"/>
      <c r="H56" s="1019"/>
      <c r="I56" s="1019"/>
      <c r="L56" s="56" t="s">
        <v>822</v>
      </c>
      <c r="M56" s="1141"/>
      <c r="N56" s="297"/>
      <c r="O56" s="1141"/>
      <c r="P56" s="1141"/>
      <c r="Q56" s="1141"/>
      <c r="R56" s="1141"/>
      <c r="S56" s="1141"/>
    </row>
    <row r="57" spans="2:19" ht="13.5" customHeight="1" x14ac:dyDescent="0.2">
      <c r="D57" s="1019"/>
      <c r="E57" s="1019"/>
      <c r="F57" s="1019"/>
      <c r="G57" s="1019"/>
      <c r="H57" s="1019"/>
      <c r="I57" s="1019"/>
      <c r="L57" s="56"/>
      <c r="M57" s="1141"/>
      <c r="N57" s="297"/>
      <c r="O57" s="1141"/>
      <c r="P57" s="1141"/>
      <c r="Q57" s="1141"/>
      <c r="R57" s="1141"/>
      <c r="S57" s="1141"/>
    </row>
    <row r="58" spans="2:19" ht="5.25" customHeight="1" x14ac:dyDescent="0.2">
      <c r="L58" s="25"/>
      <c r="M58" s="25"/>
      <c r="N58" s="25"/>
      <c r="O58" s="25"/>
      <c r="P58" s="25"/>
      <c r="Q58" s="25"/>
    </row>
    <row r="59" spans="2:19" ht="12.75" customHeight="1" x14ac:dyDescent="0.2">
      <c r="E59" t="s">
        <v>317</v>
      </c>
      <c r="L59" s="52">
        <f>L50</f>
        <v>0</v>
      </c>
      <c r="M59" s="52">
        <f>M50-(M53+M56)</f>
        <v>0</v>
      </c>
      <c r="N59" s="35"/>
      <c r="O59" s="52">
        <f>O50-(O53+O56)</f>
        <v>0</v>
      </c>
      <c r="P59" s="52">
        <f>P50-(P53+P56)</f>
        <v>0</v>
      </c>
      <c r="Q59" s="52">
        <f>Q50-(Q53+Q56)</f>
        <v>0</v>
      </c>
      <c r="R59" s="53"/>
      <c r="S59" s="53"/>
    </row>
    <row r="60" spans="2:19" ht="4.5" customHeight="1" x14ac:dyDescent="0.2">
      <c r="L60" s="25"/>
      <c r="M60" s="25"/>
      <c r="N60" s="25"/>
      <c r="O60" s="25"/>
      <c r="P60" s="25"/>
      <c r="Q60" s="25"/>
    </row>
    <row r="61" spans="2:19" ht="13.5" customHeight="1" x14ac:dyDescent="0.2">
      <c r="C61" t="s">
        <v>311</v>
      </c>
      <c r="D61" s="1032" t="s">
        <v>393</v>
      </c>
      <c r="E61" s="1032"/>
      <c r="F61" s="1032"/>
      <c r="G61" s="1032"/>
      <c r="H61" s="1032"/>
      <c r="I61" s="1032"/>
      <c r="L61" s="25"/>
      <c r="M61" s="25"/>
      <c r="N61" s="25"/>
      <c r="O61" s="25"/>
      <c r="P61" s="25"/>
      <c r="Q61" s="25"/>
    </row>
    <row r="62" spans="2:19" ht="13.5" customHeight="1" x14ac:dyDescent="0.2">
      <c r="E62" t="s">
        <v>316</v>
      </c>
      <c r="L62" s="287"/>
      <c r="M62" s="287"/>
      <c r="N62" s="297"/>
      <c r="O62" s="287"/>
      <c r="P62" s="287"/>
      <c r="Q62" s="287"/>
      <c r="R62" s="286"/>
      <c r="S62" s="286"/>
    </row>
    <row r="63" spans="2:19" ht="13.5" customHeight="1" x14ac:dyDescent="0.2">
      <c r="E63" t="s">
        <v>281</v>
      </c>
      <c r="L63" s="287"/>
      <c r="M63" s="287"/>
      <c r="N63" s="297"/>
      <c r="O63" s="287"/>
      <c r="P63" s="287"/>
      <c r="Q63" s="287"/>
      <c r="R63" s="286"/>
      <c r="S63" s="286"/>
    </row>
    <row r="64" spans="2:19" ht="12.75" customHeight="1" x14ac:dyDescent="0.2">
      <c r="L64" s="25"/>
      <c r="M64" s="25"/>
      <c r="N64" s="25"/>
      <c r="O64" s="25"/>
      <c r="P64" s="25"/>
      <c r="Q64" s="25"/>
    </row>
    <row r="65" spans="1:20" ht="12.75" customHeight="1" thickBot="1" x14ac:dyDescent="0.25">
      <c r="E65" t="s">
        <v>319</v>
      </c>
      <c r="L65" s="54">
        <f>(L62+L63)-L59</f>
        <v>0</v>
      </c>
      <c r="M65" s="54">
        <f>(M62+M63)-M59</f>
        <v>0</v>
      </c>
      <c r="N65" s="35"/>
      <c r="O65" s="54">
        <f>(O62+O63)-O59</f>
        <v>0</v>
      </c>
      <c r="P65" s="54">
        <f>(P62+P63)-P59</f>
        <v>0</v>
      </c>
      <c r="Q65" s="54">
        <f>(Q62+Q63)-Q59</f>
        <v>0</v>
      </c>
      <c r="R65" s="55"/>
      <c r="S65" s="55"/>
    </row>
    <row r="66" spans="1:20" ht="5.25" customHeight="1" thickTop="1" x14ac:dyDescent="0.2"/>
    <row r="67" spans="1:20" ht="26.25" customHeight="1" x14ac:dyDescent="0.2">
      <c r="D67" s="1018" t="s">
        <v>762</v>
      </c>
      <c r="E67" s="1019"/>
      <c r="F67" s="1019"/>
      <c r="G67" s="1019"/>
      <c r="H67" s="1019"/>
      <c r="I67" s="1019"/>
      <c r="J67" s="1019"/>
      <c r="K67" s="1019"/>
      <c r="L67" s="1019"/>
      <c r="M67" s="1019"/>
      <c r="N67" s="1019"/>
      <c r="O67" s="1019"/>
      <c r="P67" s="1019"/>
      <c r="Q67" s="1019"/>
      <c r="R67" s="1019"/>
      <c r="S67" s="1019"/>
      <c r="T67" s="1019"/>
    </row>
    <row r="68" spans="1:20" ht="6" customHeight="1" x14ac:dyDescent="0.2"/>
    <row r="69" spans="1:20" ht="25.5" customHeight="1" x14ac:dyDescent="0.2">
      <c r="A69" s="4" t="s">
        <v>540</v>
      </c>
      <c r="B69" s="1097" t="s">
        <v>820</v>
      </c>
      <c r="C69" s="1098"/>
      <c r="D69" s="1098"/>
      <c r="E69" s="1098"/>
      <c r="F69" s="1098"/>
      <c r="G69" s="1098"/>
      <c r="H69" s="1098"/>
      <c r="I69" s="1098"/>
      <c r="J69" s="1098"/>
      <c r="K69" s="1098"/>
      <c r="L69" s="1098"/>
      <c r="M69" s="1098"/>
      <c r="N69" s="1098"/>
      <c r="O69" s="1098"/>
      <c r="P69" s="1098"/>
      <c r="Q69" s="1098"/>
      <c r="R69" s="1098"/>
      <c r="S69" s="1098"/>
      <c r="T69" s="1099"/>
    </row>
    <row r="70" spans="1:20" x14ac:dyDescent="0.2">
      <c r="C70" s="4"/>
      <c r="D70" s="4"/>
      <c r="E70" s="4"/>
      <c r="F70" s="1149"/>
      <c r="G70" s="1149"/>
      <c r="H70" s="1149"/>
      <c r="I70" s="4"/>
      <c r="N70" s="4"/>
    </row>
    <row r="71" spans="1:20" x14ac:dyDescent="0.2">
      <c r="O71" s="27" t="s">
        <v>704</v>
      </c>
      <c r="Q71" s="27" t="s">
        <v>314</v>
      </c>
      <c r="R71" s="319" t="s">
        <v>705</v>
      </c>
      <c r="S71" s="319" t="s">
        <v>705</v>
      </c>
    </row>
    <row r="72" spans="1:20" ht="12.75" customHeight="1" x14ac:dyDescent="0.2">
      <c r="B72" s="46"/>
      <c r="C72" s="4" t="s">
        <v>707</v>
      </c>
      <c r="L72" s="36" t="s">
        <v>811</v>
      </c>
      <c r="M72" s="36" t="s">
        <v>312</v>
      </c>
      <c r="N72" s="27"/>
      <c r="O72" s="36" t="s">
        <v>313</v>
      </c>
      <c r="P72" s="36" t="s">
        <v>809</v>
      </c>
      <c r="Q72" s="36" t="s">
        <v>315</v>
      </c>
      <c r="R72" s="320" t="s">
        <v>691</v>
      </c>
      <c r="S72" s="320" t="s">
        <v>692</v>
      </c>
      <c r="T72" s="27" t="s">
        <v>902</v>
      </c>
    </row>
    <row r="73" spans="1:20" ht="12.75" customHeight="1" x14ac:dyDescent="0.2">
      <c r="C73" t="s">
        <v>117</v>
      </c>
      <c r="D73" s="1019" t="s">
        <v>394</v>
      </c>
      <c r="E73" s="1019"/>
      <c r="F73" s="1019"/>
      <c r="G73" s="1019"/>
      <c r="H73" s="1019"/>
      <c r="I73" s="1019"/>
      <c r="L73" s="25"/>
      <c r="M73" s="1145"/>
      <c r="N73" s="297"/>
      <c r="O73" s="1145"/>
      <c r="P73" s="1145"/>
      <c r="Q73" s="1145"/>
      <c r="R73" s="1148"/>
      <c r="S73" s="1148"/>
      <c r="T73" s="1146">
        <f>SUM(M73:S73)</f>
        <v>0</v>
      </c>
    </row>
    <row r="74" spans="1:20" ht="14.25" customHeight="1" x14ac:dyDescent="0.2">
      <c r="D74" s="1019"/>
      <c r="E74" s="1019"/>
      <c r="F74" s="1019"/>
      <c r="G74" s="1019"/>
      <c r="H74" s="1019"/>
      <c r="I74" s="1019"/>
      <c r="L74" s="25"/>
      <c r="M74" s="1132"/>
      <c r="N74" s="297"/>
      <c r="O74" s="1141"/>
      <c r="P74" s="1141"/>
      <c r="Q74" s="1141"/>
      <c r="R74" s="1147"/>
      <c r="S74" s="1147"/>
      <c r="T74" s="1146"/>
    </row>
    <row r="75" spans="1:20" ht="6" customHeight="1" x14ac:dyDescent="0.2">
      <c r="L75" s="25"/>
      <c r="M75" s="297"/>
      <c r="N75" s="297"/>
      <c r="O75" s="297"/>
      <c r="P75" s="297"/>
      <c r="Q75" s="297"/>
      <c r="R75" s="280"/>
      <c r="S75" s="280"/>
      <c r="T75" s="5"/>
    </row>
    <row r="76" spans="1:20" ht="14.25" customHeight="1" x14ac:dyDescent="0.2">
      <c r="C76" t="s">
        <v>119</v>
      </c>
      <c r="D76" s="1019" t="s">
        <v>395</v>
      </c>
      <c r="E76" s="1019"/>
      <c r="F76" s="1019"/>
      <c r="G76" s="1019"/>
      <c r="H76" s="1019"/>
      <c r="I76" s="1019"/>
      <c r="L76" s="56" t="s">
        <v>822</v>
      </c>
      <c r="M76" s="1141"/>
      <c r="N76" s="297"/>
      <c r="O76" s="1141"/>
      <c r="P76" s="1141"/>
      <c r="Q76" s="1141"/>
      <c r="R76" s="1147"/>
      <c r="S76" s="1147"/>
      <c r="T76" s="1146">
        <f>SUM(M76:S76)</f>
        <v>0</v>
      </c>
    </row>
    <row r="77" spans="1:20" ht="9.75" customHeight="1" x14ac:dyDescent="0.2">
      <c r="D77" s="1019"/>
      <c r="E77" s="1019"/>
      <c r="F77" s="1019"/>
      <c r="G77" s="1019"/>
      <c r="H77" s="1019"/>
      <c r="I77" s="1019"/>
      <c r="L77" s="56"/>
      <c r="M77" s="1141"/>
      <c r="N77" s="297"/>
      <c r="O77" s="1141"/>
      <c r="P77" s="1141"/>
      <c r="Q77" s="1141"/>
      <c r="R77" s="1147"/>
      <c r="S77" s="1147"/>
      <c r="T77" s="1146"/>
    </row>
    <row r="78" spans="1:20" ht="4.5" customHeight="1" x14ac:dyDescent="0.2">
      <c r="L78" s="47"/>
      <c r="M78" s="297"/>
      <c r="N78" s="297"/>
      <c r="O78" s="297"/>
      <c r="P78" s="297"/>
      <c r="Q78" s="297"/>
      <c r="R78" s="280"/>
      <c r="S78" s="280"/>
      <c r="T78" s="5">
        <f>SUM(M78:S78)</f>
        <v>0</v>
      </c>
    </row>
    <row r="79" spans="1:20" ht="12.75" customHeight="1" x14ac:dyDescent="0.2">
      <c r="C79" t="s">
        <v>275</v>
      </c>
      <c r="D79" s="1019" t="s">
        <v>396</v>
      </c>
      <c r="E79" s="1019"/>
      <c r="F79" s="1019"/>
      <c r="G79" s="1019"/>
      <c r="H79" s="1019"/>
      <c r="I79" s="1019"/>
      <c r="L79" s="56" t="s">
        <v>822</v>
      </c>
      <c r="M79" s="1141"/>
      <c r="N79" s="297"/>
      <c r="O79" s="1141"/>
      <c r="P79" s="1141"/>
      <c r="Q79" s="1141"/>
      <c r="R79" s="1147"/>
      <c r="S79" s="1147"/>
      <c r="T79" s="1146">
        <f>SUM(M79:S79)</f>
        <v>0</v>
      </c>
    </row>
    <row r="80" spans="1:20" ht="12.75" customHeight="1" x14ac:dyDescent="0.2">
      <c r="D80" s="1019"/>
      <c r="E80" s="1019"/>
      <c r="F80" s="1019"/>
      <c r="G80" s="1019"/>
      <c r="H80" s="1019"/>
      <c r="I80" s="1019"/>
      <c r="L80" s="56"/>
      <c r="M80" s="1141"/>
      <c r="N80" s="297"/>
      <c r="O80" s="1141"/>
      <c r="P80" s="1141"/>
      <c r="Q80" s="1141"/>
      <c r="R80" s="1147"/>
      <c r="S80" s="1147"/>
      <c r="T80" s="1146"/>
    </row>
    <row r="81" spans="1:23" ht="5.25" customHeight="1" x14ac:dyDescent="0.2">
      <c r="L81" s="25"/>
      <c r="M81" s="25"/>
      <c r="N81" s="25"/>
      <c r="O81" s="25"/>
      <c r="P81" s="25"/>
      <c r="Q81" s="25"/>
    </row>
    <row r="82" spans="1:23" x14ac:dyDescent="0.2">
      <c r="E82" t="s">
        <v>397</v>
      </c>
      <c r="L82" s="48">
        <f>L73</f>
        <v>0</v>
      </c>
      <c r="M82" s="52">
        <f>M73-(M76+M79)</f>
        <v>0</v>
      </c>
      <c r="N82" s="35"/>
      <c r="O82" s="52">
        <f t="shared" ref="O82:T82" si="0">O73-(O76+O79)</f>
        <v>0</v>
      </c>
      <c r="P82" s="52">
        <f t="shared" si="0"/>
        <v>0</v>
      </c>
      <c r="Q82" s="52">
        <f t="shared" si="0"/>
        <v>0</v>
      </c>
      <c r="R82" s="52">
        <f t="shared" si="0"/>
        <v>0</v>
      </c>
      <c r="S82" s="52">
        <f t="shared" si="0"/>
        <v>0</v>
      </c>
      <c r="T82" s="52">
        <f t="shared" si="0"/>
        <v>0</v>
      </c>
    </row>
    <row r="83" spans="1:23" ht="4.5" customHeight="1" x14ac:dyDescent="0.2">
      <c r="L83" s="25"/>
      <c r="M83" s="25"/>
      <c r="N83" s="25"/>
      <c r="O83" s="25"/>
      <c r="P83" s="25"/>
      <c r="Q83" s="25"/>
    </row>
    <row r="84" spans="1:23" ht="12.75" customHeight="1" x14ac:dyDescent="0.35">
      <c r="C84" t="s">
        <v>311</v>
      </c>
      <c r="D84" s="1019" t="s">
        <v>160</v>
      </c>
      <c r="E84" s="1019"/>
      <c r="F84" s="1019"/>
      <c r="G84" s="1019"/>
      <c r="H84" s="1019"/>
      <c r="I84" s="1019"/>
      <c r="L84" s="25"/>
      <c r="M84" s="1141"/>
      <c r="N84" s="297"/>
      <c r="O84" s="1141"/>
      <c r="P84" s="1141"/>
      <c r="Q84" s="1141"/>
      <c r="R84" s="1147"/>
      <c r="S84" s="1147"/>
      <c r="T84" s="1146">
        <f>SUM(M84:S84)</f>
        <v>0</v>
      </c>
      <c r="U84" s="1150" t="str">
        <f>IF(T84=T82," ","Recheck numbers for d. Entry out of balance.")</f>
        <v xml:space="preserve"> </v>
      </c>
      <c r="V84" s="1150"/>
      <c r="W84" s="1150"/>
    </row>
    <row r="85" spans="1:23" ht="40.5" customHeight="1" x14ac:dyDescent="0.35">
      <c r="D85" s="1019"/>
      <c r="E85" s="1019"/>
      <c r="F85" s="1019"/>
      <c r="G85" s="1019"/>
      <c r="H85" s="1019"/>
      <c r="I85" s="1019"/>
      <c r="L85" s="25"/>
      <c r="M85" s="1141"/>
      <c r="N85" s="297"/>
      <c r="O85" s="1141"/>
      <c r="P85" s="1141"/>
      <c r="Q85" s="1141"/>
      <c r="R85" s="1147"/>
      <c r="S85" s="1147"/>
      <c r="T85" s="1146"/>
      <c r="U85" s="94"/>
      <c r="V85" s="94"/>
      <c r="W85" s="94"/>
    </row>
    <row r="86" spans="1:23" ht="12.75" customHeight="1" x14ac:dyDescent="0.2">
      <c r="D86" s="24"/>
      <c r="E86" s="24"/>
      <c r="F86" s="24"/>
      <c r="G86" s="24"/>
      <c r="H86" s="24"/>
      <c r="I86" s="24"/>
      <c r="L86" s="25"/>
      <c r="M86" s="25"/>
      <c r="N86" s="25"/>
      <c r="O86" s="25"/>
      <c r="P86" s="25"/>
      <c r="Q86" s="25"/>
    </row>
    <row r="87" spans="1:23" ht="7.5" customHeight="1" x14ac:dyDescent="0.2"/>
    <row r="88" spans="1:23" ht="25.5" customHeight="1" x14ac:dyDescent="0.25">
      <c r="A88" s="4" t="s">
        <v>801</v>
      </c>
      <c r="B88" s="1097" t="s">
        <v>675</v>
      </c>
      <c r="C88" s="1098"/>
      <c r="D88" s="1098"/>
      <c r="E88" s="1098"/>
      <c r="F88" s="1098"/>
      <c r="G88" s="1098"/>
      <c r="H88" s="1098"/>
      <c r="I88" s="1098"/>
      <c r="J88" s="1098"/>
      <c r="K88" s="1098"/>
      <c r="L88" s="1098"/>
      <c r="M88" s="1098"/>
      <c r="N88" s="1098"/>
      <c r="O88" s="1098"/>
      <c r="P88" s="1098"/>
      <c r="Q88" s="1098"/>
      <c r="R88" s="1098"/>
      <c r="S88" s="1098"/>
      <c r="T88" s="1099"/>
    </row>
    <row r="89" spans="1:23" ht="5.25" customHeight="1" x14ac:dyDescent="0.2">
      <c r="C89" s="4"/>
      <c r="D89" s="4"/>
      <c r="E89" s="4"/>
      <c r="F89" s="1149"/>
      <c r="G89" s="1149"/>
      <c r="H89" s="1149"/>
      <c r="I89" s="4"/>
      <c r="N89" s="4"/>
    </row>
    <row r="90" spans="1:23" x14ac:dyDescent="0.2">
      <c r="O90" s="27" t="s">
        <v>704</v>
      </c>
      <c r="P90" s="27" t="s">
        <v>4170</v>
      </c>
      <c r="Q90" s="27" t="s">
        <v>4171</v>
      </c>
      <c r="R90" s="27" t="s">
        <v>314</v>
      </c>
      <c r="S90" s="319" t="s">
        <v>705</v>
      </c>
      <c r="T90" s="319" t="s">
        <v>705</v>
      </c>
    </row>
    <row r="91" spans="1:23" x14ac:dyDescent="0.2">
      <c r="B91" s="31"/>
      <c r="C91" s="4" t="s">
        <v>674</v>
      </c>
      <c r="L91" s="36" t="s">
        <v>811</v>
      </c>
      <c r="M91" s="36" t="s">
        <v>312</v>
      </c>
      <c r="N91" s="27"/>
      <c r="O91" s="36" t="s">
        <v>313</v>
      </c>
      <c r="P91" s="36" t="s">
        <v>30</v>
      </c>
      <c r="Q91" s="36" t="s">
        <v>809</v>
      </c>
      <c r="R91" s="36" t="s">
        <v>315</v>
      </c>
      <c r="S91" s="320" t="s">
        <v>691</v>
      </c>
      <c r="T91" s="320" t="s">
        <v>692</v>
      </c>
      <c r="U91" s="36" t="s">
        <v>810</v>
      </c>
    </row>
    <row r="92" spans="1:23" ht="28.5" customHeight="1" x14ac:dyDescent="0.2">
      <c r="B92" s="31"/>
      <c r="C92" t="s">
        <v>117</v>
      </c>
      <c r="D92" s="1106" t="s">
        <v>394</v>
      </c>
      <c r="E92" s="1019"/>
      <c r="F92" s="1019"/>
      <c r="G92" s="1019"/>
      <c r="H92" s="1019"/>
      <c r="I92" s="1019"/>
      <c r="L92" s="287"/>
      <c r="M92" s="287"/>
      <c r="N92" s="297"/>
      <c r="O92" s="287">
        <v>9150</v>
      </c>
      <c r="P92" s="287">
        <v>125058</v>
      </c>
      <c r="Q92" s="287">
        <v>6721</v>
      </c>
      <c r="R92" s="287">
        <v>2639</v>
      </c>
      <c r="S92" s="286"/>
      <c r="T92" s="286"/>
      <c r="U92" s="286"/>
    </row>
    <row r="93" spans="1:23" ht="2.25" customHeight="1" x14ac:dyDescent="0.2">
      <c r="B93" s="31"/>
      <c r="L93" s="25"/>
      <c r="M93" s="297"/>
      <c r="N93" s="297"/>
      <c r="O93" s="297"/>
      <c r="P93" s="297"/>
      <c r="Q93" s="297"/>
      <c r="R93" s="297"/>
      <c r="S93" s="280"/>
      <c r="T93" s="280"/>
      <c r="U93" s="280"/>
    </row>
    <row r="94" spans="1:23" ht="30" customHeight="1" x14ac:dyDescent="0.2">
      <c r="C94" t="s">
        <v>119</v>
      </c>
      <c r="D94" s="1019" t="s">
        <v>395</v>
      </c>
      <c r="E94" s="1019"/>
      <c r="F94" s="1019"/>
      <c r="G94" s="1019"/>
      <c r="H94" s="1019"/>
      <c r="I94" s="1019"/>
      <c r="L94" s="56" t="s">
        <v>822</v>
      </c>
      <c r="M94" s="287"/>
      <c r="N94" s="297"/>
      <c r="O94" s="287">
        <v>9150</v>
      </c>
      <c r="P94" s="287">
        <v>125058</v>
      </c>
      <c r="Q94" s="287">
        <v>6721</v>
      </c>
      <c r="R94" s="287">
        <v>2639</v>
      </c>
      <c r="S94" s="286"/>
      <c r="T94" s="286"/>
      <c r="U94" s="286"/>
    </row>
    <row r="95" spans="1:23" ht="2.25" customHeight="1" x14ac:dyDescent="0.2">
      <c r="L95" s="47"/>
      <c r="M95" s="297"/>
      <c r="N95" s="297"/>
      <c r="O95" s="297"/>
      <c r="P95" s="297"/>
      <c r="Q95" s="297"/>
      <c r="R95" s="297"/>
      <c r="S95" s="280"/>
      <c r="T95" s="280"/>
      <c r="U95" s="280"/>
    </row>
    <row r="96" spans="1:23" ht="12.75" customHeight="1" x14ac:dyDescent="0.2">
      <c r="C96" t="s">
        <v>275</v>
      </c>
      <c r="D96" s="1019" t="s">
        <v>396</v>
      </c>
      <c r="E96" s="1019"/>
      <c r="F96" s="1019"/>
      <c r="G96" s="1019"/>
      <c r="H96" s="1019"/>
      <c r="I96" s="1019"/>
      <c r="L96" s="56" t="s">
        <v>822</v>
      </c>
      <c r="M96" s="1141"/>
      <c r="N96" s="297"/>
      <c r="O96" s="1141">
        <v>0</v>
      </c>
      <c r="P96" s="287"/>
      <c r="Q96" s="1141">
        <v>0</v>
      </c>
      <c r="R96" s="1141">
        <v>0</v>
      </c>
      <c r="S96" s="1147"/>
      <c r="T96" s="1147"/>
      <c r="U96" s="1147"/>
    </row>
    <row r="97" spans="1:21" ht="12.75" customHeight="1" x14ac:dyDescent="0.2">
      <c r="D97" s="1019"/>
      <c r="E97" s="1019"/>
      <c r="F97" s="1019"/>
      <c r="G97" s="1019"/>
      <c r="H97" s="1019"/>
      <c r="I97" s="1019"/>
      <c r="L97" s="25"/>
      <c r="M97" s="1141"/>
      <c r="N97" s="297"/>
      <c r="O97" s="1141"/>
      <c r="P97" s="287"/>
      <c r="Q97" s="1141"/>
      <c r="R97" s="1141"/>
      <c r="S97" s="1147"/>
      <c r="T97" s="1147"/>
      <c r="U97" s="1147"/>
    </row>
    <row r="98" spans="1:21" ht="2.25" customHeight="1" x14ac:dyDescent="0.2">
      <c r="L98" s="25"/>
      <c r="M98" s="25"/>
      <c r="N98" s="25"/>
      <c r="O98" s="25"/>
      <c r="P98" s="25"/>
      <c r="Q98" s="25"/>
      <c r="R98" s="25"/>
    </row>
    <row r="99" spans="1:21" x14ac:dyDescent="0.2">
      <c r="E99" t="s">
        <v>490</v>
      </c>
      <c r="L99" s="52">
        <f>L92</f>
        <v>0</v>
      </c>
      <c r="M99" s="52">
        <f>M92-(M94+M96)</f>
        <v>0</v>
      </c>
      <c r="N99" s="35"/>
      <c r="O99" s="52">
        <f t="shared" ref="O99:U99" si="1">O92-(O94+O96)</f>
        <v>0</v>
      </c>
      <c r="P99" s="52"/>
      <c r="Q99" s="52">
        <f t="shared" si="1"/>
        <v>0</v>
      </c>
      <c r="R99" s="52">
        <f t="shared" si="1"/>
        <v>0</v>
      </c>
      <c r="S99" s="52">
        <f t="shared" si="1"/>
        <v>0</v>
      </c>
      <c r="T99" s="52">
        <f t="shared" si="1"/>
        <v>0</v>
      </c>
      <c r="U99" s="52">
        <f t="shared" si="1"/>
        <v>0</v>
      </c>
    </row>
    <row r="100" spans="1:21" ht="4.5" customHeight="1" x14ac:dyDescent="0.2">
      <c r="L100" s="35"/>
      <c r="M100" s="34"/>
      <c r="N100" s="34"/>
      <c r="O100" s="34"/>
      <c r="P100" s="34"/>
      <c r="Q100" s="34"/>
    </row>
    <row r="101" spans="1:21" ht="12.75" customHeight="1" x14ac:dyDescent="0.2">
      <c r="C101" s="28" t="s">
        <v>311</v>
      </c>
      <c r="D101" s="1019" t="s">
        <v>276</v>
      </c>
      <c r="E101" s="1019"/>
      <c r="F101" s="1019"/>
      <c r="G101" s="1019"/>
      <c r="H101" s="1019"/>
      <c r="I101" s="1019"/>
      <c r="J101" s="1019"/>
      <c r="K101" s="1019"/>
      <c r="L101" s="35"/>
      <c r="M101" s="34"/>
      <c r="N101" s="34"/>
      <c r="O101" s="1132"/>
      <c r="P101" s="1152" t="s">
        <v>324</v>
      </c>
      <c r="Q101" s="1152"/>
      <c r="R101" s="1152"/>
      <c r="S101" s="1152"/>
      <c r="T101" s="356"/>
    </row>
    <row r="102" spans="1:21" ht="12.75" customHeight="1" x14ac:dyDescent="0.2">
      <c r="D102" s="1019"/>
      <c r="E102" s="1019"/>
      <c r="F102" s="1019"/>
      <c r="G102" s="1019"/>
      <c r="H102" s="1019"/>
      <c r="I102" s="1019"/>
      <c r="J102" s="1019"/>
      <c r="K102" s="1019"/>
      <c r="O102" s="1132"/>
      <c r="P102" s="1152"/>
      <c r="Q102" s="1152"/>
      <c r="R102" s="1152"/>
      <c r="S102" s="1152"/>
      <c r="T102" s="356"/>
    </row>
    <row r="103" spans="1:21" ht="12.75" customHeight="1" x14ac:dyDescent="0.2">
      <c r="D103" s="1019"/>
      <c r="E103" s="1019"/>
      <c r="F103" s="1019"/>
      <c r="G103" s="1019"/>
      <c r="H103" s="1019"/>
      <c r="I103" s="1019"/>
      <c r="J103" s="1019"/>
      <c r="K103" s="1019"/>
      <c r="O103" s="1132"/>
      <c r="P103" s="1152"/>
      <c r="Q103" s="1152"/>
      <c r="R103" s="1152"/>
      <c r="S103" s="1152"/>
      <c r="T103" s="356"/>
    </row>
    <row r="104" spans="1:21" ht="3.75" customHeight="1" x14ac:dyDescent="0.2"/>
    <row r="105" spans="1:21" ht="15" x14ac:dyDescent="0.2">
      <c r="E105" s="68" t="s">
        <v>676</v>
      </c>
      <c r="F105" s="2" t="s">
        <v>553</v>
      </c>
    </row>
    <row r="106" spans="1:21" ht="5.25" customHeight="1" x14ac:dyDescent="0.2"/>
    <row r="107" spans="1:21" ht="25.5" customHeight="1" x14ac:dyDescent="0.2">
      <c r="A107" s="4" t="s">
        <v>807</v>
      </c>
      <c r="B107" s="1097" t="s">
        <v>236</v>
      </c>
      <c r="C107" s="1098"/>
      <c r="D107" s="1098"/>
      <c r="E107" s="1098"/>
      <c r="F107" s="1098"/>
      <c r="G107" s="1098"/>
      <c r="H107" s="1098"/>
      <c r="I107" s="1098"/>
      <c r="J107" s="1098"/>
      <c r="K107" s="1098"/>
      <c r="L107" s="1098"/>
      <c r="M107" s="1098"/>
      <c r="N107" s="1098"/>
      <c r="O107" s="1098"/>
      <c r="P107" s="1098"/>
      <c r="Q107" s="1098"/>
      <c r="R107" s="1098"/>
      <c r="S107" s="1098"/>
      <c r="T107" s="1099"/>
    </row>
    <row r="108" spans="1:21" ht="3" customHeight="1" x14ac:dyDescent="0.2"/>
    <row r="109" spans="1:21" x14ac:dyDescent="0.2">
      <c r="O109" s="27" t="s">
        <v>704</v>
      </c>
      <c r="P109" s="36" t="s">
        <v>4170</v>
      </c>
      <c r="Q109" s="27" t="s">
        <v>4171</v>
      </c>
      <c r="R109" s="27" t="s">
        <v>314</v>
      </c>
      <c r="S109" s="319" t="s">
        <v>705</v>
      </c>
      <c r="T109" s="319" t="s">
        <v>705</v>
      </c>
    </row>
    <row r="110" spans="1:21" x14ac:dyDescent="0.2">
      <c r="C110" s="4" t="s">
        <v>235</v>
      </c>
      <c r="L110" s="36" t="s">
        <v>811</v>
      </c>
      <c r="M110" s="36" t="s">
        <v>312</v>
      </c>
      <c r="N110" s="27"/>
      <c r="O110" s="36" t="s">
        <v>313</v>
      </c>
      <c r="P110" s="36" t="s">
        <v>30</v>
      </c>
      <c r="Q110" s="36" t="s">
        <v>809</v>
      </c>
      <c r="R110" s="36" t="s">
        <v>315</v>
      </c>
      <c r="S110" s="320" t="s">
        <v>691</v>
      </c>
      <c r="T110" s="320" t="s">
        <v>692</v>
      </c>
      <c r="U110" s="36" t="s">
        <v>810</v>
      </c>
    </row>
    <row r="111" spans="1:21" ht="12.75" customHeight="1" x14ac:dyDescent="0.2">
      <c r="C111" t="s">
        <v>117</v>
      </c>
      <c r="D111" s="1019" t="s">
        <v>869</v>
      </c>
      <c r="E111" s="1019"/>
      <c r="F111" s="1019"/>
      <c r="G111" s="1019"/>
      <c r="H111" s="1019"/>
      <c r="I111" s="1019"/>
      <c r="L111" s="1145">
        <v>37500</v>
      </c>
      <c r="M111" s="1145"/>
      <c r="N111" s="297"/>
      <c r="O111" s="1145"/>
      <c r="P111" s="977"/>
      <c r="Q111" s="1145"/>
      <c r="R111" s="1145"/>
      <c r="S111" s="1148"/>
      <c r="T111" s="1148"/>
      <c r="U111" s="1148"/>
    </row>
    <row r="112" spans="1:21" ht="12" customHeight="1" x14ac:dyDescent="0.2">
      <c r="D112" s="1019"/>
      <c r="E112" s="1019"/>
      <c r="F112" s="1019"/>
      <c r="G112" s="1019"/>
      <c r="H112" s="1019"/>
      <c r="I112" s="1019"/>
      <c r="L112" s="1141"/>
      <c r="M112" s="1141"/>
      <c r="N112" s="297"/>
      <c r="O112" s="1141"/>
      <c r="P112" s="287"/>
      <c r="Q112" s="1141"/>
      <c r="R112" s="1141"/>
      <c r="S112" s="1147"/>
      <c r="T112" s="1147"/>
      <c r="U112" s="1147"/>
    </row>
    <row r="113" spans="1:20" ht="2.25" customHeight="1" x14ac:dyDescent="0.2">
      <c r="D113" s="24"/>
      <c r="E113" s="24"/>
      <c r="F113" s="24"/>
      <c r="G113" s="24"/>
      <c r="H113" s="24"/>
      <c r="I113" s="24"/>
      <c r="L113" s="357"/>
      <c r="M113" s="357"/>
      <c r="N113" s="297"/>
      <c r="O113" s="357"/>
      <c r="P113" s="357"/>
      <c r="Q113" s="357"/>
      <c r="R113" s="280"/>
      <c r="S113" s="280"/>
      <c r="T113" s="280"/>
    </row>
    <row r="114" spans="1:20" ht="15.75" customHeight="1" x14ac:dyDescent="0.2">
      <c r="C114" s="28" t="s">
        <v>119</v>
      </c>
      <c r="D114" s="1019" t="s">
        <v>31</v>
      </c>
      <c r="E114" s="1019"/>
      <c r="F114" s="1019"/>
      <c r="G114" s="1019"/>
      <c r="H114" s="1019"/>
      <c r="I114" s="1019"/>
      <c r="J114" s="1019"/>
      <c r="L114" s="357"/>
      <c r="M114" s="357"/>
      <c r="N114" s="297"/>
      <c r="O114" s="287"/>
      <c r="P114" s="357"/>
      <c r="Q114" s="357"/>
      <c r="R114" s="280"/>
      <c r="S114" s="280"/>
      <c r="T114" s="280"/>
    </row>
    <row r="115" spans="1:20" ht="3" customHeight="1" x14ac:dyDescent="0.2">
      <c r="D115" s="24"/>
      <c r="E115" s="24"/>
      <c r="F115" s="24"/>
      <c r="G115" s="24"/>
      <c r="H115" s="24"/>
      <c r="I115" s="24"/>
      <c r="L115" s="25"/>
      <c r="M115" s="25"/>
      <c r="N115" s="25"/>
      <c r="O115" s="25"/>
      <c r="P115" s="25"/>
      <c r="Q115" s="25"/>
    </row>
    <row r="116" spans="1:20" ht="12" customHeight="1" x14ac:dyDescent="0.2">
      <c r="C116" s="28" t="s">
        <v>275</v>
      </c>
      <c r="D116" s="1019" t="s">
        <v>32</v>
      </c>
      <c r="E116" s="1019"/>
      <c r="F116" s="1019"/>
      <c r="G116" s="1019"/>
      <c r="H116" s="1019"/>
      <c r="I116" s="1019"/>
      <c r="J116" s="1019"/>
      <c r="K116" s="1019"/>
      <c r="L116" s="25"/>
      <c r="M116" s="25"/>
      <c r="N116" s="25"/>
      <c r="O116" s="1141"/>
      <c r="P116" s="1152" t="s">
        <v>277</v>
      </c>
      <c r="Q116" s="1152"/>
      <c r="R116" s="1152"/>
      <c r="S116" s="1152"/>
      <c r="T116" s="356"/>
    </row>
    <row r="117" spans="1:20" ht="12" customHeight="1" x14ac:dyDescent="0.2">
      <c r="D117" s="1019"/>
      <c r="E117" s="1019"/>
      <c r="F117" s="1019"/>
      <c r="G117" s="1019"/>
      <c r="H117" s="1019"/>
      <c r="I117" s="1019"/>
      <c r="J117" s="1019"/>
      <c r="K117" s="1019"/>
      <c r="L117" s="25"/>
      <c r="M117" s="25"/>
      <c r="N117" s="25"/>
      <c r="O117" s="1141"/>
      <c r="P117" s="1152"/>
      <c r="Q117" s="1152"/>
      <c r="R117" s="1152"/>
      <c r="S117" s="1152"/>
      <c r="T117" s="356"/>
    </row>
    <row r="118" spans="1:20" ht="12" customHeight="1" x14ac:dyDescent="0.2">
      <c r="D118" s="1019"/>
      <c r="E118" s="1019"/>
      <c r="F118" s="1019"/>
      <c r="G118" s="1019"/>
      <c r="H118" s="1019"/>
      <c r="I118" s="1019"/>
      <c r="J118" s="1019"/>
      <c r="K118" s="1019"/>
      <c r="L118" s="25"/>
      <c r="M118" s="25"/>
      <c r="N118" s="25"/>
      <c r="O118" s="1141"/>
      <c r="P118" s="1152"/>
      <c r="Q118" s="1152"/>
      <c r="R118" s="1152"/>
      <c r="S118" s="1152"/>
      <c r="T118" s="356"/>
    </row>
    <row r="119" spans="1:20" ht="7.5" customHeight="1" x14ac:dyDescent="0.2">
      <c r="D119" s="24"/>
      <c r="E119" s="24"/>
      <c r="F119" s="24"/>
      <c r="G119" s="24"/>
      <c r="H119" s="24"/>
      <c r="I119" s="24"/>
      <c r="L119" s="25"/>
      <c r="M119" s="25"/>
      <c r="N119" s="25"/>
      <c r="O119" s="25"/>
      <c r="P119" s="25"/>
      <c r="Q119" s="25"/>
    </row>
    <row r="120" spans="1:20" ht="25.5" customHeight="1" x14ac:dyDescent="0.2">
      <c r="A120" s="4" t="s">
        <v>823</v>
      </c>
      <c r="B120" s="1097" t="s">
        <v>391</v>
      </c>
      <c r="C120" s="1098"/>
      <c r="D120" s="1098"/>
      <c r="E120" s="1098"/>
      <c r="F120" s="1098"/>
      <c r="G120" s="1098"/>
      <c r="H120" s="1098"/>
      <c r="I120" s="1098"/>
      <c r="J120" s="1098"/>
      <c r="K120" s="1098"/>
      <c r="L120" s="1098"/>
      <c r="M120" s="1098"/>
      <c r="N120" s="1098"/>
      <c r="O120" s="1098"/>
      <c r="P120" s="1098"/>
      <c r="Q120" s="1098"/>
      <c r="R120" s="1098"/>
      <c r="S120" s="1098"/>
      <c r="T120" s="1099"/>
    </row>
    <row r="121" spans="1:20" ht="4.5" customHeight="1" x14ac:dyDescent="0.2">
      <c r="L121" s="25"/>
      <c r="M121" s="25"/>
      <c r="N121" s="25"/>
      <c r="O121" s="25"/>
      <c r="P121" s="25"/>
      <c r="Q121" s="25"/>
    </row>
    <row r="122" spans="1:20" x14ac:dyDescent="0.2">
      <c r="B122" s="28" t="s">
        <v>513</v>
      </c>
      <c r="C122" s="1019" t="s">
        <v>349</v>
      </c>
      <c r="D122" s="1019"/>
      <c r="E122" s="1019"/>
      <c r="F122" s="1019"/>
      <c r="G122" s="1019"/>
      <c r="H122" s="1019"/>
      <c r="I122" s="1019"/>
      <c r="J122" s="1019"/>
      <c r="K122" s="1019"/>
      <c r="L122" s="25"/>
      <c r="M122" s="1141">
        <v>1700600</v>
      </c>
      <c r="N122" s="25"/>
      <c r="O122" s="25"/>
      <c r="P122" s="25"/>
      <c r="Q122" s="25"/>
    </row>
    <row r="123" spans="1:20" x14ac:dyDescent="0.2">
      <c r="C123" s="1019"/>
      <c r="D123" s="1019"/>
      <c r="E123" s="1019"/>
      <c r="F123" s="1019"/>
      <c r="G123" s="1019"/>
      <c r="H123" s="1019"/>
      <c r="I123" s="1019"/>
      <c r="J123" s="1019"/>
      <c r="K123" s="1019"/>
      <c r="L123" s="25"/>
      <c r="M123" s="1141"/>
      <c r="N123" s="25"/>
      <c r="O123" s="25"/>
      <c r="P123" s="25"/>
      <c r="Q123" s="25"/>
    </row>
    <row r="124" spans="1:20" ht="3.75" customHeight="1" x14ac:dyDescent="0.2">
      <c r="L124" s="25"/>
      <c r="M124" s="25"/>
      <c r="N124" s="25"/>
      <c r="O124" s="25"/>
      <c r="P124" s="25"/>
      <c r="Q124" s="25"/>
    </row>
    <row r="125" spans="1:20" x14ac:dyDescent="0.2">
      <c r="B125" s="28" t="s">
        <v>514</v>
      </c>
      <c r="C125" t="s">
        <v>502</v>
      </c>
      <c r="L125" s="25"/>
      <c r="M125" s="25"/>
      <c r="N125" s="25"/>
      <c r="O125" s="25"/>
      <c r="P125" s="25"/>
      <c r="Q125" s="25"/>
    </row>
    <row r="126" spans="1:20" x14ac:dyDescent="0.2">
      <c r="H126" t="s">
        <v>988</v>
      </c>
      <c r="L126" s="25"/>
      <c r="M126" s="287"/>
      <c r="N126" s="25"/>
      <c r="O126" s="25"/>
      <c r="P126" s="25"/>
      <c r="Q126" s="25"/>
    </row>
    <row r="127" spans="1:20" x14ac:dyDescent="0.2">
      <c r="H127" t="s">
        <v>989</v>
      </c>
      <c r="L127" s="25"/>
      <c r="M127" s="287"/>
      <c r="N127" s="25"/>
      <c r="O127" s="25"/>
      <c r="P127" s="25"/>
      <c r="Q127" s="25"/>
    </row>
    <row r="128" spans="1:20" x14ac:dyDescent="0.2">
      <c r="H128" t="s">
        <v>816</v>
      </c>
      <c r="L128" s="25"/>
      <c r="M128" s="287">
        <v>0</v>
      </c>
      <c r="N128" s="25"/>
      <c r="O128" s="25"/>
      <c r="P128" s="25"/>
      <c r="Q128" s="25"/>
    </row>
    <row r="129" spans="1:20" x14ac:dyDescent="0.2">
      <c r="H129" t="s">
        <v>805</v>
      </c>
      <c r="L129" s="25"/>
      <c r="M129" s="287">
        <v>0</v>
      </c>
      <c r="N129" s="25"/>
      <c r="O129" s="25"/>
      <c r="P129" s="25"/>
      <c r="Q129" s="25"/>
    </row>
    <row r="130" spans="1:20" x14ac:dyDescent="0.2">
      <c r="H130" t="s">
        <v>203</v>
      </c>
      <c r="L130" s="25"/>
      <c r="M130" s="287">
        <v>0</v>
      </c>
      <c r="N130" s="25"/>
      <c r="O130" s="25"/>
      <c r="P130" s="25"/>
      <c r="Q130" s="25"/>
    </row>
    <row r="131" spans="1:20" x14ac:dyDescent="0.2">
      <c r="H131" t="s">
        <v>503</v>
      </c>
      <c r="L131" s="25"/>
      <c r="M131" s="287">
        <v>0</v>
      </c>
      <c r="N131" s="25"/>
      <c r="O131" s="25"/>
      <c r="P131" s="25"/>
      <c r="Q131" s="25"/>
    </row>
    <row r="132" spans="1:20" x14ac:dyDescent="0.2">
      <c r="H132" t="s">
        <v>172</v>
      </c>
      <c r="L132" s="25"/>
      <c r="M132" s="287">
        <v>1700600</v>
      </c>
      <c r="N132" s="25"/>
      <c r="O132" s="1153" t="str">
        <f>IF(M134=M122," ","Recheck numbers. Entry does not balance.")</f>
        <v xml:space="preserve"> </v>
      </c>
      <c r="P132" s="25"/>
      <c r="Q132" s="25"/>
    </row>
    <row r="133" spans="1:20" x14ac:dyDescent="0.2">
      <c r="H133" s="280" t="s">
        <v>726</v>
      </c>
      <c r="L133" s="25"/>
      <c r="M133" s="287">
        <v>0</v>
      </c>
      <c r="N133" s="25"/>
      <c r="O133" s="1153"/>
      <c r="P133" s="25"/>
      <c r="Q133" s="25"/>
    </row>
    <row r="134" spans="1:20" ht="13.5" thickBot="1" x14ac:dyDescent="0.25">
      <c r="M134" s="58">
        <f>SUM(M126:M133)</f>
        <v>1700600</v>
      </c>
      <c r="O134" s="1153"/>
    </row>
    <row r="135" spans="1:20" ht="13.5" thickTop="1" x14ac:dyDescent="0.2"/>
    <row r="136" spans="1:20" ht="25.5" customHeight="1" x14ac:dyDescent="0.2">
      <c r="A136" s="4" t="s">
        <v>715</v>
      </c>
      <c r="B136" s="1097" t="s">
        <v>739</v>
      </c>
      <c r="C136" s="1098"/>
      <c r="D136" s="1098"/>
      <c r="E136" s="1098"/>
      <c r="F136" s="1098"/>
      <c r="G136" s="1098"/>
      <c r="H136" s="1098"/>
      <c r="I136" s="1098"/>
      <c r="J136" s="1098"/>
      <c r="K136" s="1098"/>
      <c r="L136" s="1098"/>
      <c r="M136" s="1098"/>
      <c r="N136" s="1098"/>
      <c r="O136" s="1098"/>
      <c r="P136" s="1098"/>
      <c r="Q136" s="1098"/>
      <c r="R136" s="1098"/>
      <c r="S136" s="1098"/>
      <c r="T136" s="1099"/>
    </row>
    <row r="137" spans="1:20" ht="6.75" customHeight="1" x14ac:dyDescent="0.2">
      <c r="M137" s="5"/>
      <c r="N137" s="361"/>
    </row>
    <row r="138" spans="1:20" x14ac:dyDescent="0.2">
      <c r="B138" s="1019" t="s">
        <v>0</v>
      </c>
      <c r="C138" s="1019"/>
      <c r="D138" s="1019"/>
      <c r="E138" s="1019"/>
      <c r="F138" s="1019"/>
      <c r="G138" s="1019"/>
      <c r="H138" s="1019"/>
      <c r="I138" s="1019"/>
      <c r="J138" s="1019"/>
      <c r="K138" s="1019"/>
      <c r="L138" s="1019"/>
      <c r="M138" s="1019"/>
      <c r="N138" s="1019"/>
      <c r="O138" s="1019"/>
      <c r="P138" s="1019"/>
      <c r="Q138" s="1019"/>
      <c r="R138" s="1019"/>
      <c r="S138" s="1019"/>
      <c r="T138" s="1019"/>
    </row>
    <row r="139" spans="1:20" x14ac:dyDescent="0.2">
      <c r="B139" s="1019"/>
      <c r="C139" s="1019"/>
      <c r="D139" s="1019"/>
      <c r="E139" s="1019"/>
      <c r="F139" s="1019"/>
      <c r="G139" s="1019"/>
      <c r="H139" s="1019"/>
      <c r="I139" s="1019"/>
      <c r="J139" s="1019"/>
      <c r="K139" s="1019"/>
      <c r="L139" s="1019"/>
      <c r="M139" s="1019"/>
      <c r="N139" s="1019"/>
      <c r="O139" s="1019"/>
      <c r="P139" s="1019"/>
      <c r="Q139" s="1019"/>
      <c r="R139" s="1019"/>
      <c r="S139" s="1019"/>
      <c r="T139" s="1019"/>
    </row>
    <row r="140" spans="1:20" x14ac:dyDescent="0.2">
      <c r="B140" s="1019"/>
      <c r="C140" s="1019"/>
      <c r="D140" s="1019"/>
      <c r="E140" s="1019"/>
      <c r="F140" s="1019"/>
      <c r="G140" s="1019"/>
      <c r="H140" s="1019"/>
      <c r="I140" s="1019"/>
      <c r="J140" s="1019"/>
      <c r="K140" s="1019"/>
      <c r="L140" s="1019"/>
      <c r="M140" s="1019"/>
      <c r="N140" s="1019"/>
      <c r="O140" s="1019"/>
      <c r="P140" s="1019"/>
      <c r="Q140" s="1019"/>
      <c r="R140" s="1019"/>
      <c r="S140" s="1019"/>
      <c r="T140" s="1019"/>
    </row>
    <row r="141" spans="1:20" x14ac:dyDescent="0.2">
      <c r="B141" s="1019"/>
      <c r="C141" s="1019"/>
      <c r="D141" s="1019"/>
      <c r="E141" s="1019"/>
      <c r="F141" s="1019"/>
      <c r="G141" s="1019"/>
      <c r="H141" s="1019"/>
      <c r="I141" s="1019"/>
      <c r="J141" s="1019"/>
      <c r="K141" s="1019"/>
      <c r="L141" s="1019"/>
      <c r="M141" s="1019"/>
      <c r="N141" s="1019"/>
      <c r="O141" s="1019"/>
      <c r="P141" s="1019"/>
      <c r="Q141" s="1019"/>
      <c r="R141" s="1019"/>
      <c r="S141" s="1019"/>
      <c r="T141" s="1019"/>
    </row>
    <row r="142" spans="1:20" x14ac:dyDescent="0.2">
      <c r="B142" s="1019"/>
      <c r="C142" s="1019"/>
      <c r="D142" s="1019"/>
      <c r="E142" s="1019"/>
      <c r="F142" s="1019"/>
      <c r="G142" s="1019"/>
      <c r="H142" s="1019"/>
      <c r="I142" s="1019"/>
      <c r="J142" s="1019"/>
      <c r="K142" s="1019"/>
      <c r="L142" s="1019"/>
      <c r="M142" s="1019"/>
      <c r="N142" s="1019"/>
      <c r="O142" s="1019"/>
      <c r="P142" s="1019"/>
      <c r="Q142" s="1019"/>
      <c r="R142" s="1019"/>
      <c r="S142" s="1019"/>
      <c r="T142" s="1019"/>
    </row>
    <row r="143" spans="1:20" ht="6.75" customHeight="1" x14ac:dyDescent="0.2">
      <c r="M143" s="5"/>
      <c r="N143" s="361"/>
    </row>
    <row r="144" spans="1:20" ht="12" customHeight="1" x14ac:dyDescent="0.2">
      <c r="B144" s="1019" t="s">
        <v>1</v>
      </c>
      <c r="C144" s="1019"/>
      <c r="D144" s="1019"/>
      <c r="E144" s="1019"/>
      <c r="F144" s="1019"/>
      <c r="G144" s="1019"/>
      <c r="H144" s="1019"/>
      <c r="I144" s="1019"/>
      <c r="J144" s="1019"/>
      <c r="K144" s="1019"/>
      <c r="L144" s="1019"/>
      <c r="M144" s="1019"/>
      <c r="N144" s="1019"/>
      <c r="O144" s="1019"/>
      <c r="P144" s="1019"/>
      <c r="Q144" s="1019"/>
      <c r="R144" s="1019"/>
      <c r="S144" s="1019"/>
      <c r="T144" s="1019"/>
    </row>
    <row r="145" spans="2:20" ht="12" customHeight="1" x14ac:dyDescent="0.2">
      <c r="B145" s="1019"/>
      <c r="C145" s="1019"/>
      <c r="D145" s="1019"/>
      <c r="E145" s="1019"/>
      <c r="F145" s="1019"/>
      <c r="G145" s="1019"/>
      <c r="H145" s="1019"/>
      <c r="I145" s="1019"/>
      <c r="J145" s="1019"/>
      <c r="K145" s="1019"/>
      <c r="L145" s="1019"/>
      <c r="M145" s="1019"/>
      <c r="N145" s="1019"/>
      <c r="O145" s="1019"/>
      <c r="P145" s="1019"/>
      <c r="Q145" s="1019"/>
      <c r="R145" s="1019"/>
      <c r="S145" s="1019"/>
      <c r="T145" s="1019"/>
    </row>
    <row r="146" spans="2:20" ht="12" customHeight="1" x14ac:dyDescent="0.2">
      <c r="M146" s="5"/>
      <c r="N146" s="361"/>
    </row>
    <row r="147" spans="2:20" x14ac:dyDescent="0.2">
      <c r="B147" s="46" t="s">
        <v>513</v>
      </c>
      <c r="C147" s="1018" t="s">
        <v>2</v>
      </c>
      <c r="D147" s="1018"/>
      <c r="E147" s="1018"/>
      <c r="F147" s="1018"/>
      <c r="G147" s="1018"/>
      <c r="H147" s="1018"/>
      <c r="I147" s="1018"/>
      <c r="J147" s="1018"/>
      <c r="O147" s="27" t="s">
        <v>704</v>
      </c>
      <c r="P147" s="27" t="s">
        <v>29</v>
      </c>
      <c r="Q147" s="27" t="s">
        <v>3</v>
      </c>
      <c r="R147" s="319" t="s">
        <v>705</v>
      </c>
      <c r="S147" s="319" t="s">
        <v>705</v>
      </c>
    </row>
    <row r="148" spans="2:20" ht="13.5" customHeight="1" x14ac:dyDescent="0.2">
      <c r="C148" s="1018"/>
      <c r="D148" s="1018"/>
      <c r="E148" s="1018"/>
      <c r="F148" s="1018"/>
      <c r="G148" s="1018"/>
      <c r="H148" s="1018"/>
      <c r="I148" s="1018"/>
      <c r="J148" s="1018"/>
      <c r="L148" s="36" t="s">
        <v>811</v>
      </c>
      <c r="M148" s="36" t="s">
        <v>812</v>
      </c>
      <c r="O148" s="36" t="s">
        <v>831</v>
      </c>
      <c r="P148" s="36" t="s">
        <v>30</v>
      </c>
      <c r="Q148" s="36" t="s">
        <v>315</v>
      </c>
      <c r="R148" s="320" t="s">
        <v>691</v>
      </c>
      <c r="S148" s="320" t="s">
        <v>692</v>
      </c>
      <c r="T148" s="36" t="s">
        <v>810</v>
      </c>
    </row>
    <row r="149" spans="2:20" x14ac:dyDescent="0.2">
      <c r="C149" s="33" t="s">
        <v>117</v>
      </c>
      <c r="D149" s="1019" t="s">
        <v>4</v>
      </c>
      <c r="E149" s="1019"/>
      <c r="F149" s="1019"/>
      <c r="G149" s="1019"/>
      <c r="H149" s="1019"/>
      <c r="I149" s="1019"/>
      <c r="J149" s="1019"/>
      <c r="L149" s="1145"/>
      <c r="M149" s="1145">
        <v>4000000</v>
      </c>
      <c r="O149" s="1145"/>
      <c r="P149" s="1145"/>
      <c r="Q149" s="1145"/>
      <c r="R149" s="1148"/>
      <c r="S149" s="1148"/>
      <c r="T149" s="1148"/>
    </row>
    <row r="150" spans="2:20" x14ac:dyDescent="0.2">
      <c r="C150" s="33"/>
      <c r="D150" s="1019"/>
      <c r="E150" s="1019"/>
      <c r="F150" s="1019"/>
      <c r="G150" s="1019"/>
      <c r="H150" s="1019"/>
      <c r="I150" s="1019"/>
      <c r="J150" s="1019"/>
      <c r="L150" s="1141"/>
      <c r="M150" s="1141"/>
      <c r="O150" s="1141"/>
      <c r="P150" s="1141"/>
      <c r="Q150" s="1141"/>
      <c r="R150" s="1147"/>
      <c r="S150" s="1147"/>
      <c r="T150" s="1147"/>
    </row>
    <row r="151" spans="2:20" ht="6" customHeight="1" x14ac:dyDescent="0.2">
      <c r="C151" s="33"/>
      <c r="L151" s="25"/>
      <c r="M151" s="25"/>
      <c r="O151" s="25"/>
      <c r="P151" s="25"/>
      <c r="Q151" s="25"/>
    </row>
    <row r="152" spans="2:20" x14ac:dyDescent="0.2">
      <c r="C152" s="33" t="s">
        <v>119</v>
      </c>
      <c r="D152" s="1019" t="s">
        <v>5</v>
      </c>
      <c r="E152" s="1019"/>
      <c r="F152" s="1019"/>
      <c r="G152" s="1019"/>
      <c r="H152" s="1019"/>
      <c r="I152" s="1019"/>
      <c r="J152" s="1019"/>
      <c r="L152" s="56" t="s">
        <v>822</v>
      </c>
      <c r="M152" s="1141"/>
      <c r="O152" s="1141"/>
      <c r="P152" s="1141"/>
      <c r="Q152" s="1141"/>
      <c r="R152" s="1141"/>
      <c r="S152" s="1141"/>
      <c r="T152" s="1141"/>
    </row>
    <row r="153" spans="2:20" x14ac:dyDescent="0.2">
      <c r="C153" s="33"/>
      <c r="D153" s="1019"/>
      <c r="E153" s="1019"/>
      <c r="F153" s="1019"/>
      <c r="G153" s="1019"/>
      <c r="H153" s="1019"/>
      <c r="I153" s="1019"/>
      <c r="J153" s="1019"/>
      <c r="L153" s="56"/>
      <c r="M153" s="1141"/>
      <c r="O153" s="1141"/>
      <c r="P153" s="1141"/>
      <c r="Q153" s="1141"/>
      <c r="R153" s="1141"/>
      <c r="S153" s="1141"/>
      <c r="T153" s="1141"/>
    </row>
    <row r="154" spans="2:20" ht="6" customHeight="1" x14ac:dyDescent="0.2">
      <c r="C154" s="33"/>
      <c r="L154" s="47"/>
      <c r="M154" s="25"/>
      <c r="O154" s="25"/>
      <c r="P154" s="25"/>
      <c r="Q154" s="25"/>
      <c r="R154" s="25"/>
      <c r="S154" s="25"/>
    </row>
    <row r="155" spans="2:20" x14ac:dyDescent="0.2">
      <c r="C155" s="33" t="s">
        <v>275</v>
      </c>
      <c r="D155" s="1019" t="s">
        <v>6</v>
      </c>
      <c r="E155" s="1019"/>
      <c r="F155" s="1019"/>
      <c r="G155" s="1019"/>
      <c r="H155" s="1019"/>
      <c r="I155" s="1019"/>
      <c r="J155" s="1019"/>
      <c r="L155" s="56" t="s">
        <v>822</v>
      </c>
      <c r="M155" s="1141"/>
      <c r="O155" s="1141"/>
      <c r="P155" s="1141"/>
      <c r="Q155" s="1141"/>
      <c r="R155" s="1141"/>
      <c r="S155" s="1141"/>
      <c r="T155" s="1141"/>
    </row>
    <row r="156" spans="2:20" x14ac:dyDescent="0.2">
      <c r="C156" s="33"/>
      <c r="D156" s="1019"/>
      <c r="E156" s="1019"/>
      <c r="F156" s="1019"/>
      <c r="G156" s="1019"/>
      <c r="H156" s="1019"/>
      <c r="I156" s="1019"/>
      <c r="J156" s="1019"/>
      <c r="L156" s="56"/>
      <c r="M156" s="1141"/>
      <c r="O156" s="1141"/>
      <c r="P156" s="1141"/>
      <c r="Q156" s="1141"/>
      <c r="R156" s="1141"/>
      <c r="S156" s="1141"/>
      <c r="T156" s="1141"/>
    </row>
    <row r="157" spans="2:20" ht="6" customHeight="1" x14ac:dyDescent="0.2">
      <c r="C157" s="33"/>
      <c r="L157" s="25"/>
      <c r="M157" s="25"/>
      <c r="O157" s="25"/>
      <c r="P157" s="25"/>
      <c r="Q157" s="25"/>
    </row>
    <row r="158" spans="2:20" x14ac:dyDescent="0.2">
      <c r="C158" s="33"/>
      <c r="E158" t="s">
        <v>7</v>
      </c>
      <c r="L158" s="52">
        <f>L149</f>
        <v>0</v>
      </c>
      <c r="M158" s="52">
        <f>M149-(M152+M155)</f>
        <v>4000000</v>
      </c>
      <c r="O158" s="52">
        <f>O149-(O152+O155)</f>
        <v>0</v>
      </c>
      <c r="P158" s="52">
        <f>P149-(P152+P155)</f>
        <v>0</v>
      </c>
      <c r="Q158" s="52">
        <f>Q149-(Q152+Q155)</f>
        <v>0</v>
      </c>
      <c r="R158" s="53"/>
      <c r="S158" s="53"/>
      <c r="T158" s="53"/>
    </row>
    <row r="159" spans="2:20" ht="6.75" customHeight="1" x14ac:dyDescent="0.2">
      <c r="C159" s="33"/>
      <c r="L159" s="25"/>
      <c r="M159" s="25"/>
      <c r="N159" s="25"/>
      <c r="O159" s="25"/>
      <c r="P159" s="25"/>
    </row>
    <row r="160" spans="2:20" x14ac:dyDescent="0.2">
      <c r="B160" s="46" t="s">
        <v>514</v>
      </c>
      <c r="C160" s="1019" t="s">
        <v>743</v>
      </c>
      <c r="D160" s="1019"/>
      <c r="E160" s="1019"/>
      <c r="F160" s="1019"/>
      <c r="G160" s="1019"/>
      <c r="H160" s="1019"/>
      <c r="I160" s="1019"/>
      <c r="J160" s="1019"/>
      <c r="L160" s="1141">
        <v>6000000</v>
      </c>
      <c r="M160" s="25"/>
      <c r="N160" s="25"/>
      <c r="O160" s="25"/>
      <c r="P160" s="25"/>
    </row>
    <row r="161" spans="1:20" ht="12.75" customHeight="1" x14ac:dyDescent="0.2">
      <c r="C161" s="1019"/>
      <c r="D161" s="1019"/>
      <c r="E161" s="1019"/>
      <c r="F161" s="1019"/>
      <c r="G161" s="1019"/>
      <c r="H161" s="1019"/>
      <c r="I161" s="1019"/>
      <c r="J161" s="1019"/>
      <c r="L161" s="1141"/>
      <c r="M161" s="25"/>
      <c r="N161" s="25"/>
      <c r="O161" s="25"/>
      <c r="P161" s="25"/>
    </row>
    <row r="162" spans="1:20" ht="6.75" customHeight="1" x14ac:dyDescent="0.2">
      <c r="B162" s="4"/>
      <c r="C162" s="33"/>
      <c r="L162" s="25"/>
      <c r="M162" s="25"/>
      <c r="N162" s="25"/>
      <c r="O162" s="25"/>
      <c r="P162" s="25"/>
    </row>
    <row r="163" spans="1:20" ht="12.75" customHeight="1" x14ac:dyDescent="0.2">
      <c r="B163" s="46" t="s">
        <v>515</v>
      </c>
      <c r="C163" s="1019" t="s">
        <v>744</v>
      </c>
      <c r="D163" s="1019"/>
      <c r="E163" s="1019"/>
      <c r="F163" s="1019"/>
      <c r="G163" s="1019"/>
      <c r="H163" s="1019"/>
      <c r="I163" s="1019"/>
      <c r="J163" s="1019"/>
      <c r="L163" s="25"/>
      <c r="M163" s="25"/>
      <c r="N163" s="25"/>
      <c r="O163" s="25"/>
      <c r="P163" s="25"/>
    </row>
    <row r="164" spans="1:20" ht="11.25" customHeight="1" x14ac:dyDescent="0.2">
      <c r="C164" s="1019"/>
      <c r="D164" s="1019"/>
      <c r="E164" s="1019"/>
      <c r="F164" s="1019"/>
      <c r="G164" s="1019"/>
      <c r="H164" s="1019"/>
      <c r="I164" s="1019"/>
      <c r="J164" s="1019"/>
      <c r="L164" s="25"/>
      <c r="M164" s="25"/>
      <c r="N164" s="25"/>
      <c r="O164" s="25"/>
      <c r="P164" s="25"/>
    </row>
    <row r="165" spans="1:20" x14ac:dyDescent="0.2">
      <c r="C165" s="362" t="s">
        <v>117</v>
      </c>
      <c r="D165" s="1019" t="s">
        <v>745</v>
      </c>
      <c r="E165" s="1019"/>
      <c r="F165" s="1019"/>
      <c r="G165" s="1019"/>
      <c r="H165" s="1019"/>
      <c r="I165" s="1019"/>
      <c r="L165" s="1141">
        <v>6000000</v>
      </c>
      <c r="M165" s="1142">
        <f>IF(L165=0," ",L160/L165)</f>
        <v>1</v>
      </c>
      <c r="O165" s="363" t="s">
        <v>746</v>
      </c>
      <c r="P165" s="25"/>
    </row>
    <row r="166" spans="1:20" x14ac:dyDescent="0.2">
      <c r="C166" s="33"/>
      <c r="D166" s="1019"/>
      <c r="E166" s="1019"/>
      <c r="F166" s="1019"/>
      <c r="G166" s="1019"/>
      <c r="H166" s="1019"/>
      <c r="I166" s="1019"/>
      <c r="L166" s="1141"/>
      <c r="M166" s="1142"/>
      <c r="O166" s="132" t="s">
        <v>747</v>
      </c>
      <c r="P166" s="25"/>
    </row>
    <row r="167" spans="1:20" ht="10.5" customHeight="1" x14ac:dyDescent="0.2">
      <c r="C167" s="33"/>
      <c r="J167" s="38" t="s">
        <v>748</v>
      </c>
      <c r="L167" s="25"/>
      <c r="M167" s="25"/>
      <c r="N167" s="25"/>
      <c r="O167" s="25"/>
      <c r="P167" s="25"/>
    </row>
    <row r="168" spans="1:20" x14ac:dyDescent="0.2">
      <c r="C168" s="362" t="s">
        <v>119</v>
      </c>
      <c r="D168" s="1019" t="s">
        <v>749</v>
      </c>
      <c r="E168" s="1019"/>
      <c r="F168" s="1019"/>
      <c r="G168" s="1019"/>
      <c r="H168" s="1019"/>
      <c r="I168" s="1019"/>
      <c r="L168" s="1143"/>
      <c r="M168" s="1144">
        <f>L168*L160</f>
        <v>0</v>
      </c>
      <c r="Q168" s="1138" t="str">
        <f>IF(M168=0," ",(M168/M149))</f>
        <v xml:space="preserve"> </v>
      </c>
      <c r="R168" s="363" t="s">
        <v>746</v>
      </c>
      <c r="S168" s="25"/>
    </row>
    <row r="169" spans="1:20" x14ac:dyDescent="0.2">
      <c r="C169" s="33"/>
      <c r="D169" s="1019"/>
      <c r="E169" s="1019"/>
      <c r="F169" s="1019"/>
      <c r="G169" s="1019"/>
      <c r="H169" s="1019"/>
      <c r="I169" s="1019"/>
      <c r="L169" s="1143"/>
      <c r="M169" s="1144"/>
      <c r="O169" s="132" t="s">
        <v>750</v>
      </c>
      <c r="Q169" s="1138"/>
      <c r="R169" s="363" t="s">
        <v>751</v>
      </c>
      <c r="S169" s="25"/>
    </row>
    <row r="170" spans="1:20" ht="12.75" customHeight="1" x14ac:dyDescent="0.2">
      <c r="C170" s="33"/>
      <c r="L170" s="25"/>
      <c r="M170" s="25"/>
      <c r="N170" s="25"/>
      <c r="O170" s="25"/>
      <c r="P170" s="25"/>
    </row>
    <row r="171" spans="1:20" ht="12.75" customHeight="1" x14ac:dyDescent="0.2">
      <c r="B171" s="46" t="s">
        <v>541</v>
      </c>
      <c r="C171" s="4" t="s">
        <v>752</v>
      </c>
      <c r="D171" s="4"/>
      <c r="E171" s="4"/>
      <c r="F171" s="4"/>
      <c r="K171" s="1139" t="s">
        <v>753</v>
      </c>
      <c r="L171" s="1139"/>
      <c r="M171" s="365">
        <f>IF(L165=0,"0",((L158+M158+O158+P158+Q158+R158+S158+T158)*M165))</f>
        <v>4000000</v>
      </c>
      <c r="N171" s="369"/>
      <c r="O171" s="1140" t="s">
        <v>754</v>
      </c>
      <c r="P171" s="1140"/>
      <c r="Q171" s="366" t="str">
        <f>IF(L168=0,"0",(L158+M158+O158+P158+Q158+R158+S158+T158)*Q168)</f>
        <v>0</v>
      </c>
    </row>
    <row r="172" spans="1:20" ht="6.75" customHeight="1" x14ac:dyDescent="0.2">
      <c r="B172" s="46"/>
      <c r="C172" s="4"/>
      <c r="D172" s="4"/>
      <c r="E172" s="4"/>
      <c r="F172" s="4"/>
      <c r="K172" s="364"/>
      <c r="L172" s="364"/>
      <c r="M172" s="367"/>
      <c r="O172" s="368"/>
      <c r="P172" s="368"/>
      <c r="Q172" s="369"/>
    </row>
    <row r="173" spans="1:20" ht="12.75" customHeight="1" x14ac:dyDescent="0.2">
      <c r="A173" t="s">
        <v>49</v>
      </c>
      <c r="C173" s="33" t="s">
        <v>117</v>
      </c>
      <c r="D173" s="1130" t="s">
        <v>755</v>
      </c>
      <c r="E173" s="1130"/>
      <c r="F173" s="1130"/>
      <c r="G173" s="1130"/>
      <c r="H173" s="1130"/>
      <c r="I173" s="1130"/>
      <c r="L173" s="25"/>
      <c r="M173" s="25"/>
      <c r="T173" s="370"/>
    </row>
    <row r="174" spans="1:20" ht="12.75" customHeight="1" x14ac:dyDescent="0.2">
      <c r="C174" s="25"/>
      <c r="D174" s="1130"/>
      <c r="E174" s="1130"/>
      <c r="F174" s="1130"/>
      <c r="G174" s="1130"/>
      <c r="H174" s="1130"/>
      <c r="I174" s="1130"/>
      <c r="L174" s="25"/>
      <c r="M174" s="25"/>
      <c r="T174" s="370"/>
    </row>
    <row r="175" spans="1:20" x14ac:dyDescent="0.2">
      <c r="C175" s="25"/>
      <c r="D175" t="s">
        <v>811</v>
      </c>
      <c r="H175" s="295"/>
      <c r="L175" s="25"/>
      <c r="M175" s="25"/>
    </row>
    <row r="176" spans="1:20" x14ac:dyDescent="0.2">
      <c r="C176" s="25"/>
      <c r="D176" t="s">
        <v>812</v>
      </c>
      <c r="H176" s="295">
        <v>4000000</v>
      </c>
      <c r="L176" s="25"/>
      <c r="M176" s="25"/>
    </row>
    <row r="177" spans="1:23" x14ac:dyDescent="0.2">
      <c r="C177" s="25"/>
      <c r="D177" t="s">
        <v>449</v>
      </c>
      <c r="H177" s="295"/>
      <c r="L177" s="25"/>
      <c r="M177" s="25"/>
    </row>
    <row r="178" spans="1:23" x14ac:dyDescent="0.2">
      <c r="C178" s="25"/>
      <c r="D178" t="s">
        <v>756</v>
      </c>
      <c r="H178" s="295"/>
      <c r="L178" s="25"/>
      <c r="M178" s="25"/>
    </row>
    <row r="179" spans="1:23" x14ac:dyDescent="0.2">
      <c r="C179" s="25"/>
      <c r="D179" t="s">
        <v>757</v>
      </c>
      <c r="H179" s="295"/>
      <c r="L179" s="25"/>
      <c r="M179" s="25"/>
    </row>
    <row r="180" spans="1:23" x14ac:dyDescent="0.2">
      <c r="C180" s="25"/>
      <c r="D180" t="s">
        <v>810</v>
      </c>
      <c r="H180" s="295"/>
      <c r="L180" s="25"/>
      <c r="M180" s="25"/>
    </row>
    <row r="181" spans="1:23" x14ac:dyDescent="0.2">
      <c r="C181" s="25"/>
      <c r="D181" s="280" t="s">
        <v>693</v>
      </c>
      <c r="H181" s="295"/>
      <c r="L181" s="25"/>
      <c r="M181" s="25"/>
      <c r="V181" s="1131" t="str">
        <f>IF(U181=Y157," ","Recheck number. Must match 4 above.")</f>
        <v xml:space="preserve"> </v>
      </c>
      <c r="W181" s="1131"/>
    </row>
    <row r="182" spans="1:23" x14ac:dyDescent="0.2">
      <c r="C182" s="25"/>
      <c r="D182" s="280" t="s">
        <v>694</v>
      </c>
      <c r="H182" s="295"/>
      <c r="L182" s="25"/>
      <c r="M182" s="25"/>
    </row>
    <row r="183" spans="1:23" ht="24" customHeight="1" thickBot="1" x14ac:dyDescent="0.25">
      <c r="C183" s="25"/>
      <c r="D183" s="25"/>
      <c r="E183" s="25"/>
      <c r="H183" s="186">
        <f>SUM(H175:H182)</f>
        <v>4000000</v>
      </c>
      <c r="I183" s="1131" t="str">
        <f>IF(H183=M171+Q171," ","Recheck number. Must match loss amt. in 4 above.")</f>
        <v xml:space="preserve"> </v>
      </c>
      <c r="J183" s="1131"/>
      <c r="K183" s="1131"/>
      <c r="L183" s="25"/>
      <c r="M183" s="25"/>
      <c r="T183" s="371"/>
    </row>
    <row r="184" spans="1:23" ht="13.5" thickTop="1" x14ac:dyDescent="0.2">
      <c r="C184" s="33"/>
      <c r="L184" s="25"/>
      <c r="M184" s="25"/>
      <c r="N184" s="25"/>
      <c r="O184" s="25"/>
      <c r="P184" s="25"/>
    </row>
    <row r="185" spans="1:23" ht="11.25" customHeight="1" x14ac:dyDescent="0.2">
      <c r="B185" s="46" t="s">
        <v>542</v>
      </c>
      <c r="C185" s="1032" t="s">
        <v>758</v>
      </c>
      <c r="D185" s="1032"/>
      <c r="E185" s="1032"/>
      <c r="F185" s="1032"/>
      <c r="G185" s="1032"/>
      <c r="H185" s="1032"/>
      <c r="I185" s="1032"/>
      <c r="L185" s="34"/>
      <c r="M185" s="1132"/>
      <c r="O185" s="34"/>
      <c r="P185" s="34"/>
    </row>
    <row r="186" spans="1:23" x14ac:dyDescent="0.2">
      <c r="C186" s="33" t="s">
        <v>117</v>
      </c>
      <c r="D186" t="s">
        <v>759</v>
      </c>
      <c r="L186" s="283"/>
      <c r="M186" s="1133"/>
      <c r="O186" s="283"/>
      <c r="P186" s="283"/>
      <c r="Q186" s="280"/>
      <c r="R186" s="280"/>
    </row>
    <row r="187" spans="1:23" ht="6.75" customHeight="1" x14ac:dyDescent="0.2">
      <c r="C187" s="33"/>
      <c r="L187" s="34"/>
      <c r="M187" s="34"/>
      <c r="N187" s="34"/>
      <c r="O187" s="34"/>
      <c r="P187" s="34"/>
    </row>
    <row r="188" spans="1:23" ht="24.75" customHeight="1" thickBot="1" x14ac:dyDescent="0.25">
      <c r="C188" t="s">
        <v>119</v>
      </c>
      <c r="E188" s="1134" t="s">
        <v>760</v>
      </c>
      <c r="F188" s="1134"/>
      <c r="G188" s="1134"/>
      <c r="H188" s="1134"/>
      <c r="I188" s="1134"/>
      <c r="L188" s="34"/>
      <c r="M188" s="64">
        <f>M185-(M171+Q171)</f>
        <v>-4000000</v>
      </c>
      <c r="O188" s="34"/>
      <c r="P188" s="34"/>
    </row>
    <row r="189" spans="1:23" ht="12.75" customHeight="1" thickTop="1" x14ac:dyDescent="0.2">
      <c r="L189" s="34"/>
      <c r="M189" s="34"/>
      <c r="O189" s="34"/>
      <c r="P189" s="34"/>
    </row>
    <row r="190" spans="1:23" ht="12.75" customHeight="1" x14ac:dyDescent="0.2">
      <c r="L190" s="34"/>
      <c r="M190" s="34"/>
      <c r="O190" s="34"/>
      <c r="P190" s="34"/>
    </row>
    <row r="191" spans="1:23" ht="25.5" customHeight="1" x14ac:dyDescent="0.2">
      <c r="A191" s="4" t="s">
        <v>715</v>
      </c>
      <c r="B191" s="1097" t="s">
        <v>761</v>
      </c>
      <c r="C191" s="1098"/>
      <c r="D191" s="1098"/>
      <c r="E191" s="1098"/>
      <c r="F191" s="1098"/>
      <c r="G191" s="1098"/>
      <c r="H191" s="1098"/>
      <c r="I191" s="1098"/>
      <c r="J191" s="1098"/>
      <c r="K191" s="1098"/>
      <c r="L191" s="1098"/>
      <c r="M191" s="1098"/>
      <c r="N191" s="1098"/>
      <c r="O191" s="1098"/>
      <c r="P191" s="1098"/>
      <c r="Q191" s="1098"/>
      <c r="R191" s="1098"/>
      <c r="S191" s="1098"/>
      <c r="T191" s="1099"/>
    </row>
    <row r="192" spans="1:23" ht="12.75" customHeight="1" x14ac:dyDescent="0.2">
      <c r="B192" s="28" t="s">
        <v>855</v>
      </c>
      <c r="C192" s="1019" t="s">
        <v>614</v>
      </c>
      <c r="D192" s="1019"/>
      <c r="E192" s="1019"/>
      <c r="F192" s="1019"/>
      <c r="G192" s="1019"/>
      <c r="H192" s="1019"/>
      <c r="I192" s="1019"/>
      <c r="J192" s="1019"/>
      <c r="L192" s="34"/>
      <c r="M192" s="34"/>
      <c r="O192" s="34"/>
      <c r="P192" s="34"/>
    </row>
    <row r="193" spans="3:16" ht="12.75" customHeight="1" x14ac:dyDescent="0.2">
      <c r="C193" s="1019"/>
      <c r="D193" s="1019"/>
      <c r="E193" s="1019"/>
      <c r="F193" s="1019"/>
      <c r="G193" s="1019"/>
      <c r="H193" s="1019"/>
      <c r="I193" s="1019"/>
      <c r="J193" s="1019"/>
      <c r="L193" s="34"/>
      <c r="M193" s="34"/>
      <c r="O193" s="34"/>
      <c r="P193" s="34"/>
    </row>
    <row r="194" spans="3:16" ht="12.75" customHeight="1" x14ac:dyDescent="0.2">
      <c r="C194" t="s">
        <v>117</v>
      </c>
      <c r="D194" s="1019" t="s">
        <v>615</v>
      </c>
      <c r="E194" s="1019"/>
      <c r="F194" s="1019"/>
      <c r="G194" s="1019"/>
      <c r="H194" s="1019"/>
      <c r="I194" s="1019"/>
      <c r="J194" s="1019"/>
      <c r="L194" s="34"/>
      <c r="M194" s="34"/>
      <c r="O194" s="34"/>
      <c r="P194" s="34"/>
    </row>
    <row r="195" spans="3:16" ht="12.75" customHeight="1" x14ac:dyDescent="0.2">
      <c r="D195" s="1019"/>
      <c r="E195" s="1019"/>
      <c r="F195" s="1019"/>
      <c r="G195" s="1019"/>
      <c r="H195" s="1019"/>
      <c r="I195" s="1019"/>
      <c r="J195" s="1019"/>
      <c r="L195" s="34"/>
      <c r="M195" s="34"/>
      <c r="O195" s="34"/>
      <c r="P195" s="34"/>
    </row>
    <row r="196" spans="3:16" ht="12.75" customHeight="1" x14ac:dyDescent="0.2">
      <c r="D196" t="s">
        <v>616</v>
      </c>
      <c r="I196" s="295"/>
      <c r="L196" s="34"/>
      <c r="M196" s="34"/>
      <c r="O196" s="34"/>
      <c r="P196" s="34"/>
    </row>
    <row r="197" spans="3:16" ht="12.75" customHeight="1" x14ac:dyDescent="0.2">
      <c r="D197" t="s">
        <v>528</v>
      </c>
      <c r="I197" s="295"/>
      <c r="L197" s="34"/>
      <c r="M197" s="34"/>
      <c r="O197" s="34"/>
      <c r="P197" s="34"/>
    </row>
    <row r="198" spans="3:16" ht="12.75" customHeight="1" x14ac:dyDescent="0.2">
      <c r="L198" s="34"/>
      <c r="M198" s="34"/>
      <c r="O198" s="34"/>
      <c r="P198" s="34"/>
    </row>
    <row r="199" spans="3:16" ht="12.75" customHeight="1" x14ac:dyDescent="0.2">
      <c r="C199" t="s">
        <v>119</v>
      </c>
      <c r="D199" s="1130" t="s">
        <v>617</v>
      </c>
      <c r="E199" s="1130"/>
      <c r="F199" s="1130"/>
      <c r="G199" s="1130"/>
      <c r="H199" s="1130"/>
      <c r="I199" s="1130"/>
      <c r="J199" s="1130"/>
      <c r="K199" s="370"/>
      <c r="L199" s="34"/>
      <c r="M199" s="34"/>
    </row>
    <row r="200" spans="3:16" ht="12.75" customHeight="1" x14ac:dyDescent="0.2">
      <c r="C200" s="370"/>
      <c r="D200" s="1130"/>
      <c r="E200" s="1130"/>
      <c r="F200" s="1130"/>
      <c r="G200" s="1130"/>
      <c r="H200" s="1130"/>
      <c r="I200" s="1130"/>
      <c r="J200" s="1130"/>
      <c r="K200" s="370"/>
      <c r="L200" s="34"/>
      <c r="M200" s="34"/>
    </row>
    <row r="201" spans="3:16" ht="12.75" customHeight="1" x14ac:dyDescent="0.2">
      <c r="C201" s="370"/>
      <c r="D201" s="1130"/>
      <c r="E201" s="1130"/>
      <c r="F201" s="1130"/>
      <c r="G201" s="1130"/>
      <c r="H201" s="1130"/>
      <c r="I201" s="1130"/>
      <c r="J201" s="1130"/>
      <c r="L201" s="34"/>
      <c r="M201" s="34"/>
    </row>
    <row r="202" spans="3:16" ht="12.75" customHeight="1" x14ac:dyDescent="0.2">
      <c r="C202" s="33"/>
      <c r="E202" t="s">
        <v>618</v>
      </c>
      <c r="I202" s="295"/>
      <c r="L202" s="34"/>
      <c r="M202" s="34"/>
    </row>
    <row r="203" spans="3:16" ht="12.75" customHeight="1" x14ac:dyDescent="0.2">
      <c r="C203" s="33"/>
      <c r="E203" t="s">
        <v>899</v>
      </c>
      <c r="I203" s="295">
        <v>-4000000</v>
      </c>
      <c r="L203" s="34"/>
      <c r="M203" s="34"/>
    </row>
    <row r="204" spans="3:16" ht="12.75" customHeight="1" x14ac:dyDescent="0.2">
      <c r="C204" s="33"/>
      <c r="E204" t="s">
        <v>988</v>
      </c>
      <c r="I204" s="295"/>
      <c r="L204" s="34"/>
      <c r="M204" s="34"/>
    </row>
    <row r="205" spans="3:16" ht="12.75" customHeight="1" x14ac:dyDescent="0.2">
      <c r="C205" s="33"/>
      <c r="E205" t="s">
        <v>989</v>
      </c>
      <c r="I205" s="295"/>
      <c r="L205" s="34"/>
      <c r="M205" s="34"/>
    </row>
    <row r="206" spans="3:16" ht="12.75" customHeight="1" x14ac:dyDescent="0.2">
      <c r="C206" s="33"/>
      <c r="E206" t="s">
        <v>816</v>
      </c>
      <c r="I206" s="295"/>
      <c r="L206" s="34"/>
      <c r="M206" s="34"/>
    </row>
    <row r="207" spans="3:16" ht="12.75" customHeight="1" x14ac:dyDescent="0.2">
      <c r="C207" s="33"/>
      <c r="E207" t="s">
        <v>805</v>
      </c>
      <c r="I207" s="295"/>
      <c r="L207" s="34"/>
      <c r="M207" s="34"/>
    </row>
    <row r="208" spans="3:16" ht="12.75" customHeight="1" x14ac:dyDescent="0.2">
      <c r="C208" s="33"/>
      <c r="E208" t="s">
        <v>307</v>
      </c>
      <c r="I208" s="295"/>
      <c r="L208" s="34"/>
      <c r="M208" s="34"/>
    </row>
    <row r="209" spans="1:20" ht="12.75" customHeight="1" x14ac:dyDescent="0.2">
      <c r="C209" s="33"/>
      <c r="E209" t="s">
        <v>267</v>
      </c>
      <c r="I209" s="295"/>
      <c r="L209" s="34"/>
      <c r="M209" s="34"/>
    </row>
    <row r="210" spans="1:20" ht="12.75" customHeight="1" x14ac:dyDescent="0.2">
      <c r="C210" s="33"/>
      <c r="E210" t="s">
        <v>172</v>
      </c>
      <c r="I210" s="295"/>
      <c r="L210" s="34"/>
      <c r="M210" s="34"/>
    </row>
    <row r="211" spans="1:20" ht="12.75" customHeight="1" x14ac:dyDescent="0.2">
      <c r="C211" s="33"/>
      <c r="E211" t="s">
        <v>726</v>
      </c>
      <c r="I211" s="295"/>
      <c r="L211" s="34"/>
      <c r="M211" s="34"/>
    </row>
    <row r="212" spans="1:20" x14ac:dyDescent="0.2">
      <c r="C212" s="33"/>
      <c r="J212" s="1131" t="str">
        <f>IF(I213=M188," ","Recheck entry. Total must match net gain or loss in 5.b above.")</f>
        <v xml:space="preserve"> </v>
      </c>
      <c r="K212" s="1131"/>
      <c r="L212" s="1131"/>
      <c r="M212" s="34"/>
    </row>
    <row r="213" spans="1:20" x14ac:dyDescent="0.2">
      <c r="H213" s="14" t="s">
        <v>619</v>
      </c>
      <c r="I213" s="366">
        <f>I196+I197+SUM(I202:I211)</f>
        <v>-4000000</v>
      </c>
      <c r="J213" s="1131"/>
      <c r="K213" s="1131"/>
      <c r="L213" s="1131"/>
      <c r="M213" s="5"/>
      <c r="O213" s="361"/>
    </row>
    <row r="214" spans="1:20" x14ac:dyDescent="0.2">
      <c r="H214" s="14"/>
      <c r="I214" s="372"/>
      <c r="J214" s="371"/>
      <c r="K214" s="371"/>
      <c r="L214" s="371"/>
      <c r="M214" s="5"/>
      <c r="O214" s="361"/>
    </row>
    <row r="215" spans="1:20" ht="26.25" customHeight="1" x14ac:dyDescent="0.2">
      <c r="A215" s="4" t="s">
        <v>716</v>
      </c>
      <c r="B215" s="1097" t="s">
        <v>620</v>
      </c>
      <c r="C215" s="1098"/>
      <c r="D215" s="1098"/>
      <c r="E215" s="1098"/>
      <c r="F215" s="1098"/>
      <c r="G215" s="1098"/>
      <c r="H215" s="1098"/>
      <c r="I215" s="1098"/>
      <c r="J215" s="1098"/>
      <c r="K215" s="1098"/>
      <c r="L215" s="1098"/>
      <c r="M215" s="1098"/>
      <c r="N215" s="1098"/>
      <c r="O215" s="1098"/>
      <c r="P215" s="1098"/>
      <c r="Q215" s="1098"/>
      <c r="R215" s="1098"/>
      <c r="S215" s="1098"/>
      <c r="T215" s="1099"/>
    </row>
    <row r="218" spans="1:20" x14ac:dyDescent="0.2">
      <c r="E218" t="s">
        <v>49</v>
      </c>
      <c r="M218" s="36" t="s">
        <v>509</v>
      </c>
      <c r="N218" s="33"/>
      <c r="O218" s="36" t="s">
        <v>510</v>
      </c>
    </row>
    <row r="219" spans="1:20" ht="6.75" customHeight="1" x14ac:dyDescent="0.2"/>
    <row r="220" spans="1:20" x14ac:dyDescent="0.2">
      <c r="D220" t="s">
        <v>531</v>
      </c>
      <c r="E220" t="s">
        <v>451</v>
      </c>
      <c r="M220" s="11">
        <f>AB303</f>
        <v>0</v>
      </c>
      <c r="O220" s="11">
        <f>AC303</f>
        <v>0</v>
      </c>
    </row>
    <row r="221" spans="1:20" x14ac:dyDescent="0.2">
      <c r="E221" t="s">
        <v>43</v>
      </c>
      <c r="M221" s="11">
        <f>AB304</f>
        <v>9150</v>
      </c>
      <c r="O221" s="11">
        <f>AC304</f>
        <v>0</v>
      </c>
    </row>
    <row r="222" spans="1:20" x14ac:dyDescent="0.2">
      <c r="E222" t="s">
        <v>4169</v>
      </c>
      <c r="M222" s="11">
        <f>AB305</f>
        <v>125058</v>
      </c>
      <c r="O222" s="11">
        <f>AC305</f>
        <v>0</v>
      </c>
    </row>
    <row r="223" spans="1:20" x14ac:dyDescent="0.2">
      <c r="E223" t="s">
        <v>4168</v>
      </c>
      <c r="M223" s="11">
        <f t="shared" ref="M223:M231" si="2">AB306</f>
        <v>6721</v>
      </c>
      <c r="O223" s="11"/>
    </row>
    <row r="224" spans="1:20" x14ac:dyDescent="0.2">
      <c r="E224" t="s">
        <v>44</v>
      </c>
      <c r="M224" s="11">
        <f t="shared" si="2"/>
        <v>2639</v>
      </c>
      <c r="O224" s="11">
        <f t="shared" ref="O224:O231" si="3">AC307</f>
        <v>0</v>
      </c>
    </row>
    <row r="225" spans="5:15" x14ac:dyDescent="0.2">
      <c r="E225" s="280" t="s">
        <v>853</v>
      </c>
      <c r="M225" s="11">
        <f t="shared" si="2"/>
        <v>0</v>
      </c>
      <c r="O225" s="11">
        <f t="shared" si="3"/>
        <v>0</v>
      </c>
    </row>
    <row r="226" spans="5:15" x14ac:dyDescent="0.2">
      <c r="E226" s="280" t="s">
        <v>854</v>
      </c>
      <c r="M226" s="11">
        <f t="shared" si="2"/>
        <v>0</v>
      </c>
      <c r="O226" s="11">
        <f t="shared" si="3"/>
        <v>0</v>
      </c>
    </row>
    <row r="227" spans="5:15" x14ac:dyDescent="0.2">
      <c r="E227" t="s">
        <v>45</v>
      </c>
      <c r="M227" s="11">
        <f t="shared" si="2"/>
        <v>0</v>
      </c>
      <c r="O227" s="11">
        <f t="shared" si="3"/>
        <v>0</v>
      </c>
    </row>
    <row r="228" spans="5:15" x14ac:dyDescent="0.2">
      <c r="E228" t="s">
        <v>282</v>
      </c>
      <c r="M228" s="11">
        <f t="shared" si="2"/>
        <v>28482</v>
      </c>
      <c r="O228" s="11">
        <f t="shared" si="3"/>
        <v>0</v>
      </c>
    </row>
    <row r="229" spans="5:15" x14ac:dyDescent="0.2">
      <c r="E229" t="s">
        <v>528</v>
      </c>
      <c r="M229" s="11">
        <f t="shared" si="2"/>
        <v>0</v>
      </c>
      <c r="O229" s="11">
        <f t="shared" si="3"/>
        <v>0</v>
      </c>
    </row>
    <row r="230" spans="5:15" x14ac:dyDescent="0.2">
      <c r="E230" t="s">
        <v>673</v>
      </c>
      <c r="M230" s="11">
        <f t="shared" si="2"/>
        <v>0</v>
      </c>
      <c r="O230" s="11">
        <f t="shared" si="3"/>
        <v>0</v>
      </c>
    </row>
    <row r="231" spans="5:15" x14ac:dyDescent="0.2">
      <c r="E231" t="s">
        <v>325</v>
      </c>
      <c r="M231" s="11">
        <f t="shared" si="2"/>
        <v>0</v>
      </c>
      <c r="O231" s="11">
        <f t="shared" si="3"/>
        <v>0</v>
      </c>
    </row>
    <row r="232" spans="5:15" x14ac:dyDescent="0.2">
      <c r="F232" t="s">
        <v>811</v>
      </c>
      <c r="M232" s="11">
        <f>AB315</f>
        <v>0</v>
      </c>
      <c r="O232" s="11">
        <f>AC315</f>
        <v>1000</v>
      </c>
    </row>
    <row r="233" spans="5:15" x14ac:dyDescent="0.2">
      <c r="F233" t="s">
        <v>812</v>
      </c>
      <c r="M233" s="11">
        <f>AB316</f>
        <v>0</v>
      </c>
      <c r="O233" s="11">
        <f>AC316</f>
        <v>0</v>
      </c>
    </row>
    <row r="234" spans="5:15" x14ac:dyDescent="0.2">
      <c r="F234" t="s">
        <v>449</v>
      </c>
      <c r="M234" s="11">
        <f>AB317</f>
        <v>0</v>
      </c>
      <c r="O234" s="11">
        <f>AC317</f>
        <v>9150</v>
      </c>
    </row>
    <row r="235" spans="5:15" x14ac:dyDescent="0.2">
      <c r="F235" t="s">
        <v>70</v>
      </c>
      <c r="M235" s="11">
        <f>AB318</f>
        <v>0</v>
      </c>
      <c r="O235" s="11">
        <f>AC318</f>
        <v>125058</v>
      </c>
    </row>
    <row r="236" spans="5:15" x14ac:dyDescent="0.2">
      <c r="F236" t="s">
        <v>4164</v>
      </c>
      <c r="M236" s="11"/>
      <c r="O236" s="11">
        <f>AC319</f>
        <v>6721</v>
      </c>
    </row>
    <row r="237" spans="5:15" x14ac:dyDescent="0.2">
      <c r="F237" t="s">
        <v>450</v>
      </c>
      <c r="M237" s="11">
        <f t="shared" ref="M237:M242" si="4">AB320</f>
        <v>0</v>
      </c>
      <c r="O237" s="11">
        <f t="shared" ref="O237:O242" si="5">AC320</f>
        <v>2639</v>
      </c>
    </row>
    <row r="238" spans="5:15" x14ac:dyDescent="0.2">
      <c r="F238" t="s">
        <v>810</v>
      </c>
      <c r="M238" s="11">
        <f t="shared" si="4"/>
        <v>0</v>
      </c>
      <c r="O238" s="11">
        <f t="shared" si="5"/>
        <v>0</v>
      </c>
    </row>
    <row r="239" spans="5:15" x14ac:dyDescent="0.2">
      <c r="F239" s="280" t="s">
        <v>693</v>
      </c>
      <c r="M239" s="11">
        <f t="shared" si="4"/>
        <v>0</v>
      </c>
      <c r="O239" s="11">
        <f t="shared" si="5"/>
        <v>0</v>
      </c>
    </row>
    <row r="240" spans="5:15" x14ac:dyDescent="0.2">
      <c r="F240" s="280" t="s">
        <v>694</v>
      </c>
      <c r="M240" s="11">
        <f t="shared" si="4"/>
        <v>0</v>
      </c>
      <c r="O240" s="11">
        <f t="shared" si="5"/>
        <v>0</v>
      </c>
    </row>
    <row r="241" spans="4:15" ht="15" x14ac:dyDescent="0.2">
      <c r="F241" t="s">
        <v>521</v>
      </c>
      <c r="M241" s="11">
        <f t="shared" si="4"/>
        <v>0</v>
      </c>
      <c r="O241" s="11">
        <f t="shared" si="5"/>
        <v>0</v>
      </c>
    </row>
    <row r="242" spans="4:15" ht="15" x14ac:dyDescent="0.2">
      <c r="F242" t="s">
        <v>156</v>
      </c>
      <c r="M242" s="11">
        <f t="shared" si="4"/>
        <v>0</v>
      </c>
      <c r="O242" s="11">
        <f t="shared" si="5"/>
        <v>27482</v>
      </c>
    </row>
    <row r="243" spans="4:15" ht="6.75" customHeight="1" x14ac:dyDescent="0.2">
      <c r="M243" s="5"/>
      <c r="O243" s="5"/>
    </row>
    <row r="244" spans="4:15" x14ac:dyDescent="0.2">
      <c r="D244" t="s">
        <v>530</v>
      </c>
      <c r="E244" t="s">
        <v>811</v>
      </c>
      <c r="M244" s="11">
        <f t="shared" ref="M244:M254" si="6">AB327</f>
        <v>37500</v>
      </c>
      <c r="O244" s="11">
        <f t="shared" ref="O244:O254" si="7">AC327</f>
        <v>0</v>
      </c>
    </row>
    <row r="245" spans="4:15" x14ac:dyDescent="0.2">
      <c r="E245" t="s">
        <v>812</v>
      </c>
      <c r="M245" s="11">
        <f t="shared" si="6"/>
        <v>0</v>
      </c>
      <c r="O245" s="11">
        <f t="shared" si="7"/>
        <v>0</v>
      </c>
    </row>
    <row r="246" spans="4:15" x14ac:dyDescent="0.2">
      <c r="E246" t="s">
        <v>449</v>
      </c>
      <c r="M246" s="11">
        <f t="shared" si="6"/>
        <v>0</v>
      </c>
      <c r="O246" s="11">
        <f t="shared" si="7"/>
        <v>0</v>
      </c>
    </row>
    <row r="247" spans="4:15" x14ac:dyDescent="0.2">
      <c r="E247" t="s">
        <v>809</v>
      </c>
      <c r="M247" s="11">
        <f t="shared" si="6"/>
        <v>0</v>
      </c>
      <c r="O247" s="11">
        <f t="shared" si="7"/>
        <v>0</v>
      </c>
    </row>
    <row r="248" spans="4:15" x14ac:dyDescent="0.2">
      <c r="E248" t="s">
        <v>450</v>
      </c>
      <c r="M248" s="11">
        <f t="shared" si="6"/>
        <v>0</v>
      </c>
      <c r="O248" s="11">
        <f t="shared" si="7"/>
        <v>0</v>
      </c>
    </row>
    <row r="249" spans="4:15" x14ac:dyDescent="0.2">
      <c r="E249" t="s">
        <v>810</v>
      </c>
      <c r="M249" s="11">
        <f t="shared" si="6"/>
        <v>0</v>
      </c>
      <c r="O249" s="11">
        <f t="shared" si="7"/>
        <v>0</v>
      </c>
    </row>
    <row r="250" spans="4:15" x14ac:dyDescent="0.2">
      <c r="E250" s="280" t="s">
        <v>693</v>
      </c>
      <c r="M250" s="11">
        <f t="shared" si="6"/>
        <v>0</v>
      </c>
      <c r="O250" s="11">
        <f t="shared" si="7"/>
        <v>0</v>
      </c>
    </row>
    <row r="251" spans="4:15" x14ac:dyDescent="0.2">
      <c r="E251" s="280" t="s">
        <v>694</v>
      </c>
      <c r="M251" s="11">
        <f t="shared" si="6"/>
        <v>0</v>
      </c>
      <c r="O251" s="11">
        <f t="shared" si="7"/>
        <v>0</v>
      </c>
    </row>
    <row r="252" spans="4:15" x14ac:dyDescent="0.2">
      <c r="F252" t="s">
        <v>529</v>
      </c>
      <c r="M252" s="11">
        <f t="shared" si="6"/>
        <v>0</v>
      </c>
      <c r="O252" s="11">
        <f t="shared" si="7"/>
        <v>37500</v>
      </c>
    </row>
    <row r="253" spans="4:15" x14ac:dyDescent="0.2">
      <c r="F253" t="s">
        <v>198</v>
      </c>
      <c r="M253" s="11">
        <f t="shared" si="6"/>
        <v>0</v>
      </c>
      <c r="O253" s="11">
        <f t="shared" si="7"/>
        <v>0</v>
      </c>
    </row>
    <row r="254" spans="4:15" x14ac:dyDescent="0.2">
      <c r="F254" t="s">
        <v>326</v>
      </c>
      <c r="M254" s="11">
        <f t="shared" si="6"/>
        <v>0</v>
      </c>
      <c r="O254" s="11">
        <f t="shared" si="7"/>
        <v>0</v>
      </c>
    </row>
    <row r="255" spans="4:15" ht="6" customHeight="1" x14ac:dyDescent="0.2">
      <c r="M255" s="5"/>
      <c r="O255" s="5"/>
    </row>
    <row r="256" spans="4:15" x14ac:dyDescent="0.2">
      <c r="D256" t="s">
        <v>772</v>
      </c>
      <c r="E256" t="s">
        <v>988</v>
      </c>
      <c r="M256" s="11">
        <f>AB339</f>
        <v>0</v>
      </c>
      <c r="O256" s="11">
        <f>AC339</f>
        <v>0</v>
      </c>
    </row>
    <row r="257" spans="4:15" x14ac:dyDescent="0.2">
      <c r="E257" t="s">
        <v>989</v>
      </c>
      <c r="M257" s="11">
        <f t="shared" ref="M257:M263" si="8">AB340</f>
        <v>0</v>
      </c>
      <c r="O257" s="11">
        <f t="shared" ref="O257:O263" si="9">AC340</f>
        <v>0</v>
      </c>
    </row>
    <row r="258" spans="4:15" x14ac:dyDescent="0.2">
      <c r="E258" t="s">
        <v>816</v>
      </c>
      <c r="M258" s="11">
        <f t="shared" si="8"/>
        <v>0</v>
      </c>
      <c r="O258" s="11">
        <f t="shared" si="9"/>
        <v>0</v>
      </c>
    </row>
    <row r="259" spans="4:15" x14ac:dyDescent="0.2">
      <c r="E259" t="s">
        <v>805</v>
      </c>
      <c r="M259" s="11">
        <f t="shared" si="8"/>
        <v>0</v>
      </c>
      <c r="O259" s="11">
        <f t="shared" si="9"/>
        <v>0</v>
      </c>
    </row>
    <row r="260" spans="4:15" x14ac:dyDescent="0.2">
      <c r="E260" t="s">
        <v>203</v>
      </c>
      <c r="M260" s="11">
        <f t="shared" si="8"/>
        <v>0</v>
      </c>
      <c r="O260" s="11">
        <f t="shared" si="9"/>
        <v>0</v>
      </c>
    </row>
    <row r="261" spans="4:15" x14ac:dyDescent="0.2">
      <c r="E261" t="s">
        <v>503</v>
      </c>
      <c r="M261" s="11">
        <f t="shared" si="8"/>
        <v>0</v>
      </c>
      <c r="O261" s="11">
        <f t="shared" si="9"/>
        <v>0</v>
      </c>
    </row>
    <row r="262" spans="4:15" x14ac:dyDescent="0.2">
      <c r="E262" t="s">
        <v>172</v>
      </c>
      <c r="M262" s="11">
        <f t="shared" si="8"/>
        <v>1700600</v>
      </c>
      <c r="O262" s="11">
        <f t="shared" si="9"/>
        <v>0</v>
      </c>
    </row>
    <row r="263" spans="4:15" x14ac:dyDescent="0.2">
      <c r="E263" s="280" t="s">
        <v>726</v>
      </c>
      <c r="M263" s="11">
        <f t="shared" si="8"/>
        <v>0</v>
      </c>
      <c r="O263" s="11">
        <f t="shared" si="9"/>
        <v>0</v>
      </c>
    </row>
    <row r="264" spans="4:15" x14ac:dyDescent="0.2">
      <c r="F264" t="s">
        <v>773</v>
      </c>
      <c r="M264" s="11">
        <f>AB347</f>
        <v>0</v>
      </c>
      <c r="O264" s="11">
        <f>AC347</f>
        <v>1700600</v>
      </c>
    </row>
    <row r="265" spans="4:15" ht="6" customHeight="1" x14ac:dyDescent="0.2"/>
    <row r="266" spans="4:15" x14ac:dyDescent="0.2">
      <c r="D266" t="s">
        <v>621</v>
      </c>
      <c r="E266" t="s">
        <v>622</v>
      </c>
      <c r="M266" s="11">
        <f>AB349</f>
        <v>0</v>
      </c>
      <c r="O266" s="11"/>
    </row>
    <row r="267" spans="4:15" x14ac:dyDescent="0.2">
      <c r="F267" t="s">
        <v>811</v>
      </c>
      <c r="M267" s="11"/>
      <c r="O267" s="11">
        <f>AC350</f>
        <v>0</v>
      </c>
    </row>
    <row r="268" spans="4:15" x14ac:dyDescent="0.2">
      <c r="F268" t="s">
        <v>812</v>
      </c>
      <c r="M268" s="11"/>
      <c r="O268" s="11">
        <f t="shared" ref="O268:O276" si="10">AC351</f>
        <v>4000000</v>
      </c>
    </row>
    <row r="269" spans="4:15" x14ac:dyDescent="0.2">
      <c r="F269" t="s">
        <v>449</v>
      </c>
      <c r="M269" s="11"/>
      <c r="O269" s="11">
        <f t="shared" si="10"/>
        <v>0</v>
      </c>
    </row>
    <row r="270" spans="4:15" x14ac:dyDescent="0.2">
      <c r="F270" t="s">
        <v>756</v>
      </c>
      <c r="M270" s="11"/>
      <c r="O270" s="11">
        <f t="shared" si="10"/>
        <v>0</v>
      </c>
    </row>
    <row r="271" spans="4:15" x14ac:dyDescent="0.2">
      <c r="F271" t="s">
        <v>757</v>
      </c>
      <c r="M271" s="11"/>
      <c r="O271" s="11">
        <f t="shared" si="10"/>
        <v>0</v>
      </c>
    </row>
    <row r="272" spans="4:15" x14ac:dyDescent="0.2">
      <c r="F272" t="s">
        <v>810</v>
      </c>
      <c r="M272" s="11"/>
      <c r="O272" s="11">
        <f t="shared" si="10"/>
        <v>0</v>
      </c>
    </row>
    <row r="273" spans="5:15" x14ac:dyDescent="0.2">
      <c r="F273" s="280" t="s">
        <v>693</v>
      </c>
      <c r="M273" s="11"/>
      <c r="O273" s="11">
        <f t="shared" si="10"/>
        <v>0</v>
      </c>
    </row>
    <row r="274" spans="5:15" x14ac:dyDescent="0.2">
      <c r="F274" s="280" t="s">
        <v>694</v>
      </c>
      <c r="M274" s="11"/>
      <c r="O274" s="11">
        <f t="shared" si="10"/>
        <v>0</v>
      </c>
    </row>
    <row r="275" spans="5:15" x14ac:dyDescent="0.2">
      <c r="F275" s="280" t="s">
        <v>528</v>
      </c>
      <c r="M275" s="11"/>
      <c r="O275" s="11">
        <f t="shared" si="10"/>
        <v>0</v>
      </c>
    </row>
    <row r="276" spans="5:15" x14ac:dyDescent="0.2">
      <c r="F276" s="280" t="s">
        <v>623</v>
      </c>
      <c r="M276" s="11">
        <f t="shared" ref="M276:M285" si="11">AB359</f>
        <v>0</v>
      </c>
      <c r="O276" s="11">
        <f t="shared" si="10"/>
        <v>0</v>
      </c>
    </row>
    <row r="277" spans="5:15" x14ac:dyDescent="0.2">
      <c r="E277" t="s">
        <v>899</v>
      </c>
      <c r="M277" s="11">
        <f t="shared" si="11"/>
        <v>4000000</v>
      </c>
      <c r="O277" s="11"/>
    </row>
    <row r="278" spans="5:15" x14ac:dyDescent="0.2">
      <c r="E278" t="s">
        <v>988</v>
      </c>
      <c r="M278" s="11">
        <f t="shared" si="11"/>
        <v>0</v>
      </c>
      <c r="O278" s="11"/>
    </row>
    <row r="279" spans="5:15" x14ac:dyDescent="0.2">
      <c r="E279" t="s">
        <v>989</v>
      </c>
      <c r="M279" s="11">
        <f t="shared" si="11"/>
        <v>0</v>
      </c>
      <c r="O279" s="11"/>
    </row>
    <row r="280" spans="5:15" x14ac:dyDescent="0.2">
      <c r="E280" t="s">
        <v>816</v>
      </c>
      <c r="M280" s="11">
        <f t="shared" si="11"/>
        <v>0</v>
      </c>
      <c r="O280" s="11"/>
    </row>
    <row r="281" spans="5:15" x14ac:dyDescent="0.2">
      <c r="E281" t="s">
        <v>805</v>
      </c>
      <c r="M281" s="11">
        <f t="shared" si="11"/>
        <v>0</v>
      </c>
      <c r="O281" s="11"/>
    </row>
    <row r="282" spans="5:15" x14ac:dyDescent="0.2">
      <c r="E282" t="s">
        <v>307</v>
      </c>
      <c r="M282" s="11">
        <f t="shared" si="11"/>
        <v>0</v>
      </c>
      <c r="O282" s="11"/>
    </row>
    <row r="283" spans="5:15" x14ac:dyDescent="0.2">
      <c r="E283" t="s">
        <v>267</v>
      </c>
      <c r="M283" s="11">
        <f t="shared" si="11"/>
        <v>0</v>
      </c>
      <c r="O283" s="11"/>
    </row>
    <row r="284" spans="5:15" x14ac:dyDescent="0.2">
      <c r="E284" t="s">
        <v>172</v>
      </c>
      <c r="M284" s="11">
        <f t="shared" si="11"/>
        <v>0</v>
      </c>
      <c r="O284" s="11"/>
    </row>
    <row r="285" spans="5:15" x14ac:dyDescent="0.2">
      <c r="E285" t="s">
        <v>726</v>
      </c>
      <c r="M285" s="11">
        <f t="shared" si="11"/>
        <v>0</v>
      </c>
      <c r="O285" s="11"/>
    </row>
    <row r="286" spans="5:15" ht="6" customHeight="1" x14ac:dyDescent="0.2"/>
    <row r="287" spans="5:15" ht="13.5" thickBot="1" x14ac:dyDescent="0.25">
      <c r="F287" t="s">
        <v>624</v>
      </c>
      <c r="M287" s="58">
        <f>SUM(M220:M285)</f>
        <v>5910150</v>
      </c>
      <c r="O287" s="58">
        <f>SUM(O220:O285)</f>
        <v>5910150</v>
      </c>
    </row>
    <row r="288" spans="5:15" ht="13.5" thickTop="1" x14ac:dyDescent="0.2"/>
    <row r="290" spans="1:29" ht="14.25" customHeight="1" x14ac:dyDescent="0.2">
      <c r="E290" s="68" t="s">
        <v>337</v>
      </c>
      <c r="F290" s="1135" t="s">
        <v>522</v>
      </c>
      <c r="G290" s="1135"/>
      <c r="H290" s="1135"/>
      <c r="I290" s="1135"/>
      <c r="J290" s="1135"/>
      <c r="K290" s="1135"/>
      <c r="L290" s="1135"/>
      <c r="M290" s="1135"/>
      <c r="N290" s="1135"/>
      <c r="O290" s="1135"/>
      <c r="P290" s="1135"/>
      <c r="Q290" s="1135"/>
      <c r="R290" s="1135"/>
      <c r="S290" s="1135"/>
      <c r="T290" s="1135"/>
    </row>
    <row r="291" spans="1:29" ht="12.75" customHeight="1" x14ac:dyDescent="0.2">
      <c r="E291" s="68"/>
      <c r="F291" s="1135"/>
      <c r="G291" s="1135"/>
      <c r="H291" s="1135"/>
      <c r="I291" s="1135"/>
      <c r="J291" s="1135"/>
      <c r="K291" s="1135"/>
      <c r="L291" s="1135"/>
      <c r="M291" s="1135"/>
      <c r="N291" s="1135"/>
      <c r="O291" s="1135"/>
      <c r="P291" s="1135"/>
      <c r="Q291" s="1135"/>
      <c r="R291" s="1135"/>
      <c r="S291" s="1135"/>
      <c r="T291" s="1135"/>
    </row>
    <row r="292" spans="1:29" ht="15" x14ac:dyDescent="0.2">
      <c r="D292" t="s">
        <v>237</v>
      </c>
      <c r="E292" s="68" t="s">
        <v>466</v>
      </c>
      <c r="F292" s="93" t="s">
        <v>523</v>
      </c>
    </row>
    <row r="300" spans="1:29" ht="19.5" customHeight="1" x14ac:dyDescent="0.25">
      <c r="C300" s="1136" t="s">
        <v>572</v>
      </c>
      <c r="D300" s="1137"/>
      <c r="E300" s="1137"/>
      <c r="F300" s="1137"/>
      <c r="G300" s="1137"/>
      <c r="H300" s="1137"/>
      <c r="I300" s="1137"/>
      <c r="J300" s="1137"/>
      <c r="K300" s="1137"/>
      <c r="L300" s="1137"/>
      <c r="M300" s="1137"/>
      <c r="N300" s="1137"/>
      <c r="O300" s="1137"/>
      <c r="P300" s="1137"/>
      <c r="Q300" s="1137"/>
      <c r="R300" s="1137"/>
      <c r="S300" s="1137"/>
      <c r="T300" s="1137"/>
      <c r="U300" s="1137"/>
      <c r="V300" s="1137"/>
      <c r="W300" s="1137"/>
      <c r="X300" s="1137"/>
      <c r="Y300" s="1137"/>
      <c r="Z300" s="359"/>
      <c r="AA300" s="360"/>
    </row>
    <row r="301" spans="1:29" x14ac:dyDescent="0.2">
      <c r="L301" s="1118" t="s">
        <v>856</v>
      </c>
      <c r="M301" s="1124"/>
      <c r="N301" s="49"/>
      <c r="O301" s="1124" t="s">
        <v>857</v>
      </c>
      <c r="P301" s="1124"/>
      <c r="Q301" s="1124" t="s">
        <v>696</v>
      </c>
      <c r="R301" s="1124"/>
      <c r="S301" s="1124" t="s">
        <v>697</v>
      </c>
      <c r="T301" s="1124"/>
      <c r="U301" s="49"/>
      <c r="V301" s="1124" t="s">
        <v>698</v>
      </c>
      <c r="W301" s="1124"/>
      <c r="X301" s="1124" t="s">
        <v>298</v>
      </c>
      <c r="Y301" s="1124"/>
      <c r="Z301" s="1124" t="s">
        <v>299</v>
      </c>
      <c r="AA301" s="1124"/>
      <c r="AB301" s="1118" t="s">
        <v>699</v>
      </c>
      <c r="AC301" s="1119"/>
    </row>
    <row r="302" spans="1:29" x14ac:dyDescent="0.2">
      <c r="L302" s="50" t="s">
        <v>509</v>
      </c>
      <c r="M302" s="3" t="s">
        <v>510</v>
      </c>
      <c r="N302" s="3"/>
      <c r="O302" s="3" t="s">
        <v>509</v>
      </c>
      <c r="P302" s="3" t="s">
        <v>510</v>
      </c>
      <c r="Q302" s="3" t="s">
        <v>509</v>
      </c>
      <c r="R302" s="3" t="s">
        <v>510</v>
      </c>
      <c r="S302" s="3" t="s">
        <v>509</v>
      </c>
      <c r="T302" s="3" t="s">
        <v>510</v>
      </c>
      <c r="U302" s="3"/>
      <c r="V302" s="3" t="s">
        <v>858</v>
      </c>
      <c r="W302" s="3" t="s">
        <v>510</v>
      </c>
      <c r="X302" s="3" t="s">
        <v>858</v>
      </c>
      <c r="Y302" s="3" t="s">
        <v>510</v>
      </c>
      <c r="Z302" s="3" t="s">
        <v>858</v>
      </c>
      <c r="AA302" s="3" t="s">
        <v>510</v>
      </c>
      <c r="AB302" s="50" t="s">
        <v>509</v>
      </c>
      <c r="AC302" s="51" t="s">
        <v>510</v>
      </c>
    </row>
    <row r="303" spans="1:29" x14ac:dyDescent="0.2">
      <c r="A303" t="s">
        <v>531</v>
      </c>
      <c r="C303" t="s">
        <v>451</v>
      </c>
      <c r="L303" s="25">
        <f>M34+M37</f>
        <v>0</v>
      </c>
      <c r="M303" s="25"/>
      <c r="O303" s="25">
        <f>M53+M56</f>
        <v>0</v>
      </c>
      <c r="P303" s="25"/>
      <c r="Q303" s="5">
        <f>M76+M79</f>
        <v>0</v>
      </c>
      <c r="S303" s="25">
        <f>M94+M96</f>
        <v>0</v>
      </c>
      <c r="T303" s="25"/>
      <c r="V303" s="25"/>
      <c r="W303" s="25"/>
      <c r="X303" s="25"/>
      <c r="Y303" s="25"/>
      <c r="Z303" s="25"/>
      <c r="AA303" s="25"/>
      <c r="AB303" s="9">
        <f>L303+O303+Q303+S303+V303+X303</f>
        <v>0</v>
      </c>
      <c r="AC303" s="5">
        <f>M303+P303+R303+T303+W303+Y303</f>
        <v>0</v>
      </c>
    </row>
    <row r="304" spans="1:29" x14ac:dyDescent="0.2">
      <c r="C304" t="s">
        <v>43</v>
      </c>
      <c r="L304" s="25">
        <f>O34+O37</f>
        <v>0</v>
      </c>
      <c r="M304" s="25"/>
      <c r="O304" s="25">
        <f>O53+O56</f>
        <v>0</v>
      </c>
      <c r="P304" s="25"/>
      <c r="Q304" s="5">
        <f>O76+O79</f>
        <v>0</v>
      </c>
      <c r="S304" s="25">
        <f>O94+O96</f>
        <v>9150</v>
      </c>
      <c r="T304" s="25"/>
      <c r="V304" s="25"/>
      <c r="W304" s="25"/>
      <c r="X304" s="25"/>
      <c r="Y304" s="25"/>
      <c r="Z304" s="25"/>
      <c r="AA304" s="25"/>
      <c r="AB304" s="9">
        <f t="shared" ref="AB304:AB347" si="12">L304+O304+Q304+S304+V304+X304</f>
        <v>9150</v>
      </c>
      <c r="AC304" s="5">
        <f t="shared" ref="AC304:AC347" si="13">M304+P304+R304+T304+W304+Y304</f>
        <v>0</v>
      </c>
    </row>
    <row r="305" spans="3:29" x14ac:dyDescent="0.2">
      <c r="C305" s="579" t="s">
        <v>4169</v>
      </c>
      <c r="L305" s="25"/>
      <c r="M305" s="25"/>
      <c r="O305" s="25">
        <f>P53+P56</f>
        <v>0</v>
      </c>
      <c r="P305" s="25"/>
      <c r="Q305" s="5">
        <f>P76+P79</f>
        <v>0</v>
      </c>
      <c r="S305" s="25">
        <f>P94+P96</f>
        <v>125058</v>
      </c>
      <c r="T305" s="25"/>
      <c r="V305" s="25"/>
      <c r="W305" s="25"/>
      <c r="X305" s="25"/>
      <c r="Y305" s="25"/>
      <c r="Z305" s="25"/>
      <c r="AA305" s="25"/>
      <c r="AB305" s="9">
        <f t="shared" si="12"/>
        <v>125058</v>
      </c>
      <c r="AC305" s="5">
        <f t="shared" si="13"/>
        <v>0</v>
      </c>
    </row>
    <row r="306" spans="3:29" x14ac:dyDescent="0.2">
      <c r="C306" s="579" t="s">
        <v>4172</v>
      </c>
      <c r="L306" s="25"/>
      <c r="M306" s="25"/>
      <c r="O306" s="25"/>
      <c r="P306" s="25"/>
      <c r="Q306" s="5"/>
      <c r="S306" s="25">
        <f>Q94+Q96</f>
        <v>6721</v>
      </c>
      <c r="T306" s="25"/>
      <c r="V306" s="25"/>
      <c r="W306" s="25"/>
      <c r="X306" s="25"/>
      <c r="Y306" s="25"/>
      <c r="Z306" s="25"/>
      <c r="AA306" s="25"/>
      <c r="AB306" s="9">
        <f t="shared" ref="AB306" si="14">L306+O306+Q306+S306+V306+X306</f>
        <v>6721</v>
      </c>
      <c r="AC306" s="5">
        <f t="shared" ref="AC306" si="15">M306+P306+R306+T306+W306+Y306</f>
        <v>0</v>
      </c>
    </row>
    <row r="307" spans="3:29" x14ac:dyDescent="0.2">
      <c r="C307" t="s">
        <v>44</v>
      </c>
      <c r="L307" s="25"/>
      <c r="M307" s="25"/>
      <c r="O307" s="25">
        <f>Q53+Q56</f>
        <v>0</v>
      </c>
      <c r="P307" s="25"/>
      <c r="Q307" s="5">
        <f>Q76+Q79</f>
        <v>0</v>
      </c>
      <c r="S307" s="25">
        <f>R94+R96</f>
        <v>2639</v>
      </c>
      <c r="T307" s="25"/>
      <c r="V307" s="25"/>
      <c r="W307" s="25"/>
      <c r="X307" s="25"/>
      <c r="Y307" s="25"/>
      <c r="Z307" s="25"/>
      <c r="AA307" s="25"/>
      <c r="AB307" s="9">
        <f t="shared" si="12"/>
        <v>2639</v>
      </c>
      <c r="AC307" s="5">
        <f t="shared" si="13"/>
        <v>0</v>
      </c>
    </row>
    <row r="308" spans="3:29" x14ac:dyDescent="0.2">
      <c r="C308" t="s">
        <v>853</v>
      </c>
      <c r="L308" s="25">
        <f>R34+R37</f>
        <v>0</v>
      </c>
      <c r="M308" s="25"/>
      <c r="O308" s="25">
        <f>R53+R56</f>
        <v>0</v>
      </c>
      <c r="P308" s="25"/>
      <c r="Q308">
        <f>R76+R79</f>
        <v>0</v>
      </c>
      <c r="S308" s="25">
        <f>S94+S96</f>
        <v>0</v>
      </c>
      <c r="T308" s="25"/>
      <c r="V308" s="25"/>
      <c r="W308" s="25"/>
      <c r="X308" s="25"/>
      <c r="Y308" s="25"/>
      <c r="Z308" s="25"/>
      <c r="AA308" s="25"/>
      <c r="AB308" s="9">
        <f t="shared" si="12"/>
        <v>0</v>
      </c>
      <c r="AC308" s="5">
        <f t="shared" si="13"/>
        <v>0</v>
      </c>
    </row>
    <row r="309" spans="3:29" x14ac:dyDescent="0.2">
      <c r="C309" t="s">
        <v>854</v>
      </c>
      <c r="L309" s="25">
        <f>S34+S37</f>
        <v>0</v>
      </c>
      <c r="M309" s="25"/>
      <c r="O309" s="25">
        <f>S53+S56</f>
        <v>0</v>
      </c>
      <c r="P309" s="25"/>
      <c r="Q309">
        <f>S76+S79</f>
        <v>0</v>
      </c>
      <c r="S309" s="25">
        <f>T94+T96</f>
        <v>0</v>
      </c>
      <c r="T309" s="25"/>
      <c r="V309" s="25"/>
      <c r="W309" s="25"/>
      <c r="X309" s="25"/>
      <c r="Y309" s="25"/>
      <c r="Z309" s="25"/>
      <c r="AA309" s="25"/>
      <c r="AB309" s="9">
        <f t="shared" si="12"/>
        <v>0</v>
      </c>
      <c r="AC309" s="5">
        <f t="shared" si="13"/>
        <v>0</v>
      </c>
    </row>
    <row r="310" spans="3:29" x14ac:dyDescent="0.2">
      <c r="C310" t="s">
        <v>45</v>
      </c>
      <c r="L310" s="25"/>
      <c r="M310" s="25"/>
      <c r="O310" s="25"/>
      <c r="P310" s="25"/>
      <c r="S310" s="25">
        <f>U94+U96</f>
        <v>0</v>
      </c>
      <c r="T310" s="25"/>
      <c r="V310" s="25"/>
      <c r="W310" s="25"/>
      <c r="X310" s="25"/>
      <c r="Y310" s="25"/>
      <c r="Z310" s="25"/>
      <c r="AA310" s="25"/>
      <c r="AB310" s="9">
        <f t="shared" si="12"/>
        <v>0</v>
      </c>
      <c r="AC310" s="5">
        <f t="shared" si="13"/>
        <v>0</v>
      </c>
    </row>
    <row r="311" spans="3:29" x14ac:dyDescent="0.2">
      <c r="C311" t="s">
        <v>690</v>
      </c>
      <c r="L311" s="25">
        <f>L42+M42+O42+P42+Q42+R42+S42</f>
        <v>28482</v>
      </c>
      <c r="M311" s="25"/>
      <c r="O311" s="25">
        <f>L63+M63+O63+P63+Q63+R63+S63</f>
        <v>0</v>
      </c>
      <c r="P311" s="25"/>
      <c r="S311" s="25"/>
      <c r="T311" s="25"/>
      <c r="V311" s="25"/>
      <c r="W311" s="25"/>
      <c r="X311" s="25"/>
      <c r="Y311" s="25"/>
      <c r="Z311" s="25"/>
      <c r="AA311" s="25"/>
      <c r="AB311" s="9">
        <f t="shared" si="12"/>
        <v>28482</v>
      </c>
      <c r="AC311" s="5">
        <f t="shared" si="13"/>
        <v>0</v>
      </c>
    </row>
    <row r="312" spans="3:29" x14ac:dyDescent="0.2">
      <c r="C312" t="s">
        <v>525</v>
      </c>
      <c r="L312" s="25"/>
      <c r="M312" s="25"/>
      <c r="O312" s="25">
        <f>L62+M62+O62+P62+Q62+S62</f>
        <v>0</v>
      </c>
      <c r="P312" s="25"/>
      <c r="S312" s="25"/>
      <c r="T312" s="25"/>
      <c r="V312" s="25"/>
      <c r="W312" s="25"/>
      <c r="X312" s="25"/>
      <c r="Y312" s="25"/>
      <c r="Z312" s="25"/>
      <c r="AA312" s="25"/>
      <c r="AB312" s="9">
        <f t="shared" si="12"/>
        <v>0</v>
      </c>
      <c r="AC312" s="5">
        <f t="shared" si="13"/>
        <v>0</v>
      </c>
    </row>
    <row r="313" spans="3:29" x14ac:dyDescent="0.2">
      <c r="C313" t="s">
        <v>672</v>
      </c>
      <c r="L313" s="25"/>
      <c r="M313" s="25"/>
      <c r="O313" s="25"/>
      <c r="P313" s="25"/>
      <c r="S313" s="25">
        <f>((L99+M99+O99+Q99+R99+S99+T99+U99)-O101)</f>
        <v>0</v>
      </c>
      <c r="T313" s="25"/>
      <c r="V313" s="25"/>
      <c r="W313" s="25"/>
      <c r="X313" s="25"/>
      <c r="Y313" s="25"/>
      <c r="Z313" s="25"/>
      <c r="AA313" s="25"/>
      <c r="AB313" s="9">
        <f t="shared" si="12"/>
        <v>0</v>
      </c>
      <c r="AC313" s="5">
        <f t="shared" si="13"/>
        <v>0</v>
      </c>
    </row>
    <row r="314" spans="3:29" x14ac:dyDescent="0.2">
      <c r="C314" t="s">
        <v>325</v>
      </c>
      <c r="L314" s="25"/>
      <c r="M314" s="25"/>
      <c r="O314" s="25"/>
      <c r="P314" s="25"/>
      <c r="S314" s="25">
        <f>O101</f>
        <v>0</v>
      </c>
      <c r="T314" s="25"/>
      <c r="V314" s="25"/>
      <c r="W314" s="25"/>
      <c r="X314" s="25"/>
      <c r="Y314" s="25"/>
      <c r="Z314" s="25"/>
      <c r="AA314" s="25"/>
      <c r="AB314" s="9">
        <f t="shared" si="12"/>
        <v>0</v>
      </c>
      <c r="AC314" s="5">
        <f t="shared" si="13"/>
        <v>0</v>
      </c>
    </row>
    <row r="315" spans="3:29" x14ac:dyDescent="0.2">
      <c r="C315" t="s">
        <v>811</v>
      </c>
      <c r="L315" s="25"/>
      <c r="M315" s="25">
        <f>L31</f>
        <v>1000</v>
      </c>
      <c r="O315" s="25"/>
      <c r="P315" s="25">
        <f>L50</f>
        <v>0</v>
      </c>
      <c r="R315" s="5">
        <f>L73</f>
        <v>0</v>
      </c>
      <c r="S315" s="25"/>
      <c r="T315" s="25">
        <f>L92</f>
        <v>0</v>
      </c>
      <c r="V315" s="25"/>
      <c r="W315" s="25"/>
      <c r="X315" s="25"/>
      <c r="Y315" s="25"/>
      <c r="Z315" s="25"/>
      <c r="AA315" s="25"/>
      <c r="AB315" s="9">
        <f t="shared" si="12"/>
        <v>0</v>
      </c>
      <c r="AC315" s="5">
        <f t="shared" si="13"/>
        <v>1000</v>
      </c>
    </row>
    <row r="316" spans="3:29" x14ac:dyDescent="0.2">
      <c r="C316" t="s">
        <v>812</v>
      </c>
      <c r="L316" s="25"/>
      <c r="M316" s="25">
        <f>M31</f>
        <v>0</v>
      </c>
      <c r="O316" s="25"/>
      <c r="P316" s="25">
        <f>M50</f>
        <v>0</v>
      </c>
      <c r="Q316" s="5">
        <f>M84</f>
        <v>0</v>
      </c>
      <c r="R316" s="5">
        <f>M73</f>
        <v>0</v>
      </c>
      <c r="S316" s="25"/>
      <c r="T316" s="25">
        <f>M92</f>
        <v>0</v>
      </c>
      <c r="V316" s="25"/>
      <c r="W316" s="25"/>
      <c r="X316" s="25"/>
      <c r="Y316" s="25"/>
      <c r="Z316" s="25"/>
      <c r="AA316" s="25"/>
      <c r="AB316" s="9">
        <f t="shared" si="12"/>
        <v>0</v>
      </c>
      <c r="AC316" s="5">
        <f t="shared" si="13"/>
        <v>0</v>
      </c>
    </row>
    <row r="317" spans="3:29" x14ac:dyDescent="0.2">
      <c r="C317" t="s">
        <v>449</v>
      </c>
      <c r="L317" s="25"/>
      <c r="M317" s="25">
        <f>O31</f>
        <v>0</v>
      </c>
      <c r="O317" s="25"/>
      <c r="P317" s="25">
        <f>O50</f>
        <v>0</v>
      </c>
      <c r="Q317" s="5">
        <f>O84</f>
        <v>0</v>
      </c>
      <c r="R317" s="5">
        <f>O73</f>
        <v>0</v>
      </c>
      <c r="S317" s="25"/>
      <c r="T317" s="25">
        <f>O92</f>
        <v>9150</v>
      </c>
      <c r="V317" s="25"/>
      <c r="W317" s="25"/>
      <c r="X317" s="25"/>
      <c r="Y317" s="25"/>
      <c r="Z317" s="25"/>
      <c r="AA317" s="25"/>
      <c r="AB317" s="9">
        <f t="shared" si="12"/>
        <v>0</v>
      </c>
      <c r="AC317" s="5">
        <f t="shared" si="13"/>
        <v>9150</v>
      </c>
    </row>
    <row r="318" spans="3:29" x14ac:dyDescent="0.2">
      <c r="C318" s="579" t="s">
        <v>70</v>
      </c>
      <c r="L318" s="25"/>
      <c r="M318" s="25"/>
      <c r="O318" s="25"/>
      <c r="P318" s="25">
        <f>P50</f>
        <v>0</v>
      </c>
      <c r="Q318" s="5">
        <f>P84</f>
        <v>0</v>
      </c>
      <c r="R318" s="5">
        <f>P73</f>
        <v>0</v>
      </c>
      <c r="S318" s="25"/>
      <c r="T318" s="25">
        <f>P92</f>
        <v>125058</v>
      </c>
      <c r="V318" s="25"/>
      <c r="W318" s="25"/>
      <c r="X318" s="25"/>
      <c r="Y318" s="25"/>
      <c r="Z318" s="25"/>
      <c r="AA318" s="25"/>
      <c r="AB318" s="9">
        <f t="shared" si="12"/>
        <v>0</v>
      </c>
      <c r="AC318" s="5">
        <f t="shared" si="13"/>
        <v>125058</v>
      </c>
    </row>
    <row r="319" spans="3:29" x14ac:dyDescent="0.2">
      <c r="C319" s="579" t="s">
        <v>4164</v>
      </c>
      <c r="L319" s="25"/>
      <c r="M319" s="25"/>
      <c r="O319" s="25"/>
      <c r="P319" s="25"/>
      <c r="Q319" s="5"/>
      <c r="R319" s="5"/>
      <c r="S319" s="25"/>
      <c r="T319" s="25">
        <f>Q92</f>
        <v>6721</v>
      </c>
      <c r="V319" s="25"/>
      <c r="W319" s="25"/>
      <c r="X319" s="25"/>
      <c r="Y319" s="25"/>
      <c r="Z319" s="25"/>
      <c r="AA319" s="25"/>
      <c r="AB319" s="9">
        <f t="shared" ref="AB319" si="16">L319+O319+Q319+S319+V319+X319</f>
        <v>0</v>
      </c>
      <c r="AC319" s="5">
        <f t="shared" ref="AC319" si="17">M319+P319+R319+T319+W319+Y319</f>
        <v>6721</v>
      </c>
    </row>
    <row r="320" spans="3:29" x14ac:dyDescent="0.2">
      <c r="C320" t="s">
        <v>450</v>
      </c>
      <c r="L320" s="25"/>
      <c r="M320" s="25"/>
      <c r="O320" s="25"/>
      <c r="P320" s="25">
        <f>Q50</f>
        <v>0</v>
      </c>
      <c r="Q320" s="5">
        <f>Q84</f>
        <v>0</v>
      </c>
      <c r="R320" s="5">
        <f>Q73</f>
        <v>0</v>
      </c>
      <c r="S320" s="25"/>
      <c r="T320" s="25">
        <f>R92</f>
        <v>2639</v>
      </c>
      <c r="V320" s="25"/>
      <c r="W320" s="25"/>
      <c r="X320" s="25"/>
      <c r="Y320" s="25"/>
      <c r="Z320" s="25"/>
      <c r="AA320" s="25"/>
      <c r="AB320" s="9">
        <f t="shared" si="12"/>
        <v>0</v>
      </c>
      <c r="AC320" s="5">
        <f t="shared" si="13"/>
        <v>2639</v>
      </c>
    </row>
    <row r="321" spans="1:29" x14ac:dyDescent="0.2">
      <c r="C321" t="s">
        <v>810</v>
      </c>
      <c r="L321" s="25"/>
      <c r="M321" s="25"/>
      <c r="O321" s="25"/>
      <c r="P321" s="25"/>
      <c r="S321" s="25"/>
      <c r="T321" s="25">
        <f>U92</f>
        <v>0</v>
      </c>
      <c r="V321" s="25"/>
      <c r="W321" s="25"/>
      <c r="X321" s="25"/>
      <c r="Y321" s="25"/>
      <c r="Z321" s="25"/>
      <c r="AA321" s="25"/>
      <c r="AB321" s="9">
        <f t="shared" si="12"/>
        <v>0</v>
      </c>
      <c r="AC321" s="5">
        <f t="shared" si="13"/>
        <v>0</v>
      </c>
    </row>
    <row r="322" spans="1:29" x14ac:dyDescent="0.2">
      <c r="C322" t="s">
        <v>693</v>
      </c>
      <c r="L322" s="25"/>
      <c r="M322" s="25">
        <f>R31</f>
        <v>0</v>
      </c>
      <c r="O322" s="25"/>
      <c r="P322" s="25">
        <f>R50</f>
        <v>0</v>
      </c>
      <c r="Q322">
        <f>R84</f>
        <v>0</v>
      </c>
      <c r="R322">
        <f>R73</f>
        <v>0</v>
      </c>
      <c r="S322" s="25"/>
      <c r="T322" s="25">
        <f>S92</f>
        <v>0</v>
      </c>
      <c r="V322" s="25"/>
      <c r="W322" s="25"/>
      <c r="X322" s="25"/>
      <c r="Y322" s="25"/>
      <c r="Z322" s="25"/>
      <c r="AA322" s="25"/>
      <c r="AB322" s="9">
        <f t="shared" si="12"/>
        <v>0</v>
      </c>
      <c r="AC322" s="5">
        <f t="shared" si="13"/>
        <v>0</v>
      </c>
    </row>
    <row r="323" spans="1:29" x14ac:dyDescent="0.2">
      <c r="C323" t="s">
        <v>694</v>
      </c>
      <c r="L323" s="25"/>
      <c r="M323" s="25">
        <f>S31</f>
        <v>0</v>
      </c>
      <c r="O323" s="25"/>
      <c r="P323" s="25">
        <f>S50</f>
        <v>0</v>
      </c>
      <c r="Q323">
        <f>S84</f>
        <v>0</v>
      </c>
      <c r="R323">
        <f>S73</f>
        <v>0</v>
      </c>
      <c r="S323" s="25"/>
      <c r="T323" s="25">
        <f>T92</f>
        <v>0</v>
      </c>
      <c r="V323" s="25"/>
      <c r="W323" s="25"/>
      <c r="X323" s="25"/>
      <c r="Y323" s="25"/>
      <c r="Z323" s="25"/>
      <c r="AA323" s="25"/>
      <c r="AB323" s="9">
        <f t="shared" si="12"/>
        <v>0</v>
      </c>
      <c r="AC323" s="5">
        <f t="shared" si="13"/>
        <v>0</v>
      </c>
    </row>
    <row r="324" spans="1:29" x14ac:dyDescent="0.2">
      <c r="C324" t="s">
        <v>524</v>
      </c>
      <c r="L324" s="25"/>
      <c r="M324" s="25"/>
      <c r="O324" s="25" t="str">
        <f>IF((L65+M65+O65+P65+Q65+R65+S65)&lt;0,-(L65+M65+O65+P65+Q65+R65+S65),"0")</f>
        <v>0</v>
      </c>
      <c r="P324" s="25">
        <f>IF((L65+M65+O65+P65+Q65+R65+S65)&gt;=0, (L65+M65+O65+P65+Q65+R65+S65),"0")</f>
        <v>0</v>
      </c>
      <c r="S324" s="25"/>
      <c r="T324" s="25"/>
      <c r="V324" s="25"/>
      <c r="W324" s="25"/>
      <c r="X324" s="25"/>
      <c r="Y324" s="25"/>
      <c r="Z324" s="25"/>
      <c r="AA324" s="25"/>
      <c r="AB324" s="9">
        <f t="shared" si="12"/>
        <v>0</v>
      </c>
      <c r="AC324" s="5">
        <f t="shared" si="13"/>
        <v>0</v>
      </c>
    </row>
    <row r="325" spans="1:29" x14ac:dyDescent="0.2">
      <c r="C325" t="s">
        <v>46</v>
      </c>
      <c r="L325" s="25" t="str">
        <f>IF((L44+M44+O44+P44+Q44+R44+S44)&lt;0,-(L44+M44+O44+P44+Q44+R44+S44),"0")</f>
        <v>0</v>
      </c>
      <c r="M325" s="25">
        <f>IF((L44+M44+O44+P44+Q44+R44+S44)&gt;=0,(L44+M44+O44+P44+Q44+R44+S44),"0")</f>
        <v>27482</v>
      </c>
      <c r="O325" s="25"/>
      <c r="P325" s="25"/>
      <c r="S325" s="25"/>
      <c r="T325" s="25"/>
      <c r="V325" s="25"/>
      <c r="W325" s="25"/>
      <c r="X325" s="25"/>
      <c r="Y325" s="25"/>
      <c r="Z325" s="25"/>
      <c r="AA325" s="25"/>
      <c r="AB325" s="9">
        <f t="shared" si="12"/>
        <v>0</v>
      </c>
      <c r="AC325" s="5">
        <f t="shared" si="13"/>
        <v>27482</v>
      </c>
    </row>
    <row r="326" spans="1:29" ht="5.25" customHeight="1" x14ac:dyDescent="0.2">
      <c r="L326" s="25"/>
      <c r="M326" s="25"/>
      <c r="O326" s="25"/>
      <c r="P326" s="25"/>
      <c r="S326" s="25"/>
      <c r="T326" s="25"/>
      <c r="V326" s="25"/>
      <c r="W326" s="25"/>
      <c r="X326" s="25"/>
      <c r="Y326" s="25"/>
      <c r="Z326" s="25"/>
      <c r="AA326" s="25"/>
      <c r="AB326" s="9"/>
      <c r="AC326" s="5"/>
    </row>
    <row r="327" spans="1:29" x14ac:dyDescent="0.2">
      <c r="A327" t="s">
        <v>530</v>
      </c>
      <c r="C327" t="s">
        <v>811</v>
      </c>
      <c r="V327" s="25">
        <f>L111</f>
        <v>37500</v>
      </c>
      <c r="W327" s="25"/>
      <c r="X327" s="25"/>
      <c r="Y327" s="25"/>
      <c r="Z327" s="25"/>
      <c r="AA327" s="25"/>
      <c r="AB327" s="9">
        <f t="shared" si="12"/>
        <v>37500</v>
      </c>
      <c r="AC327" s="5">
        <f t="shared" si="13"/>
        <v>0</v>
      </c>
    </row>
    <row r="328" spans="1:29" x14ac:dyDescent="0.2">
      <c r="C328" t="s">
        <v>812</v>
      </c>
      <c r="V328" s="25">
        <f>+M111</f>
        <v>0</v>
      </c>
      <c r="W328" s="25"/>
      <c r="X328" s="25"/>
      <c r="Y328" s="25"/>
      <c r="Z328" s="25"/>
      <c r="AA328" s="25"/>
      <c r="AB328" s="9">
        <f t="shared" si="12"/>
        <v>0</v>
      </c>
      <c r="AC328" s="5">
        <f t="shared" si="13"/>
        <v>0</v>
      </c>
    </row>
    <row r="329" spans="1:29" x14ac:dyDescent="0.2">
      <c r="C329" t="s">
        <v>449</v>
      </c>
      <c r="V329" s="25">
        <f>O111</f>
        <v>0</v>
      </c>
      <c r="W329" s="25"/>
      <c r="X329" s="25"/>
      <c r="Y329" s="25"/>
      <c r="Z329" s="25"/>
      <c r="AA329" s="25"/>
      <c r="AB329" s="9">
        <f t="shared" si="12"/>
        <v>0</v>
      </c>
      <c r="AC329" s="5">
        <f t="shared" si="13"/>
        <v>0</v>
      </c>
    </row>
    <row r="330" spans="1:29" x14ac:dyDescent="0.2">
      <c r="C330" t="s">
        <v>809</v>
      </c>
      <c r="V330" s="25">
        <f>Q111</f>
        <v>0</v>
      </c>
      <c r="W330" s="25"/>
      <c r="X330" s="25"/>
      <c r="Y330" s="25"/>
      <c r="Z330" s="25"/>
      <c r="AA330" s="25"/>
      <c r="AB330" s="9">
        <f t="shared" si="12"/>
        <v>0</v>
      </c>
      <c r="AC330" s="5">
        <f t="shared" si="13"/>
        <v>0</v>
      </c>
    </row>
    <row r="331" spans="1:29" x14ac:dyDescent="0.2">
      <c r="C331" t="s">
        <v>450</v>
      </c>
      <c r="V331" s="25">
        <f>R111</f>
        <v>0</v>
      </c>
      <c r="W331" s="25"/>
      <c r="X331" s="25"/>
      <c r="Y331" s="25"/>
      <c r="Z331" s="25"/>
      <c r="AA331" s="25"/>
      <c r="AB331" s="9">
        <f t="shared" si="12"/>
        <v>0</v>
      </c>
      <c r="AC331" s="5">
        <f t="shared" si="13"/>
        <v>0</v>
      </c>
    </row>
    <row r="332" spans="1:29" x14ac:dyDescent="0.2">
      <c r="C332" t="s">
        <v>810</v>
      </c>
      <c r="V332" s="25">
        <f>U111</f>
        <v>0</v>
      </c>
      <c r="W332" s="25"/>
      <c r="X332" s="25"/>
      <c r="Y332" s="25"/>
      <c r="Z332" s="25"/>
      <c r="AA332" s="25"/>
      <c r="AB332" s="9">
        <f t="shared" si="12"/>
        <v>0</v>
      </c>
      <c r="AC332" s="5">
        <f t="shared" si="13"/>
        <v>0</v>
      </c>
    </row>
    <row r="333" spans="1:29" x14ac:dyDescent="0.2">
      <c r="C333" t="s">
        <v>693</v>
      </c>
      <c r="V333" s="25">
        <f>S111</f>
        <v>0</v>
      </c>
      <c r="W333" s="25"/>
      <c r="X333" s="25"/>
      <c r="Y333" s="25"/>
      <c r="Z333" s="25"/>
      <c r="AA333" s="25"/>
      <c r="AB333" s="9">
        <f t="shared" si="12"/>
        <v>0</v>
      </c>
      <c r="AC333" s="5">
        <f t="shared" si="13"/>
        <v>0</v>
      </c>
    </row>
    <row r="334" spans="1:29" x14ac:dyDescent="0.2">
      <c r="C334" t="s">
        <v>694</v>
      </c>
      <c r="V334" s="25">
        <f>T111</f>
        <v>0</v>
      </c>
      <c r="W334" s="25"/>
      <c r="X334" s="25"/>
      <c r="Y334" s="25"/>
      <c r="Z334" s="25"/>
      <c r="AA334" s="25"/>
      <c r="AB334" s="9">
        <f t="shared" si="12"/>
        <v>0</v>
      </c>
      <c r="AC334" s="5">
        <f t="shared" si="13"/>
        <v>0</v>
      </c>
    </row>
    <row r="335" spans="1:29" x14ac:dyDescent="0.2">
      <c r="C335" t="s">
        <v>528</v>
      </c>
      <c r="V335" s="25"/>
      <c r="W335" s="25">
        <f>((L111+M111+O111+Q111+R111+S111+T111+U111)-(O116+O114))</f>
        <v>37500</v>
      </c>
      <c r="X335" s="25"/>
      <c r="Y335" s="25"/>
      <c r="Z335" s="25"/>
      <c r="AA335" s="25"/>
      <c r="AB335" s="9">
        <f t="shared" si="12"/>
        <v>0</v>
      </c>
      <c r="AC335" s="5">
        <f t="shared" si="13"/>
        <v>37500</v>
      </c>
    </row>
    <row r="336" spans="1:29" x14ac:dyDescent="0.2">
      <c r="C336" t="s">
        <v>198</v>
      </c>
      <c r="V336" s="25"/>
      <c r="W336" s="25">
        <f>O114</f>
        <v>0</v>
      </c>
      <c r="X336" s="25"/>
      <c r="Y336" s="25"/>
      <c r="Z336" s="25"/>
      <c r="AA336" s="25"/>
      <c r="AB336" s="9">
        <f t="shared" si="12"/>
        <v>0</v>
      </c>
      <c r="AC336" s="5">
        <f t="shared" si="13"/>
        <v>0</v>
      </c>
    </row>
    <row r="337" spans="1:29" x14ac:dyDescent="0.2">
      <c r="C337" t="s">
        <v>326</v>
      </c>
      <c r="V337" s="25"/>
      <c r="W337" s="25">
        <f>O116</f>
        <v>0</v>
      </c>
      <c r="X337" s="25"/>
      <c r="Y337" s="25"/>
      <c r="Z337" s="25"/>
      <c r="AA337" s="25"/>
      <c r="AB337" s="9">
        <f t="shared" si="12"/>
        <v>0</v>
      </c>
      <c r="AC337" s="5">
        <f t="shared" si="13"/>
        <v>0</v>
      </c>
    </row>
    <row r="338" spans="1:29" ht="6.75" customHeight="1" x14ac:dyDescent="0.2">
      <c r="V338" s="25"/>
      <c r="W338" s="25"/>
      <c r="X338" s="25"/>
      <c r="Y338" s="25"/>
      <c r="Z338" s="25"/>
      <c r="AA338" s="25"/>
      <c r="AB338" s="9">
        <f t="shared" si="12"/>
        <v>0</v>
      </c>
      <c r="AC338" s="5">
        <f t="shared" si="13"/>
        <v>0</v>
      </c>
    </row>
    <row r="339" spans="1:29" x14ac:dyDescent="0.2">
      <c r="A339" t="s">
        <v>772</v>
      </c>
      <c r="C339" t="s">
        <v>988</v>
      </c>
      <c r="V339" s="25"/>
      <c r="W339" s="25"/>
      <c r="X339" s="25">
        <f t="shared" ref="X339:X346" si="18">M126</f>
        <v>0</v>
      </c>
      <c r="Y339" s="25"/>
      <c r="Z339" s="25"/>
      <c r="AA339" s="25"/>
      <c r="AB339" s="9">
        <f t="shared" si="12"/>
        <v>0</v>
      </c>
      <c r="AC339" s="5">
        <f t="shared" si="13"/>
        <v>0</v>
      </c>
    </row>
    <row r="340" spans="1:29" x14ac:dyDescent="0.2">
      <c r="C340" t="s">
        <v>989</v>
      </c>
      <c r="V340" s="25"/>
      <c r="W340" s="25"/>
      <c r="X340" s="25">
        <f t="shared" si="18"/>
        <v>0</v>
      </c>
      <c r="Y340" s="25"/>
      <c r="Z340" s="25"/>
      <c r="AA340" s="25"/>
      <c r="AB340" s="9">
        <f t="shared" si="12"/>
        <v>0</v>
      </c>
      <c r="AC340" s="5">
        <f t="shared" si="13"/>
        <v>0</v>
      </c>
    </row>
    <row r="341" spans="1:29" x14ac:dyDescent="0.2">
      <c r="C341" t="s">
        <v>816</v>
      </c>
      <c r="V341" s="25"/>
      <c r="W341" s="25"/>
      <c r="X341" s="25">
        <f t="shared" si="18"/>
        <v>0</v>
      </c>
      <c r="Y341" s="25"/>
      <c r="Z341" s="25"/>
      <c r="AA341" s="25"/>
      <c r="AB341" s="9">
        <f t="shared" si="12"/>
        <v>0</v>
      </c>
      <c r="AC341" s="5">
        <f t="shared" si="13"/>
        <v>0</v>
      </c>
    </row>
    <row r="342" spans="1:29" x14ac:dyDescent="0.2">
      <c r="C342" t="s">
        <v>805</v>
      </c>
      <c r="V342" s="25"/>
      <c r="W342" s="25"/>
      <c r="X342" s="25">
        <f t="shared" si="18"/>
        <v>0</v>
      </c>
      <c r="Y342" s="25"/>
      <c r="Z342" s="25"/>
      <c r="AA342" s="25"/>
      <c r="AB342" s="9">
        <f t="shared" si="12"/>
        <v>0</v>
      </c>
      <c r="AC342" s="5">
        <f t="shared" si="13"/>
        <v>0</v>
      </c>
    </row>
    <row r="343" spans="1:29" x14ac:dyDescent="0.2">
      <c r="C343" t="s">
        <v>203</v>
      </c>
      <c r="V343" s="25"/>
      <c r="W343" s="25"/>
      <c r="X343" s="25">
        <f t="shared" si="18"/>
        <v>0</v>
      </c>
      <c r="Y343" s="25"/>
      <c r="Z343" s="25"/>
      <c r="AA343" s="25"/>
      <c r="AB343" s="9">
        <f t="shared" si="12"/>
        <v>0</v>
      </c>
      <c r="AC343" s="5">
        <f t="shared" si="13"/>
        <v>0</v>
      </c>
    </row>
    <row r="344" spans="1:29" x14ac:dyDescent="0.2">
      <c r="C344" t="s">
        <v>503</v>
      </c>
      <c r="V344" s="25"/>
      <c r="W344" s="25"/>
      <c r="X344" s="25">
        <f t="shared" si="18"/>
        <v>0</v>
      </c>
      <c r="Y344" s="25"/>
      <c r="Z344" s="25"/>
      <c r="AA344" s="25"/>
      <c r="AB344" s="9">
        <f t="shared" si="12"/>
        <v>0</v>
      </c>
      <c r="AC344" s="5">
        <f t="shared" si="13"/>
        <v>0</v>
      </c>
    </row>
    <row r="345" spans="1:29" x14ac:dyDescent="0.2">
      <c r="C345" t="s">
        <v>172</v>
      </c>
      <c r="V345" s="25"/>
      <c r="W345" s="25"/>
      <c r="X345" s="25">
        <f t="shared" si="18"/>
        <v>1700600</v>
      </c>
      <c r="Y345" s="25"/>
      <c r="Z345" s="25"/>
      <c r="AA345" s="25"/>
      <c r="AB345" s="9">
        <f t="shared" si="12"/>
        <v>1700600</v>
      </c>
      <c r="AC345" s="5">
        <f t="shared" si="13"/>
        <v>0</v>
      </c>
    </row>
    <row r="346" spans="1:29" x14ac:dyDescent="0.2">
      <c r="C346" t="s">
        <v>726</v>
      </c>
      <c r="V346" s="25"/>
      <c r="W346" s="25"/>
      <c r="X346" s="25">
        <f t="shared" si="18"/>
        <v>0</v>
      </c>
      <c r="Y346" s="25"/>
      <c r="Z346" s="25"/>
      <c r="AA346" s="25"/>
      <c r="AB346" s="9">
        <f t="shared" si="12"/>
        <v>0</v>
      </c>
      <c r="AC346" s="5">
        <f t="shared" si="13"/>
        <v>0</v>
      </c>
    </row>
    <row r="347" spans="1:29" x14ac:dyDescent="0.2">
      <c r="D347" t="s">
        <v>773</v>
      </c>
      <c r="V347" s="25"/>
      <c r="W347" s="25"/>
      <c r="X347" s="25"/>
      <c r="Y347" s="25">
        <f>M122</f>
        <v>1700600</v>
      </c>
      <c r="Z347" s="25"/>
      <c r="AA347" s="25"/>
      <c r="AB347" s="9">
        <f t="shared" si="12"/>
        <v>0</v>
      </c>
      <c r="AC347" s="5">
        <f t="shared" si="13"/>
        <v>1700600</v>
      </c>
    </row>
    <row r="348" spans="1:29" ht="6" customHeight="1" x14ac:dyDescent="0.2">
      <c r="V348" s="25"/>
      <c r="W348" s="25"/>
      <c r="X348" s="25"/>
      <c r="Y348" s="25"/>
      <c r="Z348" s="25"/>
      <c r="AA348" s="25"/>
      <c r="AB348" s="9">
        <f t="shared" ref="AB348:AB369" si="19">L348+O348+Q348+S348+V348+X348</f>
        <v>0</v>
      </c>
      <c r="AC348" s="5">
        <f t="shared" ref="AC348:AC369" si="20">M348+P348+R348+T348+W348+Y348</f>
        <v>0</v>
      </c>
    </row>
    <row r="349" spans="1:29" x14ac:dyDescent="0.2">
      <c r="A349" t="s">
        <v>621</v>
      </c>
      <c r="C349" t="s">
        <v>622</v>
      </c>
      <c r="V349" s="25"/>
      <c r="W349" s="25"/>
      <c r="X349" s="25"/>
      <c r="Y349" s="25"/>
      <c r="Z349" s="72">
        <f>M185</f>
        <v>0</v>
      </c>
      <c r="AA349" s="72"/>
      <c r="AB349" s="9">
        <f t="shared" si="19"/>
        <v>0</v>
      </c>
      <c r="AC349" s="5">
        <f t="shared" si="20"/>
        <v>0</v>
      </c>
    </row>
    <row r="350" spans="1:29" x14ac:dyDescent="0.2">
      <c r="A350" s="1128" t="s">
        <v>625</v>
      </c>
      <c r="D350" t="s">
        <v>811</v>
      </c>
      <c r="V350" s="25"/>
      <c r="W350" s="25"/>
      <c r="X350" s="25"/>
      <c r="Y350" s="25"/>
      <c r="Z350" s="72"/>
      <c r="AA350" s="72">
        <f t="shared" ref="AA350:AA357" si="21">H175</f>
        <v>0</v>
      </c>
      <c r="AB350" s="9">
        <f t="shared" si="19"/>
        <v>0</v>
      </c>
      <c r="AC350" s="5">
        <f t="shared" si="20"/>
        <v>0</v>
      </c>
    </row>
    <row r="351" spans="1:29" x14ac:dyDescent="0.2">
      <c r="A351" s="1129"/>
      <c r="D351" t="s">
        <v>812</v>
      </c>
      <c r="V351" s="25"/>
      <c r="W351" s="25"/>
      <c r="X351" s="25"/>
      <c r="Y351" s="25"/>
      <c r="Z351" s="72"/>
      <c r="AA351" s="72">
        <f t="shared" si="21"/>
        <v>4000000</v>
      </c>
      <c r="AB351" s="9">
        <f t="shared" si="19"/>
        <v>0</v>
      </c>
      <c r="AC351" s="5">
        <f>M351+P351+R351+T351+W351+Y351+AA351</f>
        <v>4000000</v>
      </c>
    </row>
    <row r="352" spans="1:29" x14ac:dyDescent="0.2">
      <c r="A352" s="1129"/>
      <c r="D352" t="s">
        <v>449</v>
      </c>
      <c r="V352" s="25"/>
      <c r="W352" s="25"/>
      <c r="X352" s="25"/>
      <c r="Y352" s="25"/>
      <c r="Z352" s="72"/>
      <c r="AA352" s="72">
        <f t="shared" si="21"/>
        <v>0</v>
      </c>
      <c r="AB352" s="9">
        <f t="shared" si="19"/>
        <v>0</v>
      </c>
      <c r="AC352" s="5">
        <f t="shared" si="20"/>
        <v>0</v>
      </c>
    </row>
    <row r="353" spans="1:29" x14ac:dyDescent="0.2">
      <c r="A353" s="1129"/>
      <c r="D353" t="s">
        <v>756</v>
      </c>
      <c r="V353" s="25"/>
      <c r="W353" s="25"/>
      <c r="X353" s="25"/>
      <c r="Y353" s="25"/>
      <c r="Z353" s="72"/>
      <c r="AA353" s="72">
        <f t="shared" si="21"/>
        <v>0</v>
      </c>
      <c r="AB353" s="9">
        <f t="shared" si="19"/>
        <v>0</v>
      </c>
      <c r="AC353" s="5">
        <f t="shared" si="20"/>
        <v>0</v>
      </c>
    </row>
    <row r="354" spans="1:29" x14ac:dyDescent="0.2">
      <c r="A354" s="1129"/>
      <c r="D354" t="s">
        <v>757</v>
      </c>
      <c r="V354" s="25"/>
      <c r="W354" s="25"/>
      <c r="X354" s="25"/>
      <c r="Y354" s="25"/>
      <c r="Z354" s="72"/>
      <c r="AA354" s="72">
        <f t="shared" si="21"/>
        <v>0</v>
      </c>
      <c r="AB354" s="9">
        <f t="shared" si="19"/>
        <v>0</v>
      </c>
      <c r="AC354" s="5">
        <f t="shared" si="20"/>
        <v>0</v>
      </c>
    </row>
    <row r="355" spans="1:29" x14ac:dyDescent="0.2">
      <c r="A355" s="1129"/>
      <c r="D355" t="s">
        <v>810</v>
      </c>
      <c r="V355" s="25"/>
      <c r="W355" s="25"/>
      <c r="X355" s="25"/>
      <c r="Y355" s="25"/>
      <c r="Z355" s="72"/>
      <c r="AA355" s="72">
        <f t="shared" si="21"/>
        <v>0</v>
      </c>
      <c r="AB355" s="9">
        <f t="shared" si="19"/>
        <v>0</v>
      </c>
      <c r="AC355" s="5">
        <f t="shared" si="20"/>
        <v>0</v>
      </c>
    </row>
    <row r="356" spans="1:29" x14ac:dyDescent="0.2">
      <c r="A356" s="1129"/>
      <c r="D356" s="280" t="s">
        <v>693</v>
      </c>
      <c r="V356" s="25"/>
      <c r="W356" s="25"/>
      <c r="X356" s="25"/>
      <c r="Y356" s="25"/>
      <c r="Z356" s="72"/>
      <c r="AA356" s="72">
        <f t="shared" si="21"/>
        <v>0</v>
      </c>
      <c r="AB356" s="9">
        <f t="shared" si="19"/>
        <v>0</v>
      </c>
      <c r="AC356" s="5">
        <f t="shared" si="20"/>
        <v>0</v>
      </c>
    </row>
    <row r="357" spans="1:29" x14ac:dyDescent="0.2">
      <c r="A357" s="1129"/>
      <c r="D357" s="280" t="s">
        <v>694</v>
      </c>
      <c r="V357" s="25"/>
      <c r="W357" s="25"/>
      <c r="X357" s="25"/>
      <c r="Y357" s="25"/>
      <c r="Z357" s="72"/>
      <c r="AA357" s="72">
        <f t="shared" si="21"/>
        <v>0</v>
      </c>
      <c r="AB357" s="9">
        <f t="shared" si="19"/>
        <v>0</v>
      </c>
      <c r="AC357" s="5">
        <f t="shared" si="20"/>
        <v>0</v>
      </c>
    </row>
    <row r="358" spans="1:29" x14ac:dyDescent="0.2">
      <c r="A358" s="1129"/>
      <c r="D358" s="280" t="s">
        <v>528</v>
      </c>
      <c r="V358" s="25"/>
      <c r="W358" s="25"/>
      <c r="X358" s="25"/>
      <c r="Y358" s="25"/>
      <c r="Z358" s="72"/>
      <c r="AA358" s="72">
        <f>I197</f>
        <v>0</v>
      </c>
      <c r="AB358" s="9">
        <f t="shared" si="19"/>
        <v>0</v>
      </c>
      <c r="AC358" s="5">
        <f t="shared" si="20"/>
        <v>0</v>
      </c>
    </row>
    <row r="359" spans="1:29" x14ac:dyDescent="0.2">
      <c r="A359" s="1129"/>
      <c r="D359" s="280" t="s">
        <v>623</v>
      </c>
      <c r="V359" s="25"/>
      <c r="W359" s="25"/>
      <c r="X359" s="25"/>
      <c r="Y359" s="25"/>
      <c r="Z359" s="72">
        <f t="shared" ref="Z359:Z368" si="22">I202*-1</f>
        <v>0</v>
      </c>
      <c r="AA359" s="72">
        <f>I196</f>
        <v>0</v>
      </c>
      <c r="AB359" s="9">
        <f t="shared" si="19"/>
        <v>0</v>
      </c>
      <c r="AC359" s="5">
        <f t="shared" si="20"/>
        <v>0</v>
      </c>
    </row>
    <row r="360" spans="1:29" x14ac:dyDescent="0.2">
      <c r="A360" s="1129"/>
      <c r="C360" t="s">
        <v>899</v>
      </c>
      <c r="V360" s="25"/>
      <c r="W360" s="25"/>
      <c r="X360" s="25"/>
      <c r="Y360" s="25"/>
      <c r="Z360" s="25">
        <f t="shared" si="22"/>
        <v>4000000</v>
      </c>
      <c r="AA360" s="25"/>
      <c r="AB360" s="9">
        <f>L360+O360+Q360+S360+V360+X360+Z360</f>
        <v>4000000</v>
      </c>
      <c r="AC360" s="5">
        <f t="shared" si="20"/>
        <v>0</v>
      </c>
    </row>
    <row r="361" spans="1:29" x14ac:dyDescent="0.2">
      <c r="A361" s="1129"/>
      <c r="C361" t="s">
        <v>988</v>
      </c>
      <c r="V361" s="25"/>
      <c r="W361" s="25"/>
      <c r="X361" s="25"/>
      <c r="Y361" s="25"/>
      <c r="Z361" s="25">
        <f t="shared" si="22"/>
        <v>0</v>
      </c>
      <c r="AA361" s="25"/>
      <c r="AB361" s="9">
        <f t="shared" si="19"/>
        <v>0</v>
      </c>
      <c r="AC361" s="5">
        <f t="shared" si="20"/>
        <v>0</v>
      </c>
    </row>
    <row r="362" spans="1:29" x14ac:dyDescent="0.2">
      <c r="A362" s="1129"/>
      <c r="C362" t="s">
        <v>989</v>
      </c>
      <c r="V362" s="25"/>
      <c r="W362" s="25"/>
      <c r="X362" s="25"/>
      <c r="Y362" s="25"/>
      <c r="Z362" s="25">
        <f t="shared" si="22"/>
        <v>0</v>
      </c>
      <c r="AA362" s="25"/>
      <c r="AB362" s="9">
        <f t="shared" si="19"/>
        <v>0</v>
      </c>
      <c r="AC362" s="5">
        <f t="shared" si="20"/>
        <v>0</v>
      </c>
    </row>
    <row r="363" spans="1:29" x14ac:dyDescent="0.2">
      <c r="A363" s="1129"/>
      <c r="C363" t="s">
        <v>816</v>
      </c>
      <c r="V363" s="25"/>
      <c r="W363" s="25"/>
      <c r="X363" s="25"/>
      <c r="Y363" s="25"/>
      <c r="Z363" s="25">
        <f t="shared" si="22"/>
        <v>0</v>
      </c>
      <c r="AA363" s="25"/>
      <c r="AB363" s="9">
        <f t="shared" si="19"/>
        <v>0</v>
      </c>
      <c r="AC363" s="5">
        <f t="shared" si="20"/>
        <v>0</v>
      </c>
    </row>
    <row r="364" spans="1:29" x14ac:dyDescent="0.2">
      <c r="A364" s="1129"/>
      <c r="C364" t="s">
        <v>805</v>
      </c>
      <c r="V364" s="25"/>
      <c r="W364" s="25"/>
      <c r="X364" s="25"/>
      <c r="Y364" s="25"/>
      <c r="Z364" s="25">
        <f t="shared" si="22"/>
        <v>0</v>
      </c>
      <c r="AA364" s="25"/>
      <c r="AB364" s="9">
        <f t="shared" si="19"/>
        <v>0</v>
      </c>
      <c r="AC364" s="5">
        <f t="shared" si="20"/>
        <v>0</v>
      </c>
    </row>
    <row r="365" spans="1:29" x14ac:dyDescent="0.2">
      <c r="A365" s="1129"/>
      <c r="C365" t="s">
        <v>307</v>
      </c>
      <c r="V365" s="25"/>
      <c r="W365" s="25"/>
      <c r="X365" s="25"/>
      <c r="Y365" s="25"/>
      <c r="Z365" s="25">
        <f t="shared" si="22"/>
        <v>0</v>
      </c>
      <c r="AA365" s="25"/>
      <c r="AB365" s="9">
        <f t="shared" si="19"/>
        <v>0</v>
      </c>
      <c r="AC365" s="5">
        <f t="shared" si="20"/>
        <v>0</v>
      </c>
    </row>
    <row r="366" spans="1:29" x14ac:dyDescent="0.2">
      <c r="A366" s="1129"/>
      <c r="C366" t="s">
        <v>267</v>
      </c>
      <c r="V366" s="25"/>
      <c r="W366" s="25"/>
      <c r="X366" s="25"/>
      <c r="Y366" s="25"/>
      <c r="Z366" s="25">
        <f t="shared" si="22"/>
        <v>0</v>
      </c>
      <c r="AA366" s="25"/>
      <c r="AB366" s="9">
        <f t="shared" si="19"/>
        <v>0</v>
      </c>
      <c r="AC366" s="5">
        <f t="shared" si="20"/>
        <v>0</v>
      </c>
    </row>
    <row r="367" spans="1:29" x14ac:dyDescent="0.2">
      <c r="A367" s="1129"/>
      <c r="C367" t="s">
        <v>172</v>
      </c>
      <c r="V367" s="25"/>
      <c r="W367" s="25"/>
      <c r="X367" s="25"/>
      <c r="Y367" s="25"/>
      <c r="Z367" s="25">
        <f t="shared" si="22"/>
        <v>0</v>
      </c>
      <c r="AA367" s="25"/>
      <c r="AB367" s="9">
        <f>L367+O367+Q367+S367+V367+X367</f>
        <v>0</v>
      </c>
      <c r="AC367" s="5">
        <f>M367+P367+R367+T367+W367+Y367</f>
        <v>0</v>
      </c>
    </row>
    <row r="368" spans="1:29" x14ac:dyDescent="0.2">
      <c r="A368" s="1129"/>
      <c r="C368" t="s">
        <v>726</v>
      </c>
      <c r="V368" s="25"/>
      <c r="W368" s="25"/>
      <c r="X368" s="25"/>
      <c r="Y368" s="25"/>
      <c r="Z368" s="25">
        <f t="shared" si="22"/>
        <v>0</v>
      </c>
      <c r="AA368" s="25"/>
      <c r="AB368" s="9">
        <f t="shared" si="19"/>
        <v>0</v>
      </c>
      <c r="AC368" s="5">
        <f t="shared" si="20"/>
        <v>0</v>
      </c>
    </row>
    <row r="369" spans="12:29" ht="5.25" customHeight="1" x14ac:dyDescent="0.2">
      <c r="V369" s="25"/>
      <c r="W369" s="25"/>
      <c r="X369" s="25"/>
      <c r="Y369" s="25"/>
      <c r="Z369" s="25"/>
      <c r="AA369" s="25"/>
      <c r="AB369" s="9">
        <f t="shared" si="19"/>
        <v>0</v>
      </c>
      <c r="AC369" s="5">
        <f t="shared" si="20"/>
        <v>0</v>
      </c>
    </row>
    <row r="370" spans="12:29" ht="13.5" thickBot="1" x14ac:dyDescent="0.25">
      <c r="L370" s="15">
        <f>SUM(L303:L335)</f>
        <v>28482</v>
      </c>
      <c r="M370" s="15">
        <f>SUM(M303:M335)</f>
        <v>28482</v>
      </c>
      <c r="N370" s="5"/>
      <c r="O370" s="15">
        <f t="shared" ref="O370:T370" si="23">SUM(O303:O335)</f>
        <v>0</v>
      </c>
      <c r="P370" s="15">
        <f t="shared" si="23"/>
        <v>0</v>
      </c>
      <c r="Q370" s="15">
        <f t="shared" si="23"/>
        <v>0</v>
      </c>
      <c r="R370" s="15">
        <f t="shared" si="23"/>
        <v>0</v>
      </c>
      <c r="S370" s="15">
        <f t="shared" si="23"/>
        <v>143568</v>
      </c>
      <c r="T370" s="15">
        <f t="shared" si="23"/>
        <v>143568</v>
      </c>
      <c r="U370" s="5"/>
      <c r="V370" s="15">
        <f>SUM(V303:V335)</f>
        <v>37500</v>
      </c>
      <c r="W370" s="15">
        <f>SUM(W303:W337)</f>
        <v>37500</v>
      </c>
      <c r="X370" s="15">
        <f t="shared" ref="X370:AC370" si="24">SUM(X303:X347)</f>
        <v>1700600</v>
      </c>
      <c r="Y370" s="15">
        <f t="shared" si="24"/>
        <v>1700600</v>
      </c>
      <c r="Z370" s="15">
        <f t="shared" si="24"/>
        <v>0</v>
      </c>
      <c r="AA370" s="15">
        <f t="shared" si="24"/>
        <v>0</v>
      </c>
      <c r="AB370" s="15">
        <f t="shared" si="24"/>
        <v>1910150</v>
      </c>
      <c r="AC370" s="15">
        <f t="shared" si="24"/>
        <v>1910150</v>
      </c>
    </row>
    <row r="371" spans="12:29" ht="13.5" thickTop="1" x14ac:dyDescent="0.2"/>
  </sheetData>
  <customSheetViews>
    <customSheetView guid="{D2B860EA-92EC-4999-9A59-C624E1F8C7FB}" topLeftCell="A226">
      <selection activeCell="L111" sqref="L111:L112"/>
      <rowBreaks count="4" manualBreakCount="4">
        <brk id="67" max="20" man="1"/>
        <brk id="134" max="20" man="1"/>
        <brk id="198" max="20" man="1"/>
        <brk id="295" max="24" man="1"/>
      </rowBreaks>
      <pageMargins left="0.5" right="0.45" top="0.67" bottom="0.63" header="0.5" footer="0.5"/>
      <printOptions horizontalCentered="1"/>
      <pageSetup scale="61" orientation="landscape" r:id="rId1"/>
      <headerFooter alignWithMargins="0">
        <oddHeader>&amp;R&amp;"Arial,Bold"&amp;12Entry F</oddHeader>
        <oddFooter>&amp;L&amp;8&amp;D - County model&amp;R  &amp;P</oddFooter>
      </headerFooter>
    </customSheetView>
    <customSheetView guid="{C1197650-3ED8-49E4-8E4C-0D1D4B503FC0}" topLeftCell="A226">
      <selection activeCell="L111" sqref="L111:L112"/>
      <rowBreaks count="4" manualBreakCount="4">
        <brk id="67" max="20" man="1"/>
        <brk id="134" max="20" man="1"/>
        <brk id="198" max="20" man="1"/>
        <brk id="295" max="24" man="1"/>
      </rowBreaks>
      <pageMargins left="0.5" right="0.45" top="0.67" bottom="0.63" header="0.5" footer="0.5"/>
      <printOptions horizontalCentered="1"/>
      <pageSetup scale="61" orientation="landscape" r:id="rId2"/>
      <headerFooter alignWithMargins="0">
        <oddHeader>&amp;R&amp;"Arial,Bold"&amp;12Entry F</oddHeader>
        <oddFooter>&amp;L&amp;8&amp;D - County model&amp;R  &amp;P</oddFooter>
      </headerFooter>
    </customSheetView>
  </customSheetViews>
  <mergeCells count="186">
    <mergeCell ref="O132:O134"/>
    <mergeCell ref="R96:R97"/>
    <mergeCell ref="S96:S97"/>
    <mergeCell ref="T96:T97"/>
    <mergeCell ref="B120:T120"/>
    <mergeCell ref="C122:K123"/>
    <mergeCell ref="M122:M123"/>
    <mergeCell ref="D96:I97"/>
    <mergeCell ref="M96:M97"/>
    <mergeCell ref="D111:I112"/>
    <mergeCell ref="U96:U97"/>
    <mergeCell ref="O96:O97"/>
    <mergeCell ref="Q96:Q97"/>
    <mergeCell ref="U111:U112"/>
    <mergeCell ref="Q111:Q112"/>
    <mergeCell ref="R111:R112"/>
    <mergeCell ref="S111:S112"/>
    <mergeCell ref="T111:T112"/>
    <mergeCell ref="D116:K118"/>
    <mergeCell ref="O116:O118"/>
    <mergeCell ref="L111:L112"/>
    <mergeCell ref="M111:M112"/>
    <mergeCell ref="O111:O112"/>
    <mergeCell ref="D114:J114"/>
    <mergeCell ref="P116:S118"/>
    <mergeCell ref="D101:K103"/>
    <mergeCell ref="O101:O103"/>
    <mergeCell ref="P101:S103"/>
    <mergeCell ref="C9:T9"/>
    <mergeCell ref="R34:R35"/>
    <mergeCell ref="C20:T21"/>
    <mergeCell ref="C23:T24"/>
    <mergeCell ref="S53:S54"/>
    <mergeCell ref="P50:P51"/>
    <mergeCell ref="Q50:Q51"/>
    <mergeCell ref="R50:R51"/>
    <mergeCell ref="D37:I38"/>
    <mergeCell ref="M37:M38"/>
    <mergeCell ref="C46:T46"/>
    <mergeCell ref="D50:I51"/>
    <mergeCell ref="L50:L51"/>
    <mergeCell ref="M50:M51"/>
    <mergeCell ref="S50:S51"/>
    <mergeCell ref="D53:I54"/>
    <mergeCell ref="M53:M54"/>
    <mergeCell ref="O53:O54"/>
    <mergeCell ref="P53:P54"/>
    <mergeCell ref="Q53:Q54"/>
    <mergeCell ref="R53:R54"/>
    <mergeCell ref="C16:T18"/>
    <mergeCell ref="D42:H42"/>
    <mergeCell ref="S31:S32"/>
    <mergeCell ref="A2:T2"/>
    <mergeCell ref="L301:M301"/>
    <mergeCell ref="O301:P301"/>
    <mergeCell ref="Q301:R301"/>
    <mergeCell ref="S301:T301"/>
    <mergeCell ref="B69:T69"/>
    <mergeCell ref="D61:I61"/>
    <mergeCell ref="B3:N3"/>
    <mergeCell ref="B26:T26"/>
    <mergeCell ref="C11:T12"/>
    <mergeCell ref="D31:I32"/>
    <mergeCell ref="C14:T14"/>
    <mergeCell ref="E40:I40"/>
    <mergeCell ref="L31:L32"/>
    <mergeCell ref="M31:M32"/>
    <mergeCell ref="D34:I35"/>
    <mergeCell ref="M34:M35"/>
    <mergeCell ref="R31:R32"/>
    <mergeCell ref="O34:O35"/>
    <mergeCell ref="S37:S38"/>
    <mergeCell ref="O50:O51"/>
    <mergeCell ref="D67:T67"/>
    <mergeCell ref="B4:T4"/>
    <mergeCell ref="C6:T7"/>
    <mergeCell ref="AB301:AC301"/>
    <mergeCell ref="F89:H89"/>
    <mergeCell ref="F70:H70"/>
    <mergeCell ref="B88:T88"/>
    <mergeCell ref="V301:W301"/>
    <mergeCell ref="B107:T107"/>
    <mergeCell ref="D92:I92"/>
    <mergeCell ref="U84:W84"/>
    <mergeCell ref="D76:I77"/>
    <mergeCell ref="D94:I94"/>
    <mergeCell ref="O76:O77"/>
    <mergeCell ref="D73:I74"/>
    <mergeCell ref="P73:P74"/>
    <mergeCell ref="Q73:Q74"/>
    <mergeCell ref="R73:R74"/>
    <mergeCell ref="S73:S74"/>
    <mergeCell ref="P76:P77"/>
    <mergeCell ref="Q76:Q77"/>
    <mergeCell ref="Q79:Q80"/>
    <mergeCell ref="R79:R80"/>
    <mergeCell ref="P79:P80"/>
    <mergeCell ref="M73:M74"/>
    <mergeCell ref="O73:O74"/>
    <mergeCell ref="M79:M80"/>
    <mergeCell ref="O37:O38"/>
    <mergeCell ref="R37:R38"/>
    <mergeCell ref="D79:I80"/>
    <mergeCell ref="S34:S35"/>
    <mergeCell ref="O31:O32"/>
    <mergeCell ref="M56:M57"/>
    <mergeCell ref="O56:O57"/>
    <mergeCell ref="P56:P57"/>
    <mergeCell ref="Q56:Q57"/>
    <mergeCell ref="R56:R57"/>
    <mergeCell ref="S56:S57"/>
    <mergeCell ref="D56:I57"/>
    <mergeCell ref="O79:O80"/>
    <mergeCell ref="M76:M77"/>
    <mergeCell ref="S79:S80"/>
    <mergeCell ref="S76:S77"/>
    <mergeCell ref="T73:T74"/>
    <mergeCell ref="R76:R77"/>
    <mergeCell ref="B136:T136"/>
    <mergeCell ref="B138:T142"/>
    <mergeCell ref="B144:T145"/>
    <mergeCell ref="C147:J148"/>
    <mergeCell ref="Q149:Q150"/>
    <mergeCell ref="R149:R150"/>
    <mergeCell ref="S149:S150"/>
    <mergeCell ref="D149:J150"/>
    <mergeCell ref="L149:L150"/>
    <mergeCell ref="M149:M150"/>
    <mergeCell ref="O149:O150"/>
    <mergeCell ref="T149:T150"/>
    <mergeCell ref="T76:T77"/>
    <mergeCell ref="T79:T80"/>
    <mergeCell ref="Q84:Q85"/>
    <mergeCell ref="R84:R85"/>
    <mergeCell ref="S84:S85"/>
    <mergeCell ref="T84:T85"/>
    <mergeCell ref="D84:I85"/>
    <mergeCell ref="M84:M85"/>
    <mergeCell ref="O84:O85"/>
    <mergeCell ref="P84:P85"/>
    <mergeCell ref="D152:J153"/>
    <mergeCell ref="M152:M153"/>
    <mergeCell ref="O152:O153"/>
    <mergeCell ref="P152:P153"/>
    <mergeCell ref="Q152:Q153"/>
    <mergeCell ref="R152:R153"/>
    <mergeCell ref="S152:S153"/>
    <mergeCell ref="T152:T153"/>
    <mergeCell ref="P149:P150"/>
    <mergeCell ref="R155:R156"/>
    <mergeCell ref="S155:S156"/>
    <mergeCell ref="T155:T156"/>
    <mergeCell ref="C160:J161"/>
    <mergeCell ref="L160:L161"/>
    <mergeCell ref="C163:J164"/>
    <mergeCell ref="D155:J156"/>
    <mergeCell ref="M155:M156"/>
    <mergeCell ref="O155:O156"/>
    <mergeCell ref="P155:P156"/>
    <mergeCell ref="Q155:Q156"/>
    <mergeCell ref="Q168:Q169"/>
    <mergeCell ref="K171:L171"/>
    <mergeCell ref="O171:P171"/>
    <mergeCell ref="D173:I174"/>
    <mergeCell ref="V181:W181"/>
    <mergeCell ref="I183:K183"/>
    <mergeCell ref="D165:I166"/>
    <mergeCell ref="L165:L166"/>
    <mergeCell ref="M165:M166"/>
    <mergeCell ref="D168:I169"/>
    <mergeCell ref="L168:L169"/>
    <mergeCell ref="M168:M169"/>
    <mergeCell ref="A350:A368"/>
    <mergeCell ref="D199:J201"/>
    <mergeCell ref="J212:L213"/>
    <mergeCell ref="B215:T215"/>
    <mergeCell ref="C185:I185"/>
    <mergeCell ref="M185:M186"/>
    <mergeCell ref="Z301:AA301"/>
    <mergeCell ref="E188:I188"/>
    <mergeCell ref="B191:T191"/>
    <mergeCell ref="C192:J193"/>
    <mergeCell ref="D194:J195"/>
    <mergeCell ref="F290:T291"/>
    <mergeCell ref="C300:Y300"/>
    <mergeCell ref="X301:Y301"/>
  </mergeCells>
  <phoneticPr fontId="14" type="noConversion"/>
  <printOptions horizontalCentered="1"/>
  <pageMargins left="0.5" right="0.45" top="0.67" bottom="0.63" header="0.5" footer="0.5"/>
  <pageSetup scale="61" orientation="landscape" r:id="rId3"/>
  <headerFooter alignWithMargins="0">
    <oddHeader>&amp;R&amp;"Arial,Bold"&amp;12Entry F</oddHeader>
    <oddFooter>&amp;L&amp;8&amp;D - County model&amp;R  &amp;P</oddFooter>
  </headerFooter>
  <rowBreaks count="4" manualBreakCount="4">
    <brk id="67" max="20" man="1"/>
    <brk id="134" max="20" man="1"/>
    <brk id="198" max="20" man="1"/>
    <brk id="297" max="24" man="1"/>
  </rowBreaks>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0"/>
  <sheetViews>
    <sheetView workbookViewId="0">
      <selection activeCell="N38" sqref="N38"/>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0.42578125" bestFit="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103" t="s">
        <v>766</v>
      </c>
      <c r="B2" s="1104"/>
      <c r="C2" s="1104"/>
      <c r="D2" s="1104"/>
      <c r="E2" s="1104"/>
      <c r="F2" s="1104"/>
      <c r="G2" s="1104"/>
      <c r="H2" s="1104"/>
      <c r="I2" s="1104"/>
      <c r="J2" s="1104"/>
      <c r="K2" s="1104"/>
      <c r="L2" s="1104"/>
      <c r="M2" s="1104"/>
      <c r="N2" s="1104"/>
      <c r="O2" s="1104"/>
      <c r="P2" s="1105"/>
    </row>
    <row r="3" spans="1:16" ht="11.25" customHeight="1" x14ac:dyDescent="0.2"/>
    <row r="4" spans="1:16" ht="75.75" customHeight="1" x14ac:dyDescent="0.2">
      <c r="B4" s="1106" t="s">
        <v>1129</v>
      </c>
      <c r="C4" s="1019"/>
      <c r="D4" s="1019"/>
      <c r="E4" s="1019"/>
      <c r="F4" s="1019"/>
      <c r="G4" s="1019"/>
      <c r="H4" s="1019"/>
      <c r="I4" s="1019"/>
      <c r="J4" s="1019"/>
      <c r="K4" s="1019"/>
      <c r="L4" s="1019"/>
      <c r="M4" s="1019"/>
      <c r="N4" s="1019"/>
      <c r="O4" s="1019"/>
      <c r="P4" s="1019"/>
    </row>
    <row r="5" spans="1:16" ht="9" customHeight="1" x14ac:dyDescent="0.2"/>
    <row r="6" spans="1:16" ht="11.25" customHeight="1" x14ac:dyDescent="0.2">
      <c r="B6" s="28" t="s">
        <v>513</v>
      </c>
      <c r="C6" s="1019" t="s">
        <v>767</v>
      </c>
      <c r="D6" s="1019"/>
      <c r="E6" s="1019"/>
      <c r="F6" s="1019"/>
      <c r="G6" s="1019"/>
      <c r="H6" s="1019"/>
      <c r="I6" s="1019"/>
      <c r="J6" s="1019"/>
      <c r="K6" s="1019"/>
      <c r="L6" s="1019"/>
      <c r="M6" s="1019"/>
      <c r="N6" s="1019"/>
      <c r="O6" s="1019"/>
      <c r="P6" s="1019"/>
    </row>
    <row r="7" spans="1:16" ht="14.25" customHeight="1" x14ac:dyDescent="0.2">
      <c r="B7" s="28"/>
      <c r="C7" s="1019"/>
      <c r="D7" s="1019"/>
      <c r="E7" s="1019"/>
      <c r="F7" s="1019"/>
      <c r="G7" s="1019"/>
      <c r="H7" s="1019"/>
      <c r="I7" s="1019"/>
      <c r="J7" s="1019"/>
      <c r="K7" s="1019"/>
      <c r="L7" s="1019"/>
      <c r="M7" s="1019"/>
      <c r="N7" s="1019"/>
      <c r="O7" s="1019"/>
      <c r="P7" s="1019"/>
    </row>
    <row r="8" spans="1:16" ht="5.25" customHeight="1" x14ac:dyDescent="0.2">
      <c r="B8" s="28"/>
      <c r="C8" s="24"/>
      <c r="D8" s="24"/>
      <c r="E8" s="24"/>
      <c r="F8" s="24"/>
      <c r="G8" s="24"/>
      <c r="H8" s="24"/>
      <c r="I8" s="24"/>
      <c r="J8" s="24"/>
      <c r="K8" s="24"/>
      <c r="L8" s="24"/>
      <c r="M8" s="24"/>
      <c r="N8" s="24"/>
      <c r="O8" s="24"/>
      <c r="P8" s="24"/>
    </row>
    <row r="9" spans="1:16" ht="12" customHeight="1" x14ac:dyDescent="0.2">
      <c r="B9" s="28" t="s">
        <v>514</v>
      </c>
      <c r="C9" s="1019" t="s">
        <v>846</v>
      </c>
      <c r="D9" s="1019"/>
      <c r="E9" s="1019"/>
      <c r="F9" s="1019"/>
      <c r="G9" s="1019"/>
      <c r="H9" s="1019"/>
      <c r="I9" s="1019"/>
      <c r="J9" s="1019"/>
      <c r="K9" s="1019"/>
      <c r="L9" s="1019"/>
      <c r="M9" s="1019"/>
      <c r="N9" s="1019"/>
      <c r="O9" s="1019"/>
      <c r="P9" s="1019"/>
    </row>
    <row r="10" spans="1:16" ht="13.5" customHeight="1" x14ac:dyDescent="0.2">
      <c r="B10" s="28"/>
      <c r="C10" s="1019"/>
      <c r="D10" s="1019"/>
      <c r="E10" s="1019"/>
      <c r="F10" s="1019"/>
      <c r="G10" s="1019"/>
      <c r="H10" s="1019"/>
      <c r="I10" s="1019"/>
      <c r="J10" s="1019"/>
      <c r="K10" s="1019"/>
      <c r="L10" s="1019"/>
      <c r="M10" s="1019"/>
      <c r="N10" s="1019"/>
      <c r="O10" s="1019"/>
      <c r="P10" s="1019"/>
    </row>
    <row r="11" spans="1:16" ht="5.25" customHeight="1" x14ac:dyDescent="0.2">
      <c r="B11" s="28"/>
    </row>
    <row r="12" spans="1:16" ht="12.75" customHeight="1" x14ac:dyDescent="0.2">
      <c r="B12" s="28" t="s">
        <v>806</v>
      </c>
      <c r="C12" s="1019" t="s">
        <v>320</v>
      </c>
      <c r="D12" s="1019"/>
      <c r="E12" s="1019"/>
      <c r="F12" s="1019"/>
      <c r="G12" s="1019"/>
      <c r="H12" s="1019"/>
      <c r="I12" s="1019"/>
      <c r="J12" s="1019"/>
      <c r="K12" s="1019"/>
      <c r="L12" s="1019"/>
      <c r="M12" s="1019"/>
      <c r="N12" s="1019"/>
      <c r="O12" s="1019"/>
    </row>
    <row r="13" spans="1:16" ht="14.25" customHeight="1" x14ac:dyDescent="0.2">
      <c r="B13" s="28"/>
      <c r="C13" s="1019"/>
      <c r="D13" s="1019"/>
      <c r="E13" s="1019"/>
      <c r="F13" s="1019"/>
      <c r="G13" s="1019"/>
      <c r="H13" s="1019"/>
      <c r="I13" s="1019"/>
      <c r="J13" s="1019"/>
      <c r="K13" s="1019"/>
      <c r="L13" s="1019"/>
      <c r="M13" s="1019"/>
      <c r="N13" s="1019"/>
      <c r="O13" s="1019"/>
    </row>
    <row r="14" spans="1:16" ht="6" customHeight="1" x14ac:dyDescent="0.2"/>
    <row r="16" spans="1:16" ht="25.5" customHeight="1" x14ac:dyDescent="0.2">
      <c r="A16" s="4" t="s">
        <v>539</v>
      </c>
      <c r="B16" s="1097" t="s">
        <v>769</v>
      </c>
      <c r="C16" s="1098"/>
      <c r="D16" s="1098"/>
      <c r="E16" s="1098"/>
      <c r="F16" s="1098"/>
      <c r="G16" s="1098"/>
      <c r="H16" s="1098"/>
      <c r="I16" s="1098"/>
      <c r="J16" s="1098"/>
      <c r="K16" s="1098"/>
      <c r="L16" s="1098"/>
      <c r="M16" s="1098"/>
      <c r="N16" s="1098"/>
      <c r="O16" s="1099"/>
      <c r="P16" s="4"/>
    </row>
    <row r="17" spans="1:16" x14ac:dyDescent="0.2">
      <c r="B17" s="4"/>
      <c r="H17" s="23"/>
    </row>
    <row r="18" spans="1:16" x14ac:dyDescent="0.2">
      <c r="H18"/>
      <c r="L18" s="3" t="s">
        <v>506</v>
      </c>
    </row>
    <row r="19" spans="1:16" ht="6" customHeight="1" x14ac:dyDescent="0.2">
      <c r="H19"/>
    </row>
    <row r="20" spans="1:16" ht="12.75" customHeight="1" x14ac:dyDescent="0.2">
      <c r="B20" s="28" t="s">
        <v>513</v>
      </c>
      <c r="C20" s="1019" t="s">
        <v>768</v>
      </c>
      <c r="D20" s="1019"/>
      <c r="E20" s="1019"/>
      <c r="F20" s="1019"/>
      <c r="G20" s="1019"/>
      <c r="H20" s="1019"/>
      <c r="L20" s="71"/>
    </row>
    <row r="21" spans="1:16" ht="12.75" customHeight="1" x14ac:dyDescent="0.2">
      <c r="B21" s="28"/>
      <c r="C21" s="1019"/>
      <c r="D21" s="1019"/>
      <c r="E21" s="1019"/>
      <c r="F21" s="1019"/>
      <c r="G21" s="1019"/>
      <c r="H21" s="1019"/>
      <c r="L21" s="71"/>
    </row>
    <row r="22" spans="1:16" x14ac:dyDescent="0.2">
      <c r="D22" t="s">
        <v>61</v>
      </c>
      <c r="H22"/>
      <c r="L22" s="292">
        <v>611000</v>
      </c>
    </row>
    <row r="23" spans="1:16" x14ac:dyDescent="0.2">
      <c r="D23" t="s">
        <v>62</v>
      </c>
      <c r="H23"/>
      <c r="L23" s="292">
        <v>0</v>
      </c>
    </row>
    <row r="24" spans="1:16" x14ac:dyDescent="0.2">
      <c r="D24" t="s">
        <v>206</v>
      </c>
      <c r="H24"/>
      <c r="L24" s="292">
        <v>0</v>
      </c>
    </row>
    <row r="25" spans="1:16" x14ac:dyDescent="0.2">
      <c r="D25" t="s">
        <v>4115</v>
      </c>
      <c r="H25"/>
      <c r="L25" s="292">
        <v>18219</v>
      </c>
    </row>
    <row r="26" spans="1:16" x14ac:dyDescent="0.2">
      <c r="D26" t="s">
        <v>4157</v>
      </c>
      <c r="H26"/>
      <c r="L26" s="292">
        <v>21705</v>
      </c>
    </row>
    <row r="27" spans="1:16" x14ac:dyDescent="0.2">
      <c r="A27"/>
      <c r="H27"/>
    </row>
    <row r="28" spans="1:16" ht="7.5" customHeight="1" x14ac:dyDescent="0.2">
      <c r="H28"/>
      <c r="L28" s="23"/>
    </row>
    <row r="29" spans="1:16" ht="13.5" thickBot="1" x14ac:dyDescent="0.25">
      <c r="D29" t="s">
        <v>763</v>
      </c>
      <c r="H29"/>
      <c r="L29" s="69">
        <f>SUM(L22:L27)</f>
        <v>650924</v>
      </c>
    </row>
    <row r="30" spans="1:16" ht="13.5" thickTop="1" x14ac:dyDescent="0.2">
      <c r="H30"/>
    </row>
    <row r="31" spans="1:16" x14ac:dyDescent="0.2">
      <c r="H31"/>
    </row>
    <row r="32" spans="1:16" ht="25.5" customHeight="1" x14ac:dyDescent="0.2">
      <c r="A32" s="4" t="s">
        <v>540</v>
      </c>
      <c r="B32" s="1097" t="s">
        <v>170</v>
      </c>
      <c r="C32" s="1098"/>
      <c r="D32" s="1098"/>
      <c r="E32" s="1098"/>
      <c r="F32" s="1098"/>
      <c r="G32" s="1098"/>
      <c r="H32" s="1098"/>
      <c r="I32" s="1098"/>
      <c r="J32" s="1098"/>
      <c r="K32" s="1098"/>
      <c r="L32" s="1098"/>
      <c r="M32" s="1098"/>
      <c r="N32" s="1098"/>
      <c r="O32" s="1099"/>
      <c r="P32" s="4"/>
    </row>
    <row r="33" spans="1:16" x14ac:dyDescent="0.2">
      <c r="H33" s="10"/>
      <c r="I33" s="10"/>
      <c r="J33" s="10"/>
      <c r="K33" s="10"/>
      <c r="L33" s="10"/>
      <c r="N33" s="10"/>
    </row>
    <row r="34" spans="1:16" x14ac:dyDescent="0.2">
      <c r="H34" s="10"/>
      <c r="I34" s="10"/>
      <c r="K34" s="10"/>
      <c r="L34" s="3" t="s">
        <v>506</v>
      </c>
      <c r="N34" s="10"/>
    </row>
    <row r="35" spans="1:16" x14ac:dyDescent="0.2">
      <c r="H35"/>
      <c r="K35" s="10"/>
    </row>
    <row r="36" spans="1:16" ht="12" customHeight="1" x14ac:dyDescent="0.2">
      <c r="B36" s="28" t="s">
        <v>513</v>
      </c>
      <c r="C36" t="s">
        <v>1028</v>
      </c>
      <c r="H36"/>
      <c r="K36" s="10"/>
      <c r="L36" s="287">
        <v>331007</v>
      </c>
    </row>
    <row r="37" spans="1:16" x14ac:dyDescent="0.2">
      <c r="H37"/>
      <c r="K37" s="10"/>
    </row>
    <row r="38" spans="1:16" x14ac:dyDescent="0.2">
      <c r="B38" s="28" t="s">
        <v>514</v>
      </c>
      <c r="C38" t="s">
        <v>321</v>
      </c>
      <c r="H38"/>
      <c r="K38" s="10"/>
      <c r="L38" s="287">
        <f>311528+242+74</f>
        <v>311844</v>
      </c>
      <c r="N38" s="5"/>
    </row>
    <row r="39" spans="1:16" ht="5.25" customHeight="1" x14ac:dyDescent="0.2">
      <c r="H39"/>
      <c r="K39" s="10"/>
    </row>
    <row r="40" spans="1:16" x14ac:dyDescent="0.2">
      <c r="H40"/>
      <c r="K40" s="10"/>
      <c r="L40" s="10"/>
      <c r="N40" s="10"/>
    </row>
    <row r="41" spans="1:16" x14ac:dyDescent="0.2">
      <c r="G41" s="5"/>
      <c r="H41" s="10"/>
      <c r="I41" s="10"/>
      <c r="J41" s="10"/>
      <c r="K41" s="10"/>
      <c r="L41" s="10"/>
      <c r="N41" s="10"/>
    </row>
    <row r="42" spans="1:16" x14ac:dyDescent="0.2">
      <c r="G42" s="5"/>
      <c r="H42" s="10"/>
      <c r="I42" s="10"/>
      <c r="J42" s="10"/>
      <c r="K42" s="10"/>
      <c r="L42" s="10"/>
      <c r="N42" s="10"/>
    </row>
    <row r="43" spans="1:16" ht="25.5" customHeight="1" x14ac:dyDescent="0.2">
      <c r="A43" s="4" t="s">
        <v>801</v>
      </c>
      <c r="B43" s="1097" t="s">
        <v>535</v>
      </c>
      <c r="C43" s="1098"/>
      <c r="D43" s="1098"/>
      <c r="E43" s="1098"/>
      <c r="F43" s="1098"/>
      <c r="G43" s="1098"/>
      <c r="H43" s="1098"/>
      <c r="I43" s="1098"/>
      <c r="J43" s="1098"/>
      <c r="K43" s="1098"/>
      <c r="L43" s="1098"/>
      <c r="M43" s="1098"/>
      <c r="N43" s="1098"/>
      <c r="O43" s="1099"/>
      <c r="P43" s="4"/>
    </row>
    <row r="44" spans="1:16" ht="12.75" customHeight="1" x14ac:dyDescent="0.2"/>
    <row r="45" spans="1:16" x14ac:dyDescent="0.2">
      <c r="L45" s="36" t="s">
        <v>509</v>
      </c>
      <c r="M45" s="33"/>
      <c r="N45" s="36" t="s">
        <v>510</v>
      </c>
    </row>
    <row r="46" spans="1:16" ht="6.75" customHeight="1" x14ac:dyDescent="0.2"/>
    <row r="47" spans="1:16" ht="12.75" customHeight="1" x14ac:dyDescent="0.2">
      <c r="D47" t="s">
        <v>532</v>
      </c>
      <c r="E47" t="s">
        <v>859</v>
      </c>
      <c r="L47" s="62">
        <f>IF(L22&gt;=0,L22,"0")</f>
        <v>611000</v>
      </c>
      <c r="N47" s="62">
        <f>IF(L22&lt;0,L22,0)</f>
        <v>0</v>
      </c>
    </row>
    <row r="48" spans="1:16" x14ac:dyDescent="0.2">
      <c r="E48" t="s">
        <v>860</v>
      </c>
      <c r="L48" s="62">
        <f>IF(L23&gt;=0,L23,"0")</f>
        <v>0</v>
      </c>
      <c r="N48" s="62">
        <f>IF(L23&lt;0,L23,0)</f>
        <v>0</v>
      </c>
    </row>
    <row r="49" spans="4:14" x14ac:dyDescent="0.2">
      <c r="E49" t="s">
        <v>861</v>
      </c>
      <c r="L49" s="62">
        <f>IF(L24&gt;=0,L24,"0")</f>
        <v>0</v>
      </c>
      <c r="N49" s="62">
        <f>IF(L24&lt;0,L24,0)</f>
        <v>0</v>
      </c>
    </row>
    <row r="50" spans="4:14" x14ac:dyDescent="0.2">
      <c r="E50" t="s">
        <v>4158</v>
      </c>
      <c r="L50" s="62">
        <f>IF(L25&gt;=0,L25,"0")</f>
        <v>18219</v>
      </c>
      <c r="N50" s="62">
        <f>IF(L25&lt;0,L25,0)</f>
        <v>0</v>
      </c>
    </row>
    <row r="51" spans="4:14" x14ac:dyDescent="0.2">
      <c r="E51" t="s">
        <v>4157</v>
      </c>
      <c r="L51" s="62">
        <f>IF(L26&gt;=0,L26,"0")</f>
        <v>21705</v>
      </c>
      <c r="N51" s="62">
        <f>IF(L26&lt;0,L26,0)</f>
        <v>0</v>
      </c>
    </row>
    <row r="52" spans="4:14" x14ac:dyDescent="0.2">
      <c r="F52" t="s">
        <v>205</v>
      </c>
      <c r="L52" s="62">
        <f>IF(L29&lt;0,L29,0)</f>
        <v>0</v>
      </c>
      <c r="N52" s="62">
        <f>IF(L29&gt;=0,L29,"0")</f>
        <v>650924</v>
      </c>
    </row>
    <row r="53" spans="4:14" ht="5.25" customHeight="1" x14ac:dyDescent="0.2">
      <c r="L53" s="71"/>
      <c r="N53" s="71"/>
    </row>
    <row r="54" spans="4:14" x14ac:dyDescent="0.2">
      <c r="D54" t="s">
        <v>533</v>
      </c>
      <c r="E54" t="s">
        <v>168</v>
      </c>
      <c r="L54" s="62">
        <f>IF(L36&gt;=0,L36,"0")</f>
        <v>331007</v>
      </c>
      <c r="N54" s="62"/>
    </row>
    <row r="55" spans="4:14" x14ac:dyDescent="0.2">
      <c r="F55" t="s">
        <v>167</v>
      </c>
      <c r="L55" s="62"/>
      <c r="N55" s="62">
        <f>L36</f>
        <v>331007</v>
      </c>
    </row>
    <row r="56" spans="4:14" ht="4.5" customHeight="1" x14ac:dyDescent="0.2">
      <c r="L56" s="71"/>
      <c r="N56" s="71"/>
    </row>
    <row r="57" spans="4:14" x14ac:dyDescent="0.2">
      <c r="D57" t="s">
        <v>534</v>
      </c>
      <c r="E57" t="s">
        <v>167</v>
      </c>
      <c r="L57" s="62">
        <f>IF(L38-L36&gt;0,0,(L38-L36)*-1)</f>
        <v>19163</v>
      </c>
      <c r="N57" s="62">
        <f>IF(L38-L36&lt;0,0,L38-L36)</f>
        <v>0</v>
      </c>
    </row>
    <row r="58" spans="4:14" x14ac:dyDescent="0.2">
      <c r="F58" t="s">
        <v>169</v>
      </c>
      <c r="L58" s="62">
        <f>IF(L38-L36&lt;0,0,L38-L36)</f>
        <v>0</v>
      </c>
      <c r="N58" s="62">
        <f>IF(L38-L36&lt;0,(L38-L36)*-1,0)</f>
        <v>19163</v>
      </c>
    </row>
    <row r="59" spans="4:14" ht="13.5" thickBot="1" x14ac:dyDescent="0.25">
      <c r="L59" s="70">
        <f>SUM(L47:L58)</f>
        <v>1001094</v>
      </c>
      <c r="M59" s="23">
        <f>SUM(M47:M58)</f>
        <v>0</v>
      </c>
      <c r="N59" s="70">
        <f>SUM(N47:N58)</f>
        <v>1001094</v>
      </c>
    </row>
    <row r="60" spans="4:14" ht="13.5" thickTop="1" x14ac:dyDescent="0.2"/>
  </sheetData>
  <customSheetViews>
    <customSheetView guid="{D2B860EA-92EC-4999-9A59-C624E1F8C7FB}" topLeftCell="A10">
      <selection activeCell="L38" sqref="L38"/>
      <pageMargins left="0.36" right="0.37" top="0.71" bottom="0.5" header="0.5" footer="0.5"/>
      <printOptions horizontalCentered="1"/>
      <pageSetup scale="80" orientation="portrait" r:id="rId1"/>
      <headerFooter alignWithMargins="0">
        <oddHeader>&amp;R&amp;"Arial,Bold"&amp;12Entry G</oddHeader>
        <oddFooter>&amp;L&amp;8&amp;D - County model&amp;R&amp;P</oddFooter>
      </headerFooter>
    </customSheetView>
    <customSheetView guid="{C1197650-3ED8-49E4-8E4C-0D1D4B503FC0}" topLeftCell="A10">
      <selection activeCell="L38" sqref="L38"/>
      <pageMargins left="0.36" right="0.37" top="0.71" bottom="0.5" header="0.5" footer="0.5"/>
      <printOptions horizontalCentered="1"/>
      <pageSetup scale="80" orientation="portrait" r:id="rId2"/>
      <headerFooter alignWithMargins="0">
        <oddHeader>&amp;R&amp;"Arial,Bold"&amp;12Entry G</oddHeader>
        <oddFooter>&amp;L&amp;8&amp;D - County model&amp;R&amp;P</oddFooter>
      </headerFooter>
    </customSheetView>
  </customSheetViews>
  <mergeCells count="9">
    <mergeCell ref="B32:O32"/>
    <mergeCell ref="B43:O43"/>
    <mergeCell ref="C20:H21"/>
    <mergeCell ref="A2:P2"/>
    <mergeCell ref="B4:P4"/>
    <mergeCell ref="B16:O16"/>
    <mergeCell ref="C6:P7"/>
    <mergeCell ref="C9:P10"/>
    <mergeCell ref="C12:O13"/>
  </mergeCells>
  <phoneticPr fontId="14" type="noConversion"/>
  <printOptions horizontalCentered="1"/>
  <pageMargins left="0.36" right="0.37" top="0.71" bottom="0.5" header="0.5" footer="0.5"/>
  <pageSetup scale="80" orientation="portrait" r:id="rId3"/>
  <headerFooter alignWithMargins="0">
    <oddHeader>&amp;R&amp;"Arial,Bold"&amp;12Entry G</oddHeader>
    <oddFooter>&amp;L&amp;8&amp;D - County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ort_x0020_Order xmlns="b0d8bf0e-b15b-456f-8ae4-2bdf59acac1f">1</Sort_x0020_Order>
    <Resource_x0020_Category xmlns="b0d8bf0e-b15b-456f-8ae4-2bdf59acac1f">Preparation Aid</Resource_x0020_Category>
    <Publication_x0020_Date xmlns="b0d8bf0e-b15b-456f-8ae4-2bdf59acac1f">8/14/2017</Publication_x0020_Date>
    <Resource_x0020_Group xmlns="b0d8bf0e-b15b-456f-8ae4-2bdf59acac1f">County Specific Worksheets</Resource_x0020_Group>
    <Category xmlns="b0d8bf0e-b15b-456f-8ae4-2bdf59acac1f">Tools</Category>
    <Description0 xmlns="b0d8bf0e-b15b-456f-8ae4-2bdf59acac1f">Carolina County Governmental Activities Conversion Worksheet </Description0>
    <_dlc_DocId xmlns="d4ea4015-5b02-447c-9074-d5807a41497e" xsi:nil="true"/>
  </documentManagement>
</p:properties>
</file>

<file path=customXml/itemProps1.xml><?xml version="1.0" encoding="utf-8"?>
<ds:datastoreItem xmlns:ds="http://schemas.openxmlformats.org/officeDocument/2006/customXml" ds:itemID="{F81F1BC8-6411-41DE-8196-BB0BCD6834A3}">
  <ds:schemaRefs>
    <ds:schemaRef ds:uri="http://schemas.microsoft.com/office/2006/metadata/longProperties"/>
  </ds:schemaRefs>
</ds:datastoreItem>
</file>

<file path=customXml/itemProps2.xml><?xml version="1.0" encoding="utf-8"?>
<ds:datastoreItem xmlns:ds="http://schemas.openxmlformats.org/officeDocument/2006/customXml" ds:itemID="{58285A37-7151-4A63-93FF-68D9EF1AA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84D521-F9E6-402F-9879-DA6E5A99EF0A}">
  <ds:schemaRefs>
    <ds:schemaRef ds:uri="http://schemas.microsoft.com/sharepoint/events"/>
  </ds:schemaRefs>
</ds:datastoreItem>
</file>

<file path=customXml/itemProps4.xml><?xml version="1.0" encoding="utf-8"?>
<ds:datastoreItem xmlns:ds="http://schemas.openxmlformats.org/officeDocument/2006/customXml" ds:itemID="{FE9E3075-3BAE-4330-9CC9-9C21BD80C79A}">
  <ds:schemaRefs>
    <ds:schemaRef ds:uri="http://schemas.microsoft.com/sharepoint/v3/contenttype/forms"/>
  </ds:schemaRefs>
</ds:datastoreItem>
</file>

<file path=customXml/itemProps5.xml><?xml version="1.0" encoding="utf-8"?>
<ds:datastoreItem xmlns:ds="http://schemas.openxmlformats.org/officeDocument/2006/customXml" ds:itemID="{5D9AEE79-8F28-4F69-90A7-F4F36CBD153F}">
  <ds:schemaRefs>
    <ds:schemaRef ds:uri="http://schemas.microsoft.com/office/infopath/2007/PartnerControls"/>
    <ds:schemaRef ds:uri="b0d8bf0e-b15b-456f-8ae4-2bdf59acac1f"/>
    <ds:schemaRef ds:uri="http://www.w3.org/XML/1998/namespace"/>
    <ds:schemaRef ds:uri="d4ea4015-5b02-447c-9074-d5807a41497e"/>
    <ds:schemaRef ds:uri="http://purl.org/dc/dcmitype/"/>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33</vt:i4>
      </vt:variant>
    </vt:vector>
  </HeadingPairs>
  <TitlesOfParts>
    <vt:vector size="69"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 GASB 68 LGERS</vt:lpstr>
      <vt:lpstr>2019 LGERS summary</vt:lpstr>
      <vt:lpstr>2018 summary</vt:lpstr>
      <vt:lpstr>N.1a LGERS Data PY</vt:lpstr>
      <vt:lpstr>N.1b LGERS Data PY</vt:lpstr>
      <vt:lpstr>N.2 GASB 68 ROD</vt:lpstr>
      <vt:lpstr>N.2b ROD Data PY</vt:lpstr>
      <vt:lpstr>2019 Summary ROD</vt:lpstr>
      <vt:lpstr>N.2a ROD 2018 PY</vt:lpstr>
      <vt:lpstr>2018 Contributions ROD</vt:lpstr>
      <vt:lpstr>N.3 GASB 68 FRSWPF</vt:lpstr>
      <vt:lpstr>O. GASB 73 LEO Entries</vt:lpstr>
      <vt:lpstr>Sheet1</vt:lpstr>
      <vt:lpstr>P.1 GASB 75 OPEB  - plan 1</vt:lpstr>
      <vt:lpstr>P.2 GASB 75 OPEB - plan 2</vt:lpstr>
      <vt:lpstr>P.3 GASB 75 OPEB - plan 3</vt:lpstr>
      <vt:lpstr>Q. GASB 87 Lease Entries</vt:lpstr>
      <vt:lpstr>R. GASB 96 Subscription Entries</vt:lpstr>
      <vt:lpstr>2018 OPEB </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'N.2b ROD Data PY'!Print_Area</vt:lpstr>
      <vt:lpstr>Sheet1!Print_Area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PY'!Print_Titles</vt:lpstr>
      <vt:lpstr>'N.1b LGERS Data PY'!Print_Titles</vt:lpstr>
      <vt:lpstr>'N.2b ROD Data PY'!Print_Titles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Governmental Activities Conversion Worksheet</dc:title>
  <dc:creator>LGC0206</dc:creator>
  <cp:keywords>County Specific Worksheets</cp:keywords>
  <cp:lastModifiedBy>Becky Dzingeleski</cp:lastModifiedBy>
  <cp:lastPrinted>2019-09-12T12:47:37Z</cp:lastPrinted>
  <dcterms:created xsi:type="dcterms:W3CDTF">2002-04-03T20:24:03Z</dcterms:created>
  <dcterms:modified xsi:type="dcterms:W3CDTF">2025-11-21T20:51:07Z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3800.00000000000</vt:lpwstr>
  </property>
  <property fmtid="{D5CDD505-2E9C-101B-9397-08002B2CF9AE}" pid="3" name="ContentTypeId">
    <vt:lpwstr>0x01010063E6D748AC7C9C43A96C5224165110D7</vt:lpwstr>
  </property>
</Properties>
</file>